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tables/table5.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updateLinks="never" codeName="ThisWorkbook"/>
  <mc:AlternateContent xmlns:mc="http://schemas.openxmlformats.org/markup-compatibility/2006">
    <mc:Choice Requires="x15">
      <x15ac:absPath xmlns:x15ac="http://schemas.microsoft.com/office/spreadsheetml/2010/11/ac" url="C:\DEV\Java-Projects\com.howtodoinjava.demo.poi\com.howtodoinjava.demo.poi\"/>
    </mc:Choice>
  </mc:AlternateContent>
  <xr:revisionPtr revIDLastSave="0" documentId="13_ncr:1_{FF4828DD-2239-4FFB-BDC8-9BB4C98FFEA1}" xr6:coauthVersionLast="47" xr6:coauthVersionMax="47" xr10:uidLastSave="{00000000-0000-0000-0000-000000000000}"/>
  <bookViews>
    <workbookView xWindow="-108" yWindow="-108" windowWidth="23256" windowHeight="12456" firstSheet="4" activeTab="4" xr2:uid="{00000000-000D-0000-FFFF-FFFF00000000}"/>
  </bookViews>
  <sheets>
    <sheet name="Mapping" sheetId="140" state="hidden" r:id="rId1"/>
    <sheet name="Visibility" sheetId="162" r:id="rId2"/>
    <sheet name="Cover Page" sheetId="103" r:id="rId3"/>
    <sheet name="Instructions" sheetId="127" r:id="rId4"/>
    <sheet name="Project Overview" sheetId="106" r:id="rId5"/>
    <sheet name="Document Checklist" sheetId="114" r:id="rId6"/>
    <sheet name="Contact List" sheetId="136" r:id="rId7"/>
    <sheet name="Dropdowns" sheetId="120" state="hidden" r:id="rId8"/>
    <sheet name="Lists" sheetId="175" state="hidden" r:id="rId9"/>
    <sheet name="Operating Budget" sheetId="154" r:id="rId10"/>
    <sheet name="Dev Sources" sheetId="147" r:id="rId11"/>
    <sheet name="Dev Budget SU" sheetId="149" r:id="rId12"/>
    <sheet name="Reserves Calculator" sheetId="153" r:id="rId13"/>
    <sheet name="Unit Mix" sheetId="170" r:id="rId14"/>
    <sheet name="Max Loan and Grant Amounts" sheetId="183" r:id="rId15"/>
    <sheet name="CashFlow" sheetId="155" r:id="rId16"/>
    <sheet name="High-Cost Verification" sheetId="150" r:id="rId17"/>
    <sheet name="Developer Fee" sheetId="186" r:id="rId18"/>
    <sheet name="At High Risk Req" sheetId="130" r:id="rId19"/>
    <sheet name="S1 - Supportive Services Plan" sheetId="110" r:id="rId20"/>
    <sheet name="S2 - Supportive Services Costs" sheetId="152" r:id="rId21"/>
    <sheet name="S3 - Supportive Housig Exp" sheetId="129" r:id="rId22"/>
    <sheet name="S4 - Special Needs Exp" sheetId="159" r:id="rId23"/>
    <sheet name="S5 - Supportive Services Verif" sheetId="111" r:id="rId24"/>
    <sheet name="Local Enviro Verification" sheetId="119" r:id="rId25"/>
    <sheet name="Sponsor Certification" sheetId="128" r:id="rId26"/>
    <sheet name="Entity Org Docs" sheetId="156" r:id="rId27"/>
    <sheet name="MHP Threshold Requirements" sheetId="184" r:id="rId28"/>
    <sheet name="IIG Threshold Requirements" sheetId="185" r:id="rId29"/>
    <sheet name="Scoring" sheetId="104" r:id="rId30"/>
    <sheet name="Application Support" sheetId="132" r:id="rId31"/>
  </sheets>
  <externalReferences>
    <externalReference r:id="rId32"/>
    <externalReference r:id="rId33"/>
    <externalReference r:id="rId34"/>
  </externalReferences>
  <definedNames>
    <definedName name="_xlnm._FilterDatabase" localSheetId="21" hidden="1">'S3 - Supportive Housig Exp'!$B$2:$AM$23</definedName>
    <definedName name="_xlpm.amt" hidden="1" xlm="1">#NAME?</definedName>
    <definedName name="_xlpm.Dnum" hidden="1" xlm="1">#NAME?</definedName>
    <definedName name="_xlpm.height" hidden="1" xlm="1">#NAME?</definedName>
    <definedName name="_xlpm.Rnum" hidden="1" xlm="1">#NAME?</definedName>
    <definedName name="ActiveRow" localSheetId="26">1</definedName>
    <definedName name="ActiveRow" localSheetId="22">1</definedName>
    <definedName name="ActiveRow">8</definedName>
    <definedName name="AtiveRow2">1</definedName>
    <definedName name="County">'Project Overview'!$F$98</definedName>
    <definedName name="CountyNumber">'Unit Mix'!$CB$1</definedName>
    <definedName name="ExternalData_3" localSheetId="8" hidden="1">Lists!#REF!</definedName>
    <definedName name="Funding" localSheetId="15" hidden="1">{"Sources and Uses - Construction",#N/A,FALSE,"Construction S &amp; U"}</definedName>
    <definedName name="Funding" localSheetId="11" hidden="1">{"Sources and Uses - Construction",#N/A,FALSE,"Construction S &amp; U"}</definedName>
    <definedName name="Funding" localSheetId="10" hidden="1">{"Sources and Uses - Construction",#N/A,FALSE,"Construction S &amp; U"}</definedName>
    <definedName name="Funding" localSheetId="26" hidden="1">{"Sources and Uses - Construction",#N/A,FALSE,"Construction S &amp; U"}</definedName>
    <definedName name="Funding" localSheetId="16" hidden="1">{"Sources and Uses - Construction",#N/A,FALSE,"Construction S &amp; U"}</definedName>
    <definedName name="Funding" localSheetId="24" hidden="1">{"Sources and Uses - Construction",#N/A,FALSE,"Construction S &amp; U"}</definedName>
    <definedName name="Funding" localSheetId="9" hidden="1">{"Sources and Uses - Construction",#N/A,FALSE,"Construction S &amp; U"}</definedName>
    <definedName name="Funding" localSheetId="4" hidden="1">{"Sources and Uses - Construction",#N/A,FALSE,"Construction S &amp; U"}</definedName>
    <definedName name="Funding" localSheetId="12" hidden="1">{"Sources and Uses - Construction",#N/A,FALSE,"Construction S &amp; U"}</definedName>
    <definedName name="Funding" localSheetId="20" hidden="1">{"Sources and Uses - Construction",#N/A,FALSE,"Construction S &amp; U"}</definedName>
    <definedName name="Funding" localSheetId="22" hidden="1">{"Sources and Uses - Construction",#N/A,FALSE,"Construction S &amp; U"}</definedName>
    <definedName name="Funding" localSheetId="29" hidden="1">{"Sources and Uses - Construction",#N/A,FALSE,"Construction S &amp; U"}</definedName>
    <definedName name="Funding" hidden="1">{"Sources and Uses - Construction",#N/A,FALSE,"Construction S &amp; U"}</definedName>
    <definedName name="FundingX" localSheetId="15" hidden="1">{"Sources and Uses - Construction",#N/A,FALSE,"Construction S &amp; U"}</definedName>
    <definedName name="FundingX" localSheetId="11" hidden="1">{"Sources and Uses - Construction",#N/A,FALSE,"Construction S &amp; U"}</definedName>
    <definedName name="FundingX" localSheetId="10" hidden="1">{"Sources and Uses - Construction",#N/A,FALSE,"Construction S &amp; U"}</definedName>
    <definedName name="FundingX" localSheetId="26" hidden="1">{"Sources and Uses - Construction",#N/A,FALSE,"Construction S &amp; U"}</definedName>
    <definedName name="FundingX" localSheetId="16" hidden="1">{"Sources and Uses - Construction",#N/A,FALSE,"Construction S &amp; U"}</definedName>
    <definedName name="FundingX" localSheetId="24" hidden="1">{"Sources and Uses - Construction",#N/A,FALSE,"Construction S &amp; U"}</definedName>
    <definedName name="FundingX" localSheetId="9" hidden="1">{"Sources and Uses - Construction",#N/A,FALSE,"Construction S &amp; U"}</definedName>
    <definedName name="FundingX" localSheetId="4" hidden="1">{"Sources and Uses - Construction",#N/A,FALSE,"Construction S &amp; U"}</definedName>
    <definedName name="FundingX" localSheetId="12" hidden="1">{"Sources and Uses - Construction",#N/A,FALSE,"Construction S &amp; U"}</definedName>
    <definedName name="FundingX" localSheetId="20" hidden="1">{"Sources and Uses - Construction",#N/A,FALSE,"Construction S &amp; U"}</definedName>
    <definedName name="FundingX" localSheetId="22" hidden="1">{"Sources and Uses - Construction",#N/A,FALSE,"Construction S &amp; U"}</definedName>
    <definedName name="FundingX" hidden="1">{"Sources and Uses - Construction",#N/A,FALSE,"Construction S &amp; U"}</definedName>
    <definedName name="George3" localSheetId="15" hidden="1">{"Project Summary",#N/A,FALSE,"Project Summary";"Rent Summary",#N/A,FALSE,"Rent Summary";"Operating Budget Detail",#N/A,FALSE,"Operations";"Operating Budget Summary",#N/A,FALSE,"Operations";"Sources and Uses",#N/A,FALSE,"Sources &amp; Uses";"Cash Flow",#N/A,FALSE,"Cash Flow"}</definedName>
    <definedName name="George3" localSheetId="11" hidden="1">{"Project Summary",#N/A,FALSE,"Project Summary";"Rent Summary",#N/A,FALSE,"Rent Summary";"Operating Budget Detail",#N/A,FALSE,"Operations";"Operating Budget Summary",#N/A,FALSE,"Operations";"Sources and Uses",#N/A,FALSE,"Sources &amp; Uses";"Cash Flow",#N/A,FALSE,"Cash Flow"}</definedName>
    <definedName name="George3" localSheetId="10" hidden="1">{"Project Summary",#N/A,FALSE,"Project Summary";"Rent Summary",#N/A,FALSE,"Rent Summary";"Operating Budget Detail",#N/A,FALSE,"Operations";"Operating Budget Summary",#N/A,FALSE,"Operations";"Sources and Uses",#N/A,FALSE,"Sources &amp; Uses";"Cash Flow",#N/A,FALSE,"Cash Flow"}</definedName>
    <definedName name="George3" localSheetId="26" hidden="1">{"Project Summary",#N/A,FALSE,"Project Summary";"Rent Summary",#N/A,FALSE,"Rent Summary";"Operating Budget Detail",#N/A,FALSE,"Operations";"Operating Budget Summary",#N/A,FALSE,"Operations";"Sources and Uses",#N/A,FALSE,"Sources &amp; Uses";"Cash Flow",#N/A,FALSE,"Cash Flow"}</definedName>
    <definedName name="George3" localSheetId="16" hidden="1">{"Project Summary",#N/A,FALSE,"Project Summary";"Rent Summary",#N/A,FALSE,"Rent Summary";"Operating Budget Detail",#N/A,FALSE,"Operations";"Operating Budget Summary",#N/A,FALSE,"Operations";"Sources and Uses",#N/A,FALSE,"Sources &amp; Uses";"Cash Flow",#N/A,FALSE,"Cash Flow"}</definedName>
    <definedName name="George3" localSheetId="24" hidden="1">{"Project Summary",#N/A,FALSE,"Project Summary";"Rent Summary",#N/A,FALSE,"Rent Summary";"Operating Budget Detail",#N/A,FALSE,"Operations";"Operating Budget Summary",#N/A,FALSE,"Operations";"Sources and Uses",#N/A,FALSE,"Sources &amp; Uses";"Cash Flow",#N/A,FALSE,"Cash Flow"}</definedName>
    <definedName name="George3" localSheetId="9" hidden="1">{"Project Summary",#N/A,FALSE,"Project Summary";"Rent Summary",#N/A,FALSE,"Rent Summary";"Operating Budget Detail",#N/A,FALSE,"Operations";"Operating Budget Summary",#N/A,FALSE,"Operations";"Sources and Uses",#N/A,FALSE,"Sources &amp; Uses";"Cash Flow",#N/A,FALSE,"Cash Flow"}</definedName>
    <definedName name="George3" localSheetId="4" hidden="1">{"Project Summary",#N/A,FALSE,"Project Summary";"Rent Summary",#N/A,FALSE,"Rent Summary";"Operating Budget Detail",#N/A,FALSE,"Operations";"Operating Budget Summary",#N/A,FALSE,"Operations";"Sources and Uses",#N/A,FALSE,"Sources &amp; Uses";"Cash Flow",#N/A,FALSE,"Cash Flow"}</definedName>
    <definedName name="George3" localSheetId="12" hidden="1">{"Project Summary",#N/A,FALSE,"Project Summary";"Rent Summary",#N/A,FALSE,"Rent Summary";"Operating Budget Detail",#N/A,FALSE,"Operations";"Operating Budget Summary",#N/A,FALSE,"Operations";"Sources and Uses",#N/A,FALSE,"Sources &amp; Uses";"Cash Flow",#N/A,FALSE,"Cash Flow"}</definedName>
    <definedName name="George3" localSheetId="19" hidden="1">{"Project Summary",#N/A,FALSE,"Project Summary";"Rent Summary",#N/A,FALSE,"Rent Summary";"Operating Budget Detail",#N/A,FALSE,"Operations";"Operating Budget Summary",#N/A,FALSE,"Operations";"Sources and Uses",#N/A,FALSE,"Sources &amp; Uses";"Cash Flow",#N/A,FALSE,"Cash Flow"}</definedName>
    <definedName name="George3" localSheetId="20" hidden="1">{"Project Summary",#N/A,FALSE,"Project Summary";"Rent Summary",#N/A,FALSE,"Rent Summary";"Operating Budget Detail",#N/A,FALSE,"Operations";"Operating Budget Summary",#N/A,FALSE,"Operations";"Sources and Uses",#N/A,FALSE,"Sources &amp; Uses";"Cash Flow",#N/A,FALSE,"Cash Flow"}</definedName>
    <definedName name="George3" localSheetId="22" hidden="1">{"Project Summary",#N/A,FALSE,"Project Summary";"Rent Summary",#N/A,FALSE,"Rent Summary";"Operating Budget Detail",#N/A,FALSE,"Operations";"Operating Budget Summary",#N/A,FALSE,"Operations";"Sources and Uses",#N/A,FALSE,"Sources &amp; Uses";"Cash Flow",#N/A,FALSE,"Cash Flow"}</definedName>
    <definedName name="George3" hidden="1">{"Project Summary",#N/A,FALSE,"Project Summary";"Rent Summary",#N/A,FALSE,"Rent Summary";"Operating Budget Detail",#N/A,FALSE,"Operations";"Operating Budget Summary",#N/A,FALSE,"Operations";"Sources and Uses",#N/A,FALSE,"Sources &amp; Uses";"Cash Flow",#N/A,FALSE,"Cash Flow"}</definedName>
    <definedName name="George4" localSheetId="15" hidden="1">{"Cash Flow",#N/A,FALSE,"Cash Flow"}</definedName>
    <definedName name="George4" localSheetId="11" hidden="1">{"Cash Flow",#N/A,FALSE,"Cash Flow"}</definedName>
    <definedName name="George4" localSheetId="10" hidden="1">{"Cash Flow",#N/A,FALSE,"Cash Flow"}</definedName>
    <definedName name="George4" localSheetId="26" hidden="1">{"Cash Flow",#N/A,FALSE,"Cash Flow"}</definedName>
    <definedName name="George4" localSheetId="16" hidden="1">{"Cash Flow",#N/A,FALSE,"Cash Flow"}</definedName>
    <definedName name="George4" localSheetId="24" hidden="1">{"Cash Flow",#N/A,FALSE,"Cash Flow"}</definedName>
    <definedName name="George4" localSheetId="9" hidden="1">{"Cash Flow",#N/A,FALSE,"Cash Flow"}</definedName>
    <definedName name="George4" localSheetId="4" hidden="1">{"Cash Flow",#N/A,FALSE,"Cash Flow"}</definedName>
    <definedName name="George4" localSheetId="12" hidden="1">{"Cash Flow",#N/A,FALSE,"Cash Flow"}</definedName>
    <definedName name="George4" localSheetId="19" hidden="1">{"Cash Flow",#N/A,FALSE,"Cash Flow"}</definedName>
    <definedName name="George4" localSheetId="20" hidden="1">{"Cash Flow",#N/A,FALSE,"Cash Flow"}</definedName>
    <definedName name="George4" localSheetId="22" hidden="1">{"Cash Flow",#N/A,FALSE,"Cash Flow"}</definedName>
    <definedName name="George4" hidden="1">{"Cash Flow",#N/A,FALSE,"Cash Flow"}</definedName>
    <definedName name="hfgjhfgh" localSheetId="15" hidden="1">{"Operating Budget Detail",#N/A,FALSE,"Operations"}</definedName>
    <definedName name="hfgjhfgh" localSheetId="11" hidden="1">{"Operating Budget Detail",#N/A,FALSE,"Operations"}</definedName>
    <definedName name="hfgjhfgh" localSheetId="10" hidden="1">{"Operating Budget Detail",#N/A,FALSE,"Operations"}</definedName>
    <definedName name="hfgjhfgh" localSheetId="26" hidden="1">{"Operating Budget Detail",#N/A,FALSE,"Operations"}</definedName>
    <definedName name="hfgjhfgh" localSheetId="16" hidden="1">{"Operating Budget Detail",#N/A,FALSE,"Operations"}</definedName>
    <definedName name="hfgjhfgh" localSheetId="9" hidden="1">{"Operating Budget Detail",#N/A,FALSE,"Operations"}</definedName>
    <definedName name="hfgjhfgh" localSheetId="12" hidden="1">{"Operating Budget Detail",#N/A,FALSE,"Operations"}</definedName>
    <definedName name="hfgjhfgh" localSheetId="20" hidden="1">{"Operating Budget Detail",#N/A,FALSE,"Operations"}</definedName>
    <definedName name="hfgjhfgh" localSheetId="22" hidden="1">{"Operating Budget Detail",#N/A,FALSE,"Operations"}</definedName>
    <definedName name="hfgjhfgh" hidden="1">{"Operating Budget Detail",#N/A,FALSE,"Operations"}</definedName>
    <definedName name="HRArea">'Project Overview'!$AL$138</definedName>
    <definedName name="HRCategory">'Project Overview'!$AE$140</definedName>
    <definedName name="InfoPrintBoth" localSheetId="8">#REF!,#REF!</definedName>
    <definedName name="IsAtHighRisk">'Project Overview'!$AO$36</definedName>
    <definedName name="IsCIP">'Project Overview'!$AO$18</definedName>
    <definedName name="IsFarmworker">'Project Overview'!$AO$29</definedName>
    <definedName name="IsHHC">'Project Overview'!$AO$7</definedName>
    <definedName name="IsIig">'Project Overview'!$AO$3</definedName>
    <definedName name="IsLargeFamily">'Project Overview'!$AO$40</definedName>
    <definedName name="IsLF">'Project Overview'!$AO$36</definedName>
    <definedName name="IsMhp">'Project Overview'!$AO$4</definedName>
    <definedName name="IsPrograms">Visibility!$L$3:$Q$3</definedName>
    <definedName name="IsQualifiedJv">'Developer Fee'!$AL$54</definedName>
    <definedName name="IsSenior">'Project Overview'!$AO$43</definedName>
    <definedName name="IsSerna">'Project Overview'!$AO$2</definedName>
    <definedName name="IsSH">'Project Overview'!$AO$51</definedName>
    <definedName name="IsSpecialNeeds">'Project Overview'!$AO$46</definedName>
    <definedName name="IsTH">'Project Overview'!$AO$53</definedName>
    <definedName name="IsTod">'Project Overview'!$AO$5</definedName>
    <definedName name="IsVhhp">'Project Overview'!$AO$6</definedName>
    <definedName name="Jointventure">'Project Overview'!$I$147</definedName>
    <definedName name="ListCounties" localSheetId="8">Lists!$M$2:$M$59</definedName>
    <definedName name="ListObligationTypes" localSheetId="8">Lists!$F$2:$F$7</definedName>
    <definedName name="ListOpportunityAreas" localSheetId="8">Lists!$L$2:$L$6</definedName>
    <definedName name="ListSellers" localSheetId="8">_xlfn.ANCHORARRAY(Lists!#REF!)</definedName>
    <definedName name="ListSiteControlMethods" localSheetId="8">Lists!$B$2:$B$10</definedName>
    <definedName name="ListSourceTypes" localSheetId="8">Lists!$G$2:$G$23</definedName>
    <definedName name="ManagerUnits">'High-Cost Verification'!$I$14</definedName>
    <definedName name="OperatingRow" localSheetId="9">141</definedName>
    <definedName name="OperatingRow">1</definedName>
    <definedName name="OtherHCDfunds">'Project Overview'!$AL$108</definedName>
    <definedName name="_xlnm.Print_Area" localSheetId="30">'Application Support'!$B$2:$AM$35</definedName>
    <definedName name="_xlnm.Print_Area" localSheetId="18">'At High Risk Req'!$B$2:$AM$25</definedName>
    <definedName name="_xlnm.Print_Area" localSheetId="15">CashFlow!$B$2:$BS$78</definedName>
    <definedName name="_xlnm.Print_Area" localSheetId="6">'Contact List'!$B$2:$U$29</definedName>
    <definedName name="_xlnm.Print_Area" localSheetId="2">'Cover Page'!$B$1:$AM$41</definedName>
    <definedName name="_xlnm.Print_Area" localSheetId="11">'Dev Budget SU'!$C$2:$AJ$113</definedName>
    <definedName name="_xlnm.Print_Area" localSheetId="10">'Dev Sources'!$B$1:$AC$71</definedName>
    <definedName name="_xlnm.Print_Area" localSheetId="5">'Document Checklist'!$B$2:$AM$191</definedName>
    <definedName name="_xlnm.Print_Area" localSheetId="26">'Entity Org Docs'!$B$2:$AM$32</definedName>
    <definedName name="_xlnm.Print_Area" localSheetId="16">'High-Cost Verification'!$B$3:$AL$79</definedName>
    <definedName name="_xlnm.Print_Area" localSheetId="3">Instructions!$B$2:$AM$15</definedName>
    <definedName name="_xlnm.Print_Area" localSheetId="24">'Local Enviro Verification'!$B$2:$AM$32</definedName>
    <definedName name="_xlnm.Print_Area" localSheetId="9">'Operating Budget'!$B$2:$G$148</definedName>
    <definedName name="_xlnm.Print_Area" localSheetId="4">'Project Overview'!$B$8:$AM$460</definedName>
    <definedName name="_xlnm.Print_Area" localSheetId="12">'Reserves Calculator'!$B$2:$AM$52</definedName>
    <definedName name="_xlnm.Print_Area" localSheetId="19">'S1 - Supportive Services Plan'!$B$4:$AM$315</definedName>
    <definedName name="_xlnm.Print_Area" localSheetId="20">'S2 - Supportive Services Costs'!$B$2:$AM$13</definedName>
    <definedName name="_xlnm.Print_Area" localSheetId="21">'S3 - Supportive Housig Exp'!$B$2:$AM$25</definedName>
    <definedName name="_xlnm.Print_Area" localSheetId="22">'S4 - Special Needs Exp'!$B$2:$AM$20</definedName>
    <definedName name="_xlnm.Print_Area" localSheetId="23">'S5 - Supportive Services Verif'!$B$2:$AM$25</definedName>
    <definedName name="_xlnm.Print_Area" localSheetId="29">Scoring!$B$2:$AM$407</definedName>
    <definedName name="_xlnm.Print_Area" localSheetId="25">'Sponsor Certification'!$B$2:$AM$44</definedName>
    <definedName name="_xlnm.Print_Titles" localSheetId="11">'Dev Budget SU'!$4:$4</definedName>
    <definedName name="_xlnm.Print_Titles" localSheetId="10">'Dev Sources'!$1:$2</definedName>
    <definedName name="_xlnm.Print_Titles" localSheetId="5">'Document Checklist'!$2:$2</definedName>
    <definedName name="Sample" localSheetId="15" hidden="1">{"Operating Budget Detail",#N/A,FALSE,"Operations"}</definedName>
    <definedName name="Sample" localSheetId="11" hidden="1">{"Operating Budget Detail",#N/A,FALSE,"Operations"}</definedName>
    <definedName name="Sample" localSheetId="10" hidden="1">{"Operating Budget Detail",#N/A,FALSE,"Operations"}</definedName>
    <definedName name="Sample" localSheetId="26" hidden="1">{"Operating Budget Detail",#N/A,FALSE,"Operations"}</definedName>
    <definedName name="Sample" localSheetId="16" hidden="1">{"Operating Budget Detail",#N/A,FALSE,"Operations"}</definedName>
    <definedName name="Sample" localSheetId="24" hidden="1">{"Operating Budget Detail",#N/A,FALSE,"Operations"}</definedName>
    <definedName name="Sample" localSheetId="9" hidden="1">{"Operating Budget Detail",#N/A,FALSE,"Operations"}</definedName>
    <definedName name="Sample" localSheetId="4" hidden="1">{"Operating Budget Detail",#N/A,FALSE,"Operations"}</definedName>
    <definedName name="Sample" localSheetId="12" hidden="1">{"Operating Budget Detail",#N/A,FALSE,"Operations"}</definedName>
    <definedName name="Sample" localSheetId="20" hidden="1">{"Operating Budget Detail",#N/A,FALSE,"Operations"}</definedName>
    <definedName name="Sample" localSheetId="22" hidden="1">{"Operating Budget Detail",#N/A,FALSE,"Operations"}</definedName>
    <definedName name="Sample" localSheetId="29" hidden="1">{"Operating Budget Detail",#N/A,FALSE,"Operations"}</definedName>
    <definedName name="Sample" hidden="1">{"Operating Budget Detail",#N/A,FALSE,"Operations"}</definedName>
    <definedName name="SampleX" localSheetId="15" hidden="1">{"Operating Budget Detail",#N/A,FALSE,"Operations"}</definedName>
    <definedName name="SampleX" localSheetId="11" hidden="1">{"Operating Budget Detail",#N/A,FALSE,"Operations"}</definedName>
    <definedName name="SampleX" localSheetId="10" hidden="1">{"Operating Budget Detail",#N/A,FALSE,"Operations"}</definedName>
    <definedName name="SampleX" localSheetId="26" hidden="1">{"Operating Budget Detail",#N/A,FALSE,"Operations"}</definedName>
    <definedName name="SampleX" localSheetId="16" hidden="1">{"Operating Budget Detail",#N/A,FALSE,"Operations"}</definedName>
    <definedName name="SampleX" localSheetId="24" hidden="1">{"Operating Budget Detail",#N/A,FALSE,"Operations"}</definedName>
    <definedName name="SampleX" localSheetId="9" hidden="1">{"Operating Budget Detail",#N/A,FALSE,"Operations"}</definedName>
    <definedName name="SampleX" localSheetId="4" hidden="1">{"Operating Budget Detail",#N/A,FALSE,"Operations"}</definedName>
    <definedName name="SampleX" localSheetId="12" hidden="1">{"Operating Budget Detail",#N/A,FALSE,"Operations"}</definedName>
    <definedName name="SampleX" localSheetId="20" hidden="1">{"Operating Budget Detail",#N/A,FALSE,"Operations"}</definedName>
    <definedName name="SampleX" localSheetId="22" hidden="1">{"Operating Budget Detail",#N/A,FALSE,"Operations"}</definedName>
    <definedName name="SampleX" hidden="1">{"Operating Budget Detail",#N/A,FALSE,"Operations"}</definedName>
    <definedName name="SD_1x1_18x1_1_S_0" localSheetId="15" hidden="1">#REF!</definedName>
    <definedName name="SD_1x1_18x1_1_S_0" localSheetId="11" hidden="1">#REF!</definedName>
    <definedName name="SD_1x1_18x1_1_S_0" localSheetId="10" hidden="1">#REF!</definedName>
    <definedName name="SD_1x1_18x1_1_S_0" localSheetId="16" hidden="1">#REF!</definedName>
    <definedName name="SD_1x1_18x1_1_S_0" localSheetId="9" hidden="1">#REF!</definedName>
    <definedName name="SD_1x1_18x1_1_S_0" localSheetId="12" hidden="1">#REF!</definedName>
    <definedName name="SD_1x1_18x1_1_S_0" localSheetId="20" hidden="1">#REF!</definedName>
    <definedName name="SD_1x1_18x1_1_S_0" hidden="1">#REF!</definedName>
    <definedName name="SD_1x1_18x1_11_S_0" localSheetId="15" hidden="1">#REF!</definedName>
    <definedName name="SD_1x1_18x1_11_S_0" localSheetId="11" hidden="1">#REF!</definedName>
    <definedName name="SD_1x1_18x1_11_S_0" localSheetId="10" hidden="1">#REF!</definedName>
    <definedName name="SD_1x1_18x1_11_S_0" localSheetId="16" hidden="1">#REF!</definedName>
    <definedName name="SD_1x1_18x1_11_S_0" localSheetId="9" hidden="1">#REF!</definedName>
    <definedName name="SD_1x1_18x1_11_S_0" localSheetId="12" hidden="1">#REF!</definedName>
    <definedName name="SD_1x1_18x1_11_S_0" localSheetId="20" hidden="1">#REF!</definedName>
    <definedName name="SD_1x1_18x1_11_S_0" hidden="1">#REF!</definedName>
    <definedName name="SD_1x1_18x1_12_S_0" localSheetId="15" hidden="1">#REF!</definedName>
    <definedName name="SD_1x1_18x1_12_S_0" localSheetId="11" hidden="1">#REF!</definedName>
    <definedName name="SD_1x1_18x1_12_S_0" localSheetId="10" hidden="1">#REF!</definedName>
    <definedName name="SD_1x1_18x1_12_S_0" localSheetId="16" hidden="1">#REF!</definedName>
    <definedName name="SD_1x1_18x1_12_S_0" localSheetId="9" hidden="1">#REF!</definedName>
    <definedName name="SD_1x1_18x1_12_S_0" localSheetId="12" hidden="1">#REF!</definedName>
    <definedName name="SD_1x1_18x1_12_S_0" localSheetId="20" hidden="1">#REF!</definedName>
    <definedName name="SD_1x1_18x1_12_S_0" hidden="1">#REF!</definedName>
    <definedName name="SD_1x1_18x1_3_S_0" localSheetId="15" hidden="1">#REF!</definedName>
    <definedName name="SD_1x1_18x1_3_S_0" localSheetId="11" hidden="1">#REF!</definedName>
    <definedName name="SD_1x1_18x1_3_S_0" localSheetId="10" hidden="1">#REF!</definedName>
    <definedName name="SD_1x1_18x1_3_S_0" localSheetId="16" hidden="1">#REF!</definedName>
    <definedName name="SD_1x1_18x1_3_S_0" localSheetId="9" hidden="1">#REF!</definedName>
    <definedName name="SD_1x1_18x1_3_S_0" localSheetId="12" hidden="1">#REF!</definedName>
    <definedName name="SD_1x1_18x1_3_S_0" localSheetId="20" hidden="1">#REF!</definedName>
    <definedName name="SD_1x1_18x1_3_S_0" hidden="1">#REF!</definedName>
    <definedName name="SD_1x1_18x1_5_S_0" localSheetId="15" hidden="1">#REF!</definedName>
    <definedName name="SD_1x1_18x1_5_S_0" localSheetId="11" hidden="1">#REF!</definedName>
    <definedName name="SD_1x1_18x1_5_S_0" localSheetId="10" hidden="1">#REF!</definedName>
    <definedName name="SD_1x1_18x1_5_S_0" localSheetId="16" hidden="1">#REF!</definedName>
    <definedName name="SD_1x1_18x1_5_S_0" localSheetId="9" hidden="1">#REF!</definedName>
    <definedName name="SD_1x1_18x1_5_S_0" localSheetId="12" hidden="1">#REF!</definedName>
    <definedName name="SD_1x1_18x1_5_S_0" localSheetId="20" hidden="1">#REF!</definedName>
    <definedName name="SD_1x1_18x1_5_S_0" hidden="1">#REF!</definedName>
    <definedName name="SD_1x1_18x1_6_S_152" localSheetId="15" hidden="1">#REF!</definedName>
    <definedName name="SD_1x1_18x1_6_S_152" localSheetId="11" hidden="1">#REF!</definedName>
    <definedName name="SD_1x1_18x1_6_S_152" localSheetId="10" hidden="1">#REF!</definedName>
    <definedName name="SD_1x1_18x1_6_S_152" localSheetId="16" hidden="1">#REF!</definedName>
    <definedName name="SD_1x1_18x1_6_S_152" localSheetId="9" hidden="1">#REF!</definedName>
    <definedName name="SD_1x1_18x1_6_S_152" localSheetId="12" hidden="1">#REF!</definedName>
    <definedName name="SD_1x1_18x1_6_S_152" localSheetId="20" hidden="1">#REF!</definedName>
    <definedName name="SD_1x1_18x1_6_S_152" hidden="1">#REF!</definedName>
    <definedName name="SD_1x1_18x1_7_S_0" localSheetId="15" hidden="1">#REF!</definedName>
    <definedName name="SD_1x1_18x1_7_S_0" localSheetId="11" hidden="1">#REF!</definedName>
    <definedName name="SD_1x1_18x1_7_S_0" localSheetId="10" hidden="1">#REF!</definedName>
    <definedName name="SD_1x1_18x1_7_S_0" localSheetId="16" hidden="1">#REF!</definedName>
    <definedName name="SD_1x1_18x1_7_S_0" localSheetId="9" hidden="1">#REF!</definedName>
    <definedName name="SD_1x1_18x1_7_S_0" localSheetId="12" hidden="1">#REF!</definedName>
    <definedName name="SD_1x1_18x1_7_S_0" localSheetId="20" hidden="1">#REF!</definedName>
    <definedName name="SD_1x1_18x1_7_S_0" hidden="1">#REF!</definedName>
    <definedName name="SD_1x1_18x1_9_S_0" localSheetId="15" hidden="1">#REF!</definedName>
    <definedName name="SD_1x1_18x1_9_S_0" localSheetId="11" hidden="1">#REF!</definedName>
    <definedName name="SD_1x1_18x1_9_S_0" localSheetId="10" hidden="1">#REF!</definedName>
    <definedName name="SD_1x1_18x1_9_S_0" localSheetId="16" hidden="1">#REF!</definedName>
    <definedName name="SD_1x1_18x1_9_S_0" localSheetId="9" hidden="1">#REF!</definedName>
    <definedName name="SD_1x1_18x1_9_S_0" localSheetId="12" hidden="1">#REF!</definedName>
    <definedName name="SD_1x1_18x1_9_S_0" localSheetId="20" hidden="1">#REF!</definedName>
    <definedName name="SD_1x1_18x1_9_S_0" hidden="1">#REF!</definedName>
    <definedName name="SD_1x1_20x1_1_S_0" localSheetId="15" hidden="1">#REF!</definedName>
    <definedName name="SD_1x1_20x1_1_S_0" localSheetId="11" hidden="1">#REF!</definedName>
    <definedName name="SD_1x1_20x1_1_S_0" localSheetId="10" hidden="1">#REF!</definedName>
    <definedName name="SD_1x1_20x1_1_S_0" localSheetId="16" hidden="1">#REF!</definedName>
    <definedName name="SD_1x1_20x1_1_S_0" localSheetId="9" hidden="1">#REF!</definedName>
    <definedName name="SD_1x1_20x1_1_S_0" localSheetId="12" hidden="1">#REF!</definedName>
    <definedName name="SD_1x1_20x1_1_S_0" localSheetId="20" hidden="1">#REF!</definedName>
    <definedName name="SD_1x1_20x1_1_S_0" hidden="1">#REF!</definedName>
    <definedName name="SD_1x1_20x1_11_S_0" localSheetId="15" hidden="1">#REF!</definedName>
    <definedName name="SD_1x1_20x1_11_S_0" localSheetId="11" hidden="1">#REF!</definedName>
    <definedName name="SD_1x1_20x1_11_S_0" localSheetId="10" hidden="1">#REF!</definedName>
    <definedName name="SD_1x1_20x1_11_S_0" localSheetId="16" hidden="1">#REF!</definedName>
    <definedName name="SD_1x1_20x1_11_S_0" localSheetId="9" hidden="1">#REF!</definedName>
    <definedName name="SD_1x1_20x1_11_S_0" localSheetId="12" hidden="1">#REF!</definedName>
    <definedName name="SD_1x1_20x1_11_S_0" localSheetId="20" hidden="1">#REF!</definedName>
    <definedName name="SD_1x1_20x1_11_S_0" hidden="1">#REF!</definedName>
    <definedName name="SD_1x1_20x1_12_S_0" localSheetId="15" hidden="1">#REF!</definedName>
    <definedName name="SD_1x1_20x1_12_S_0" localSheetId="11" hidden="1">#REF!</definedName>
    <definedName name="SD_1x1_20x1_12_S_0" localSheetId="10" hidden="1">#REF!</definedName>
    <definedName name="SD_1x1_20x1_12_S_0" localSheetId="16" hidden="1">#REF!</definedName>
    <definedName name="SD_1x1_20x1_12_S_0" localSheetId="9" hidden="1">#REF!</definedName>
    <definedName name="SD_1x1_20x1_12_S_0" localSheetId="12" hidden="1">#REF!</definedName>
    <definedName name="SD_1x1_20x1_12_S_0" localSheetId="20" hidden="1">#REF!</definedName>
    <definedName name="SD_1x1_20x1_12_S_0" hidden="1">#REF!</definedName>
    <definedName name="SD_1x1_20x1_3_S_0" localSheetId="15" hidden="1">#REF!</definedName>
    <definedName name="SD_1x1_20x1_3_S_0" localSheetId="11" hidden="1">#REF!</definedName>
    <definedName name="SD_1x1_20x1_3_S_0" localSheetId="10" hidden="1">#REF!</definedName>
    <definedName name="SD_1x1_20x1_3_S_0" localSheetId="16" hidden="1">#REF!</definedName>
    <definedName name="SD_1x1_20x1_3_S_0" localSheetId="9" hidden="1">#REF!</definedName>
    <definedName name="SD_1x1_20x1_3_S_0" localSheetId="12" hidden="1">#REF!</definedName>
    <definedName name="SD_1x1_20x1_3_S_0" localSheetId="20" hidden="1">#REF!</definedName>
    <definedName name="SD_1x1_20x1_3_S_0" hidden="1">#REF!</definedName>
    <definedName name="SD_1x1_20x1_5_S_0" localSheetId="15" hidden="1">#REF!</definedName>
    <definedName name="SD_1x1_20x1_5_S_0" localSheetId="11" hidden="1">#REF!</definedName>
    <definedName name="SD_1x1_20x1_5_S_0" localSheetId="10" hidden="1">#REF!</definedName>
    <definedName name="SD_1x1_20x1_5_S_0" localSheetId="16" hidden="1">#REF!</definedName>
    <definedName name="SD_1x1_20x1_5_S_0" localSheetId="9" hidden="1">#REF!</definedName>
    <definedName name="SD_1x1_20x1_5_S_0" localSheetId="12" hidden="1">#REF!</definedName>
    <definedName name="SD_1x1_20x1_5_S_0" localSheetId="20" hidden="1">#REF!</definedName>
    <definedName name="SD_1x1_20x1_5_S_0" hidden="1">#REF!</definedName>
    <definedName name="SD_1x1_20x1_6_S_152" localSheetId="15" hidden="1">#REF!</definedName>
    <definedName name="SD_1x1_20x1_6_S_152" localSheetId="11" hidden="1">#REF!</definedName>
    <definedName name="SD_1x1_20x1_6_S_152" localSheetId="10" hidden="1">#REF!</definedName>
    <definedName name="SD_1x1_20x1_6_S_152" localSheetId="16" hidden="1">#REF!</definedName>
    <definedName name="SD_1x1_20x1_6_S_152" localSheetId="9" hidden="1">#REF!</definedName>
    <definedName name="SD_1x1_20x1_6_S_152" localSheetId="12" hidden="1">#REF!</definedName>
    <definedName name="SD_1x1_20x1_6_S_152" localSheetId="20" hidden="1">#REF!</definedName>
    <definedName name="SD_1x1_20x1_6_S_152" hidden="1">#REF!</definedName>
    <definedName name="SD_1x1_20x1_7_S_0" localSheetId="15" hidden="1">#REF!</definedName>
    <definedName name="SD_1x1_20x1_7_S_0" localSheetId="11" hidden="1">#REF!</definedName>
    <definedName name="SD_1x1_20x1_7_S_0" localSheetId="10" hidden="1">#REF!</definedName>
    <definedName name="SD_1x1_20x1_7_S_0" localSheetId="16" hidden="1">#REF!</definedName>
    <definedName name="SD_1x1_20x1_7_S_0" localSheetId="9" hidden="1">#REF!</definedName>
    <definedName name="SD_1x1_20x1_7_S_0" localSheetId="12" hidden="1">#REF!</definedName>
    <definedName name="SD_1x1_20x1_7_S_0" localSheetId="20" hidden="1">#REF!</definedName>
    <definedName name="SD_1x1_20x1_7_S_0" hidden="1">#REF!</definedName>
    <definedName name="SD_1x1_20x1_9_S_0" localSheetId="15" hidden="1">#REF!</definedName>
    <definedName name="SD_1x1_20x1_9_S_0" localSheetId="11" hidden="1">#REF!</definedName>
    <definedName name="SD_1x1_20x1_9_S_0" localSheetId="10" hidden="1">#REF!</definedName>
    <definedName name="SD_1x1_20x1_9_S_0" localSheetId="16" hidden="1">#REF!</definedName>
    <definedName name="SD_1x1_20x1_9_S_0" localSheetId="9" hidden="1">#REF!</definedName>
    <definedName name="SD_1x1_20x1_9_S_0" localSheetId="12" hidden="1">#REF!</definedName>
    <definedName name="SD_1x1_20x1_9_S_0" localSheetId="20" hidden="1">#REF!</definedName>
    <definedName name="SD_1x1_20x1_9_S_0" hidden="1">#REF!</definedName>
    <definedName name="SD_1x1_22x1_1_S_0" localSheetId="15" hidden="1">#REF!</definedName>
    <definedName name="SD_1x1_22x1_1_S_0" localSheetId="11" hidden="1">#REF!</definedName>
    <definedName name="SD_1x1_22x1_1_S_0" localSheetId="10" hidden="1">#REF!</definedName>
    <definedName name="SD_1x1_22x1_1_S_0" localSheetId="16" hidden="1">#REF!</definedName>
    <definedName name="SD_1x1_22x1_1_S_0" localSheetId="9" hidden="1">#REF!</definedName>
    <definedName name="SD_1x1_22x1_1_S_0" localSheetId="12" hidden="1">#REF!</definedName>
    <definedName name="SD_1x1_22x1_1_S_0" localSheetId="20" hidden="1">#REF!</definedName>
    <definedName name="SD_1x1_22x1_1_S_0" hidden="1">#REF!</definedName>
    <definedName name="SD_1x1_22x1_11_S_0" localSheetId="15" hidden="1">#REF!</definedName>
    <definedName name="SD_1x1_22x1_11_S_0" localSheetId="11" hidden="1">#REF!</definedName>
    <definedName name="SD_1x1_22x1_11_S_0" localSheetId="10" hidden="1">#REF!</definedName>
    <definedName name="SD_1x1_22x1_11_S_0" localSheetId="16" hidden="1">#REF!</definedName>
    <definedName name="SD_1x1_22x1_11_S_0" localSheetId="9" hidden="1">#REF!</definedName>
    <definedName name="SD_1x1_22x1_11_S_0" localSheetId="12" hidden="1">#REF!</definedName>
    <definedName name="SD_1x1_22x1_11_S_0" localSheetId="20" hidden="1">#REF!</definedName>
    <definedName name="SD_1x1_22x1_11_S_0" hidden="1">#REF!</definedName>
    <definedName name="SD_1x1_22x1_12_S_0" localSheetId="15" hidden="1">#REF!</definedName>
    <definedName name="SD_1x1_22x1_12_S_0" localSheetId="11" hidden="1">#REF!</definedName>
    <definedName name="SD_1x1_22x1_12_S_0" localSheetId="10" hidden="1">#REF!</definedName>
    <definedName name="SD_1x1_22x1_12_S_0" localSheetId="16" hidden="1">#REF!</definedName>
    <definedName name="SD_1x1_22x1_12_S_0" localSheetId="9" hidden="1">#REF!</definedName>
    <definedName name="SD_1x1_22x1_12_S_0" localSheetId="12" hidden="1">#REF!</definedName>
    <definedName name="SD_1x1_22x1_12_S_0" localSheetId="20" hidden="1">#REF!</definedName>
    <definedName name="SD_1x1_22x1_12_S_0" hidden="1">#REF!</definedName>
    <definedName name="SD_1x1_22x1_3_S_0" localSheetId="15" hidden="1">#REF!</definedName>
    <definedName name="SD_1x1_22x1_3_S_0" localSheetId="11" hidden="1">#REF!</definedName>
    <definedName name="SD_1x1_22x1_3_S_0" localSheetId="10" hidden="1">#REF!</definedName>
    <definedName name="SD_1x1_22x1_3_S_0" localSheetId="16" hidden="1">#REF!</definedName>
    <definedName name="SD_1x1_22x1_3_S_0" localSheetId="9" hidden="1">#REF!</definedName>
    <definedName name="SD_1x1_22x1_3_S_0" localSheetId="12" hidden="1">#REF!</definedName>
    <definedName name="SD_1x1_22x1_3_S_0" localSheetId="20" hidden="1">#REF!</definedName>
    <definedName name="SD_1x1_22x1_3_S_0" hidden="1">#REF!</definedName>
    <definedName name="SD_1x1_22x1_5_S_0" localSheetId="15" hidden="1">#REF!</definedName>
    <definedName name="SD_1x1_22x1_5_S_0" localSheetId="11" hidden="1">#REF!</definedName>
    <definedName name="SD_1x1_22x1_5_S_0" localSheetId="10" hidden="1">#REF!</definedName>
    <definedName name="SD_1x1_22x1_5_S_0" localSheetId="16" hidden="1">#REF!</definedName>
    <definedName name="SD_1x1_22x1_5_S_0" localSheetId="9" hidden="1">#REF!</definedName>
    <definedName name="SD_1x1_22x1_5_S_0" localSheetId="12" hidden="1">#REF!</definedName>
    <definedName name="SD_1x1_22x1_5_S_0" localSheetId="20" hidden="1">#REF!</definedName>
    <definedName name="SD_1x1_22x1_5_S_0" hidden="1">#REF!</definedName>
    <definedName name="SD_1x1_22x1_6_S_152" localSheetId="15" hidden="1">#REF!</definedName>
    <definedName name="SD_1x1_22x1_6_S_152" localSheetId="11" hidden="1">#REF!</definedName>
    <definedName name="SD_1x1_22x1_6_S_152" localSheetId="10" hidden="1">#REF!</definedName>
    <definedName name="SD_1x1_22x1_6_S_152" localSheetId="16" hidden="1">#REF!</definedName>
    <definedName name="SD_1x1_22x1_6_S_152" localSheetId="9" hidden="1">#REF!</definedName>
    <definedName name="SD_1x1_22x1_6_S_152" localSheetId="12" hidden="1">#REF!</definedName>
    <definedName name="SD_1x1_22x1_6_S_152" localSheetId="20" hidden="1">#REF!</definedName>
    <definedName name="SD_1x1_22x1_6_S_152" hidden="1">#REF!</definedName>
    <definedName name="SD_1x1_22x1_7_S_0" localSheetId="15" hidden="1">#REF!</definedName>
    <definedName name="SD_1x1_22x1_7_S_0" localSheetId="11" hidden="1">#REF!</definedName>
    <definedName name="SD_1x1_22x1_7_S_0" localSheetId="10" hidden="1">#REF!</definedName>
    <definedName name="SD_1x1_22x1_7_S_0" localSheetId="16" hidden="1">#REF!</definedName>
    <definedName name="SD_1x1_22x1_7_S_0" localSheetId="9" hidden="1">#REF!</definedName>
    <definedName name="SD_1x1_22x1_7_S_0" localSheetId="12" hidden="1">#REF!</definedName>
    <definedName name="SD_1x1_22x1_7_S_0" localSheetId="20" hidden="1">#REF!</definedName>
    <definedName name="SD_1x1_22x1_7_S_0" hidden="1">#REF!</definedName>
    <definedName name="SD_1x1_22x1_9_S_0" localSheetId="15" hidden="1">#REF!</definedName>
    <definedName name="SD_1x1_22x1_9_S_0" localSheetId="11" hidden="1">#REF!</definedName>
    <definedName name="SD_1x1_22x1_9_S_0" localSheetId="10" hidden="1">#REF!</definedName>
    <definedName name="SD_1x1_22x1_9_S_0" localSheetId="16" hidden="1">#REF!</definedName>
    <definedName name="SD_1x1_22x1_9_S_0" localSheetId="9" hidden="1">#REF!</definedName>
    <definedName name="SD_1x1_22x1_9_S_0" localSheetId="12" hidden="1">#REF!</definedName>
    <definedName name="SD_1x1_22x1_9_S_0" localSheetId="20" hidden="1">#REF!</definedName>
    <definedName name="SD_1x1_22x1_9_S_0" hidden="1">#REF!</definedName>
    <definedName name="SD_1x1_23x1_1_S_0" localSheetId="15" hidden="1">#REF!</definedName>
    <definedName name="SD_1x1_23x1_1_S_0" localSheetId="11" hidden="1">#REF!</definedName>
    <definedName name="SD_1x1_23x1_1_S_0" localSheetId="10" hidden="1">#REF!</definedName>
    <definedName name="SD_1x1_23x1_1_S_0" localSheetId="16" hidden="1">#REF!</definedName>
    <definedName name="SD_1x1_23x1_1_S_0" localSheetId="9" hidden="1">#REF!</definedName>
    <definedName name="SD_1x1_23x1_1_S_0" localSheetId="12" hidden="1">#REF!</definedName>
    <definedName name="SD_1x1_23x1_1_S_0" localSheetId="20" hidden="1">#REF!</definedName>
    <definedName name="SD_1x1_23x1_1_S_0" hidden="1">#REF!</definedName>
    <definedName name="SD_1x1_23x1_11_S_0" localSheetId="15" hidden="1">#REF!</definedName>
    <definedName name="SD_1x1_23x1_11_S_0" localSheetId="11" hidden="1">#REF!</definedName>
    <definedName name="SD_1x1_23x1_11_S_0" localSheetId="10" hidden="1">#REF!</definedName>
    <definedName name="SD_1x1_23x1_11_S_0" localSheetId="16" hidden="1">#REF!</definedName>
    <definedName name="SD_1x1_23x1_11_S_0" localSheetId="9" hidden="1">#REF!</definedName>
    <definedName name="SD_1x1_23x1_11_S_0" localSheetId="12" hidden="1">#REF!</definedName>
    <definedName name="SD_1x1_23x1_11_S_0" localSheetId="20" hidden="1">#REF!</definedName>
    <definedName name="SD_1x1_23x1_11_S_0" hidden="1">#REF!</definedName>
    <definedName name="SD_1x1_23x1_3_S_0" localSheetId="15" hidden="1">#REF!</definedName>
    <definedName name="SD_1x1_23x1_3_S_0" localSheetId="11" hidden="1">#REF!</definedName>
    <definedName name="SD_1x1_23x1_3_S_0" localSheetId="10" hidden="1">#REF!</definedName>
    <definedName name="SD_1x1_23x1_3_S_0" localSheetId="16" hidden="1">#REF!</definedName>
    <definedName name="SD_1x1_23x1_3_S_0" localSheetId="9" hidden="1">#REF!</definedName>
    <definedName name="SD_1x1_23x1_3_S_0" localSheetId="12" hidden="1">#REF!</definedName>
    <definedName name="SD_1x1_23x1_3_S_0" localSheetId="20" hidden="1">#REF!</definedName>
    <definedName name="SD_1x1_23x1_3_S_0" hidden="1">#REF!</definedName>
    <definedName name="SD_1x1_23x1_5_S_0" localSheetId="15" hidden="1">#REF!</definedName>
    <definedName name="SD_1x1_23x1_5_S_0" localSheetId="11" hidden="1">#REF!</definedName>
    <definedName name="SD_1x1_23x1_5_S_0" localSheetId="10" hidden="1">#REF!</definedName>
    <definedName name="SD_1x1_23x1_5_S_0" localSheetId="16" hidden="1">#REF!</definedName>
    <definedName name="SD_1x1_23x1_5_S_0" localSheetId="9" hidden="1">#REF!</definedName>
    <definedName name="SD_1x1_23x1_5_S_0" localSheetId="12" hidden="1">#REF!</definedName>
    <definedName name="SD_1x1_23x1_5_S_0" localSheetId="20" hidden="1">#REF!</definedName>
    <definedName name="SD_1x1_23x1_5_S_0" hidden="1">#REF!</definedName>
    <definedName name="SD_1x1_23x1_6_S_152" localSheetId="15" hidden="1">#REF!</definedName>
    <definedName name="SD_1x1_23x1_6_S_152" localSheetId="11" hidden="1">#REF!</definedName>
    <definedName name="SD_1x1_23x1_6_S_152" localSheetId="10" hidden="1">#REF!</definedName>
    <definedName name="SD_1x1_23x1_6_S_152" localSheetId="16" hidden="1">#REF!</definedName>
    <definedName name="SD_1x1_23x1_6_S_152" localSheetId="9" hidden="1">#REF!</definedName>
    <definedName name="SD_1x1_23x1_6_S_152" localSheetId="12" hidden="1">#REF!</definedName>
    <definedName name="SD_1x1_23x1_6_S_152" localSheetId="20" hidden="1">#REF!</definedName>
    <definedName name="SD_1x1_23x1_6_S_152" hidden="1">#REF!</definedName>
    <definedName name="SD_1x1_23x1_7_S_0" localSheetId="15" hidden="1">#REF!</definedName>
    <definedName name="SD_1x1_23x1_7_S_0" localSheetId="11" hidden="1">#REF!</definedName>
    <definedName name="SD_1x1_23x1_7_S_0" localSheetId="10" hidden="1">#REF!</definedName>
    <definedName name="SD_1x1_23x1_7_S_0" localSheetId="16" hidden="1">#REF!</definedName>
    <definedName name="SD_1x1_23x1_7_S_0" localSheetId="9" hidden="1">#REF!</definedName>
    <definedName name="SD_1x1_23x1_7_S_0" localSheetId="12" hidden="1">#REF!</definedName>
    <definedName name="SD_1x1_23x1_7_S_0" localSheetId="20" hidden="1">#REF!</definedName>
    <definedName name="SD_1x1_23x1_7_S_0" hidden="1">#REF!</definedName>
    <definedName name="SD_1x1_23x1_9_S_0" localSheetId="15" hidden="1">#REF!</definedName>
    <definedName name="SD_1x1_23x1_9_S_0" localSheetId="11" hidden="1">#REF!</definedName>
    <definedName name="SD_1x1_23x1_9_S_0" localSheetId="10" hidden="1">#REF!</definedName>
    <definedName name="SD_1x1_23x1_9_S_0" localSheetId="16" hidden="1">#REF!</definedName>
    <definedName name="SD_1x1_23x1_9_S_0" localSheetId="9" hidden="1">#REF!</definedName>
    <definedName name="SD_1x1_23x1_9_S_0" localSheetId="12" hidden="1">#REF!</definedName>
    <definedName name="SD_1x1_23x1_9_S_0" localSheetId="20" hidden="1">#REF!</definedName>
    <definedName name="SD_1x1_23x1_9_S_0" hidden="1">#REF!</definedName>
    <definedName name="SD_1x1_23x2_1_S_0" localSheetId="15" hidden="1">#REF!</definedName>
    <definedName name="SD_1x1_23x2_1_S_0" localSheetId="11" hidden="1">#REF!</definedName>
    <definedName name="SD_1x1_23x2_1_S_0" localSheetId="10" hidden="1">#REF!</definedName>
    <definedName name="SD_1x1_23x2_1_S_0" localSheetId="16" hidden="1">#REF!</definedName>
    <definedName name="SD_1x1_23x2_1_S_0" localSheetId="9" hidden="1">#REF!</definedName>
    <definedName name="SD_1x1_23x2_1_S_0" localSheetId="12" hidden="1">#REF!</definedName>
    <definedName name="SD_1x1_23x2_1_S_0" localSheetId="20" hidden="1">#REF!</definedName>
    <definedName name="SD_1x1_23x2_1_S_0" hidden="1">#REF!</definedName>
    <definedName name="SD_1x1_23x2_11_S_0" localSheetId="15" hidden="1">#REF!</definedName>
    <definedName name="SD_1x1_23x2_11_S_0" localSheetId="11" hidden="1">#REF!</definedName>
    <definedName name="SD_1x1_23x2_11_S_0" localSheetId="10" hidden="1">#REF!</definedName>
    <definedName name="SD_1x1_23x2_11_S_0" localSheetId="16" hidden="1">#REF!</definedName>
    <definedName name="SD_1x1_23x2_11_S_0" localSheetId="9" hidden="1">#REF!</definedName>
    <definedName name="SD_1x1_23x2_11_S_0" localSheetId="12" hidden="1">#REF!</definedName>
    <definedName name="SD_1x1_23x2_11_S_0" localSheetId="20" hidden="1">#REF!</definedName>
    <definedName name="SD_1x1_23x2_11_S_0" hidden="1">#REF!</definedName>
    <definedName name="SD_1x1_23x2_12_S_0" localSheetId="15" hidden="1">#REF!</definedName>
    <definedName name="SD_1x1_23x2_12_S_0" localSheetId="11" hidden="1">#REF!</definedName>
    <definedName name="SD_1x1_23x2_12_S_0" localSheetId="10" hidden="1">#REF!</definedName>
    <definedName name="SD_1x1_23x2_12_S_0" localSheetId="16" hidden="1">#REF!</definedName>
    <definedName name="SD_1x1_23x2_12_S_0" localSheetId="9" hidden="1">#REF!</definedName>
    <definedName name="SD_1x1_23x2_12_S_0" localSheetId="12" hidden="1">#REF!</definedName>
    <definedName name="SD_1x1_23x2_12_S_0" localSheetId="20" hidden="1">#REF!</definedName>
    <definedName name="SD_1x1_23x2_12_S_0" hidden="1">#REF!</definedName>
    <definedName name="SD_1x1_23x2_3_S_0" localSheetId="15" hidden="1">#REF!</definedName>
    <definedName name="SD_1x1_23x2_3_S_0" localSheetId="11" hidden="1">#REF!</definedName>
    <definedName name="SD_1x1_23x2_3_S_0" localSheetId="10" hidden="1">#REF!</definedName>
    <definedName name="SD_1x1_23x2_3_S_0" localSheetId="16" hidden="1">#REF!</definedName>
    <definedName name="SD_1x1_23x2_3_S_0" localSheetId="9" hidden="1">#REF!</definedName>
    <definedName name="SD_1x1_23x2_3_S_0" localSheetId="12" hidden="1">#REF!</definedName>
    <definedName name="SD_1x1_23x2_3_S_0" localSheetId="20" hidden="1">#REF!</definedName>
    <definedName name="SD_1x1_23x2_3_S_0" hidden="1">#REF!</definedName>
    <definedName name="SD_1x1_23x2_5_S_0" localSheetId="15" hidden="1">#REF!</definedName>
    <definedName name="SD_1x1_23x2_5_S_0" localSheetId="11" hidden="1">#REF!</definedName>
    <definedName name="SD_1x1_23x2_5_S_0" localSheetId="10" hidden="1">#REF!</definedName>
    <definedName name="SD_1x1_23x2_5_S_0" localSheetId="16" hidden="1">#REF!</definedName>
    <definedName name="SD_1x1_23x2_5_S_0" localSheetId="9" hidden="1">#REF!</definedName>
    <definedName name="SD_1x1_23x2_5_S_0" localSheetId="12" hidden="1">#REF!</definedName>
    <definedName name="SD_1x1_23x2_5_S_0" localSheetId="20" hidden="1">#REF!</definedName>
    <definedName name="SD_1x1_23x2_5_S_0" hidden="1">#REF!</definedName>
    <definedName name="SD_1x1_23x2_6_S_152" localSheetId="15" hidden="1">#REF!</definedName>
    <definedName name="SD_1x1_23x2_6_S_152" localSheetId="11" hidden="1">#REF!</definedName>
    <definedName name="SD_1x1_23x2_6_S_152" localSheetId="10" hidden="1">#REF!</definedName>
    <definedName name="SD_1x1_23x2_6_S_152" localSheetId="16" hidden="1">#REF!</definedName>
    <definedName name="SD_1x1_23x2_6_S_152" localSheetId="9" hidden="1">#REF!</definedName>
    <definedName name="SD_1x1_23x2_6_S_152" localSheetId="12" hidden="1">#REF!</definedName>
    <definedName name="SD_1x1_23x2_6_S_152" localSheetId="20" hidden="1">#REF!</definedName>
    <definedName name="SD_1x1_23x2_6_S_152" hidden="1">#REF!</definedName>
    <definedName name="SD_1x1_23x2_7_S_0" localSheetId="15" hidden="1">#REF!</definedName>
    <definedName name="SD_1x1_23x2_7_S_0" localSheetId="11" hidden="1">#REF!</definedName>
    <definedName name="SD_1x1_23x2_7_S_0" localSheetId="10" hidden="1">#REF!</definedName>
    <definedName name="SD_1x1_23x2_7_S_0" localSheetId="16" hidden="1">#REF!</definedName>
    <definedName name="SD_1x1_23x2_7_S_0" localSheetId="9" hidden="1">#REF!</definedName>
    <definedName name="SD_1x1_23x2_7_S_0" localSheetId="12" hidden="1">#REF!</definedName>
    <definedName name="SD_1x1_23x2_7_S_0" localSheetId="20" hidden="1">#REF!</definedName>
    <definedName name="SD_1x1_23x2_7_S_0" hidden="1">#REF!</definedName>
    <definedName name="SD_1x1_23x2_9_S_0" localSheetId="15" hidden="1">#REF!</definedName>
    <definedName name="SD_1x1_23x2_9_S_0" localSheetId="11" hidden="1">#REF!</definedName>
    <definedName name="SD_1x1_23x2_9_S_0" localSheetId="10" hidden="1">#REF!</definedName>
    <definedName name="SD_1x1_23x2_9_S_0" localSheetId="16" hidden="1">#REF!</definedName>
    <definedName name="SD_1x1_23x2_9_S_0" localSheetId="9" hidden="1">#REF!</definedName>
    <definedName name="SD_1x1_23x2_9_S_0" localSheetId="12" hidden="1">#REF!</definedName>
    <definedName name="SD_1x1_23x2_9_S_0" localSheetId="20" hidden="1">#REF!</definedName>
    <definedName name="SD_1x1_23x2_9_S_0" hidden="1">#REF!</definedName>
    <definedName name="SD_1x1_23x3_1_S_0" localSheetId="15" hidden="1">#REF!</definedName>
    <definedName name="SD_1x1_23x3_1_S_0" localSheetId="11" hidden="1">#REF!</definedName>
    <definedName name="SD_1x1_23x3_1_S_0" localSheetId="10" hidden="1">#REF!</definedName>
    <definedName name="SD_1x1_23x3_1_S_0" localSheetId="16" hidden="1">#REF!</definedName>
    <definedName name="SD_1x1_23x3_1_S_0" localSheetId="9" hidden="1">#REF!</definedName>
    <definedName name="SD_1x1_23x3_1_S_0" localSheetId="12" hidden="1">#REF!</definedName>
    <definedName name="SD_1x1_23x3_1_S_0" localSheetId="20" hidden="1">#REF!</definedName>
    <definedName name="SD_1x1_23x3_1_S_0" hidden="1">#REF!</definedName>
    <definedName name="SD_1x1_23x3_11_S_0" localSheetId="15" hidden="1">#REF!</definedName>
    <definedName name="SD_1x1_23x3_11_S_0" localSheetId="11" hidden="1">#REF!</definedName>
    <definedName name="SD_1x1_23x3_11_S_0" localSheetId="10" hidden="1">#REF!</definedName>
    <definedName name="SD_1x1_23x3_11_S_0" localSheetId="16" hidden="1">#REF!</definedName>
    <definedName name="SD_1x1_23x3_11_S_0" localSheetId="9" hidden="1">#REF!</definedName>
    <definedName name="SD_1x1_23x3_11_S_0" localSheetId="12" hidden="1">#REF!</definedName>
    <definedName name="SD_1x1_23x3_11_S_0" localSheetId="20" hidden="1">#REF!</definedName>
    <definedName name="SD_1x1_23x3_11_S_0" hidden="1">#REF!</definedName>
    <definedName name="SD_1x1_23x3_12_S_0" localSheetId="15" hidden="1">#REF!</definedName>
    <definedName name="SD_1x1_23x3_12_S_0" localSheetId="11" hidden="1">#REF!</definedName>
    <definedName name="SD_1x1_23x3_12_S_0" localSheetId="10" hidden="1">#REF!</definedName>
    <definedName name="SD_1x1_23x3_12_S_0" localSheetId="16" hidden="1">#REF!</definedName>
    <definedName name="SD_1x1_23x3_12_S_0" localSheetId="9" hidden="1">#REF!</definedName>
    <definedName name="SD_1x1_23x3_12_S_0" localSheetId="12" hidden="1">#REF!</definedName>
    <definedName name="SD_1x1_23x3_12_S_0" localSheetId="20" hidden="1">#REF!</definedName>
    <definedName name="SD_1x1_23x3_12_S_0" hidden="1">#REF!</definedName>
    <definedName name="SD_1x1_23x3_3_S_0" localSheetId="15" hidden="1">#REF!</definedName>
    <definedName name="SD_1x1_23x3_3_S_0" localSheetId="11" hidden="1">#REF!</definedName>
    <definedName name="SD_1x1_23x3_3_S_0" localSheetId="10" hidden="1">#REF!</definedName>
    <definedName name="SD_1x1_23x3_3_S_0" localSheetId="16" hidden="1">#REF!</definedName>
    <definedName name="SD_1x1_23x3_3_S_0" localSheetId="9" hidden="1">#REF!</definedName>
    <definedName name="SD_1x1_23x3_3_S_0" localSheetId="12" hidden="1">#REF!</definedName>
    <definedName name="SD_1x1_23x3_3_S_0" localSheetId="20" hidden="1">#REF!</definedName>
    <definedName name="SD_1x1_23x3_3_S_0" hidden="1">#REF!</definedName>
    <definedName name="SD_1x1_23x3_5_S_0" localSheetId="15" hidden="1">#REF!</definedName>
    <definedName name="SD_1x1_23x3_5_S_0" localSheetId="11" hidden="1">#REF!</definedName>
    <definedName name="SD_1x1_23x3_5_S_0" localSheetId="10" hidden="1">#REF!</definedName>
    <definedName name="SD_1x1_23x3_5_S_0" localSheetId="16" hidden="1">#REF!</definedName>
    <definedName name="SD_1x1_23x3_5_S_0" localSheetId="9" hidden="1">#REF!</definedName>
    <definedName name="SD_1x1_23x3_5_S_0" localSheetId="12" hidden="1">#REF!</definedName>
    <definedName name="SD_1x1_23x3_5_S_0" localSheetId="20" hidden="1">#REF!</definedName>
    <definedName name="SD_1x1_23x3_5_S_0" hidden="1">#REF!</definedName>
    <definedName name="SD_1x1_23x3_6_S_152" localSheetId="15" hidden="1">#REF!</definedName>
    <definedName name="SD_1x1_23x3_6_S_152" localSheetId="11" hidden="1">#REF!</definedName>
    <definedName name="SD_1x1_23x3_6_S_152" localSheetId="10" hidden="1">#REF!</definedName>
    <definedName name="SD_1x1_23x3_6_S_152" localSheetId="16" hidden="1">#REF!</definedName>
    <definedName name="SD_1x1_23x3_6_S_152" localSheetId="9" hidden="1">#REF!</definedName>
    <definedName name="SD_1x1_23x3_6_S_152" localSheetId="12" hidden="1">#REF!</definedName>
    <definedName name="SD_1x1_23x3_6_S_152" localSheetId="20" hidden="1">#REF!</definedName>
    <definedName name="SD_1x1_23x3_6_S_152" hidden="1">#REF!</definedName>
    <definedName name="SD_1x1_23x3_7_S_0" localSheetId="15" hidden="1">#REF!</definedName>
    <definedName name="SD_1x1_23x3_7_S_0" localSheetId="11" hidden="1">#REF!</definedName>
    <definedName name="SD_1x1_23x3_7_S_0" localSheetId="10" hidden="1">#REF!</definedName>
    <definedName name="SD_1x1_23x3_7_S_0" localSheetId="16" hidden="1">#REF!</definedName>
    <definedName name="SD_1x1_23x3_7_S_0" localSheetId="9" hidden="1">#REF!</definedName>
    <definedName name="SD_1x1_23x3_7_S_0" localSheetId="12" hidden="1">#REF!</definedName>
    <definedName name="SD_1x1_23x3_7_S_0" localSheetId="20" hidden="1">#REF!</definedName>
    <definedName name="SD_1x1_23x3_7_S_0" hidden="1">#REF!</definedName>
    <definedName name="SD_1x1_23x3_9_S_0" localSheetId="15" hidden="1">#REF!</definedName>
    <definedName name="SD_1x1_23x3_9_S_0" localSheetId="11" hidden="1">#REF!</definedName>
    <definedName name="SD_1x1_23x3_9_S_0" localSheetId="10" hidden="1">#REF!</definedName>
    <definedName name="SD_1x1_23x3_9_S_0" localSheetId="16" hidden="1">#REF!</definedName>
    <definedName name="SD_1x1_23x3_9_S_0" localSheetId="9" hidden="1">#REF!</definedName>
    <definedName name="SD_1x1_23x3_9_S_0" localSheetId="12" hidden="1">#REF!</definedName>
    <definedName name="SD_1x1_23x3_9_S_0" localSheetId="20" hidden="1">#REF!</definedName>
    <definedName name="SD_1x1_23x3_9_S_0" hidden="1">#REF!</definedName>
    <definedName name="SD_1x1_28_S_0" hidden="1">#REF!</definedName>
    <definedName name="SD_1x1_29x1_1_S_0" localSheetId="15" hidden="1">#REF!</definedName>
    <definedName name="SD_1x1_29x1_1_S_0" localSheetId="11" hidden="1">#REF!</definedName>
    <definedName name="SD_1x1_29x1_1_S_0" localSheetId="10" hidden="1">#REF!</definedName>
    <definedName name="SD_1x1_29x1_1_S_0" localSheetId="16" hidden="1">#REF!</definedName>
    <definedName name="SD_1x1_29x1_1_S_0" localSheetId="9" hidden="1">#REF!</definedName>
    <definedName name="SD_1x1_29x1_1_S_0" localSheetId="12" hidden="1">#REF!</definedName>
    <definedName name="SD_1x1_29x1_1_S_0" localSheetId="20" hidden="1">#REF!</definedName>
    <definedName name="SD_1x1_29x1_1_S_0" hidden="1">#REF!</definedName>
    <definedName name="SD_1x1_29x1_11_S_0" localSheetId="15" hidden="1">#REF!</definedName>
    <definedName name="SD_1x1_29x1_11_S_0" localSheetId="11" hidden="1">#REF!</definedName>
    <definedName name="SD_1x1_29x1_11_S_0" localSheetId="10" hidden="1">#REF!</definedName>
    <definedName name="SD_1x1_29x1_11_S_0" localSheetId="16" hidden="1">#REF!</definedName>
    <definedName name="SD_1x1_29x1_11_S_0" localSheetId="9" hidden="1">#REF!</definedName>
    <definedName name="SD_1x1_29x1_11_S_0" localSheetId="12" hidden="1">#REF!</definedName>
    <definedName name="SD_1x1_29x1_11_S_0" localSheetId="20" hidden="1">#REF!</definedName>
    <definedName name="SD_1x1_29x1_11_S_0" hidden="1">#REF!</definedName>
    <definedName name="SD_1x1_29x1_12_S_0" localSheetId="15" hidden="1">#REF!</definedName>
    <definedName name="SD_1x1_29x1_12_S_0" localSheetId="11" hidden="1">#REF!</definedName>
    <definedName name="SD_1x1_29x1_12_S_0" localSheetId="10" hidden="1">#REF!</definedName>
    <definedName name="SD_1x1_29x1_12_S_0" localSheetId="16" hidden="1">#REF!</definedName>
    <definedName name="SD_1x1_29x1_12_S_0" localSheetId="9" hidden="1">#REF!</definedName>
    <definedName name="SD_1x1_29x1_12_S_0" localSheetId="12" hidden="1">#REF!</definedName>
    <definedName name="SD_1x1_29x1_12_S_0" localSheetId="20" hidden="1">#REF!</definedName>
    <definedName name="SD_1x1_29x1_12_S_0" hidden="1">#REF!</definedName>
    <definedName name="SD_1x1_29x1_3_S_0" localSheetId="15" hidden="1">#REF!</definedName>
    <definedName name="SD_1x1_29x1_3_S_0" localSheetId="11" hidden="1">#REF!</definedName>
    <definedName name="SD_1x1_29x1_3_S_0" localSheetId="10" hidden="1">#REF!</definedName>
    <definedName name="SD_1x1_29x1_3_S_0" localSheetId="16" hidden="1">#REF!</definedName>
    <definedName name="SD_1x1_29x1_3_S_0" localSheetId="9" hidden="1">#REF!</definedName>
    <definedName name="SD_1x1_29x1_3_S_0" localSheetId="12" hidden="1">#REF!</definedName>
    <definedName name="SD_1x1_29x1_3_S_0" localSheetId="20" hidden="1">#REF!</definedName>
    <definedName name="SD_1x1_29x1_3_S_0" hidden="1">#REF!</definedName>
    <definedName name="SD_1x1_29x1_5_S_0" localSheetId="15" hidden="1">#REF!</definedName>
    <definedName name="SD_1x1_29x1_5_S_0" localSheetId="11" hidden="1">#REF!</definedName>
    <definedName name="SD_1x1_29x1_5_S_0" localSheetId="10" hidden="1">#REF!</definedName>
    <definedName name="SD_1x1_29x1_5_S_0" localSheetId="16" hidden="1">#REF!</definedName>
    <definedName name="SD_1x1_29x1_5_S_0" localSheetId="9" hidden="1">#REF!</definedName>
    <definedName name="SD_1x1_29x1_5_S_0" localSheetId="12" hidden="1">#REF!</definedName>
    <definedName name="SD_1x1_29x1_5_S_0" localSheetId="20" hidden="1">#REF!</definedName>
    <definedName name="SD_1x1_29x1_5_S_0" hidden="1">#REF!</definedName>
    <definedName name="SD_1x1_29x1_6_S_152" localSheetId="15" hidden="1">#REF!</definedName>
    <definedName name="SD_1x1_29x1_6_S_152" localSheetId="11" hidden="1">#REF!</definedName>
    <definedName name="SD_1x1_29x1_6_S_152" localSheetId="10" hidden="1">#REF!</definedName>
    <definedName name="SD_1x1_29x1_6_S_152" localSheetId="16" hidden="1">#REF!</definedName>
    <definedName name="SD_1x1_29x1_6_S_152" localSheetId="9" hidden="1">#REF!</definedName>
    <definedName name="SD_1x1_29x1_6_S_152" localSheetId="12" hidden="1">#REF!</definedName>
    <definedName name="SD_1x1_29x1_6_S_152" localSheetId="20" hidden="1">#REF!</definedName>
    <definedName name="SD_1x1_29x1_6_S_152" hidden="1">#REF!</definedName>
    <definedName name="SD_1x1_29x1_7_S_0" localSheetId="15" hidden="1">#REF!</definedName>
    <definedName name="SD_1x1_29x1_7_S_0" localSheetId="11" hidden="1">#REF!</definedName>
    <definedName name="SD_1x1_29x1_7_S_0" localSheetId="10" hidden="1">#REF!</definedName>
    <definedName name="SD_1x1_29x1_7_S_0" localSheetId="16" hidden="1">#REF!</definedName>
    <definedName name="SD_1x1_29x1_7_S_0" localSheetId="9" hidden="1">#REF!</definedName>
    <definedName name="SD_1x1_29x1_7_S_0" localSheetId="12" hidden="1">#REF!</definedName>
    <definedName name="SD_1x1_29x1_7_S_0" localSheetId="20" hidden="1">#REF!</definedName>
    <definedName name="SD_1x1_29x1_7_S_0" hidden="1">#REF!</definedName>
    <definedName name="SD_1x1_29x1_9_S_0" localSheetId="15" hidden="1">#REF!</definedName>
    <definedName name="SD_1x1_29x1_9_S_0" localSheetId="11" hidden="1">#REF!</definedName>
    <definedName name="SD_1x1_29x1_9_S_0" localSheetId="10" hidden="1">#REF!</definedName>
    <definedName name="SD_1x1_29x1_9_S_0" localSheetId="16" hidden="1">#REF!</definedName>
    <definedName name="SD_1x1_29x1_9_S_0" localSheetId="9" hidden="1">#REF!</definedName>
    <definedName name="SD_1x1_29x1_9_S_0" localSheetId="12" hidden="1">#REF!</definedName>
    <definedName name="SD_1x1_29x1_9_S_0" localSheetId="20" hidden="1">#REF!</definedName>
    <definedName name="SD_1x1_29x1_9_S_0" hidden="1">#REF!</definedName>
    <definedName name="SD_1x1_3_S_0" hidden="1">#REF!</definedName>
    <definedName name="SD_1x1_34_S_0" localSheetId="15" hidden="1">#REF!</definedName>
    <definedName name="SD_1x1_34_S_0" localSheetId="11" hidden="1">#REF!</definedName>
    <definedName name="SD_1x1_34_S_0" localSheetId="10" hidden="1">#REF!</definedName>
    <definedName name="SD_1x1_34_S_0" localSheetId="16" hidden="1">#REF!</definedName>
    <definedName name="SD_1x1_34_S_0" localSheetId="9" hidden="1">#REF!</definedName>
    <definedName name="SD_1x1_34_S_0" localSheetId="12" hidden="1">#REF!</definedName>
    <definedName name="SD_1x1_34_S_0" localSheetId="20" hidden="1">#REF!</definedName>
    <definedName name="SD_1x1_34_S_0" hidden="1">#REF!</definedName>
    <definedName name="SD_1x1_46x1_1_S_0" localSheetId="15" hidden="1">#REF!</definedName>
    <definedName name="SD_1x1_46x1_1_S_0" localSheetId="11" hidden="1">#REF!</definedName>
    <definedName name="SD_1x1_46x1_1_S_0" localSheetId="10" hidden="1">#REF!</definedName>
    <definedName name="SD_1x1_46x1_1_S_0" localSheetId="16" hidden="1">#REF!</definedName>
    <definedName name="SD_1x1_46x1_1_S_0" localSheetId="9" hidden="1">#REF!</definedName>
    <definedName name="SD_1x1_46x1_1_S_0" localSheetId="12" hidden="1">#REF!</definedName>
    <definedName name="SD_1x1_46x1_1_S_0" localSheetId="20" hidden="1">#REF!</definedName>
    <definedName name="SD_1x1_46x1_1_S_0" hidden="1">#REF!</definedName>
    <definedName name="SD_1x1_46x1_11_S_0" localSheetId="15" hidden="1">#REF!</definedName>
    <definedName name="SD_1x1_46x1_11_S_0" localSheetId="11" hidden="1">#REF!</definedName>
    <definedName name="SD_1x1_46x1_11_S_0" localSheetId="10" hidden="1">#REF!</definedName>
    <definedName name="SD_1x1_46x1_11_S_0" localSheetId="16" hidden="1">#REF!</definedName>
    <definedName name="SD_1x1_46x1_11_S_0" localSheetId="9" hidden="1">#REF!</definedName>
    <definedName name="SD_1x1_46x1_11_S_0" localSheetId="12" hidden="1">#REF!</definedName>
    <definedName name="SD_1x1_46x1_11_S_0" localSheetId="20" hidden="1">#REF!</definedName>
    <definedName name="SD_1x1_46x1_11_S_0" hidden="1">#REF!</definedName>
    <definedName name="SD_1x1_46x1_12_S_0" localSheetId="15" hidden="1">#REF!</definedName>
    <definedName name="SD_1x1_46x1_12_S_0" localSheetId="11" hidden="1">#REF!</definedName>
    <definedName name="SD_1x1_46x1_12_S_0" localSheetId="10" hidden="1">#REF!</definedName>
    <definedName name="SD_1x1_46x1_12_S_0" localSheetId="16" hidden="1">#REF!</definedName>
    <definedName name="SD_1x1_46x1_12_S_0" localSheetId="9" hidden="1">#REF!</definedName>
    <definedName name="SD_1x1_46x1_12_S_0" localSheetId="12" hidden="1">#REF!</definedName>
    <definedName name="SD_1x1_46x1_12_S_0" localSheetId="20" hidden="1">#REF!</definedName>
    <definedName name="SD_1x1_46x1_12_S_0" hidden="1">#REF!</definedName>
    <definedName name="SD_1x1_46x1_3_S_0" localSheetId="15" hidden="1">#REF!</definedName>
    <definedName name="SD_1x1_46x1_3_S_0" localSheetId="11" hidden="1">#REF!</definedName>
    <definedName name="SD_1x1_46x1_3_S_0" localSheetId="10" hidden="1">#REF!</definedName>
    <definedName name="SD_1x1_46x1_3_S_0" localSheetId="16" hidden="1">#REF!</definedName>
    <definedName name="SD_1x1_46x1_3_S_0" localSheetId="9" hidden="1">#REF!</definedName>
    <definedName name="SD_1x1_46x1_3_S_0" localSheetId="12" hidden="1">#REF!</definedName>
    <definedName name="SD_1x1_46x1_3_S_0" localSheetId="20" hidden="1">#REF!</definedName>
    <definedName name="SD_1x1_46x1_3_S_0" hidden="1">#REF!</definedName>
    <definedName name="SD_1x1_46x1_5_S_0" localSheetId="15" hidden="1">#REF!</definedName>
    <definedName name="SD_1x1_46x1_5_S_0" localSheetId="11" hidden="1">#REF!</definedName>
    <definedName name="SD_1x1_46x1_5_S_0" localSheetId="10" hidden="1">#REF!</definedName>
    <definedName name="SD_1x1_46x1_5_S_0" localSheetId="16" hidden="1">#REF!</definedName>
    <definedName name="SD_1x1_46x1_5_S_0" localSheetId="9" hidden="1">#REF!</definedName>
    <definedName name="SD_1x1_46x1_5_S_0" localSheetId="12" hidden="1">#REF!</definedName>
    <definedName name="SD_1x1_46x1_5_S_0" localSheetId="20" hidden="1">#REF!</definedName>
    <definedName name="SD_1x1_46x1_5_S_0" hidden="1">#REF!</definedName>
    <definedName name="SD_1x1_46x1_6_S_152" localSheetId="15" hidden="1">#REF!</definedName>
    <definedName name="SD_1x1_46x1_6_S_152" localSheetId="11" hidden="1">#REF!</definedName>
    <definedName name="SD_1x1_46x1_6_S_152" localSheetId="10" hidden="1">#REF!</definedName>
    <definedName name="SD_1x1_46x1_6_S_152" localSheetId="16" hidden="1">#REF!</definedName>
    <definedName name="SD_1x1_46x1_6_S_152" localSheetId="9" hidden="1">#REF!</definedName>
    <definedName name="SD_1x1_46x1_6_S_152" localSheetId="12" hidden="1">#REF!</definedName>
    <definedName name="SD_1x1_46x1_6_S_152" localSheetId="20" hidden="1">#REF!</definedName>
    <definedName name="SD_1x1_46x1_6_S_152" hidden="1">#REF!</definedName>
    <definedName name="SD_1x1_46x1_7_S_0" localSheetId="15" hidden="1">#REF!</definedName>
    <definedName name="SD_1x1_46x1_7_S_0" localSheetId="11" hidden="1">#REF!</definedName>
    <definedName name="SD_1x1_46x1_7_S_0" localSheetId="10" hidden="1">#REF!</definedName>
    <definedName name="SD_1x1_46x1_7_S_0" localSheetId="16" hidden="1">#REF!</definedName>
    <definedName name="SD_1x1_46x1_7_S_0" localSheetId="9" hidden="1">#REF!</definedName>
    <definedName name="SD_1x1_46x1_7_S_0" localSheetId="12" hidden="1">#REF!</definedName>
    <definedName name="SD_1x1_46x1_7_S_0" localSheetId="20" hidden="1">#REF!</definedName>
    <definedName name="SD_1x1_46x1_7_S_0" hidden="1">#REF!</definedName>
    <definedName name="SD_1x1_46x1_9_S_0" localSheetId="15" hidden="1">#REF!</definedName>
    <definedName name="SD_1x1_46x1_9_S_0" localSheetId="11" hidden="1">#REF!</definedName>
    <definedName name="SD_1x1_46x1_9_S_0" localSheetId="10" hidden="1">#REF!</definedName>
    <definedName name="SD_1x1_46x1_9_S_0" localSheetId="16" hidden="1">#REF!</definedName>
    <definedName name="SD_1x1_46x1_9_S_0" localSheetId="9" hidden="1">#REF!</definedName>
    <definedName name="SD_1x1_46x1_9_S_0" localSheetId="12" hidden="1">#REF!</definedName>
    <definedName name="SD_1x1_46x1_9_S_0" localSheetId="20" hidden="1">#REF!</definedName>
    <definedName name="SD_1x1_46x1_9_S_0" hidden="1">#REF!</definedName>
    <definedName name="SD_1x1_63x1_1_S_0" localSheetId="15" hidden="1">#REF!</definedName>
    <definedName name="SD_1x1_63x1_1_S_0" localSheetId="11" hidden="1">#REF!</definedName>
    <definedName name="SD_1x1_63x1_1_S_0" localSheetId="10" hidden="1">#REF!</definedName>
    <definedName name="SD_1x1_63x1_1_S_0" localSheetId="16" hidden="1">#REF!</definedName>
    <definedName name="SD_1x1_63x1_1_S_0" localSheetId="9" hidden="1">#REF!</definedName>
    <definedName name="SD_1x1_63x1_1_S_0" localSheetId="12" hidden="1">#REF!</definedName>
    <definedName name="SD_1x1_63x1_1_S_0" localSheetId="20" hidden="1">#REF!</definedName>
    <definedName name="SD_1x1_63x1_1_S_0" hidden="1">#REF!</definedName>
    <definedName name="SD_1x1_63x1_11_S_0" localSheetId="15" hidden="1">#REF!</definedName>
    <definedName name="SD_1x1_63x1_11_S_0" localSheetId="11" hidden="1">#REF!</definedName>
    <definedName name="SD_1x1_63x1_11_S_0" localSheetId="10" hidden="1">#REF!</definedName>
    <definedName name="SD_1x1_63x1_11_S_0" localSheetId="16" hidden="1">#REF!</definedName>
    <definedName name="SD_1x1_63x1_11_S_0" localSheetId="9" hidden="1">#REF!</definedName>
    <definedName name="SD_1x1_63x1_11_S_0" localSheetId="12" hidden="1">#REF!</definedName>
    <definedName name="SD_1x1_63x1_11_S_0" localSheetId="20" hidden="1">#REF!</definedName>
    <definedName name="SD_1x1_63x1_11_S_0" hidden="1">#REF!</definedName>
    <definedName name="SD_1x1_63x1_12_S_0" localSheetId="15" hidden="1">#REF!</definedName>
    <definedName name="SD_1x1_63x1_12_S_0" localSheetId="11" hidden="1">#REF!</definedName>
    <definedName name="SD_1x1_63x1_12_S_0" localSheetId="10" hidden="1">#REF!</definedName>
    <definedName name="SD_1x1_63x1_12_S_0" localSheetId="16" hidden="1">#REF!</definedName>
    <definedName name="SD_1x1_63x1_12_S_0" localSheetId="9" hidden="1">#REF!</definedName>
    <definedName name="SD_1x1_63x1_12_S_0" localSheetId="12" hidden="1">#REF!</definedName>
    <definedName name="SD_1x1_63x1_12_S_0" localSheetId="20" hidden="1">#REF!</definedName>
    <definedName name="SD_1x1_63x1_12_S_0" hidden="1">#REF!</definedName>
    <definedName name="SD_1x1_63x1_3_S_0" localSheetId="15" hidden="1">#REF!</definedName>
    <definedName name="SD_1x1_63x1_3_S_0" localSheetId="11" hidden="1">#REF!</definedName>
    <definedName name="SD_1x1_63x1_3_S_0" localSheetId="10" hidden="1">#REF!</definedName>
    <definedName name="SD_1x1_63x1_3_S_0" localSheetId="16" hidden="1">#REF!</definedName>
    <definedName name="SD_1x1_63x1_3_S_0" localSheetId="9" hidden="1">#REF!</definedName>
    <definedName name="SD_1x1_63x1_3_S_0" localSheetId="12" hidden="1">#REF!</definedName>
    <definedName name="SD_1x1_63x1_3_S_0" localSheetId="20" hidden="1">#REF!</definedName>
    <definedName name="SD_1x1_63x1_3_S_0" hidden="1">#REF!</definedName>
    <definedName name="SD_1x1_63x1_5_S_0" localSheetId="15" hidden="1">#REF!</definedName>
    <definedName name="SD_1x1_63x1_5_S_0" localSheetId="11" hidden="1">#REF!</definedName>
    <definedName name="SD_1x1_63x1_5_S_0" localSheetId="10" hidden="1">#REF!</definedName>
    <definedName name="SD_1x1_63x1_5_S_0" localSheetId="16" hidden="1">#REF!</definedName>
    <definedName name="SD_1x1_63x1_5_S_0" localSheetId="9" hidden="1">#REF!</definedName>
    <definedName name="SD_1x1_63x1_5_S_0" localSheetId="12" hidden="1">#REF!</definedName>
    <definedName name="SD_1x1_63x1_5_S_0" localSheetId="20" hidden="1">#REF!</definedName>
    <definedName name="SD_1x1_63x1_5_S_0" hidden="1">#REF!</definedName>
    <definedName name="SD_1x1_63x1_6_S_152" localSheetId="15" hidden="1">#REF!</definedName>
    <definedName name="SD_1x1_63x1_6_S_152" localSheetId="11" hidden="1">#REF!</definedName>
    <definedName name="SD_1x1_63x1_6_S_152" localSheetId="10" hidden="1">#REF!</definedName>
    <definedName name="SD_1x1_63x1_6_S_152" localSheetId="16" hidden="1">#REF!</definedName>
    <definedName name="SD_1x1_63x1_6_S_152" localSheetId="9" hidden="1">#REF!</definedName>
    <definedName name="SD_1x1_63x1_6_S_152" localSheetId="12" hidden="1">#REF!</definedName>
    <definedName name="SD_1x1_63x1_6_S_152" localSheetId="20" hidden="1">#REF!</definedName>
    <definedName name="SD_1x1_63x1_6_S_152" hidden="1">#REF!</definedName>
    <definedName name="SD_1x1_63x1_7_S_0" localSheetId="15" hidden="1">#REF!</definedName>
    <definedName name="SD_1x1_63x1_7_S_0" localSheetId="11" hidden="1">#REF!</definedName>
    <definedName name="SD_1x1_63x1_7_S_0" localSheetId="10" hidden="1">#REF!</definedName>
    <definedName name="SD_1x1_63x1_7_S_0" localSheetId="16" hidden="1">#REF!</definedName>
    <definedName name="SD_1x1_63x1_7_S_0" localSheetId="9" hidden="1">#REF!</definedName>
    <definedName name="SD_1x1_63x1_7_S_0" localSheetId="12" hidden="1">#REF!</definedName>
    <definedName name="SD_1x1_63x1_7_S_0" localSheetId="20" hidden="1">#REF!</definedName>
    <definedName name="SD_1x1_63x1_7_S_0" hidden="1">#REF!</definedName>
    <definedName name="SD_1x1_63x1_9_S_0" localSheetId="15" hidden="1">#REF!</definedName>
    <definedName name="SD_1x1_63x1_9_S_0" localSheetId="11" hidden="1">#REF!</definedName>
    <definedName name="SD_1x1_63x1_9_S_0" localSheetId="10" hidden="1">#REF!</definedName>
    <definedName name="SD_1x1_63x1_9_S_0" localSheetId="16" hidden="1">#REF!</definedName>
    <definedName name="SD_1x1_63x1_9_S_0" localSheetId="9" hidden="1">#REF!</definedName>
    <definedName name="SD_1x1_63x1_9_S_0" localSheetId="12" hidden="1">#REF!</definedName>
    <definedName name="SD_1x1_63x1_9_S_0" localSheetId="20" hidden="1">#REF!</definedName>
    <definedName name="SD_1x1_63x1_9_S_0" hidden="1">#REF!</definedName>
    <definedName name="SD_1x1_64x1_1_S_0" localSheetId="15" hidden="1">#REF!</definedName>
    <definedName name="SD_1x1_64x1_1_S_0" localSheetId="11" hidden="1">#REF!</definedName>
    <definedName name="SD_1x1_64x1_1_S_0" localSheetId="10" hidden="1">#REF!</definedName>
    <definedName name="SD_1x1_64x1_1_S_0" localSheetId="16" hidden="1">#REF!</definedName>
    <definedName name="SD_1x1_64x1_1_S_0" localSheetId="9" hidden="1">#REF!</definedName>
    <definedName name="SD_1x1_64x1_1_S_0" localSheetId="12" hidden="1">#REF!</definedName>
    <definedName name="SD_1x1_64x1_1_S_0" localSheetId="20" hidden="1">#REF!</definedName>
    <definedName name="SD_1x1_64x1_1_S_0" hidden="1">#REF!</definedName>
    <definedName name="SD_1x1_64x1_11_S_0" localSheetId="15" hidden="1">#REF!</definedName>
    <definedName name="SD_1x1_64x1_11_S_0" localSheetId="11" hidden="1">#REF!</definedName>
    <definedName name="SD_1x1_64x1_11_S_0" localSheetId="10" hidden="1">#REF!</definedName>
    <definedName name="SD_1x1_64x1_11_S_0" localSheetId="16" hidden="1">#REF!</definedName>
    <definedName name="SD_1x1_64x1_11_S_0" localSheetId="9" hidden="1">#REF!</definedName>
    <definedName name="SD_1x1_64x1_11_S_0" localSheetId="12" hidden="1">#REF!</definedName>
    <definedName name="SD_1x1_64x1_11_S_0" localSheetId="20" hidden="1">#REF!</definedName>
    <definedName name="SD_1x1_64x1_11_S_0" hidden="1">#REF!</definedName>
    <definedName name="SD_1x1_64x1_12_S_0" localSheetId="15" hidden="1">#REF!</definedName>
    <definedName name="SD_1x1_64x1_12_S_0" localSheetId="11" hidden="1">#REF!</definedName>
    <definedName name="SD_1x1_64x1_12_S_0" localSheetId="10" hidden="1">#REF!</definedName>
    <definedName name="SD_1x1_64x1_12_S_0" localSheetId="16" hidden="1">#REF!</definedName>
    <definedName name="SD_1x1_64x1_12_S_0" localSheetId="9" hidden="1">#REF!</definedName>
    <definedName name="SD_1x1_64x1_12_S_0" localSheetId="12" hidden="1">#REF!</definedName>
    <definedName name="SD_1x1_64x1_12_S_0" localSheetId="20" hidden="1">#REF!</definedName>
    <definedName name="SD_1x1_64x1_12_S_0" hidden="1">#REF!</definedName>
    <definedName name="SD_1x1_64x1_3_S_0" localSheetId="15" hidden="1">#REF!</definedName>
    <definedName name="SD_1x1_64x1_3_S_0" localSheetId="11" hidden="1">#REF!</definedName>
    <definedName name="SD_1x1_64x1_3_S_0" localSheetId="10" hidden="1">#REF!</definedName>
    <definedName name="SD_1x1_64x1_3_S_0" localSheetId="16" hidden="1">#REF!</definedName>
    <definedName name="SD_1x1_64x1_3_S_0" localSheetId="9" hidden="1">#REF!</definedName>
    <definedName name="SD_1x1_64x1_3_S_0" localSheetId="12" hidden="1">#REF!</definedName>
    <definedName name="SD_1x1_64x1_3_S_0" localSheetId="20" hidden="1">#REF!</definedName>
    <definedName name="SD_1x1_64x1_3_S_0" hidden="1">#REF!</definedName>
    <definedName name="SD_1x1_64x1_5_S_0" localSheetId="15" hidden="1">#REF!</definedName>
    <definedName name="SD_1x1_64x1_5_S_0" localSheetId="11" hidden="1">#REF!</definedName>
    <definedName name="SD_1x1_64x1_5_S_0" localSheetId="10" hidden="1">#REF!</definedName>
    <definedName name="SD_1x1_64x1_5_S_0" localSheetId="16" hidden="1">#REF!</definedName>
    <definedName name="SD_1x1_64x1_5_S_0" localSheetId="9" hidden="1">#REF!</definedName>
    <definedName name="SD_1x1_64x1_5_S_0" localSheetId="12" hidden="1">#REF!</definedName>
    <definedName name="SD_1x1_64x1_5_S_0" localSheetId="20" hidden="1">#REF!</definedName>
    <definedName name="SD_1x1_64x1_5_S_0" hidden="1">#REF!</definedName>
    <definedName name="SD_1x1_64x1_6_S_152" localSheetId="15" hidden="1">#REF!</definedName>
    <definedName name="SD_1x1_64x1_6_S_152" localSheetId="11" hidden="1">#REF!</definedName>
    <definedName name="SD_1x1_64x1_6_S_152" localSheetId="10" hidden="1">#REF!</definedName>
    <definedName name="SD_1x1_64x1_6_S_152" localSheetId="16" hidden="1">#REF!</definedName>
    <definedName name="SD_1x1_64x1_6_S_152" localSheetId="9" hidden="1">#REF!</definedName>
    <definedName name="SD_1x1_64x1_6_S_152" localSheetId="12" hidden="1">#REF!</definedName>
    <definedName name="SD_1x1_64x1_6_S_152" localSheetId="20" hidden="1">#REF!</definedName>
    <definedName name="SD_1x1_64x1_6_S_152" hidden="1">#REF!</definedName>
    <definedName name="SD_1x1_64x1_7_S_0" localSheetId="15" hidden="1">#REF!</definedName>
    <definedName name="SD_1x1_64x1_7_S_0" localSheetId="11" hidden="1">#REF!</definedName>
    <definedName name="SD_1x1_64x1_7_S_0" localSheetId="10" hidden="1">#REF!</definedName>
    <definedName name="SD_1x1_64x1_7_S_0" localSheetId="16" hidden="1">#REF!</definedName>
    <definedName name="SD_1x1_64x1_7_S_0" localSheetId="9" hidden="1">#REF!</definedName>
    <definedName name="SD_1x1_64x1_7_S_0" localSheetId="12" hidden="1">#REF!</definedName>
    <definedName name="SD_1x1_64x1_7_S_0" localSheetId="20" hidden="1">#REF!</definedName>
    <definedName name="SD_1x1_64x1_7_S_0" hidden="1">#REF!</definedName>
    <definedName name="SD_1x1_64x1_9_S_0" localSheetId="15" hidden="1">#REF!</definedName>
    <definedName name="SD_1x1_64x1_9_S_0" localSheetId="11" hidden="1">#REF!</definedName>
    <definedName name="SD_1x1_64x1_9_S_0" localSheetId="10" hidden="1">#REF!</definedName>
    <definedName name="SD_1x1_64x1_9_S_0" localSheetId="16" hidden="1">#REF!</definedName>
    <definedName name="SD_1x1_64x1_9_S_0" localSheetId="9" hidden="1">#REF!</definedName>
    <definedName name="SD_1x1_64x1_9_S_0" localSheetId="12" hidden="1">#REF!</definedName>
    <definedName name="SD_1x1_64x1_9_S_0" localSheetId="20" hidden="1">#REF!</definedName>
    <definedName name="SD_1x1_64x1_9_S_0" hidden="1">#REF!</definedName>
    <definedName name="SD_1x1_79x1_1_S_0" localSheetId="15" hidden="1">#REF!</definedName>
    <definedName name="SD_1x1_79x1_1_S_0" localSheetId="11" hidden="1">#REF!</definedName>
    <definedName name="SD_1x1_79x1_1_S_0" localSheetId="10" hidden="1">#REF!</definedName>
    <definedName name="SD_1x1_79x1_1_S_0" localSheetId="16" hidden="1">#REF!</definedName>
    <definedName name="SD_1x1_79x1_1_S_0" localSheetId="9" hidden="1">#REF!</definedName>
    <definedName name="SD_1x1_79x1_1_S_0" localSheetId="12" hidden="1">#REF!</definedName>
    <definedName name="SD_1x1_79x1_1_S_0" localSheetId="20" hidden="1">#REF!</definedName>
    <definedName name="SD_1x1_79x1_1_S_0" hidden="1">#REF!</definedName>
    <definedName name="SD_1x1_79x1_11_S_0" localSheetId="15" hidden="1">#REF!</definedName>
    <definedName name="SD_1x1_79x1_11_S_0" localSheetId="11" hidden="1">#REF!</definedName>
    <definedName name="SD_1x1_79x1_11_S_0" localSheetId="10" hidden="1">#REF!</definedName>
    <definedName name="SD_1x1_79x1_11_S_0" localSheetId="16" hidden="1">#REF!</definedName>
    <definedName name="SD_1x1_79x1_11_S_0" localSheetId="9" hidden="1">#REF!</definedName>
    <definedName name="SD_1x1_79x1_11_S_0" localSheetId="12" hidden="1">#REF!</definedName>
    <definedName name="SD_1x1_79x1_11_S_0" localSheetId="20" hidden="1">#REF!</definedName>
    <definedName name="SD_1x1_79x1_11_S_0" hidden="1">#REF!</definedName>
    <definedName name="SD_1x1_79x1_12_S_0" localSheetId="15" hidden="1">#REF!</definedName>
    <definedName name="SD_1x1_79x1_12_S_0" localSheetId="11" hidden="1">#REF!</definedName>
    <definedName name="SD_1x1_79x1_12_S_0" localSheetId="10" hidden="1">#REF!</definedName>
    <definedName name="SD_1x1_79x1_12_S_0" localSheetId="16" hidden="1">#REF!</definedName>
    <definedName name="SD_1x1_79x1_12_S_0" localSheetId="9" hidden="1">#REF!</definedName>
    <definedName name="SD_1x1_79x1_12_S_0" localSheetId="12" hidden="1">#REF!</definedName>
    <definedName name="SD_1x1_79x1_12_S_0" localSheetId="20" hidden="1">#REF!</definedName>
    <definedName name="SD_1x1_79x1_12_S_0" hidden="1">#REF!</definedName>
    <definedName name="SD_1x1_79x1_3_S_0" localSheetId="15" hidden="1">#REF!</definedName>
    <definedName name="SD_1x1_79x1_3_S_0" localSheetId="11" hidden="1">#REF!</definedName>
    <definedName name="SD_1x1_79x1_3_S_0" localSheetId="10" hidden="1">#REF!</definedName>
    <definedName name="SD_1x1_79x1_3_S_0" localSheetId="16" hidden="1">#REF!</definedName>
    <definedName name="SD_1x1_79x1_3_S_0" localSheetId="9" hidden="1">#REF!</definedName>
    <definedName name="SD_1x1_79x1_3_S_0" localSheetId="12" hidden="1">#REF!</definedName>
    <definedName name="SD_1x1_79x1_3_S_0" localSheetId="20" hidden="1">#REF!</definedName>
    <definedName name="SD_1x1_79x1_3_S_0" hidden="1">#REF!</definedName>
    <definedName name="SD_1x1_79x1_5_S_0" localSheetId="15" hidden="1">#REF!</definedName>
    <definedName name="SD_1x1_79x1_5_S_0" localSheetId="11" hidden="1">#REF!</definedName>
    <definedName name="SD_1x1_79x1_5_S_0" localSheetId="10" hidden="1">#REF!</definedName>
    <definedName name="SD_1x1_79x1_5_S_0" localSheetId="16" hidden="1">#REF!</definedName>
    <definedName name="SD_1x1_79x1_5_S_0" localSheetId="9" hidden="1">#REF!</definedName>
    <definedName name="SD_1x1_79x1_5_S_0" localSheetId="12" hidden="1">#REF!</definedName>
    <definedName name="SD_1x1_79x1_5_S_0" localSheetId="20" hidden="1">#REF!</definedName>
    <definedName name="SD_1x1_79x1_5_S_0" hidden="1">#REF!</definedName>
    <definedName name="SD_1x1_79x1_6_S_152" localSheetId="15" hidden="1">#REF!</definedName>
    <definedName name="SD_1x1_79x1_6_S_152" localSheetId="11" hidden="1">#REF!</definedName>
    <definedName name="SD_1x1_79x1_6_S_152" localSheetId="10" hidden="1">#REF!</definedName>
    <definedName name="SD_1x1_79x1_6_S_152" localSheetId="16" hidden="1">#REF!</definedName>
    <definedName name="SD_1x1_79x1_6_S_152" localSheetId="9" hidden="1">#REF!</definedName>
    <definedName name="SD_1x1_79x1_6_S_152" localSheetId="12" hidden="1">#REF!</definedName>
    <definedName name="SD_1x1_79x1_6_S_152" localSheetId="20" hidden="1">#REF!</definedName>
    <definedName name="SD_1x1_79x1_6_S_152" hidden="1">#REF!</definedName>
    <definedName name="SD_1x1_79x1_7_S_0" localSheetId="15" hidden="1">#REF!</definedName>
    <definedName name="SD_1x1_79x1_7_S_0" localSheetId="11" hidden="1">#REF!</definedName>
    <definedName name="SD_1x1_79x1_7_S_0" localSheetId="10" hidden="1">#REF!</definedName>
    <definedName name="SD_1x1_79x1_7_S_0" localSheetId="16" hidden="1">#REF!</definedName>
    <definedName name="SD_1x1_79x1_7_S_0" localSheetId="9" hidden="1">#REF!</definedName>
    <definedName name="SD_1x1_79x1_7_S_0" localSheetId="12" hidden="1">#REF!</definedName>
    <definedName name="SD_1x1_79x1_7_S_0" localSheetId="20" hidden="1">#REF!</definedName>
    <definedName name="SD_1x1_79x1_7_S_0" hidden="1">#REF!</definedName>
    <definedName name="SD_1x1_79x1_9_S_0" localSheetId="15" hidden="1">#REF!</definedName>
    <definedName name="SD_1x1_79x1_9_S_0" localSheetId="11" hidden="1">#REF!</definedName>
    <definedName name="SD_1x1_79x1_9_S_0" localSheetId="10" hidden="1">#REF!</definedName>
    <definedName name="SD_1x1_79x1_9_S_0" localSheetId="16" hidden="1">#REF!</definedName>
    <definedName name="SD_1x1_79x1_9_S_0" localSheetId="9" hidden="1">#REF!</definedName>
    <definedName name="SD_1x1_79x1_9_S_0" localSheetId="12" hidden="1">#REF!</definedName>
    <definedName name="SD_1x1_79x1_9_S_0" localSheetId="20" hidden="1">#REF!</definedName>
    <definedName name="SD_1x1_79x1_9_S_0" hidden="1">#REF!</definedName>
    <definedName name="SD_1x1_83x1_1_S_0" localSheetId="15" hidden="1">#REF!</definedName>
    <definedName name="SD_1x1_83x1_1_S_0" localSheetId="11" hidden="1">#REF!</definedName>
    <definedName name="SD_1x1_83x1_1_S_0" localSheetId="10" hidden="1">#REF!</definedName>
    <definedName name="SD_1x1_83x1_1_S_0" localSheetId="16" hidden="1">#REF!</definedName>
    <definedName name="SD_1x1_83x1_1_S_0" localSheetId="9" hidden="1">#REF!</definedName>
    <definedName name="SD_1x1_83x1_1_S_0" localSheetId="12" hidden="1">#REF!</definedName>
    <definedName name="SD_1x1_83x1_1_S_0" localSheetId="20" hidden="1">#REF!</definedName>
    <definedName name="SD_1x1_83x1_1_S_0" hidden="1">#REF!</definedName>
    <definedName name="SD_1x1_83x1_11_S_0" localSheetId="15" hidden="1">#REF!</definedName>
    <definedName name="SD_1x1_83x1_11_S_0" localSheetId="11" hidden="1">#REF!</definedName>
    <definedName name="SD_1x1_83x1_11_S_0" localSheetId="10" hidden="1">#REF!</definedName>
    <definedName name="SD_1x1_83x1_11_S_0" localSheetId="16" hidden="1">#REF!</definedName>
    <definedName name="SD_1x1_83x1_11_S_0" localSheetId="9" hidden="1">#REF!</definedName>
    <definedName name="SD_1x1_83x1_11_S_0" localSheetId="12" hidden="1">#REF!</definedName>
    <definedName name="SD_1x1_83x1_11_S_0" localSheetId="20" hidden="1">#REF!</definedName>
    <definedName name="SD_1x1_83x1_11_S_0" hidden="1">#REF!</definedName>
    <definedName name="SD_1x1_83x1_12_S_0" localSheetId="15" hidden="1">#REF!</definedName>
    <definedName name="SD_1x1_83x1_12_S_0" localSheetId="11" hidden="1">#REF!</definedName>
    <definedName name="SD_1x1_83x1_12_S_0" localSheetId="10" hidden="1">#REF!</definedName>
    <definedName name="SD_1x1_83x1_12_S_0" localSheetId="16" hidden="1">#REF!</definedName>
    <definedName name="SD_1x1_83x1_12_S_0" localSheetId="9" hidden="1">#REF!</definedName>
    <definedName name="SD_1x1_83x1_12_S_0" localSheetId="12" hidden="1">#REF!</definedName>
    <definedName name="SD_1x1_83x1_12_S_0" localSheetId="20" hidden="1">#REF!</definedName>
    <definedName name="SD_1x1_83x1_12_S_0" hidden="1">#REF!</definedName>
    <definedName name="SD_1x1_83x1_3_S_0" localSheetId="15" hidden="1">#REF!</definedName>
    <definedName name="SD_1x1_83x1_3_S_0" localSheetId="11" hidden="1">#REF!</definedName>
    <definedName name="SD_1x1_83x1_3_S_0" localSheetId="10" hidden="1">#REF!</definedName>
    <definedName name="SD_1x1_83x1_3_S_0" localSheetId="16" hidden="1">#REF!</definedName>
    <definedName name="SD_1x1_83x1_3_S_0" localSheetId="9" hidden="1">#REF!</definedName>
    <definedName name="SD_1x1_83x1_3_S_0" localSheetId="12" hidden="1">#REF!</definedName>
    <definedName name="SD_1x1_83x1_3_S_0" localSheetId="20" hidden="1">#REF!</definedName>
    <definedName name="SD_1x1_83x1_3_S_0" hidden="1">#REF!</definedName>
    <definedName name="SD_1x1_83x1_5_S_0" localSheetId="15" hidden="1">#REF!</definedName>
    <definedName name="SD_1x1_83x1_5_S_0" localSheetId="11" hidden="1">#REF!</definedName>
    <definedName name="SD_1x1_83x1_5_S_0" localSheetId="10" hidden="1">#REF!</definedName>
    <definedName name="SD_1x1_83x1_5_S_0" localSheetId="16" hidden="1">#REF!</definedName>
    <definedName name="SD_1x1_83x1_5_S_0" localSheetId="9" hidden="1">#REF!</definedName>
    <definedName name="SD_1x1_83x1_5_S_0" localSheetId="12" hidden="1">#REF!</definedName>
    <definedName name="SD_1x1_83x1_5_S_0" localSheetId="20" hidden="1">#REF!</definedName>
    <definedName name="SD_1x1_83x1_5_S_0" hidden="1">#REF!</definedName>
    <definedName name="SD_1x1_83x1_6_S_152" localSheetId="15" hidden="1">#REF!</definedName>
    <definedName name="SD_1x1_83x1_6_S_152" localSheetId="11" hidden="1">#REF!</definedName>
    <definedName name="SD_1x1_83x1_6_S_152" localSheetId="10" hidden="1">#REF!</definedName>
    <definedName name="SD_1x1_83x1_6_S_152" localSheetId="16" hidden="1">#REF!</definedName>
    <definedName name="SD_1x1_83x1_6_S_152" localSheetId="9" hidden="1">#REF!</definedName>
    <definedName name="SD_1x1_83x1_6_S_152" localSheetId="12" hidden="1">#REF!</definedName>
    <definedName name="SD_1x1_83x1_6_S_152" localSheetId="20" hidden="1">#REF!</definedName>
    <definedName name="SD_1x1_83x1_6_S_152" hidden="1">#REF!</definedName>
    <definedName name="SD_1x1_83x1_7_S_0" localSheetId="15" hidden="1">#REF!</definedName>
    <definedName name="SD_1x1_83x1_7_S_0" localSheetId="11" hidden="1">#REF!</definedName>
    <definedName name="SD_1x1_83x1_7_S_0" localSheetId="10" hidden="1">#REF!</definedName>
    <definedName name="SD_1x1_83x1_7_S_0" localSheetId="16" hidden="1">#REF!</definedName>
    <definedName name="SD_1x1_83x1_7_S_0" localSheetId="9" hidden="1">#REF!</definedName>
    <definedName name="SD_1x1_83x1_7_S_0" localSheetId="12" hidden="1">#REF!</definedName>
    <definedName name="SD_1x1_83x1_7_S_0" localSheetId="20" hidden="1">#REF!</definedName>
    <definedName name="SD_1x1_83x1_7_S_0" hidden="1">#REF!</definedName>
    <definedName name="SD_1x1_83x1_9_S_0" localSheetId="15" hidden="1">#REF!</definedName>
    <definedName name="SD_1x1_83x1_9_S_0" localSheetId="11" hidden="1">#REF!</definedName>
    <definedName name="SD_1x1_83x1_9_S_0" localSheetId="10" hidden="1">#REF!</definedName>
    <definedName name="SD_1x1_83x1_9_S_0" localSheetId="16" hidden="1">#REF!</definedName>
    <definedName name="SD_1x1_83x1_9_S_0" localSheetId="9" hidden="1">#REF!</definedName>
    <definedName name="SD_1x1_83x1_9_S_0" localSheetId="12" hidden="1">#REF!</definedName>
    <definedName name="SD_1x1_83x1_9_S_0" localSheetId="20" hidden="1">#REF!</definedName>
    <definedName name="SD_1x1_83x1_9_S_0" hidden="1">#REF!</definedName>
    <definedName name="SD_1x1_84x1_1_S_0" localSheetId="15" hidden="1">#REF!</definedName>
    <definedName name="SD_1x1_84x1_1_S_0" localSheetId="11" hidden="1">#REF!</definedName>
    <definedName name="SD_1x1_84x1_1_S_0" localSheetId="10" hidden="1">#REF!</definedName>
    <definedName name="SD_1x1_84x1_1_S_0" localSheetId="16" hidden="1">#REF!</definedName>
    <definedName name="SD_1x1_84x1_1_S_0" localSheetId="9" hidden="1">#REF!</definedName>
    <definedName name="SD_1x1_84x1_1_S_0" localSheetId="12" hidden="1">#REF!</definedName>
    <definedName name="SD_1x1_84x1_1_S_0" localSheetId="20" hidden="1">#REF!</definedName>
    <definedName name="SD_1x1_84x1_1_S_0" hidden="1">#REF!</definedName>
    <definedName name="SD_1x1_84x1_11_S_0" localSheetId="15" hidden="1">#REF!</definedName>
    <definedName name="SD_1x1_84x1_11_S_0" localSheetId="11" hidden="1">#REF!</definedName>
    <definedName name="SD_1x1_84x1_11_S_0" localSheetId="10" hidden="1">#REF!</definedName>
    <definedName name="SD_1x1_84x1_11_S_0" localSheetId="16" hidden="1">#REF!</definedName>
    <definedName name="SD_1x1_84x1_11_S_0" localSheetId="9" hidden="1">#REF!</definedName>
    <definedName name="SD_1x1_84x1_11_S_0" localSheetId="12" hidden="1">#REF!</definedName>
    <definedName name="SD_1x1_84x1_11_S_0" localSheetId="20" hidden="1">#REF!</definedName>
    <definedName name="SD_1x1_84x1_11_S_0" hidden="1">#REF!</definedName>
    <definedName name="SD_1x1_84x1_12_S_0" localSheetId="15" hidden="1">#REF!</definedName>
    <definedName name="SD_1x1_84x1_12_S_0" localSheetId="11" hidden="1">#REF!</definedName>
    <definedName name="SD_1x1_84x1_12_S_0" localSheetId="10" hidden="1">#REF!</definedName>
    <definedName name="SD_1x1_84x1_12_S_0" localSheetId="16" hidden="1">#REF!</definedName>
    <definedName name="SD_1x1_84x1_12_S_0" localSheetId="9" hidden="1">#REF!</definedName>
    <definedName name="SD_1x1_84x1_12_S_0" localSheetId="12" hidden="1">#REF!</definedName>
    <definedName name="SD_1x1_84x1_12_S_0" localSheetId="20" hidden="1">#REF!</definedName>
    <definedName name="SD_1x1_84x1_12_S_0" hidden="1">#REF!</definedName>
    <definedName name="SD_1x1_84x1_3_S_0" localSheetId="15" hidden="1">#REF!</definedName>
    <definedName name="SD_1x1_84x1_3_S_0" localSheetId="11" hidden="1">#REF!</definedName>
    <definedName name="SD_1x1_84x1_3_S_0" localSheetId="10" hidden="1">#REF!</definedName>
    <definedName name="SD_1x1_84x1_3_S_0" localSheetId="16" hidden="1">#REF!</definedName>
    <definedName name="SD_1x1_84x1_3_S_0" localSheetId="9" hidden="1">#REF!</definedName>
    <definedName name="SD_1x1_84x1_3_S_0" localSheetId="12" hidden="1">#REF!</definedName>
    <definedName name="SD_1x1_84x1_3_S_0" localSheetId="20" hidden="1">#REF!</definedName>
    <definedName name="SD_1x1_84x1_3_S_0" hidden="1">#REF!</definedName>
    <definedName name="SD_1x1_84x1_5_S_0" localSheetId="15" hidden="1">#REF!</definedName>
    <definedName name="SD_1x1_84x1_5_S_0" localSheetId="11" hidden="1">#REF!</definedName>
    <definedName name="SD_1x1_84x1_5_S_0" localSheetId="10" hidden="1">#REF!</definedName>
    <definedName name="SD_1x1_84x1_5_S_0" localSheetId="16" hidden="1">#REF!</definedName>
    <definedName name="SD_1x1_84x1_5_S_0" localSheetId="9" hidden="1">#REF!</definedName>
    <definedName name="SD_1x1_84x1_5_S_0" localSheetId="12" hidden="1">#REF!</definedName>
    <definedName name="SD_1x1_84x1_5_S_0" localSheetId="20" hidden="1">#REF!</definedName>
    <definedName name="SD_1x1_84x1_5_S_0" hidden="1">#REF!</definedName>
    <definedName name="SD_1x1_84x1_6_S_152" localSheetId="15" hidden="1">#REF!</definedName>
    <definedName name="SD_1x1_84x1_6_S_152" localSheetId="11" hidden="1">#REF!</definedName>
    <definedName name="SD_1x1_84x1_6_S_152" localSheetId="10" hidden="1">#REF!</definedName>
    <definedName name="SD_1x1_84x1_6_S_152" localSheetId="16" hidden="1">#REF!</definedName>
    <definedName name="SD_1x1_84x1_6_S_152" localSheetId="9" hidden="1">#REF!</definedName>
    <definedName name="SD_1x1_84x1_6_S_152" localSheetId="12" hidden="1">#REF!</definedName>
    <definedName name="SD_1x1_84x1_6_S_152" localSheetId="20" hidden="1">#REF!</definedName>
    <definedName name="SD_1x1_84x1_6_S_152" hidden="1">#REF!</definedName>
    <definedName name="SD_1x1_84x1_7_S_0" localSheetId="15" hidden="1">#REF!</definedName>
    <definedName name="SD_1x1_84x1_7_S_0" localSheetId="11" hidden="1">#REF!</definedName>
    <definedName name="SD_1x1_84x1_7_S_0" localSheetId="10" hidden="1">#REF!</definedName>
    <definedName name="SD_1x1_84x1_7_S_0" localSheetId="16" hidden="1">#REF!</definedName>
    <definedName name="SD_1x1_84x1_7_S_0" localSheetId="9" hidden="1">#REF!</definedName>
    <definedName name="SD_1x1_84x1_7_S_0" localSheetId="12" hidden="1">#REF!</definedName>
    <definedName name="SD_1x1_84x1_7_S_0" localSheetId="20" hidden="1">#REF!</definedName>
    <definedName name="SD_1x1_84x1_7_S_0" hidden="1">#REF!</definedName>
    <definedName name="SD_1x1_84x1_9_S_0" localSheetId="15" hidden="1">#REF!</definedName>
    <definedName name="SD_1x1_84x1_9_S_0" localSheetId="11" hidden="1">#REF!</definedName>
    <definedName name="SD_1x1_84x1_9_S_0" localSheetId="10" hidden="1">#REF!</definedName>
    <definedName name="SD_1x1_84x1_9_S_0" localSheetId="16" hidden="1">#REF!</definedName>
    <definedName name="SD_1x1_84x1_9_S_0" localSheetId="9" hidden="1">#REF!</definedName>
    <definedName name="SD_1x1_84x1_9_S_0" localSheetId="12" hidden="1">#REF!</definedName>
    <definedName name="SD_1x1_84x1_9_S_0" localSheetId="20" hidden="1">#REF!</definedName>
    <definedName name="SD_1x1_84x1_9_S_0" hidden="1">#REF!</definedName>
    <definedName name="SD_1x1_84x2_1_S_0" localSheetId="15" hidden="1">#REF!</definedName>
    <definedName name="SD_1x1_84x2_1_S_0" localSheetId="11" hidden="1">#REF!</definedName>
    <definedName name="SD_1x1_84x2_1_S_0" localSheetId="10" hidden="1">#REF!</definedName>
    <definedName name="SD_1x1_84x2_1_S_0" localSheetId="16" hidden="1">#REF!</definedName>
    <definedName name="SD_1x1_84x2_1_S_0" localSheetId="9" hidden="1">#REF!</definedName>
    <definedName name="SD_1x1_84x2_1_S_0" localSheetId="12" hidden="1">#REF!</definedName>
    <definedName name="SD_1x1_84x2_1_S_0" localSheetId="20" hidden="1">#REF!</definedName>
    <definedName name="SD_1x1_84x2_1_S_0" hidden="1">#REF!</definedName>
    <definedName name="SD_1x1_84x2_11_S_0" localSheetId="15" hidden="1">#REF!</definedName>
    <definedName name="SD_1x1_84x2_11_S_0" localSheetId="11" hidden="1">#REF!</definedName>
    <definedName name="SD_1x1_84x2_11_S_0" localSheetId="10" hidden="1">#REF!</definedName>
    <definedName name="SD_1x1_84x2_11_S_0" localSheetId="16" hidden="1">#REF!</definedName>
    <definedName name="SD_1x1_84x2_11_S_0" localSheetId="9" hidden="1">#REF!</definedName>
    <definedName name="SD_1x1_84x2_11_S_0" localSheetId="12" hidden="1">#REF!</definedName>
    <definedName name="SD_1x1_84x2_11_S_0" localSheetId="20" hidden="1">#REF!</definedName>
    <definedName name="SD_1x1_84x2_11_S_0" hidden="1">#REF!</definedName>
    <definedName name="SD_1x1_84x2_12_S_0" localSheetId="15" hidden="1">#REF!</definedName>
    <definedName name="SD_1x1_84x2_12_S_0" localSheetId="11" hidden="1">#REF!</definedName>
    <definedName name="SD_1x1_84x2_12_S_0" localSheetId="10" hidden="1">#REF!</definedName>
    <definedName name="SD_1x1_84x2_12_S_0" localSheetId="16" hidden="1">#REF!</definedName>
    <definedName name="SD_1x1_84x2_12_S_0" localSheetId="9" hidden="1">#REF!</definedName>
    <definedName name="SD_1x1_84x2_12_S_0" localSheetId="12" hidden="1">#REF!</definedName>
    <definedName name="SD_1x1_84x2_12_S_0" localSheetId="20" hidden="1">#REF!</definedName>
    <definedName name="SD_1x1_84x2_12_S_0" hidden="1">#REF!</definedName>
    <definedName name="SD_1x1_84x2_3_S_0" localSheetId="15" hidden="1">#REF!</definedName>
    <definedName name="SD_1x1_84x2_3_S_0" localSheetId="11" hidden="1">#REF!</definedName>
    <definedName name="SD_1x1_84x2_3_S_0" localSheetId="10" hidden="1">#REF!</definedName>
    <definedName name="SD_1x1_84x2_3_S_0" localSheetId="16" hidden="1">#REF!</definedName>
    <definedName name="SD_1x1_84x2_3_S_0" localSheetId="9" hidden="1">#REF!</definedName>
    <definedName name="SD_1x1_84x2_3_S_0" localSheetId="12" hidden="1">#REF!</definedName>
    <definedName name="SD_1x1_84x2_3_S_0" localSheetId="20" hidden="1">#REF!</definedName>
    <definedName name="SD_1x1_84x2_3_S_0" hidden="1">#REF!</definedName>
    <definedName name="SD_1x1_84x2_5_S_0" localSheetId="15" hidden="1">#REF!</definedName>
    <definedName name="SD_1x1_84x2_5_S_0" localSheetId="11" hidden="1">#REF!</definedName>
    <definedName name="SD_1x1_84x2_5_S_0" localSheetId="10" hidden="1">#REF!</definedName>
    <definedName name="SD_1x1_84x2_5_S_0" localSheetId="16" hidden="1">#REF!</definedName>
    <definedName name="SD_1x1_84x2_5_S_0" localSheetId="9" hidden="1">#REF!</definedName>
    <definedName name="SD_1x1_84x2_5_S_0" localSheetId="12" hidden="1">#REF!</definedName>
    <definedName name="SD_1x1_84x2_5_S_0" localSheetId="20" hidden="1">#REF!</definedName>
    <definedName name="SD_1x1_84x2_5_S_0" hidden="1">#REF!</definedName>
    <definedName name="SD_1x1_84x2_6_S_152" localSheetId="15" hidden="1">#REF!</definedName>
    <definedName name="SD_1x1_84x2_6_S_152" localSheetId="11" hidden="1">#REF!</definedName>
    <definedName name="SD_1x1_84x2_6_S_152" localSheetId="10" hidden="1">#REF!</definedName>
    <definedName name="SD_1x1_84x2_6_S_152" localSheetId="16" hidden="1">#REF!</definedName>
    <definedName name="SD_1x1_84x2_6_S_152" localSheetId="9" hidden="1">#REF!</definedName>
    <definedName name="SD_1x1_84x2_6_S_152" localSheetId="12" hidden="1">#REF!</definedName>
    <definedName name="SD_1x1_84x2_6_S_152" localSheetId="20" hidden="1">#REF!</definedName>
    <definedName name="SD_1x1_84x2_6_S_152" hidden="1">#REF!</definedName>
    <definedName name="SD_1x1_84x2_7_S_0" localSheetId="15" hidden="1">#REF!</definedName>
    <definedName name="SD_1x1_84x2_7_S_0" localSheetId="11" hidden="1">#REF!</definedName>
    <definedName name="SD_1x1_84x2_7_S_0" localSheetId="10" hidden="1">#REF!</definedName>
    <definedName name="SD_1x1_84x2_7_S_0" localSheetId="16" hidden="1">#REF!</definedName>
    <definedName name="SD_1x1_84x2_7_S_0" localSheetId="9" hidden="1">#REF!</definedName>
    <definedName name="SD_1x1_84x2_7_S_0" localSheetId="12" hidden="1">#REF!</definedName>
    <definedName name="SD_1x1_84x2_7_S_0" localSheetId="20" hidden="1">#REF!</definedName>
    <definedName name="SD_1x1_84x2_7_S_0" hidden="1">#REF!</definedName>
    <definedName name="SD_1x1_84x2_9_S_0" localSheetId="15" hidden="1">#REF!</definedName>
    <definedName name="SD_1x1_84x2_9_S_0" localSheetId="11" hidden="1">#REF!</definedName>
    <definedName name="SD_1x1_84x2_9_S_0" localSheetId="10" hidden="1">#REF!</definedName>
    <definedName name="SD_1x1_84x2_9_S_0" localSheetId="16" hidden="1">#REF!</definedName>
    <definedName name="SD_1x1_84x2_9_S_0" localSheetId="9" hidden="1">#REF!</definedName>
    <definedName name="SD_1x1_84x2_9_S_0" localSheetId="12" hidden="1">#REF!</definedName>
    <definedName name="SD_1x1_84x2_9_S_0" localSheetId="20" hidden="1">#REF!</definedName>
    <definedName name="SD_1x1_84x2_9_S_0" hidden="1">#REF!</definedName>
    <definedName name="SD_1x1_89x1_1_S_0" localSheetId="15" hidden="1">#REF!</definedName>
    <definedName name="SD_1x1_89x1_1_S_0" localSheetId="11" hidden="1">#REF!</definedName>
    <definedName name="SD_1x1_89x1_1_S_0" localSheetId="10" hidden="1">#REF!</definedName>
    <definedName name="SD_1x1_89x1_1_S_0" localSheetId="16" hidden="1">#REF!</definedName>
    <definedName name="SD_1x1_89x1_1_S_0" localSheetId="9" hidden="1">#REF!</definedName>
    <definedName name="SD_1x1_89x1_1_S_0" localSheetId="12" hidden="1">#REF!</definedName>
    <definedName name="SD_1x1_89x1_1_S_0" localSheetId="20" hidden="1">#REF!</definedName>
    <definedName name="SD_1x1_89x1_1_S_0" hidden="1">#REF!</definedName>
    <definedName name="SD_1x1_89x1_11_S_0" localSheetId="15" hidden="1">#REF!</definedName>
    <definedName name="SD_1x1_89x1_11_S_0" localSheetId="11" hidden="1">#REF!</definedName>
    <definedName name="SD_1x1_89x1_11_S_0" localSheetId="10" hidden="1">#REF!</definedName>
    <definedName name="SD_1x1_89x1_11_S_0" localSheetId="16" hidden="1">#REF!</definedName>
    <definedName name="SD_1x1_89x1_11_S_0" localSheetId="9" hidden="1">#REF!</definedName>
    <definedName name="SD_1x1_89x1_11_S_0" localSheetId="12" hidden="1">#REF!</definedName>
    <definedName name="SD_1x1_89x1_11_S_0" localSheetId="20" hidden="1">#REF!</definedName>
    <definedName name="SD_1x1_89x1_11_S_0" hidden="1">#REF!</definedName>
    <definedName name="SD_1x1_89x1_12_S_0" localSheetId="15" hidden="1">#REF!</definedName>
    <definedName name="SD_1x1_89x1_12_S_0" localSheetId="11" hidden="1">#REF!</definedName>
    <definedName name="SD_1x1_89x1_12_S_0" localSheetId="10" hidden="1">#REF!</definedName>
    <definedName name="SD_1x1_89x1_12_S_0" localSheetId="16" hidden="1">#REF!</definedName>
    <definedName name="SD_1x1_89x1_12_S_0" localSheetId="9" hidden="1">#REF!</definedName>
    <definedName name="SD_1x1_89x1_12_S_0" localSheetId="12" hidden="1">#REF!</definedName>
    <definedName name="SD_1x1_89x1_12_S_0" localSheetId="20" hidden="1">#REF!</definedName>
    <definedName name="SD_1x1_89x1_12_S_0" hidden="1">#REF!</definedName>
    <definedName name="SD_1x1_89x1_3_S_0" localSheetId="15" hidden="1">#REF!</definedName>
    <definedName name="SD_1x1_89x1_3_S_0" localSheetId="11" hidden="1">#REF!</definedName>
    <definedName name="SD_1x1_89x1_3_S_0" localSheetId="10" hidden="1">#REF!</definedName>
    <definedName name="SD_1x1_89x1_3_S_0" localSheetId="16" hidden="1">#REF!</definedName>
    <definedName name="SD_1x1_89x1_3_S_0" localSheetId="9" hidden="1">#REF!</definedName>
    <definedName name="SD_1x1_89x1_3_S_0" localSheetId="12" hidden="1">#REF!</definedName>
    <definedName name="SD_1x1_89x1_3_S_0" localSheetId="20" hidden="1">#REF!</definedName>
    <definedName name="SD_1x1_89x1_3_S_0" hidden="1">#REF!</definedName>
    <definedName name="SD_1x1_89x1_5_S_0" localSheetId="15" hidden="1">#REF!</definedName>
    <definedName name="SD_1x1_89x1_5_S_0" localSheetId="11" hidden="1">#REF!</definedName>
    <definedName name="SD_1x1_89x1_5_S_0" localSheetId="10" hidden="1">#REF!</definedName>
    <definedName name="SD_1x1_89x1_5_S_0" localSheetId="16" hidden="1">#REF!</definedName>
    <definedName name="SD_1x1_89x1_5_S_0" localSheetId="9" hidden="1">#REF!</definedName>
    <definedName name="SD_1x1_89x1_5_S_0" localSheetId="12" hidden="1">#REF!</definedName>
    <definedName name="SD_1x1_89x1_5_S_0" localSheetId="20" hidden="1">#REF!</definedName>
    <definedName name="SD_1x1_89x1_5_S_0" hidden="1">#REF!</definedName>
    <definedName name="SD_1x1_89x1_6_S_152" localSheetId="15" hidden="1">#REF!</definedName>
    <definedName name="SD_1x1_89x1_6_S_152" localSheetId="11" hidden="1">#REF!</definedName>
    <definedName name="SD_1x1_89x1_6_S_152" localSheetId="10" hidden="1">#REF!</definedName>
    <definedName name="SD_1x1_89x1_6_S_152" localSheetId="16" hidden="1">#REF!</definedName>
    <definedName name="SD_1x1_89x1_6_S_152" localSheetId="9" hidden="1">#REF!</definedName>
    <definedName name="SD_1x1_89x1_6_S_152" localSheetId="12" hidden="1">#REF!</definedName>
    <definedName name="SD_1x1_89x1_6_S_152" localSheetId="20" hidden="1">#REF!</definedName>
    <definedName name="SD_1x1_89x1_6_S_152" hidden="1">#REF!</definedName>
    <definedName name="SD_1x1_89x1_7_S_0" localSheetId="15" hidden="1">#REF!</definedName>
    <definedName name="SD_1x1_89x1_7_S_0" localSheetId="11" hidden="1">#REF!</definedName>
    <definedName name="SD_1x1_89x1_7_S_0" localSheetId="10" hidden="1">#REF!</definedName>
    <definedName name="SD_1x1_89x1_7_S_0" localSheetId="16" hidden="1">#REF!</definedName>
    <definedName name="SD_1x1_89x1_7_S_0" localSheetId="9" hidden="1">#REF!</definedName>
    <definedName name="SD_1x1_89x1_7_S_0" localSheetId="12" hidden="1">#REF!</definedName>
    <definedName name="SD_1x1_89x1_7_S_0" localSheetId="20" hidden="1">#REF!</definedName>
    <definedName name="SD_1x1_89x1_7_S_0" hidden="1">#REF!</definedName>
    <definedName name="SD_1x1_89x1_9_S_0" localSheetId="15" hidden="1">#REF!</definedName>
    <definedName name="SD_1x1_89x1_9_S_0" localSheetId="11" hidden="1">#REF!</definedName>
    <definedName name="SD_1x1_89x1_9_S_0" localSheetId="10" hidden="1">#REF!</definedName>
    <definedName name="SD_1x1_89x1_9_S_0" localSheetId="16" hidden="1">#REF!</definedName>
    <definedName name="SD_1x1_89x1_9_S_0" localSheetId="9" hidden="1">#REF!</definedName>
    <definedName name="SD_1x1_89x1_9_S_0" localSheetId="12" hidden="1">#REF!</definedName>
    <definedName name="SD_1x1_89x1_9_S_0" localSheetId="20" hidden="1">#REF!</definedName>
    <definedName name="SD_1x1_89x1_9_S_0" hidden="1">#REF!</definedName>
    <definedName name="SD_1x1_93x1_10_S_0" hidden="1">#REF!</definedName>
    <definedName name="SD_1x1_93x1_12_S_0" hidden="1">#REF!</definedName>
    <definedName name="SD_1x1_93x1_25_S_7" hidden="1">#REF!</definedName>
    <definedName name="SD_1x1_93x1_26_S_86" hidden="1">#REF!</definedName>
    <definedName name="SD_1x1_93x1_27_S_148" hidden="1">#REF!</definedName>
    <definedName name="SD_1x1_93x1_30_S_0" hidden="1">#REF!</definedName>
    <definedName name="SD_1x1_93x1_42_S_0" hidden="1">#REF!</definedName>
    <definedName name="SD_1x1_93x1_8_S_0" hidden="1">#REF!</definedName>
    <definedName name="SD_Dropdown_148_Name" localSheetId="16" hidden="1">[1]SD_Dropdowns!$C$2:$C$41</definedName>
    <definedName name="SD_Dropdown_148_Name" localSheetId="12" hidden="1">[2]SD_Dropdowns!$C$2:$C$41</definedName>
    <definedName name="SD_Dropdown_148_Name" hidden="1">[3]SD_Dropdowns!$C$2:$C$41</definedName>
    <definedName name="SD_Dropdown_152_Name" localSheetId="16" hidden="1">[1]SD_Dropdowns!$G$2:$G$53</definedName>
    <definedName name="SD_Dropdown_152_Name" localSheetId="12" hidden="1">[2]SD_Dropdowns!$G$2:$G$53</definedName>
    <definedName name="SD_Dropdown_152_Name" hidden="1">[3]SD_Dropdowns!$G$2:$G$53</definedName>
    <definedName name="SD_Dropdown_7_Name" localSheetId="16" hidden="1">[1]SD_Dropdowns!$E$2:$E$82</definedName>
    <definedName name="SD_Dropdown_7_Name" localSheetId="12" hidden="1">[2]SD_Dropdowns!$E$2:$E$82</definedName>
    <definedName name="SD_Dropdown_7_Name" hidden="1">[3]SD_Dropdowns!$E$2:$E$82</definedName>
    <definedName name="SD_Dropdown_86_Name" localSheetId="16" hidden="1">[1]SD_Dropdowns!$A$2:$A$53</definedName>
    <definedName name="SD_Dropdown_86_Name" localSheetId="12" hidden="1">[2]SD_Dropdowns!$A$2:$A$53</definedName>
    <definedName name="SD_Dropdown_86_Name" hidden="1">[3]SD_Dropdowns!$A$2:$A$53</definedName>
    <definedName name="Taxcredit">'Project Overview'!$H$116</definedName>
    <definedName name="vmAICP">Scoring!$AL$180</definedName>
    <definedName name="vmAtHighRisk">'Project Overview'!$B$36</definedName>
    <definedName name="vmBonaFide">Scoring!$AL$122</definedName>
    <definedName name="vmBroadbandA">Scoring!$AL$243</definedName>
    <definedName name="vmCApplication">Scoring!$AL$177</definedName>
    <definedName name="vmCBD">'Project Overview'!$Q$66</definedName>
    <definedName name="vmCES">Scoring!$AL$63</definedName>
    <definedName name="vmCF">Scoring!$AL$155</definedName>
    <definedName name="vmCIP">'Project Overview'!$B$18</definedName>
    <definedName name="vmDA">'IIG Threshold Requirements'!$AL$31</definedName>
    <definedName name="vmDF">'Developer Fee'!$P$5</definedName>
    <definedName name="vmED">'Project Overview'!$O$70</definedName>
    <definedName name="vmElectricDesign">Scoring!$AL$259</definedName>
    <definedName name="vmElectricPowered">Scoring!$AL$262</definedName>
    <definedName name="vmEmergencyR">'Project Overview'!$AL$86</definedName>
    <definedName name="vmExcessSurplus">Scoring!$AL$217</definedName>
    <definedName name="vmFarmworker">'Project Overview'!$B$29</definedName>
    <definedName name="vmGreenBuilding">Scoring!$X$256</definedName>
    <definedName name="vmGroundLease">'Project Overview'!$AL$256</definedName>
    <definedName name="vmIndianCountry">'Project Overview'!$V$58</definedName>
    <definedName name="vmIsHHC">'Project Overview'!$AL$12</definedName>
    <definedName name="vmIsIig">'Project Overview'!$AL$10</definedName>
    <definedName name="vmIsMhp">'Project Overview'!$B$10</definedName>
    <definedName name="vmIsSerna">'Project Overview'!$B$14</definedName>
    <definedName name="vmIsTod">'Project Overview'!$B$12</definedName>
    <definedName name="vmIsVhhp">'Project Overview'!$AL$14</definedName>
    <definedName name="vmLargeFamily">'Project Overview'!$B$40</definedName>
    <definedName name="vmLUA">Scoring!$Z$166</definedName>
    <definedName name="vmNC">'Project Overview'!$I$99</definedName>
    <definedName name="vmNCBD">'Project Overview'!$R$63</definedName>
    <definedName name="vmNER">Scoring!$AL$183</definedName>
    <definedName name="vmOCL">Scoring!$AL$188</definedName>
    <definedName name="vmOCL2">Scoring!$AL$171</definedName>
    <definedName name="vmOOA">Scoring!$AL$60</definedName>
    <definedName name="vmProhousing">Scoring!$AL$368</definedName>
    <definedName name="vmRegionalPlan">Scoring!$AL$250</definedName>
    <definedName name="vmRelocation">'Project Overview'!$AL$412</definedName>
    <definedName name="vmRural">'Project Overview'!$AL$135</definedName>
    <definedName name="vmScatteredSite">'Project Overview'!$P$125</definedName>
    <definedName name="vmSenior">'Project Overview'!$B$43</definedName>
    <definedName name="vmSernagr">'Project Overview'!$AL$406</definedName>
    <definedName name="vmSernasd">'Project Overview'!$AL$400</definedName>
    <definedName name="vmSH">'Project Overview'!$B$51</definedName>
    <definedName name="vmshtc">Scoring!$B$16</definedName>
    <definedName name="vmSpecialNeeds">'Project Overview'!$B$46</definedName>
    <definedName name="vmSponDev">'Project Overview'!$AL$74</definedName>
    <definedName name="vmSustainableCS">Scoring!$AL$247</definedName>
    <definedName name="vmTAL">Scoring!$AL$221</definedName>
    <definedName name="vmTaxResev">'Project Overview'!$AK$120</definedName>
    <definedName name="vmTH">'Project Overview'!$B$53</definedName>
    <definedName name="vmTPA">Scoring!$AL$253</definedName>
    <definedName name="vmTribalEntity">'Project Overview'!$M$57</definedName>
    <definedName name="vmUrban">'Project Overview'!$V$25</definedName>
    <definedName name="vmWCL">Scoring!$AL$187</definedName>
    <definedName name="vmWCL2">Scoring!$AL$170</definedName>
    <definedName name="wrn.Board._.Commitment._.Package." localSheetId="15" hidden="1">{"Project Summary",#N/A,FALSE,"Project Summary";"Rent Summary",#N/A,FALSE,"Rent Summary";"Operating Budget Detail",#N/A,FALSE,"Operations";"Operating Budget Summary",#N/A,FALSE,"Operations";"Sources and Uses",#N/A,FALSE,"Sources &amp; Uses";"Cash Flow",#N/A,FALSE,"Cash Flow"}</definedName>
    <definedName name="wrn.Board._.Commitment._.Package." localSheetId="11" hidden="1">{"Project Summary",#N/A,FALSE,"Project Summary";"Rent Summary",#N/A,FALSE,"Rent Summary";"Operating Budget Detail",#N/A,FALSE,"Operations";"Operating Budget Summary",#N/A,FALSE,"Operations";"Sources and Uses",#N/A,FALSE,"Sources &amp; Uses";"Cash Flow",#N/A,FALSE,"Cash Flow"}</definedName>
    <definedName name="wrn.Board._.Commitment._.Package." localSheetId="10" hidden="1">{"Project Summary",#N/A,FALSE,"Project Summary";"Rent Summary",#N/A,FALSE,"Rent Summary";"Operating Budget Detail",#N/A,FALSE,"Operations";"Operating Budget Summary",#N/A,FALSE,"Operations";"Sources and Uses",#N/A,FALSE,"Sources &amp; Uses";"Cash Flow",#N/A,FALSE,"Cash Flow"}</definedName>
    <definedName name="wrn.Board._.Commitment._.Package." localSheetId="26" hidden="1">{"Project Summary",#N/A,FALSE,"Project Summary";"Rent Summary",#N/A,FALSE,"Rent Summary";"Operating Budget Detail",#N/A,FALSE,"Operations";"Operating Budget Summary",#N/A,FALSE,"Operations";"Sources and Uses",#N/A,FALSE,"Sources &amp; Uses";"Cash Flow",#N/A,FALSE,"Cash Flow"}</definedName>
    <definedName name="wrn.Board._.Commitment._.Package." localSheetId="16" hidden="1">{"Project Summary",#N/A,FALSE,"Project Summary";"Rent Summary",#N/A,FALSE,"Rent Summary";"Operating Budget Detail",#N/A,FALSE,"Operations";"Operating Budget Summary",#N/A,FALSE,"Operations";"Sources and Uses",#N/A,FALSE,"Sources &amp; Uses";"Cash Flow",#N/A,FALSE,"Cash Flow"}</definedName>
    <definedName name="wrn.Board._.Commitment._.Package." localSheetId="24" hidden="1">{"Project Summary",#N/A,FALSE,"Project Summary";"Rent Summary",#N/A,FALSE,"Rent Summary";"Operating Budget Detail",#N/A,FALSE,"Operations";"Operating Budget Summary",#N/A,FALSE,"Operations";"Sources and Uses",#N/A,FALSE,"Sources &amp; Uses";"Cash Flow",#N/A,FALSE,"Cash Flow"}</definedName>
    <definedName name="wrn.Board._.Commitment._.Package." localSheetId="9" hidden="1">{"Project Summary",#N/A,FALSE,"Project Summary";"Rent Summary",#N/A,FALSE,"Rent Summary";"Operating Budget Detail",#N/A,FALSE,"Operations";"Operating Budget Summary",#N/A,FALSE,"Operations";"Sources and Uses",#N/A,FALSE,"Sources &amp; Uses";"Cash Flow",#N/A,FALSE,"Cash Flow"}</definedName>
    <definedName name="wrn.Board._.Commitment._.Package." localSheetId="4" hidden="1">{"Project Summary",#N/A,FALSE,"Project Summary";"Rent Summary",#N/A,FALSE,"Rent Summary";"Operating Budget Detail",#N/A,FALSE,"Operations";"Operating Budget Summary",#N/A,FALSE,"Operations";"Sources and Uses",#N/A,FALSE,"Sources &amp; Uses";"Cash Flow",#N/A,FALSE,"Cash Flow"}</definedName>
    <definedName name="wrn.Board._.Commitment._.Package." localSheetId="12" hidden="1">{"Project Summary",#N/A,FALSE,"Project Summary";"Rent Summary",#N/A,FALSE,"Rent Summary";"Operating Budget Detail",#N/A,FALSE,"Operations";"Operating Budget Summary",#N/A,FALSE,"Operations";"Sources and Uses",#N/A,FALSE,"Sources &amp; Uses";"Cash Flow",#N/A,FALSE,"Cash Flow"}</definedName>
    <definedName name="wrn.Board._.Commitment._.Package." localSheetId="19" hidden="1">{"Project Summary",#N/A,FALSE,"Project Summary";"Rent Summary",#N/A,FALSE,"Rent Summary";"Operating Budget Detail",#N/A,FALSE,"Operations";"Operating Budget Summary",#N/A,FALSE,"Operations";"Sources and Uses",#N/A,FALSE,"Sources &amp; Uses";"Cash Flow",#N/A,FALSE,"Cash Flow"}</definedName>
    <definedName name="wrn.Board._.Commitment._.Package." localSheetId="20" hidden="1">{"Project Summary",#N/A,FALSE,"Project Summary";"Rent Summary",#N/A,FALSE,"Rent Summary";"Operating Budget Detail",#N/A,FALSE,"Operations";"Operating Budget Summary",#N/A,FALSE,"Operations";"Sources and Uses",#N/A,FALSE,"Sources &amp; Uses";"Cash Flow",#N/A,FALSE,"Cash Flow"}</definedName>
    <definedName name="wrn.Board._.Commitment._.Package." localSheetId="22" hidden="1">{"Project Summary",#N/A,FALSE,"Project Summary";"Rent Summary",#N/A,FALSE,"Rent Summary";"Operating Budget Detail",#N/A,FALSE,"Operations";"Operating Budget Summary",#N/A,FALSE,"Operations";"Sources and Uses",#N/A,FALSE,"Sources &amp; Uses";"Cash Flow",#N/A,FALSE,"Cash Flow"}</definedName>
    <definedName name="wrn.Board._.Commitment._.Package." localSheetId="23" hidden="1">{"Project Summary",#N/A,FALSE,"Project Summary";"Rent Summary",#N/A,FALSE,"Rent Summary";"Operating Budget Detail",#N/A,FALSE,"Operations";"Operating Budget Summary",#N/A,FALSE,"Operations";"Sources and Uses",#N/A,FALSE,"Sources &amp; Uses";"Cash Flow",#N/A,FALSE,"Cash Flow"}</definedName>
    <definedName name="wrn.Board._.Commitment._.Package." localSheetId="29" hidden="1">{"Project Summary",#N/A,FALSE,"Project Summary";"Rent Summary",#N/A,FALSE,"Rent Summary";"Operating Budget Detail",#N/A,FALSE,"Operations";"Operating Budget Summary",#N/A,FALSE,"Operations";"Sources and Uses",#N/A,FALSE,"Sources &amp; Uses";"Cash Flow",#N/A,FALSE,"Cash Flow"}</definedName>
    <definedName name="wrn.Board._.Commitment._.Package." hidden="1">{"Project Summary",#N/A,FALSE,"Project Summary";"Rent Summary",#N/A,FALSE,"Rent Summary";"Operating Budget Detail",#N/A,FALSE,"Operations";"Operating Budget Summary",#N/A,FALSE,"Operations";"Sources and Uses",#N/A,FALSE,"Sources &amp; Uses";"Cash Flow",#N/A,FALSE,"Cash Flow"}</definedName>
    <definedName name="wrn.Board._.Commitment._.Package._1" localSheetId="15" hidden="1">{"Project Summary",#N/A,FALSE,"Project Summary";"Rent Summary",#N/A,FALSE,"Rent Summary";"Operating Budget Detail",#N/A,FALSE,"Operations";"Operating Budget Summary",#N/A,FALSE,"Operations";"Sources and Uses",#N/A,FALSE,"Sources &amp; Uses";"Cash Flow",#N/A,FALSE,"Cash Flow"}</definedName>
    <definedName name="wrn.Board._.Commitment._.Package._1" localSheetId="11" hidden="1">{"Project Summary",#N/A,FALSE,"Project Summary";"Rent Summary",#N/A,FALSE,"Rent Summary";"Operating Budget Detail",#N/A,FALSE,"Operations";"Operating Budget Summary",#N/A,FALSE,"Operations";"Sources and Uses",#N/A,FALSE,"Sources &amp; Uses";"Cash Flow",#N/A,FALSE,"Cash Flow"}</definedName>
    <definedName name="wrn.Board._.Commitment._.Package._1" localSheetId="10" hidden="1">{"Project Summary",#N/A,FALSE,"Project Summary";"Rent Summary",#N/A,FALSE,"Rent Summary";"Operating Budget Detail",#N/A,FALSE,"Operations";"Operating Budget Summary",#N/A,FALSE,"Operations";"Sources and Uses",#N/A,FALSE,"Sources &amp; Uses";"Cash Flow",#N/A,FALSE,"Cash Flow"}</definedName>
    <definedName name="wrn.Board._.Commitment._.Package._1" localSheetId="26" hidden="1">{"Project Summary",#N/A,FALSE,"Project Summary";"Rent Summary",#N/A,FALSE,"Rent Summary";"Operating Budget Detail",#N/A,FALSE,"Operations";"Operating Budget Summary",#N/A,FALSE,"Operations";"Sources and Uses",#N/A,FALSE,"Sources &amp; Uses";"Cash Flow",#N/A,FALSE,"Cash Flow"}</definedName>
    <definedName name="wrn.Board._.Commitment._.Package._1" localSheetId="16" hidden="1">{"Project Summary",#N/A,FALSE,"Project Summary";"Rent Summary",#N/A,FALSE,"Rent Summary";"Operating Budget Detail",#N/A,FALSE,"Operations";"Operating Budget Summary",#N/A,FALSE,"Operations";"Sources and Uses",#N/A,FALSE,"Sources &amp; Uses";"Cash Flow",#N/A,FALSE,"Cash Flow"}</definedName>
    <definedName name="wrn.Board._.Commitment._.Package._1" localSheetId="24" hidden="1">{"Project Summary",#N/A,FALSE,"Project Summary";"Rent Summary",#N/A,FALSE,"Rent Summary";"Operating Budget Detail",#N/A,FALSE,"Operations";"Operating Budget Summary",#N/A,FALSE,"Operations";"Sources and Uses",#N/A,FALSE,"Sources &amp; Uses";"Cash Flow",#N/A,FALSE,"Cash Flow"}</definedName>
    <definedName name="wrn.Board._.Commitment._.Package._1" localSheetId="9" hidden="1">{"Project Summary",#N/A,FALSE,"Project Summary";"Rent Summary",#N/A,FALSE,"Rent Summary";"Operating Budget Detail",#N/A,FALSE,"Operations";"Operating Budget Summary",#N/A,FALSE,"Operations";"Sources and Uses",#N/A,FALSE,"Sources &amp; Uses";"Cash Flow",#N/A,FALSE,"Cash Flow"}</definedName>
    <definedName name="wrn.Board._.Commitment._.Package._1" localSheetId="4" hidden="1">{"Project Summary",#N/A,FALSE,"Project Summary";"Rent Summary",#N/A,FALSE,"Rent Summary";"Operating Budget Detail",#N/A,FALSE,"Operations";"Operating Budget Summary",#N/A,FALSE,"Operations";"Sources and Uses",#N/A,FALSE,"Sources &amp; Uses";"Cash Flow",#N/A,FALSE,"Cash Flow"}</definedName>
    <definedName name="wrn.Board._.Commitment._.Package._1" localSheetId="12" hidden="1">{"Project Summary",#N/A,FALSE,"Project Summary";"Rent Summary",#N/A,FALSE,"Rent Summary";"Operating Budget Detail",#N/A,FALSE,"Operations";"Operating Budget Summary",#N/A,FALSE,"Operations";"Sources and Uses",#N/A,FALSE,"Sources &amp; Uses";"Cash Flow",#N/A,FALSE,"Cash Flow"}</definedName>
    <definedName name="wrn.Board._.Commitment._.Package._1" localSheetId="19" hidden="1">{"Project Summary",#N/A,FALSE,"Project Summary";"Rent Summary",#N/A,FALSE,"Rent Summary";"Operating Budget Detail",#N/A,FALSE,"Operations";"Operating Budget Summary",#N/A,FALSE,"Operations";"Sources and Uses",#N/A,FALSE,"Sources &amp; Uses";"Cash Flow",#N/A,FALSE,"Cash Flow"}</definedName>
    <definedName name="wrn.Board._.Commitment._.Package._1" localSheetId="20" hidden="1">{"Project Summary",#N/A,FALSE,"Project Summary";"Rent Summary",#N/A,FALSE,"Rent Summary";"Operating Budget Detail",#N/A,FALSE,"Operations";"Operating Budget Summary",#N/A,FALSE,"Operations";"Sources and Uses",#N/A,FALSE,"Sources &amp; Uses";"Cash Flow",#N/A,FALSE,"Cash Flow"}</definedName>
    <definedName name="wrn.Board._.Commitment._.Package._1" localSheetId="22" hidden="1">{"Project Summary",#N/A,FALSE,"Project Summary";"Rent Summary",#N/A,FALSE,"Rent Summary";"Operating Budget Detail",#N/A,FALSE,"Operations";"Operating Budget Summary",#N/A,FALSE,"Operations";"Sources and Uses",#N/A,FALSE,"Sources &amp; Uses";"Cash Flow",#N/A,FALSE,"Cash Flow"}</definedName>
    <definedName name="wrn.Board._.Commitment._.Package._1" hidden="1">{"Project Summary",#N/A,FALSE,"Project Summary";"Rent Summary",#N/A,FALSE,"Rent Summary";"Operating Budget Detail",#N/A,FALSE,"Operations";"Operating Budget Summary",#N/A,FALSE,"Operations";"Sources and Uses",#N/A,FALSE,"Sources &amp; Uses";"Cash Flow",#N/A,FALSE,"Cash Flow"}</definedName>
    <definedName name="wrn.Board._.Commitment._.Package.X" localSheetId="15" hidden="1">{"Project Summary",#N/A,FALSE,"Project Summary";"Rent Summary",#N/A,FALSE,"Rent Summary";"Operating Budget Detail",#N/A,FALSE,"Operations";"Operating Budget Summary",#N/A,FALSE,"Operations";"Sources and Uses",#N/A,FALSE,"Sources &amp; Uses";"Cash Flow",#N/A,FALSE,"Cash Flow"}</definedName>
    <definedName name="wrn.Board._.Commitment._.Package.X" localSheetId="11" hidden="1">{"Project Summary",#N/A,FALSE,"Project Summary";"Rent Summary",#N/A,FALSE,"Rent Summary";"Operating Budget Detail",#N/A,FALSE,"Operations";"Operating Budget Summary",#N/A,FALSE,"Operations";"Sources and Uses",#N/A,FALSE,"Sources &amp; Uses";"Cash Flow",#N/A,FALSE,"Cash Flow"}</definedName>
    <definedName name="wrn.Board._.Commitment._.Package.X" localSheetId="10" hidden="1">{"Project Summary",#N/A,FALSE,"Project Summary";"Rent Summary",#N/A,FALSE,"Rent Summary";"Operating Budget Detail",#N/A,FALSE,"Operations";"Operating Budget Summary",#N/A,FALSE,"Operations";"Sources and Uses",#N/A,FALSE,"Sources &amp; Uses";"Cash Flow",#N/A,FALSE,"Cash Flow"}</definedName>
    <definedName name="wrn.Board._.Commitment._.Package.X" localSheetId="26" hidden="1">{"Project Summary",#N/A,FALSE,"Project Summary";"Rent Summary",#N/A,FALSE,"Rent Summary";"Operating Budget Detail",#N/A,FALSE,"Operations";"Operating Budget Summary",#N/A,FALSE,"Operations";"Sources and Uses",#N/A,FALSE,"Sources &amp; Uses";"Cash Flow",#N/A,FALSE,"Cash Flow"}</definedName>
    <definedName name="wrn.Board._.Commitment._.Package.X" localSheetId="16" hidden="1">{"Project Summary",#N/A,FALSE,"Project Summary";"Rent Summary",#N/A,FALSE,"Rent Summary";"Operating Budget Detail",#N/A,FALSE,"Operations";"Operating Budget Summary",#N/A,FALSE,"Operations";"Sources and Uses",#N/A,FALSE,"Sources &amp; Uses";"Cash Flow",#N/A,FALSE,"Cash Flow"}</definedName>
    <definedName name="wrn.Board._.Commitment._.Package.X" localSheetId="24" hidden="1">{"Project Summary",#N/A,FALSE,"Project Summary";"Rent Summary",#N/A,FALSE,"Rent Summary";"Operating Budget Detail",#N/A,FALSE,"Operations";"Operating Budget Summary",#N/A,FALSE,"Operations";"Sources and Uses",#N/A,FALSE,"Sources &amp; Uses";"Cash Flow",#N/A,FALSE,"Cash Flow"}</definedName>
    <definedName name="wrn.Board._.Commitment._.Package.X" localSheetId="9" hidden="1">{"Project Summary",#N/A,FALSE,"Project Summary";"Rent Summary",#N/A,FALSE,"Rent Summary";"Operating Budget Detail",#N/A,FALSE,"Operations";"Operating Budget Summary",#N/A,FALSE,"Operations";"Sources and Uses",#N/A,FALSE,"Sources &amp; Uses";"Cash Flow",#N/A,FALSE,"Cash Flow"}</definedName>
    <definedName name="wrn.Board._.Commitment._.Package.X" localSheetId="4" hidden="1">{"Project Summary",#N/A,FALSE,"Project Summary";"Rent Summary",#N/A,FALSE,"Rent Summary";"Operating Budget Detail",#N/A,FALSE,"Operations";"Operating Budget Summary",#N/A,FALSE,"Operations";"Sources and Uses",#N/A,FALSE,"Sources &amp; Uses";"Cash Flow",#N/A,FALSE,"Cash Flow"}</definedName>
    <definedName name="wrn.Board._.Commitment._.Package.X" localSheetId="12" hidden="1">{"Project Summary",#N/A,FALSE,"Project Summary";"Rent Summary",#N/A,FALSE,"Rent Summary";"Operating Budget Detail",#N/A,FALSE,"Operations";"Operating Budget Summary",#N/A,FALSE,"Operations";"Sources and Uses",#N/A,FALSE,"Sources &amp; Uses";"Cash Flow",#N/A,FALSE,"Cash Flow"}</definedName>
    <definedName name="wrn.Board._.Commitment._.Package.X" localSheetId="20" hidden="1">{"Project Summary",#N/A,FALSE,"Project Summary";"Rent Summary",#N/A,FALSE,"Rent Summary";"Operating Budget Detail",#N/A,FALSE,"Operations";"Operating Budget Summary",#N/A,FALSE,"Operations";"Sources and Uses",#N/A,FALSE,"Sources &amp; Uses";"Cash Flow",#N/A,FALSE,"Cash Flow"}</definedName>
    <definedName name="wrn.Board._.Commitment._.Package.X" localSheetId="22" hidden="1">{"Project Summary",#N/A,FALSE,"Project Summary";"Rent Summary",#N/A,FALSE,"Rent Summary";"Operating Budget Detail",#N/A,FALSE,"Operations";"Operating Budget Summary",#N/A,FALSE,"Operations";"Sources and Uses",#N/A,FALSE,"Sources &amp; Uses";"Cash Flow",#N/A,FALSE,"Cash Flow"}</definedName>
    <definedName name="wrn.Board._.Commitment._.Package.X" hidden="1">{"Project Summary",#N/A,FALSE,"Project Summary";"Rent Summary",#N/A,FALSE,"Rent Summary";"Operating Budget Detail",#N/A,FALSE,"Operations";"Operating Budget Summary",#N/A,FALSE,"Operations";"Sources and Uses",#N/A,FALSE,"Sources &amp; Uses";"Cash Flow",#N/A,FALSE,"Cash Flow"}</definedName>
    <definedName name="wrn.Cash._.Flow." localSheetId="15" hidden="1">{"Cash Flow",#N/A,FALSE,"Cash Flow"}</definedName>
    <definedName name="wrn.Cash._.Flow." localSheetId="11" hidden="1">{"Cash Flow",#N/A,FALSE,"Cash Flow"}</definedName>
    <definedName name="wrn.Cash._.Flow." localSheetId="10" hidden="1">{"Cash Flow",#N/A,FALSE,"Cash Flow"}</definedName>
    <definedName name="wrn.Cash._.Flow." localSheetId="26" hidden="1">{"Cash Flow",#N/A,FALSE,"Cash Flow"}</definedName>
    <definedName name="wrn.Cash._.Flow." localSheetId="16" hidden="1">{"Cash Flow",#N/A,FALSE,"Cash Flow"}</definedName>
    <definedName name="wrn.Cash._.Flow." localSheetId="24" hidden="1">{"Cash Flow",#N/A,FALSE,"Cash Flow"}</definedName>
    <definedName name="wrn.Cash._.Flow." localSheetId="9" hidden="1">{"Cash Flow",#N/A,FALSE,"Cash Flow"}</definedName>
    <definedName name="wrn.Cash._.Flow." localSheetId="4" hidden="1">{"Cash Flow",#N/A,FALSE,"Cash Flow"}</definedName>
    <definedName name="wrn.Cash._.Flow." localSheetId="12" hidden="1">{"Cash Flow",#N/A,FALSE,"Cash Flow"}</definedName>
    <definedName name="wrn.Cash._.Flow." localSheetId="19" hidden="1">{"Cash Flow",#N/A,FALSE,"Cash Flow"}</definedName>
    <definedName name="wrn.Cash._.Flow." localSheetId="20" hidden="1">{"Cash Flow",#N/A,FALSE,"Cash Flow"}</definedName>
    <definedName name="wrn.Cash._.Flow." localSheetId="22" hidden="1">{"Cash Flow",#N/A,FALSE,"Cash Flow"}</definedName>
    <definedName name="wrn.Cash._.Flow." localSheetId="23" hidden="1">{"Cash Flow",#N/A,FALSE,"Cash Flow"}</definedName>
    <definedName name="wrn.Cash._.Flow." localSheetId="29" hidden="1">{"Cash Flow",#N/A,FALSE,"Cash Flow"}</definedName>
    <definedName name="wrn.Cash._.Flow." hidden="1">{"Cash Flow",#N/A,FALSE,"Cash Flow"}</definedName>
    <definedName name="wrn.Cash._.Flow._1" localSheetId="15" hidden="1">{"Cash Flow",#N/A,FALSE,"Cash Flow"}</definedName>
    <definedName name="wrn.Cash._.Flow._1" localSheetId="11" hidden="1">{"Cash Flow",#N/A,FALSE,"Cash Flow"}</definedName>
    <definedName name="wrn.Cash._.Flow._1" localSheetId="10" hidden="1">{"Cash Flow",#N/A,FALSE,"Cash Flow"}</definedName>
    <definedName name="wrn.Cash._.Flow._1" localSheetId="26" hidden="1">{"Cash Flow",#N/A,FALSE,"Cash Flow"}</definedName>
    <definedName name="wrn.Cash._.Flow._1" localSheetId="16" hidden="1">{"Cash Flow",#N/A,FALSE,"Cash Flow"}</definedName>
    <definedName name="wrn.Cash._.Flow._1" localSheetId="24" hidden="1">{"Cash Flow",#N/A,FALSE,"Cash Flow"}</definedName>
    <definedName name="wrn.Cash._.Flow._1" localSheetId="9" hidden="1">{"Cash Flow",#N/A,FALSE,"Cash Flow"}</definedName>
    <definedName name="wrn.Cash._.Flow._1" localSheetId="4" hidden="1">{"Cash Flow",#N/A,FALSE,"Cash Flow"}</definedName>
    <definedName name="wrn.Cash._.Flow._1" localSheetId="12" hidden="1">{"Cash Flow",#N/A,FALSE,"Cash Flow"}</definedName>
    <definedName name="wrn.Cash._.Flow._1" localSheetId="19" hidden="1">{"Cash Flow",#N/A,FALSE,"Cash Flow"}</definedName>
    <definedName name="wrn.Cash._.Flow._1" localSheetId="20" hidden="1">{"Cash Flow",#N/A,FALSE,"Cash Flow"}</definedName>
    <definedName name="wrn.Cash._.Flow._1" localSheetId="22" hidden="1">{"Cash Flow",#N/A,FALSE,"Cash Flow"}</definedName>
    <definedName name="wrn.Cash._.Flow._1" hidden="1">{"Cash Flow",#N/A,FALSE,"Cash Flow"}</definedName>
    <definedName name="wrn.Cash._.Flow.X" localSheetId="15" hidden="1">{"Cash Flow",#N/A,FALSE,"Cash Flow"}</definedName>
    <definedName name="wrn.Cash._.Flow.X" localSheetId="11" hidden="1">{"Cash Flow",#N/A,FALSE,"Cash Flow"}</definedName>
    <definedName name="wrn.Cash._.Flow.X" localSheetId="10" hidden="1">{"Cash Flow",#N/A,FALSE,"Cash Flow"}</definedName>
    <definedName name="wrn.Cash._.Flow.X" localSheetId="26" hidden="1">{"Cash Flow",#N/A,FALSE,"Cash Flow"}</definedName>
    <definedName name="wrn.Cash._.Flow.X" localSheetId="16" hidden="1">{"Cash Flow",#N/A,FALSE,"Cash Flow"}</definedName>
    <definedName name="wrn.Cash._.Flow.X" localSheetId="24" hidden="1">{"Cash Flow",#N/A,FALSE,"Cash Flow"}</definedName>
    <definedName name="wrn.Cash._.Flow.X" localSheetId="9" hidden="1">{"Cash Flow",#N/A,FALSE,"Cash Flow"}</definedName>
    <definedName name="wrn.Cash._.Flow.X" localSheetId="4" hidden="1">{"Cash Flow",#N/A,FALSE,"Cash Flow"}</definedName>
    <definedName name="wrn.Cash._.Flow.X" localSheetId="12" hidden="1">{"Cash Flow",#N/A,FALSE,"Cash Flow"}</definedName>
    <definedName name="wrn.Cash._.Flow.X" localSheetId="20" hidden="1">{"Cash Flow",#N/A,FALSE,"Cash Flow"}</definedName>
    <definedName name="wrn.Cash._.Flow.X" localSheetId="22" hidden="1">{"Cash Flow",#N/A,FALSE,"Cash Flow"}</definedName>
    <definedName name="wrn.Cash._.Flow.X" hidden="1">{"Cash Flow",#N/A,FALSE,"Cash Flow"}</definedName>
    <definedName name="wrn.Construction._.Draws." localSheetId="15" hidden="1">{"Construction Draws",#N/A,FALSE,"Hard Cost Breakdown";"Hard Cost Disbursement Summary",#N/A,FALSE,"Hard Cost Breakdown"}</definedName>
    <definedName name="wrn.Construction._.Draws." localSheetId="11" hidden="1">{"Construction Draws",#N/A,FALSE,"Hard Cost Breakdown";"Hard Cost Disbursement Summary",#N/A,FALSE,"Hard Cost Breakdown"}</definedName>
    <definedName name="wrn.Construction._.Draws." localSheetId="10" hidden="1">{"Construction Draws",#N/A,FALSE,"Hard Cost Breakdown";"Hard Cost Disbursement Summary",#N/A,FALSE,"Hard Cost Breakdown"}</definedName>
    <definedName name="wrn.Construction._.Draws." localSheetId="26" hidden="1">{"Construction Draws",#N/A,FALSE,"Hard Cost Breakdown";"Hard Cost Disbursement Summary",#N/A,FALSE,"Hard Cost Breakdown"}</definedName>
    <definedName name="wrn.Construction._.Draws." localSheetId="16" hidden="1">{"Construction Draws",#N/A,FALSE,"Hard Cost Breakdown";"Hard Cost Disbursement Summary",#N/A,FALSE,"Hard Cost Breakdown"}</definedName>
    <definedName name="wrn.Construction._.Draws." localSheetId="24" hidden="1">{"Construction Draws",#N/A,FALSE,"Hard Cost Breakdown";"Hard Cost Disbursement Summary",#N/A,FALSE,"Hard Cost Breakdown"}</definedName>
    <definedName name="wrn.Construction._.Draws." localSheetId="9" hidden="1">{"Construction Draws",#N/A,FALSE,"Hard Cost Breakdown";"Hard Cost Disbursement Summary",#N/A,FALSE,"Hard Cost Breakdown"}</definedName>
    <definedName name="wrn.Construction._.Draws." localSheetId="4" hidden="1">{"Construction Draws",#N/A,FALSE,"Hard Cost Breakdown";"Hard Cost Disbursement Summary",#N/A,FALSE,"Hard Cost Breakdown"}</definedName>
    <definedName name="wrn.Construction._.Draws." localSheetId="12" hidden="1">{"Construction Draws",#N/A,FALSE,"Hard Cost Breakdown";"Hard Cost Disbursement Summary",#N/A,FALSE,"Hard Cost Breakdown"}</definedName>
    <definedName name="wrn.Construction._.Draws." localSheetId="19" hidden="1">{"Construction Draws",#N/A,FALSE,"Hard Cost Breakdown";"Hard Cost Disbursement Summary",#N/A,FALSE,"Hard Cost Breakdown"}</definedName>
    <definedName name="wrn.Construction._.Draws." localSheetId="20" hidden="1">{"Construction Draws",#N/A,FALSE,"Hard Cost Breakdown";"Hard Cost Disbursement Summary",#N/A,FALSE,"Hard Cost Breakdown"}</definedName>
    <definedName name="wrn.Construction._.Draws." localSheetId="22" hidden="1">{"Construction Draws",#N/A,FALSE,"Hard Cost Breakdown";"Hard Cost Disbursement Summary",#N/A,FALSE,"Hard Cost Breakdown"}</definedName>
    <definedName name="wrn.Construction._.Draws." localSheetId="23" hidden="1">{"Construction Draws",#N/A,FALSE,"Hard Cost Breakdown";"Hard Cost Disbursement Summary",#N/A,FALSE,"Hard Cost Breakdown"}</definedName>
    <definedName name="wrn.Construction._.Draws." localSheetId="29" hidden="1">{"Construction Draws",#N/A,FALSE,"Hard Cost Breakdown";"Hard Cost Disbursement Summary",#N/A,FALSE,"Hard Cost Breakdown"}</definedName>
    <definedName name="wrn.Construction._.Draws." hidden="1">{"Construction Draws",#N/A,FALSE,"Hard Cost Breakdown";"Hard Cost Disbursement Summary",#N/A,FALSE,"Hard Cost Breakdown"}</definedName>
    <definedName name="wrn.Construction._.Draws._1" localSheetId="15" hidden="1">{"Construction Draws",#N/A,FALSE,"Hard Cost Breakdown";"Hard Cost Disbursement Summary",#N/A,FALSE,"Hard Cost Breakdown"}</definedName>
    <definedName name="wrn.Construction._.Draws._1" localSheetId="11" hidden="1">{"Construction Draws",#N/A,FALSE,"Hard Cost Breakdown";"Hard Cost Disbursement Summary",#N/A,FALSE,"Hard Cost Breakdown"}</definedName>
    <definedName name="wrn.Construction._.Draws._1" localSheetId="10" hidden="1">{"Construction Draws",#N/A,FALSE,"Hard Cost Breakdown";"Hard Cost Disbursement Summary",#N/A,FALSE,"Hard Cost Breakdown"}</definedName>
    <definedName name="wrn.Construction._.Draws._1" localSheetId="26" hidden="1">{"Construction Draws",#N/A,FALSE,"Hard Cost Breakdown";"Hard Cost Disbursement Summary",#N/A,FALSE,"Hard Cost Breakdown"}</definedName>
    <definedName name="wrn.Construction._.Draws._1" localSheetId="16" hidden="1">{"Construction Draws",#N/A,FALSE,"Hard Cost Breakdown";"Hard Cost Disbursement Summary",#N/A,FALSE,"Hard Cost Breakdown"}</definedName>
    <definedName name="wrn.Construction._.Draws._1" localSheetId="24" hidden="1">{"Construction Draws",#N/A,FALSE,"Hard Cost Breakdown";"Hard Cost Disbursement Summary",#N/A,FALSE,"Hard Cost Breakdown"}</definedName>
    <definedName name="wrn.Construction._.Draws._1" localSheetId="9" hidden="1">{"Construction Draws",#N/A,FALSE,"Hard Cost Breakdown";"Hard Cost Disbursement Summary",#N/A,FALSE,"Hard Cost Breakdown"}</definedName>
    <definedName name="wrn.Construction._.Draws._1" localSheetId="4" hidden="1">{"Construction Draws",#N/A,FALSE,"Hard Cost Breakdown";"Hard Cost Disbursement Summary",#N/A,FALSE,"Hard Cost Breakdown"}</definedName>
    <definedName name="wrn.Construction._.Draws._1" localSheetId="12" hidden="1">{"Construction Draws",#N/A,FALSE,"Hard Cost Breakdown";"Hard Cost Disbursement Summary",#N/A,FALSE,"Hard Cost Breakdown"}</definedName>
    <definedName name="wrn.Construction._.Draws._1" localSheetId="19" hidden="1">{"Construction Draws",#N/A,FALSE,"Hard Cost Breakdown";"Hard Cost Disbursement Summary",#N/A,FALSE,"Hard Cost Breakdown"}</definedName>
    <definedName name="wrn.Construction._.Draws._1" localSheetId="20" hidden="1">{"Construction Draws",#N/A,FALSE,"Hard Cost Breakdown";"Hard Cost Disbursement Summary",#N/A,FALSE,"Hard Cost Breakdown"}</definedName>
    <definedName name="wrn.Construction._.Draws._1" localSheetId="22" hidden="1">{"Construction Draws",#N/A,FALSE,"Hard Cost Breakdown";"Hard Cost Disbursement Summary",#N/A,FALSE,"Hard Cost Breakdown"}</definedName>
    <definedName name="wrn.Construction._.Draws._1" hidden="1">{"Construction Draws",#N/A,FALSE,"Hard Cost Breakdown";"Hard Cost Disbursement Summary",#N/A,FALSE,"Hard Cost Breakdown"}</definedName>
    <definedName name="wrn.Construction._.Sources._.and._.Uses." localSheetId="15" hidden="1">{"Sources and Uses - Construction",#N/A,FALSE,"Construction S &amp; U"}</definedName>
    <definedName name="wrn.Construction._.Sources._.and._.Uses." localSheetId="11" hidden="1">{"Sources and Uses - Construction",#N/A,FALSE,"Construction S &amp; U"}</definedName>
    <definedName name="wrn.Construction._.Sources._.and._.Uses." localSheetId="10" hidden="1">{"Sources and Uses - Construction",#N/A,FALSE,"Construction S &amp; U"}</definedName>
    <definedName name="wrn.Construction._.Sources._.and._.Uses." localSheetId="26" hidden="1">{"Sources and Uses - Construction",#N/A,FALSE,"Construction S &amp; U"}</definedName>
    <definedName name="wrn.Construction._.Sources._.and._.Uses." localSheetId="16" hidden="1">{"Sources and Uses - Construction",#N/A,FALSE,"Construction S &amp; U"}</definedName>
    <definedName name="wrn.Construction._.Sources._.and._.Uses." localSheetId="24" hidden="1">{"Sources and Uses - Construction",#N/A,FALSE,"Construction S &amp; U"}</definedName>
    <definedName name="wrn.Construction._.Sources._.and._.Uses." localSheetId="9" hidden="1">{"Sources and Uses - Construction",#N/A,FALSE,"Construction S &amp; U"}</definedName>
    <definedName name="wrn.Construction._.Sources._.and._.Uses." localSheetId="4" hidden="1">{"Sources and Uses - Construction",#N/A,FALSE,"Construction S &amp; U"}</definedName>
    <definedName name="wrn.Construction._.Sources._.and._.Uses." localSheetId="12" hidden="1">{"Sources and Uses - Construction",#N/A,FALSE,"Construction S &amp; U"}</definedName>
    <definedName name="wrn.Construction._.Sources._.and._.Uses." localSheetId="19" hidden="1">{"Sources and Uses - Construction",#N/A,FALSE,"Construction S &amp; U"}</definedName>
    <definedName name="wrn.Construction._.Sources._.and._.Uses." localSheetId="20" hidden="1">{"Sources and Uses - Construction",#N/A,FALSE,"Construction S &amp; U"}</definedName>
    <definedName name="wrn.Construction._.Sources._.and._.Uses." localSheetId="22" hidden="1">{"Sources and Uses - Construction",#N/A,FALSE,"Construction S &amp; U"}</definedName>
    <definedName name="wrn.Construction._.Sources._.and._.Uses." localSheetId="23" hidden="1">{"Sources and Uses - Construction",#N/A,FALSE,"Construction S &amp; U"}</definedName>
    <definedName name="wrn.Construction._.Sources._.and._.Uses." localSheetId="29" hidden="1">{"Sources and Uses - Construction",#N/A,FALSE,"Construction S &amp; U"}</definedName>
    <definedName name="wrn.Construction._.Sources._.and._.Uses." hidden="1">{"Sources and Uses - Construction",#N/A,FALSE,"Construction S &amp; U"}</definedName>
    <definedName name="wrn.Construction._.Sources._.and._.Uses._1" localSheetId="15" hidden="1">{"Sources and Uses - Construction",#N/A,FALSE,"Construction S &amp; U"}</definedName>
    <definedName name="wrn.Construction._.Sources._.and._.Uses._1" localSheetId="11" hidden="1">{"Sources and Uses - Construction",#N/A,FALSE,"Construction S &amp; U"}</definedName>
    <definedName name="wrn.Construction._.Sources._.and._.Uses._1" localSheetId="10" hidden="1">{"Sources and Uses - Construction",#N/A,FALSE,"Construction S &amp; U"}</definedName>
    <definedName name="wrn.Construction._.Sources._.and._.Uses._1" localSheetId="26" hidden="1">{"Sources and Uses - Construction",#N/A,FALSE,"Construction S &amp; U"}</definedName>
    <definedName name="wrn.Construction._.Sources._.and._.Uses._1" localSheetId="16" hidden="1">{"Sources and Uses - Construction",#N/A,FALSE,"Construction S &amp; U"}</definedName>
    <definedName name="wrn.Construction._.Sources._.and._.Uses._1" localSheetId="24" hidden="1">{"Sources and Uses - Construction",#N/A,FALSE,"Construction S &amp; U"}</definedName>
    <definedName name="wrn.Construction._.Sources._.and._.Uses._1" localSheetId="9" hidden="1">{"Sources and Uses - Construction",#N/A,FALSE,"Construction S &amp; U"}</definedName>
    <definedName name="wrn.Construction._.Sources._.and._.Uses._1" localSheetId="4" hidden="1">{"Sources and Uses - Construction",#N/A,FALSE,"Construction S &amp; U"}</definedName>
    <definedName name="wrn.Construction._.Sources._.and._.Uses._1" localSheetId="12" hidden="1">{"Sources and Uses - Construction",#N/A,FALSE,"Construction S &amp; U"}</definedName>
    <definedName name="wrn.Construction._.Sources._.and._.Uses._1" localSheetId="19" hidden="1">{"Sources and Uses - Construction",#N/A,FALSE,"Construction S &amp; U"}</definedName>
    <definedName name="wrn.Construction._.Sources._.and._.Uses._1" localSheetId="20" hidden="1">{"Sources and Uses - Construction",#N/A,FALSE,"Construction S &amp; U"}</definedName>
    <definedName name="wrn.Construction._.Sources._.and._.Uses._1" localSheetId="22" hidden="1">{"Sources and Uses - Construction",#N/A,FALSE,"Construction S &amp; U"}</definedName>
    <definedName name="wrn.Construction._.Sources._.and._.Uses._1" hidden="1">{"Sources and Uses - Construction",#N/A,FALSE,"Construction S &amp; U"}</definedName>
    <definedName name="wrn.Exhibit._.D._.to._.Constr.._.Loan._.Agmt." localSheetId="15" hidden="1">{"Construction Sources &amp; Uses Ex. D",#N/A,FALSE,"Construction S &amp; U"}</definedName>
    <definedName name="wrn.Exhibit._.D._.to._.Constr.._.Loan._.Agmt." localSheetId="11" hidden="1">{"Construction Sources &amp; Uses Ex. D",#N/A,FALSE,"Construction S &amp; U"}</definedName>
    <definedName name="wrn.Exhibit._.D._.to._.Constr.._.Loan._.Agmt." localSheetId="10" hidden="1">{"Construction Sources &amp; Uses Ex. D",#N/A,FALSE,"Construction S &amp; U"}</definedName>
    <definedName name="wrn.Exhibit._.D._.to._.Constr.._.Loan._.Agmt." localSheetId="26" hidden="1">{"Construction Sources &amp; Uses Ex. D",#N/A,FALSE,"Construction S &amp; U"}</definedName>
    <definedName name="wrn.Exhibit._.D._.to._.Constr.._.Loan._.Agmt." localSheetId="16" hidden="1">{"Construction Sources &amp; Uses Ex. D",#N/A,FALSE,"Construction S &amp; U"}</definedName>
    <definedName name="wrn.Exhibit._.D._.to._.Constr.._.Loan._.Agmt." localSheetId="24" hidden="1">{"Construction Sources &amp; Uses Ex. D",#N/A,FALSE,"Construction S &amp; U"}</definedName>
    <definedName name="wrn.Exhibit._.D._.to._.Constr.._.Loan._.Agmt." localSheetId="9" hidden="1">{"Construction Sources &amp; Uses Ex. D",#N/A,FALSE,"Construction S &amp; U"}</definedName>
    <definedName name="wrn.Exhibit._.D._.to._.Constr.._.Loan._.Agmt." localSheetId="4" hidden="1">{"Construction Sources &amp; Uses Ex. D",#N/A,FALSE,"Construction S &amp; U"}</definedName>
    <definedName name="wrn.Exhibit._.D._.to._.Constr.._.Loan._.Agmt." localSheetId="12" hidden="1">{"Construction Sources &amp; Uses Ex. D",#N/A,FALSE,"Construction S &amp; U"}</definedName>
    <definedName name="wrn.Exhibit._.D._.to._.Constr.._.Loan._.Agmt." localSheetId="19" hidden="1">{"Construction Sources &amp; Uses Ex. D",#N/A,FALSE,"Construction S &amp; U"}</definedName>
    <definedName name="wrn.Exhibit._.D._.to._.Constr.._.Loan._.Agmt." localSheetId="20" hidden="1">{"Construction Sources &amp; Uses Ex. D",#N/A,FALSE,"Construction S &amp; U"}</definedName>
    <definedName name="wrn.Exhibit._.D._.to._.Constr.._.Loan._.Agmt." localSheetId="22" hidden="1">{"Construction Sources &amp; Uses Ex. D",#N/A,FALSE,"Construction S &amp; U"}</definedName>
    <definedName name="wrn.Exhibit._.D._.to._.Constr.._.Loan._.Agmt." localSheetId="23" hidden="1">{"Construction Sources &amp; Uses Ex. D",#N/A,FALSE,"Construction S &amp; U"}</definedName>
    <definedName name="wrn.Exhibit._.D._.to._.Constr.._.Loan._.Agmt." localSheetId="29" hidden="1">{"Construction Sources &amp; Uses Ex. D",#N/A,FALSE,"Construction S &amp; U"}</definedName>
    <definedName name="wrn.Exhibit._.D._.to._.Constr.._.Loan._.Agmt." hidden="1">{"Construction Sources &amp; Uses Ex. D",#N/A,FALSE,"Construction S &amp; U"}</definedName>
    <definedName name="wrn.Exhibit._.D._.to._.Constr.._.Loan._.Agmt._1" localSheetId="15" hidden="1">{"Construction Sources &amp; Uses Ex. D",#N/A,FALSE,"Construction S &amp; U"}</definedName>
    <definedName name="wrn.Exhibit._.D._.to._.Constr.._.Loan._.Agmt._1" localSheetId="11" hidden="1">{"Construction Sources &amp; Uses Ex. D",#N/A,FALSE,"Construction S &amp; U"}</definedName>
    <definedName name="wrn.Exhibit._.D._.to._.Constr.._.Loan._.Agmt._1" localSheetId="10" hidden="1">{"Construction Sources &amp; Uses Ex. D",#N/A,FALSE,"Construction S &amp; U"}</definedName>
    <definedName name="wrn.Exhibit._.D._.to._.Constr.._.Loan._.Agmt._1" localSheetId="26" hidden="1">{"Construction Sources &amp; Uses Ex. D",#N/A,FALSE,"Construction S &amp; U"}</definedName>
    <definedName name="wrn.Exhibit._.D._.to._.Constr.._.Loan._.Agmt._1" localSheetId="16" hidden="1">{"Construction Sources &amp; Uses Ex. D",#N/A,FALSE,"Construction S &amp; U"}</definedName>
    <definedName name="wrn.Exhibit._.D._.to._.Constr.._.Loan._.Agmt._1" localSheetId="24" hidden="1">{"Construction Sources &amp; Uses Ex. D",#N/A,FALSE,"Construction S &amp; U"}</definedName>
    <definedName name="wrn.Exhibit._.D._.to._.Constr.._.Loan._.Agmt._1" localSheetId="9" hidden="1">{"Construction Sources &amp; Uses Ex. D",#N/A,FALSE,"Construction S &amp; U"}</definedName>
    <definedName name="wrn.Exhibit._.D._.to._.Constr.._.Loan._.Agmt._1" localSheetId="4" hidden="1">{"Construction Sources &amp; Uses Ex. D",#N/A,FALSE,"Construction S &amp; U"}</definedName>
    <definedName name="wrn.Exhibit._.D._.to._.Constr.._.Loan._.Agmt._1" localSheetId="12" hidden="1">{"Construction Sources &amp; Uses Ex. D",#N/A,FALSE,"Construction S &amp; U"}</definedName>
    <definedName name="wrn.Exhibit._.D._.to._.Constr.._.Loan._.Agmt._1" localSheetId="19" hidden="1">{"Construction Sources &amp; Uses Ex. D",#N/A,FALSE,"Construction S &amp; U"}</definedName>
    <definedName name="wrn.Exhibit._.D._.to._.Constr.._.Loan._.Agmt._1" localSheetId="20" hidden="1">{"Construction Sources &amp; Uses Ex. D",#N/A,FALSE,"Construction S &amp; U"}</definedName>
    <definedName name="wrn.Exhibit._.D._.to._.Constr.._.Loan._.Agmt._1" localSheetId="22" hidden="1">{"Construction Sources &amp; Uses Ex. D",#N/A,FALSE,"Construction S &amp; U"}</definedName>
    <definedName name="wrn.Exhibit._.D._.to._.Constr.._.Loan._.Agmt._1" hidden="1">{"Construction Sources &amp; Uses Ex. D",#N/A,FALSE,"Construction S &amp; U"}</definedName>
    <definedName name="wrn.Input._.Information." localSheetId="15" hidden="1">{"Input Pages 1 and 2",#N/A,FALSE,"Input";"Input Pages 3 and 4",#N/A,FALSE,"Input"}</definedName>
    <definedName name="wrn.Input._.Information." localSheetId="11" hidden="1">{"Input Pages 1 and 2",#N/A,FALSE,"Input";"Input Pages 3 and 4",#N/A,FALSE,"Input"}</definedName>
    <definedName name="wrn.Input._.Information." localSheetId="10" hidden="1">{"Input Pages 1 and 2",#N/A,FALSE,"Input";"Input Pages 3 and 4",#N/A,FALSE,"Input"}</definedName>
    <definedName name="wrn.Input._.Information." localSheetId="26" hidden="1">{"Input Pages 1 and 2",#N/A,FALSE,"Input";"Input Pages 3 and 4",#N/A,FALSE,"Input"}</definedName>
    <definedName name="wrn.Input._.Information." localSheetId="16" hidden="1">{"Input Pages 1 and 2",#N/A,FALSE,"Input";"Input Pages 3 and 4",#N/A,FALSE,"Input"}</definedName>
    <definedName name="wrn.Input._.Information." localSheetId="24" hidden="1">{"Input Pages 1 and 2",#N/A,FALSE,"Input";"Input Pages 3 and 4",#N/A,FALSE,"Input"}</definedName>
    <definedName name="wrn.Input._.Information." localSheetId="9" hidden="1">{"Input Pages 1 and 2",#N/A,FALSE,"Input";"Input Pages 3 and 4",#N/A,FALSE,"Input"}</definedName>
    <definedName name="wrn.Input._.Information." localSheetId="4" hidden="1">{"Input Pages 1 and 2",#N/A,FALSE,"Input";"Input Pages 3 and 4",#N/A,FALSE,"Input"}</definedName>
    <definedName name="wrn.Input._.Information." localSheetId="12" hidden="1">{"Input Pages 1 and 2",#N/A,FALSE,"Input";"Input Pages 3 and 4",#N/A,FALSE,"Input"}</definedName>
    <definedName name="wrn.Input._.Information." localSheetId="19" hidden="1">{"Input Pages 1 and 2",#N/A,FALSE,"Input";"Input Pages 3 and 4",#N/A,FALSE,"Input"}</definedName>
    <definedName name="wrn.Input._.Information." localSheetId="20" hidden="1">{"Input Pages 1 and 2",#N/A,FALSE,"Input";"Input Pages 3 and 4",#N/A,FALSE,"Input"}</definedName>
    <definedName name="wrn.Input._.Information." localSheetId="22" hidden="1">{"Input Pages 1 and 2",#N/A,FALSE,"Input";"Input Pages 3 and 4",#N/A,FALSE,"Input"}</definedName>
    <definedName name="wrn.Input._.Information." localSheetId="23" hidden="1">{"Input Pages 1 and 2",#N/A,FALSE,"Input";"Input Pages 3 and 4",#N/A,FALSE,"Input"}</definedName>
    <definedName name="wrn.Input._.Information." localSheetId="29" hidden="1">{"Input Pages 1 and 2",#N/A,FALSE,"Input";"Input Pages 3 and 4",#N/A,FALSE,"Input"}</definedName>
    <definedName name="wrn.Input._.Information." hidden="1">{"Input Pages 1 and 2",#N/A,FALSE,"Input";"Input Pages 3 and 4",#N/A,FALSE,"Input"}</definedName>
    <definedName name="wrn.Input._.Information._1" localSheetId="15" hidden="1">{"Input Pages 1 and 2",#N/A,FALSE,"Input";"Input Pages 3 and 4",#N/A,FALSE,"Input"}</definedName>
    <definedName name="wrn.Input._.Information._1" localSheetId="11" hidden="1">{"Input Pages 1 and 2",#N/A,FALSE,"Input";"Input Pages 3 and 4",#N/A,FALSE,"Input"}</definedName>
    <definedName name="wrn.Input._.Information._1" localSheetId="10" hidden="1">{"Input Pages 1 and 2",#N/A,FALSE,"Input";"Input Pages 3 and 4",#N/A,FALSE,"Input"}</definedName>
    <definedName name="wrn.Input._.Information._1" localSheetId="26" hidden="1">{"Input Pages 1 and 2",#N/A,FALSE,"Input";"Input Pages 3 and 4",#N/A,FALSE,"Input"}</definedName>
    <definedName name="wrn.Input._.Information._1" localSheetId="16" hidden="1">{"Input Pages 1 and 2",#N/A,FALSE,"Input";"Input Pages 3 and 4",#N/A,FALSE,"Input"}</definedName>
    <definedName name="wrn.Input._.Information._1" localSheetId="24" hidden="1">{"Input Pages 1 and 2",#N/A,FALSE,"Input";"Input Pages 3 and 4",#N/A,FALSE,"Input"}</definedName>
    <definedName name="wrn.Input._.Information._1" localSheetId="9" hidden="1">{"Input Pages 1 and 2",#N/A,FALSE,"Input";"Input Pages 3 and 4",#N/A,FALSE,"Input"}</definedName>
    <definedName name="wrn.Input._.Information._1" localSheetId="4" hidden="1">{"Input Pages 1 and 2",#N/A,FALSE,"Input";"Input Pages 3 and 4",#N/A,FALSE,"Input"}</definedName>
    <definedName name="wrn.Input._.Information._1" localSheetId="12" hidden="1">{"Input Pages 1 and 2",#N/A,FALSE,"Input";"Input Pages 3 and 4",#N/A,FALSE,"Input"}</definedName>
    <definedName name="wrn.Input._.Information._1" localSheetId="19" hidden="1">{"Input Pages 1 and 2",#N/A,FALSE,"Input";"Input Pages 3 and 4",#N/A,FALSE,"Input"}</definedName>
    <definedName name="wrn.Input._.Information._1" localSheetId="20" hidden="1">{"Input Pages 1 and 2",#N/A,FALSE,"Input";"Input Pages 3 and 4",#N/A,FALSE,"Input"}</definedName>
    <definedName name="wrn.Input._.Information._1" localSheetId="22" hidden="1">{"Input Pages 1 and 2",#N/A,FALSE,"Input";"Input Pages 3 and 4",#N/A,FALSE,"Input"}</definedName>
    <definedName name="wrn.Input._.Information._1" hidden="1">{"Input Pages 1 and 2",#N/A,FALSE,"Input";"Input Pages 3 and 4",#N/A,FALSE,"Input"}</definedName>
    <definedName name="wrn.Operating._.Budget." localSheetId="15" hidden="1">{"Operating Budget Detail",#N/A,FALSE,"Operations"}</definedName>
    <definedName name="wrn.Operating._.Budget." localSheetId="11" hidden="1">{"Operating Budget Detail",#N/A,FALSE,"Operations"}</definedName>
    <definedName name="wrn.Operating._.Budget." localSheetId="10" hidden="1">{"Operating Budget Detail",#N/A,FALSE,"Operations"}</definedName>
    <definedName name="wrn.Operating._.Budget." localSheetId="26" hidden="1">{"Operating Budget Detail",#N/A,FALSE,"Operations"}</definedName>
    <definedName name="wrn.Operating._.Budget." localSheetId="16" hidden="1">{"Operating Budget Detail",#N/A,FALSE,"Operations"}</definedName>
    <definedName name="wrn.Operating._.Budget." localSheetId="24" hidden="1">{"Operating Budget Detail",#N/A,FALSE,"Operations"}</definedName>
    <definedName name="wrn.Operating._.Budget." localSheetId="9" hidden="1">{"Operating Budget Detail",#N/A,FALSE,"Operations"}</definedName>
    <definedName name="wrn.Operating._.Budget." localSheetId="4" hidden="1">{"Operating Budget Detail",#N/A,FALSE,"Operations"}</definedName>
    <definedName name="wrn.Operating._.Budget." localSheetId="12" hidden="1">{"Operating Budget Detail",#N/A,FALSE,"Operations"}</definedName>
    <definedName name="wrn.Operating._.Budget." localSheetId="19" hidden="1">{"Operating Budget Detail",#N/A,FALSE,"Operations"}</definedName>
    <definedName name="wrn.Operating._.Budget." localSheetId="20" hidden="1">{"Operating Budget Detail",#N/A,FALSE,"Operations"}</definedName>
    <definedName name="wrn.Operating._.Budget." localSheetId="22" hidden="1">{"Operating Budget Detail",#N/A,FALSE,"Operations"}</definedName>
    <definedName name="wrn.Operating._.Budget." localSheetId="23" hidden="1">{"Operating Budget Detail",#N/A,FALSE,"Operations"}</definedName>
    <definedName name="wrn.Operating._.Budget." localSheetId="29" hidden="1">{"Operating Budget Detail",#N/A,FALSE,"Operations"}</definedName>
    <definedName name="wrn.Operating._.Budget." hidden="1">{"Operating Budget Detail",#N/A,FALSE,"Operations"}</definedName>
    <definedName name="wrn.Operating._.Budget._1" localSheetId="15" hidden="1">{"Operating Budget Detail",#N/A,FALSE,"Operations"}</definedName>
    <definedName name="wrn.Operating._.Budget._1" localSheetId="11" hidden="1">{"Operating Budget Detail",#N/A,FALSE,"Operations"}</definedName>
    <definedName name="wrn.Operating._.Budget._1" localSheetId="10" hidden="1">{"Operating Budget Detail",#N/A,FALSE,"Operations"}</definedName>
    <definedName name="wrn.Operating._.Budget._1" localSheetId="26" hidden="1">{"Operating Budget Detail",#N/A,FALSE,"Operations"}</definedName>
    <definedName name="wrn.Operating._.Budget._1" localSheetId="16" hidden="1">{"Operating Budget Detail",#N/A,FALSE,"Operations"}</definedName>
    <definedName name="wrn.Operating._.Budget._1" localSheetId="24" hidden="1">{"Operating Budget Detail",#N/A,FALSE,"Operations"}</definedName>
    <definedName name="wrn.Operating._.Budget._1" localSheetId="9" hidden="1">{"Operating Budget Detail",#N/A,FALSE,"Operations"}</definedName>
    <definedName name="wrn.Operating._.Budget._1" localSheetId="4" hidden="1">{"Operating Budget Detail",#N/A,FALSE,"Operations"}</definedName>
    <definedName name="wrn.Operating._.Budget._1" localSheetId="12" hidden="1">{"Operating Budget Detail",#N/A,FALSE,"Operations"}</definedName>
    <definedName name="wrn.Operating._.Budget._1" localSheetId="19" hidden="1">{"Operating Budget Detail",#N/A,FALSE,"Operations"}</definedName>
    <definedName name="wrn.Operating._.Budget._1" localSheetId="20" hidden="1">{"Operating Budget Detail",#N/A,FALSE,"Operations"}</definedName>
    <definedName name="wrn.Operating._.Budget._1" localSheetId="22" hidden="1">{"Operating Budget Detail",#N/A,FALSE,"Operations"}</definedName>
    <definedName name="wrn.Operating._.Budget._1" hidden="1">{"Operating Budget Detail",#N/A,FALSE,"Operations"}</definedName>
    <definedName name="wrn.Perm._.Sources._.and._.Uses." localSheetId="15" hidden="1">{"Sources and Uses with Eligible Basis",#N/A,FALSE,"Sources &amp; Uses";"Disbursement Schedule",#N/A,FALSE,"Sources &amp; Uses"}</definedName>
    <definedName name="wrn.Perm._.Sources._.and._.Uses." localSheetId="11" hidden="1">{"Sources and Uses with Eligible Basis",#N/A,FALSE,"Sources &amp; Uses";"Disbursement Schedule",#N/A,FALSE,"Sources &amp; Uses"}</definedName>
    <definedName name="wrn.Perm._.Sources._.and._.Uses." localSheetId="10" hidden="1">{"Sources and Uses with Eligible Basis",#N/A,FALSE,"Sources &amp; Uses";"Disbursement Schedule",#N/A,FALSE,"Sources &amp; Uses"}</definedName>
    <definedName name="wrn.Perm._.Sources._.and._.Uses." localSheetId="26" hidden="1">{"Sources and Uses with Eligible Basis",#N/A,FALSE,"Sources &amp; Uses";"Disbursement Schedule",#N/A,FALSE,"Sources &amp; Uses"}</definedName>
    <definedName name="wrn.Perm._.Sources._.and._.Uses." localSheetId="16" hidden="1">{"Sources and Uses with Eligible Basis",#N/A,FALSE,"Sources &amp; Uses";"Disbursement Schedule",#N/A,FALSE,"Sources &amp; Uses"}</definedName>
    <definedName name="wrn.Perm._.Sources._.and._.Uses." localSheetId="24" hidden="1">{"Sources and Uses with Eligible Basis",#N/A,FALSE,"Sources &amp; Uses";"Disbursement Schedule",#N/A,FALSE,"Sources &amp; Uses"}</definedName>
    <definedName name="wrn.Perm._.Sources._.and._.Uses." localSheetId="9" hidden="1">{"Sources and Uses with Eligible Basis",#N/A,FALSE,"Sources &amp; Uses";"Disbursement Schedule",#N/A,FALSE,"Sources &amp; Uses"}</definedName>
    <definedName name="wrn.Perm._.Sources._.and._.Uses." localSheetId="4" hidden="1">{"Sources and Uses with Eligible Basis",#N/A,FALSE,"Sources &amp; Uses";"Disbursement Schedule",#N/A,FALSE,"Sources &amp; Uses"}</definedName>
    <definedName name="wrn.Perm._.Sources._.and._.Uses." localSheetId="12" hidden="1">{"Sources and Uses with Eligible Basis",#N/A,FALSE,"Sources &amp; Uses";"Disbursement Schedule",#N/A,FALSE,"Sources &amp; Uses"}</definedName>
    <definedName name="wrn.Perm._.Sources._.and._.Uses." localSheetId="19" hidden="1">{"Sources and Uses with Eligible Basis",#N/A,FALSE,"Sources &amp; Uses";"Disbursement Schedule",#N/A,FALSE,"Sources &amp; Uses"}</definedName>
    <definedName name="wrn.Perm._.Sources._.and._.Uses." localSheetId="20" hidden="1">{"Sources and Uses with Eligible Basis",#N/A,FALSE,"Sources &amp; Uses";"Disbursement Schedule",#N/A,FALSE,"Sources &amp; Uses"}</definedName>
    <definedName name="wrn.Perm._.Sources._.and._.Uses." localSheetId="22" hidden="1">{"Sources and Uses with Eligible Basis",#N/A,FALSE,"Sources &amp; Uses";"Disbursement Schedule",#N/A,FALSE,"Sources &amp; Uses"}</definedName>
    <definedName name="wrn.Perm._.Sources._.and._.Uses." localSheetId="23" hidden="1">{"Sources and Uses with Eligible Basis",#N/A,FALSE,"Sources &amp; Uses";"Disbursement Schedule",#N/A,FALSE,"Sources &amp; Uses"}</definedName>
    <definedName name="wrn.Perm._.Sources._.and._.Uses." localSheetId="29" hidden="1">{"Sources and Uses with Eligible Basis",#N/A,FALSE,"Sources &amp; Uses";"Disbursement Schedule",#N/A,FALSE,"Sources &amp; Uses"}</definedName>
    <definedName name="wrn.Perm._.Sources._.and._.Uses." hidden="1">{"Sources and Uses with Eligible Basis",#N/A,FALSE,"Sources &amp; Uses";"Disbursement Schedule",#N/A,FALSE,"Sources &amp; Uses"}</definedName>
    <definedName name="wrn.Perm._.Sources._.and._.Uses._1" localSheetId="15" hidden="1">{"Sources and Uses with Eligible Basis",#N/A,FALSE,"Sources &amp; Uses";"Disbursement Schedule",#N/A,FALSE,"Sources &amp; Uses"}</definedName>
    <definedName name="wrn.Perm._.Sources._.and._.Uses._1" localSheetId="11" hidden="1">{"Sources and Uses with Eligible Basis",#N/A,FALSE,"Sources &amp; Uses";"Disbursement Schedule",#N/A,FALSE,"Sources &amp; Uses"}</definedName>
    <definedName name="wrn.Perm._.Sources._.and._.Uses._1" localSheetId="10" hidden="1">{"Sources and Uses with Eligible Basis",#N/A,FALSE,"Sources &amp; Uses";"Disbursement Schedule",#N/A,FALSE,"Sources &amp; Uses"}</definedName>
    <definedName name="wrn.Perm._.Sources._.and._.Uses._1" localSheetId="26" hidden="1">{"Sources and Uses with Eligible Basis",#N/A,FALSE,"Sources &amp; Uses";"Disbursement Schedule",#N/A,FALSE,"Sources &amp; Uses"}</definedName>
    <definedName name="wrn.Perm._.Sources._.and._.Uses._1" localSheetId="16" hidden="1">{"Sources and Uses with Eligible Basis",#N/A,FALSE,"Sources &amp; Uses";"Disbursement Schedule",#N/A,FALSE,"Sources &amp; Uses"}</definedName>
    <definedName name="wrn.Perm._.Sources._.and._.Uses._1" localSheetId="24" hidden="1">{"Sources and Uses with Eligible Basis",#N/A,FALSE,"Sources &amp; Uses";"Disbursement Schedule",#N/A,FALSE,"Sources &amp; Uses"}</definedName>
    <definedName name="wrn.Perm._.Sources._.and._.Uses._1" localSheetId="9" hidden="1">{"Sources and Uses with Eligible Basis",#N/A,FALSE,"Sources &amp; Uses";"Disbursement Schedule",#N/A,FALSE,"Sources &amp; Uses"}</definedName>
    <definedName name="wrn.Perm._.Sources._.and._.Uses._1" localSheetId="4" hidden="1">{"Sources and Uses with Eligible Basis",#N/A,FALSE,"Sources &amp; Uses";"Disbursement Schedule",#N/A,FALSE,"Sources &amp; Uses"}</definedName>
    <definedName name="wrn.Perm._.Sources._.and._.Uses._1" localSheetId="12" hidden="1">{"Sources and Uses with Eligible Basis",#N/A,FALSE,"Sources &amp; Uses";"Disbursement Schedule",#N/A,FALSE,"Sources &amp; Uses"}</definedName>
    <definedName name="wrn.Perm._.Sources._.and._.Uses._1" localSheetId="19" hidden="1">{"Sources and Uses with Eligible Basis",#N/A,FALSE,"Sources &amp; Uses";"Disbursement Schedule",#N/A,FALSE,"Sources &amp; Uses"}</definedName>
    <definedName name="wrn.Perm._.Sources._.and._.Uses._1" localSheetId="20" hidden="1">{"Sources and Uses with Eligible Basis",#N/A,FALSE,"Sources &amp; Uses";"Disbursement Schedule",#N/A,FALSE,"Sources &amp; Uses"}</definedName>
    <definedName name="wrn.Perm._.Sources._.and._.Uses._1" localSheetId="22" hidden="1">{"Sources and Uses with Eligible Basis",#N/A,FALSE,"Sources &amp; Uses";"Disbursement Schedule",#N/A,FALSE,"Sources &amp; Uses"}</definedName>
    <definedName name="wrn.Perm._.Sources._.and._.Uses._1" hidden="1">{"Sources and Uses with Eligible Basis",#N/A,FALSE,"Sources &amp; Uses";"Disbursement Schedule",#N/A,FALSE,"Sources &amp; Uses"}</definedName>
    <definedName name="wrn.Rent._.Calcs." localSheetId="15" hidden="1">{"Rent Calcs - all rents and two subsidies",#N/A,FALSE,"Rent Calcs";"Income Limits and Maximum Rents",#N/A,FALSE,"Rent Calcs"}</definedName>
    <definedName name="wrn.Rent._.Calcs." localSheetId="11" hidden="1">{"Rent Calcs - all rents and two subsidies",#N/A,FALSE,"Rent Calcs";"Income Limits and Maximum Rents",#N/A,FALSE,"Rent Calcs"}</definedName>
    <definedName name="wrn.Rent._.Calcs." localSheetId="10" hidden="1">{"Rent Calcs - all rents and two subsidies",#N/A,FALSE,"Rent Calcs";"Income Limits and Maximum Rents",#N/A,FALSE,"Rent Calcs"}</definedName>
    <definedName name="wrn.Rent._.Calcs." localSheetId="26" hidden="1">{"Rent Calcs - all rents and two subsidies",#N/A,FALSE,"Rent Calcs";"Income Limits and Maximum Rents",#N/A,FALSE,"Rent Calcs"}</definedName>
    <definedName name="wrn.Rent._.Calcs." localSheetId="16" hidden="1">{"Rent Calcs - all rents and two subsidies",#N/A,FALSE,"Rent Calcs";"Income Limits and Maximum Rents",#N/A,FALSE,"Rent Calcs"}</definedName>
    <definedName name="wrn.Rent._.Calcs." localSheetId="24" hidden="1">{"Rent Calcs - all rents and two subsidies",#N/A,FALSE,"Rent Calcs";"Income Limits and Maximum Rents",#N/A,FALSE,"Rent Calcs"}</definedName>
    <definedName name="wrn.Rent._.Calcs." localSheetId="9" hidden="1">{"Rent Calcs - all rents and two subsidies",#N/A,FALSE,"Rent Calcs";"Income Limits and Maximum Rents",#N/A,FALSE,"Rent Calcs"}</definedName>
    <definedName name="wrn.Rent._.Calcs." localSheetId="4" hidden="1">{"Rent Calcs - all rents and two subsidies",#N/A,FALSE,"Rent Calcs";"Income Limits and Maximum Rents",#N/A,FALSE,"Rent Calcs"}</definedName>
    <definedName name="wrn.Rent._.Calcs." localSheetId="12" hidden="1">{"Rent Calcs - all rents and two subsidies",#N/A,FALSE,"Rent Calcs";"Income Limits and Maximum Rents",#N/A,FALSE,"Rent Calcs"}</definedName>
    <definedName name="wrn.Rent._.Calcs." localSheetId="19" hidden="1">{"Rent Calcs - all rents and two subsidies",#N/A,FALSE,"Rent Calcs";"Income Limits and Maximum Rents",#N/A,FALSE,"Rent Calcs"}</definedName>
    <definedName name="wrn.Rent._.Calcs." localSheetId="20" hidden="1">{"Rent Calcs - all rents and two subsidies",#N/A,FALSE,"Rent Calcs";"Income Limits and Maximum Rents",#N/A,FALSE,"Rent Calcs"}</definedName>
    <definedName name="wrn.Rent._.Calcs." localSheetId="22" hidden="1">{"Rent Calcs - all rents and two subsidies",#N/A,FALSE,"Rent Calcs";"Income Limits and Maximum Rents",#N/A,FALSE,"Rent Calcs"}</definedName>
    <definedName name="wrn.Rent._.Calcs." localSheetId="23" hidden="1">{"Rent Calcs - all rents and two subsidies",#N/A,FALSE,"Rent Calcs";"Income Limits and Maximum Rents",#N/A,FALSE,"Rent Calcs"}</definedName>
    <definedName name="wrn.Rent._.Calcs." localSheetId="29" hidden="1">{"Rent Calcs - all rents and two subsidies",#N/A,FALSE,"Rent Calcs";"Income Limits and Maximum Rents",#N/A,FALSE,"Rent Calcs"}</definedName>
    <definedName name="wrn.Rent._.Calcs." hidden="1">{"Rent Calcs - all rents and two subsidies",#N/A,FALSE,"Rent Calcs";"Income Limits and Maximum Rents",#N/A,FALSE,"Rent Calcs"}</definedName>
    <definedName name="wrn.Rent._.Calcs._1" localSheetId="15" hidden="1">{"Rent Calcs - all rents and two subsidies",#N/A,FALSE,"Rent Calcs";"Income Limits and Maximum Rents",#N/A,FALSE,"Rent Calcs"}</definedName>
    <definedName name="wrn.Rent._.Calcs._1" localSheetId="11" hidden="1">{"Rent Calcs - all rents and two subsidies",#N/A,FALSE,"Rent Calcs";"Income Limits and Maximum Rents",#N/A,FALSE,"Rent Calcs"}</definedName>
    <definedName name="wrn.Rent._.Calcs._1" localSheetId="10" hidden="1">{"Rent Calcs - all rents and two subsidies",#N/A,FALSE,"Rent Calcs";"Income Limits and Maximum Rents",#N/A,FALSE,"Rent Calcs"}</definedName>
    <definedName name="wrn.Rent._.Calcs._1" localSheetId="26" hidden="1">{"Rent Calcs - all rents and two subsidies",#N/A,FALSE,"Rent Calcs";"Income Limits and Maximum Rents",#N/A,FALSE,"Rent Calcs"}</definedName>
    <definedName name="wrn.Rent._.Calcs._1" localSheetId="16" hidden="1">{"Rent Calcs - all rents and two subsidies",#N/A,FALSE,"Rent Calcs";"Income Limits and Maximum Rents",#N/A,FALSE,"Rent Calcs"}</definedName>
    <definedName name="wrn.Rent._.Calcs._1" localSheetId="24" hidden="1">{"Rent Calcs - all rents and two subsidies",#N/A,FALSE,"Rent Calcs";"Income Limits and Maximum Rents",#N/A,FALSE,"Rent Calcs"}</definedName>
    <definedName name="wrn.Rent._.Calcs._1" localSheetId="9" hidden="1">{"Rent Calcs - all rents and two subsidies",#N/A,FALSE,"Rent Calcs";"Income Limits and Maximum Rents",#N/A,FALSE,"Rent Calcs"}</definedName>
    <definedName name="wrn.Rent._.Calcs._1" localSheetId="4" hidden="1">{"Rent Calcs - all rents and two subsidies",#N/A,FALSE,"Rent Calcs";"Income Limits and Maximum Rents",#N/A,FALSE,"Rent Calcs"}</definedName>
    <definedName name="wrn.Rent._.Calcs._1" localSheetId="12" hidden="1">{"Rent Calcs - all rents and two subsidies",#N/A,FALSE,"Rent Calcs";"Income Limits and Maximum Rents",#N/A,FALSE,"Rent Calcs"}</definedName>
    <definedName name="wrn.Rent._.Calcs._1" localSheetId="19" hidden="1">{"Rent Calcs - all rents and two subsidies",#N/A,FALSE,"Rent Calcs";"Income Limits and Maximum Rents",#N/A,FALSE,"Rent Calcs"}</definedName>
    <definedName name="wrn.Rent._.Calcs._1" localSheetId="20" hidden="1">{"Rent Calcs - all rents and two subsidies",#N/A,FALSE,"Rent Calcs";"Income Limits and Maximum Rents",#N/A,FALSE,"Rent Calcs"}</definedName>
    <definedName name="wrn.Rent._.Calcs._1" localSheetId="22" hidden="1">{"Rent Calcs - all rents and two subsidies",#N/A,FALSE,"Rent Calcs";"Income Limits and Maximum Rents",#N/A,FALSE,"Rent Calcs"}</definedName>
    <definedName name="wrn.Rent._.Calcs._1" hidden="1">{"Rent Calcs - all rents and two subsidies",#N/A,FALSE,"Rent Calcs";"Income Limits and Maximum Rents",#N/A,FALSE,"Rent Calcs"}</definedName>
    <definedName name="wrn.Rent._.Summary." localSheetId="15"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localSheetId="11"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localSheetId="10"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localSheetId="26"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localSheetId="16"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localSheetId="24"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localSheetId="9"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localSheetId="4"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localSheetId="12"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localSheetId="19"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localSheetId="20"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localSheetId="22"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localSheetId="23"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localSheetId="29"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_1" localSheetId="15"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_1" localSheetId="11"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_1" localSheetId="10"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_1" localSheetId="26"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_1" localSheetId="16"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_1" localSheetId="24"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_1" localSheetId="9"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_1" localSheetId="4"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_1" localSheetId="12"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_1" localSheetId="19"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_1" localSheetId="20"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_1" localSheetId="22" hidden="1">{"Rent Summary",#N/A,FALSE,"Rent Summary";"Regulated Units by Agency",#N/A,FALSE,"Rent Calcs";"Rent Calcs - all rents and two subsidies",#N/A,FALSE,"Rent Calcs";"Rent Calcs - CalHFA and TCAC",#N/A,FALSE,"Rent Calcs";"Rent Calcs - HUD Income Limits and Rents",#N/A,FALSE,"Rent Calcs"}</definedName>
    <definedName name="wrn.Rent._.Summary._1" hidden="1">{"Rent Summary",#N/A,FALSE,"Rent Summary";"Regulated Units by Agency",#N/A,FALSE,"Rent Calcs";"Rent Calcs - all rents and two subsidies",#N/A,FALSE,"Rent Calcs";"Rent Calcs - CalHFA and TCAC",#N/A,FALSE,"Rent Calcs";"Rent Calcs - HUD Income Limits and Rents",#N/A,FALSE,"Rent Calcs"}</definedName>
    <definedName name="wrn.Sources._.and._.Uses." localSheetId="15" hidden="1">{"Sources and Uses",#N/A,FALSE,"Sources &amp; Uses";"Construction Sources &amp; Uses Ex. D",#N/A,FALSE,"Sources &amp; Uses"}</definedName>
    <definedName name="wrn.Sources._.and._.Uses." localSheetId="11" hidden="1">{"Sources and Uses",#N/A,FALSE,"Sources &amp; Uses";"Construction Sources &amp; Uses Ex. D",#N/A,FALSE,"Sources &amp; Uses"}</definedName>
    <definedName name="wrn.Sources._.and._.Uses." localSheetId="10" hidden="1">{"Sources and Uses",#N/A,FALSE,"Sources &amp; Uses";"Construction Sources &amp; Uses Ex. D",#N/A,FALSE,"Sources &amp; Uses"}</definedName>
    <definedName name="wrn.Sources._.and._.Uses." localSheetId="26" hidden="1">{"Sources and Uses",#N/A,FALSE,"Sources &amp; Uses";"Construction Sources &amp; Uses Ex. D",#N/A,FALSE,"Sources &amp; Uses"}</definedName>
    <definedName name="wrn.Sources._.and._.Uses." localSheetId="16" hidden="1">{"Sources and Uses",#N/A,FALSE,"Sources &amp; Uses";"Construction Sources &amp; Uses Ex. D",#N/A,FALSE,"Sources &amp; Uses"}</definedName>
    <definedName name="wrn.Sources._.and._.Uses." localSheetId="24" hidden="1">{"Sources and Uses",#N/A,FALSE,"Sources &amp; Uses";"Construction Sources &amp; Uses Ex. D",#N/A,FALSE,"Sources &amp; Uses"}</definedName>
    <definedName name="wrn.Sources._.and._.Uses." localSheetId="9" hidden="1">{"Sources and Uses",#N/A,FALSE,"Sources &amp; Uses";"Construction Sources &amp; Uses Ex. D",#N/A,FALSE,"Sources &amp; Uses"}</definedName>
    <definedName name="wrn.Sources._.and._.Uses." localSheetId="4" hidden="1">{"Sources and Uses",#N/A,FALSE,"Sources &amp; Uses";"Construction Sources &amp; Uses Ex. D",#N/A,FALSE,"Sources &amp; Uses"}</definedName>
    <definedName name="wrn.Sources._.and._.Uses." localSheetId="12" hidden="1">{"Sources and Uses",#N/A,FALSE,"Sources &amp; Uses";"Construction Sources &amp; Uses Ex. D",#N/A,FALSE,"Sources &amp; Uses"}</definedName>
    <definedName name="wrn.Sources._.and._.Uses." localSheetId="19" hidden="1">{"Sources and Uses",#N/A,FALSE,"Sources &amp; Uses";"Construction Sources &amp; Uses Ex. D",#N/A,FALSE,"Sources &amp; Uses"}</definedName>
    <definedName name="wrn.Sources._.and._.Uses." localSheetId="20" hidden="1">{"Sources and Uses",#N/A,FALSE,"Sources &amp; Uses";"Construction Sources &amp; Uses Ex. D",#N/A,FALSE,"Sources &amp; Uses"}</definedName>
    <definedName name="wrn.Sources._.and._.Uses." localSheetId="22" hidden="1">{"Sources and Uses",#N/A,FALSE,"Sources &amp; Uses";"Construction Sources &amp; Uses Ex. D",#N/A,FALSE,"Sources &amp; Uses"}</definedName>
    <definedName name="wrn.Sources._.and._.Uses." localSheetId="23" hidden="1">{"Sources and Uses",#N/A,FALSE,"Sources &amp; Uses";"Construction Sources &amp; Uses Ex. D",#N/A,FALSE,"Sources &amp; Uses"}</definedName>
    <definedName name="wrn.Sources._.and._.Uses." localSheetId="29" hidden="1">{"Sources and Uses",#N/A,FALSE,"Sources &amp; Uses";"Construction Sources &amp; Uses Ex. D",#N/A,FALSE,"Sources &amp; Uses"}</definedName>
    <definedName name="wrn.Sources._.and._.Uses." hidden="1">{"Sources and Uses",#N/A,FALSE,"Sources &amp; Uses";"Construction Sources &amp; Uses Ex. D",#N/A,FALSE,"Sources &amp; Uses"}</definedName>
    <definedName name="wrn.Sources._.and._.Uses._1" localSheetId="15" hidden="1">{"Sources and Uses",#N/A,FALSE,"Sources &amp; Uses";"Construction Sources &amp; Uses Ex. D",#N/A,FALSE,"Sources &amp; Uses"}</definedName>
    <definedName name="wrn.Sources._.and._.Uses._1" localSheetId="11" hidden="1">{"Sources and Uses",#N/A,FALSE,"Sources &amp; Uses";"Construction Sources &amp; Uses Ex. D",#N/A,FALSE,"Sources &amp; Uses"}</definedName>
    <definedName name="wrn.Sources._.and._.Uses._1" localSheetId="10" hidden="1">{"Sources and Uses",#N/A,FALSE,"Sources &amp; Uses";"Construction Sources &amp; Uses Ex. D",#N/A,FALSE,"Sources &amp; Uses"}</definedName>
    <definedName name="wrn.Sources._.and._.Uses._1" localSheetId="26" hidden="1">{"Sources and Uses",#N/A,FALSE,"Sources &amp; Uses";"Construction Sources &amp; Uses Ex. D",#N/A,FALSE,"Sources &amp; Uses"}</definedName>
    <definedName name="wrn.Sources._.and._.Uses._1" localSheetId="16" hidden="1">{"Sources and Uses",#N/A,FALSE,"Sources &amp; Uses";"Construction Sources &amp; Uses Ex. D",#N/A,FALSE,"Sources &amp; Uses"}</definedName>
    <definedName name="wrn.Sources._.and._.Uses._1" localSheetId="24" hidden="1">{"Sources and Uses",#N/A,FALSE,"Sources &amp; Uses";"Construction Sources &amp; Uses Ex. D",#N/A,FALSE,"Sources &amp; Uses"}</definedName>
    <definedName name="wrn.Sources._.and._.Uses._1" localSheetId="9" hidden="1">{"Sources and Uses",#N/A,FALSE,"Sources &amp; Uses";"Construction Sources &amp; Uses Ex. D",#N/A,FALSE,"Sources &amp; Uses"}</definedName>
    <definedName name="wrn.Sources._.and._.Uses._1" localSheetId="4" hidden="1">{"Sources and Uses",#N/A,FALSE,"Sources &amp; Uses";"Construction Sources &amp; Uses Ex. D",#N/A,FALSE,"Sources &amp; Uses"}</definedName>
    <definedName name="wrn.Sources._.and._.Uses._1" localSheetId="12" hidden="1">{"Sources and Uses",#N/A,FALSE,"Sources &amp; Uses";"Construction Sources &amp; Uses Ex. D",#N/A,FALSE,"Sources &amp; Uses"}</definedName>
    <definedName name="wrn.Sources._.and._.Uses._1" localSheetId="19" hidden="1">{"Sources and Uses",#N/A,FALSE,"Sources &amp; Uses";"Construction Sources &amp; Uses Ex. D",#N/A,FALSE,"Sources &amp; Uses"}</definedName>
    <definedName name="wrn.Sources._.and._.Uses._1" localSheetId="20" hidden="1">{"Sources and Uses",#N/A,FALSE,"Sources &amp; Uses";"Construction Sources &amp; Uses Ex. D",#N/A,FALSE,"Sources &amp; Uses"}</definedName>
    <definedName name="wrn.Sources._.and._.Uses._1" localSheetId="22" hidden="1">{"Sources and Uses",#N/A,FALSE,"Sources &amp; Uses";"Construction Sources &amp; Uses Ex. D",#N/A,FALSE,"Sources &amp; Uses"}</definedName>
    <definedName name="wrn.Sources._.and._.Uses._1" hidden="1">{"Sources and Uses",#N/A,FALSE,"Sources &amp; Uses";"Construction Sources &amp; Uses Ex. D",#N/A,FALSE,"Sources &amp; Uses"}</definedName>
    <definedName name="wrn.Subsidy._.Costs._.to._.CalHFA." localSheetId="15" hidden="1">{"Subsidy",#N/A,FALSE,"Subisdy"}</definedName>
    <definedName name="wrn.Subsidy._.Costs._.to._.CalHFA." localSheetId="11" hidden="1">{"Subsidy",#N/A,FALSE,"Subisdy"}</definedName>
    <definedName name="wrn.Subsidy._.Costs._.to._.CalHFA." localSheetId="10" hidden="1">{"Subsidy",#N/A,FALSE,"Subisdy"}</definedName>
    <definedName name="wrn.Subsidy._.Costs._.to._.CalHFA." localSheetId="26" hidden="1">{"Subsidy",#N/A,FALSE,"Subisdy"}</definedName>
    <definedName name="wrn.Subsidy._.Costs._.to._.CalHFA." localSheetId="16" hidden="1">{"Subsidy",#N/A,FALSE,"Subisdy"}</definedName>
    <definedName name="wrn.Subsidy._.Costs._.to._.CalHFA." localSheetId="24" hidden="1">{"Subsidy",#N/A,FALSE,"Subisdy"}</definedName>
    <definedName name="wrn.Subsidy._.Costs._.to._.CalHFA." localSheetId="9" hidden="1">{"Subsidy",#N/A,FALSE,"Subisdy"}</definedName>
    <definedName name="wrn.Subsidy._.Costs._.to._.CalHFA." localSheetId="4" hidden="1">{"Subsidy",#N/A,FALSE,"Subisdy"}</definedName>
    <definedName name="wrn.Subsidy._.Costs._.to._.CalHFA." localSheetId="12" hidden="1">{"Subsidy",#N/A,FALSE,"Subisdy"}</definedName>
    <definedName name="wrn.Subsidy._.Costs._.to._.CalHFA." localSheetId="19" hidden="1">{"Subsidy",#N/A,FALSE,"Subisdy"}</definedName>
    <definedName name="wrn.Subsidy._.Costs._.to._.CalHFA." localSheetId="20" hidden="1">{"Subsidy",#N/A,FALSE,"Subisdy"}</definedName>
    <definedName name="wrn.Subsidy._.Costs._.to._.CalHFA." localSheetId="22" hidden="1">{"Subsidy",#N/A,FALSE,"Subisdy"}</definedName>
    <definedName name="wrn.Subsidy._.Costs._.to._.CalHFA." localSheetId="23" hidden="1">{"Subsidy",#N/A,FALSE,"Subisdy"}</definedName>
    <definedName name="wrn.Subsidy._.Costs._.to._.CalHFA." localSheetId="29" hidden="1">{"Subsidy",#N/A,FALSE,"Subisdy"}</definedName>
    <definedName name="wrn.Subsidy._.Costs._.to._.CalHFA." hidden="1">{"Subsidy",#N/A,FALSE,"Subisdy"}</definedName>
    <definedName name="wrn.Subsidy._.Costs._.to._.CalHFA._1" localSheetId="15" hidden="1">{"Subsidy",#N/A,FALSE,"Subisdy"}</definedName>
    <definedName name="wrn.Subsidy._.Costs._.to._.CalHFA._1" localSheetId="11" hidden="1">{"Subsidy",#N/A,FALSE,"Subisdy"}</definedName>
    <definedName name="wrn.Subsidy._.Costs._.to._.CalHFA._1" localSheetId="10" hidden="1">{"Subsidy",#N/A,FALSE,"Subisdy"}</definedName>
    <definedName name="wrn.Subsidy._.Costs._.to._.CalHFA._1" localSheetId="26" hidden="1">{"Subsidy",#N/A,FALSE,"Subisdy"}</definedName>
    <definedName name="wrn.Subsidy._.Costs._.to._.CalHFA._1" localSheetId="16" hidden="1">{"Subsidy",#N/A,FALSE,"Subisdy"}</definedName>
    <definedName name="wrn.Subsidy._.Costs._.to._.CalHFA._1" localSheetId="24" hidden="1">{"Subsidy",#N/A,FALSE,"Subisdy"}</definedName>
    <definedName name="wrn.Subsidy._.Costs._.to._.CalHFA._1" localSheetId="9" hidden="1">{"Subsidy",#N/A,FALSE,"Subisdy"}</definedName>
    <definedName name="wrn.Subsidy._.Costs._.to._.CalHFA._1" localSheetId="4" hidden="1">{"Subsidy",#N/A,FALSE,"Subisdy"}</definedName>
    <definedName name="wrn.Subsidy._.Costs._.to._.CalHFA._1" localSheetId="12" hidden="1">{"Subsidy",#N/A,FALSE,"Subisdy"}</definedName>
    <definedName name="wrn.Subsidy._.Costs._.to._.CalHFA._1" localSheetId="19" hidden="1">{"Subsidy",#N/A,FALSE,"Subisdy"}</definedName>
    <definedName name="wrn.Subsidy._.Costs._.to._.CalHFA._1" localSheetId="20" hidden="1">{"Subsidy",#N/A,FALSE,"Subisdy"}</definedName>
    <definedName name="wrn.Subsidy._.Costs._.to._.CalHFA._1" localSheetId="22" hidden="1">{"Subsidy",#N/A,FALSE,"Subisdy"}</definedName>
    <definedName name="wrn.Subsidy._.Costs._.to._.CalHFA._1" hidden="1">{"Subsidy",#N/A,FALSE,"Subisdy"}</definedName>
    <definedName name="wrn.TEFRA._.INFO." localSheetId="15" hidden="1">{"TEFRA INFO",#N/A,FALSE,"Input"}</definedName>
    <definedName name="wrn.TEFRA._.INFO." localSheetId="11" hidden="1">{"TEFRA INFO",#N/A,FALSE,"Input"}</definedName>
    <definedName name="wrn.TEFRA._.INFO." localSheetId="10" hidden="1">{"TEFRA INFO",#N/A,FALSE,"Input"}</definedName>
    <definedName name="wrn.TEFRA._.INFO." localSheetId="26" hidden="1">{"TEFRA INFO",#N/A,FALSE,"Input"}</definedName>
    <definedName name="wrn.TEFRA._.INFO." localSheetId="16" hidden="1">{"TEFRA INFO",#N/A,FALSE,"Input"}</definedName>
    <definedName name="wrn.TEFRA._.INFO." localSheetId="24" hidden="1">{"TEFRA INFO",#N/A,FALSE,"Input"}</definedName>
    <definedName name="wrn.TEFRA._.INFO." localSheetId="9" hidden="1">{"TEFRA INFO",#N/A,FALSE,"Input"}</definedName>
    <definedName name="wrn.TEFRA._.INFO." localSheetId="4" hidden="1">{"TEFRA INFO",#N/A,FALSE,"Input"}</definedName>
    <definedName name="wrn.TEFRA._.INFO." localSheetId="12" hidden="1">{"TEFRA INFO",#N/A,FALSE,"Input"}</definedName>
    <definedName name="wrn.TEFRA._.INFO." localSheetId="19" hidden="1">{"TEFRA INFO",#N/A,FALSE,"Input"}</definedName>
    <definedName name="wrn.TEFRA._.INFO." localSheetId="20" hidden="1">{"TEFRA INFO",#N/A,FALSE,"Input"}</definedName>
    <definedName name="wrn.TEFRA._.INFO." localSheetId="22" hidden="1">{"TEFRA INFO",#N/A,FALSE,"Input"}</definedName>
    <definedName name="wrn.TEFRA._.INFO." localSheetId="23" hidden="1">{"TEFRA INFO",#N/A,FALSE,"Input"}</definedName>
    <definedName name="wrn.TEFRA._.INFO." localSheetId="29" hidden="1">{"TEFRA INFO",#N/A,FALSE,"Input"}</definedName>
    <definedName name="wrn.TEFRA._.INFO." hidden="1">{"TEFRA INFO",#N/A,FALSE,"Input"}</definedName>
    <definedName name="wrn.TEFRA._.INFO._1" localSheetId="15" hidden="1">{"TEFRA INFO",#N/A,FALSE,"Input"}</definedName>
    <definedName name="wrn.TEFRA._.INFO._1" localSheetId="11" hidden="1">{"TEFRA INFO",#N/A,FALSE,"Input"}</definedName>
    <definedName name="wrn.TEFRA._.INFO._1" localSheetId="10" hidden="1">{"TEFRA INFO",#N/A,FALSE,"Input"}</definedName>
    <definedName name="wrn.TEFRA._.INFO._1" localSheetId="26" hidden="1">{"TEFRA INFO",#N/A,FALSE,"Input"}</definedName>
    <definedName name="wrn.TEFRA._.INFO._1" localSheetId="16" hidden="1">{"TEFRA INFO",#N/A,FALSE,"Input"}</definedName>
    <definedName name="wrn.TEFRA._.INFO._1" localSheetId="24" hidden="1">{"TEFRA INFO",#N/A,FALSE,"Input"}</definedName>
    <definedName name="wrn.TEFRA._.INFO._1" localSheetId="9" hidden="1">{"TEFRA INFO",#N/A,FALSE,"Input"}</definedName>
    <definedName name="wrn.TEFRA._.INFO._1" localSheetId="4" hidden="1">{"TEFRA INFO",#N/A,FALSE,"Input"}</definedName>
    <definedName name="wrn.TEFRA._.INFO._1" localSheetId="12" hidden="1">{"TEFRA INFO",#N/A,FALSE,"Input"}</definedName>
    <definedName name="wrn.TEFRA._.INFO._1" localSheetId="19" hidden="1">{"TEFRA INFO",#N/A,FALSE,"Input"}</definedName>
    <definedName name="wrn.TEFRA._.INFO._1" localSheetId="20" hidden="1">{"TEFRA INFO",#N/A,FALSE,"Input"}</definedName>
    <definedName name="wrn.TEFRA._.INFO._1" localSheetId="22" hidden="1">{"TEFRA INFO",#N/A,FALSE,"Input"}</definedName>
    <definedName name="wrn.TEFRA._.INFO._1" hidden="1">{"TEFRA INFO",#N/A,FALSE,"Input"}</definedName>
    <definedName name="wrn.Underwriting._.View." localSheetId="15"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localSheetId="11"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localSheetId="10"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localSheetId="26"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localSheetId="16"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localSheetId="24"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localSheetId="9"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localSheetId="4"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localSheetId="12"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localSheetId="19"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localSheetId="20"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localSheetId="22"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localSheetId="23"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localSheetId="29"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_1" localSheetId="15"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_1" localSheetId="11"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_1" localSheetId="10"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_1" localSheetId="26"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_1" localSheetId="16"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_1" localSheetId="24"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_1" localSheetId="9"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_1" localSheetId="4"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_1" localSheetId="12"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_1" localSheetId="19"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_1" localSheetId="20"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_1" localSheetId="22"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wrn.Underwriting._.View._1" hidden="1">{"Project Summary",#N/A,FALSE,"Project Summary";"Rent Summary",#N/A,FALSE,"Rent Summary";"Regulated Units by Agency",#N/A,FALSE,"Rent Calcs";"Rent Calcs - all rents and two subsidies",#N/A,FALSE,"Rent Calcs";"Rent Calcs - CalHFA and TCAC",#N/A,FALSE,"Rent Calcs";"Sources and Uses with Eligible Basis",#N/A,FALSE,"Sources &amp; Uses";"Construction Sources &amp; Uses Ex. D",#N/A,FALSE,"Construction S &amp; U";"Operating Budget Detail",#N/A,FALSE,"Operations";"Cash Flow",#N/A,FALSE,"Cash Flow";"Input Pages 1 and 2",#N/A,FALSE,"Input";"Input Pages 3 and 4",#N/A,FALSE,"Input";"Bridge Loan",#N/A,FALSE,"Bridge Loan"}</definedName>
    <definedName name="Z_01FBA833_B929_4522_A165_3270E654351D_.wvu.Cols" localSheetId="24" hidden="1">'Local Enviro Verification'!$L:$AM</definedName>
    <definedName name="Z_01FBA833_B929_4522_A165_3270E654351D_.wvu.PrintArea" localSheetId="24" hidden="1">'Local Enviro Verification'!$B$2:$K$31</definedName>
    <definedName name="Z_0C0140BC_99E4_40E9_BCEC_80DC8B305317_.wvu.Cols" localSheetId="24" hidden="1">'Local Enviro Verification'!$L:$AM</definedName>
    <definedName name="Z_0C0140BC_99E4_40E9_BCEC_80DC8B305317_.wvu.PrintArea" localSheetId="24" hidden="1">'Local Enviro Verification'!$B$2:$K$31</definedName>
    <definedName name="Z_6C218C41_7B9F_4AF9_B281_A64AA99DB2FC_.wvu.Cols" localSheetId="12" hidden="1">'Reserves Calculator'!$N:$N</definedName>
    <definedName name="Z_C3EF0F80_B7E0_494E_8085_B7C349F07694_.wvu.Cols" localSheetId="24" hidden="1">'Local Enviro Verification'!$L:$AM</definedName>
    <definedName name="Z_C3EF0F80_B7E0_494E_8085_B7C349F07694_.wvu.PrintArea" localSheetId="24" hidden="1">'Local Enviro Verification'!$B$2:$K$31</definedName>
    <definedName name="Z_CC6768C9_4665_41C0_9961_CED8945EEDF4_.wvu.Cols" localSheetId="24" hidden="1">'Local Enviro Verification'!$L:$AM</definedName>
    <definedName name="Z_CC6768C9_4665_41C0_9961_CED8945EEDF4_.wvu.PrintArea" localSheetId="24" hidden="1">'Local Enviro Verification'!$B$2:$K$31</definedName>
    <definedName name="Z_DFEFA7A8_CDA7_4EE6_88CD_A742A6A7742C_.wvu.Cols" localSheetId="24" hidden="1">'Local Enviro Verification'!$L:$AM</definedName>
    <definedName name="Z_DFEFA7A8_CDA7_4EE6_88CD_A742A6A7742C_.wvu.PrintArea" localSheetId="24" hidden="1">'Local Enviro Verification'!$B$2:$K$31</definedName>
    <definedName name="Z_E7FF1637_BF68_472E_9EDD_D742175AC7C6_.wvu.PrintArea" localSheetId="19" hidden="1">'S1 - Supportive Services Plan'!#REF!</definedName>
    <definedName name="Z_EE5380CF_C0CC_4223_9151_8148B1DCEC52_.wvu.Cols" localSheetId="24" hidden="1">'Local Enviro Verification'!$L:$AM</definedName>
    <definedName name="Z_EE5380CF_C0CC_4223_9151_8148B1DCEC52_.wvu.PrintArea" localSheetId="24" hidden="1">'Local Enviro Verification'!$B$2:$K$31</definedName>
    <definedName name="Z_F5BB6EF4_FD9B_4B7E_AFDF_FB5FCB9BA5F6_.wvu.Cols" localSheetId="24" hidden="1">'Local Enviro Verification'!$L:$AM</definedName>
    <definedName name="Z_F5BB6EF4_FD9B_4B7E_AFDF_FB5FCB9BA5F6_.wvu.PrintArea" localSheetId="24" hidden="1">'Local Enviro Verification'!$B$2:$K$31</definedName>
  </definedNames>
  <calcPr calcId="191029" iterate="1"/>
  <customWorkbookViews>
    <customWorkbookView name="klosoya - Personal View" guid="{EE5380CF-C0CC-4223-9151-8148B1DCEC52}" mergeInterval="0" personalView="1" maximized="1" windowWidth="1020" windowHeight="596" tabRatio="927" activeSheetId="50"/>
    <customWorkbookView name="State of California - Personal View" guid="{01FBA833-B929-4522-A165-3270E654351D}" mergeInterval="0" personalView="1" maximized="1" windowWidth="1276" windowHeight="859" tabRatio="926" activeSheetId="2"/>
    <customWorkbookView name="Administrator - Personal View" guid="{DFEFA7A8-CDA7-4EE6-88CD-A742A6A7742C}" mergeInterval="0" personalView="1" maximized="1" windowWidth="952" windowHeight="481" tabRatio="926" activeSheetId="2"/>
    <customWorkbookView name="mnguyen - Personal View" guid="{F5BB6EF4-FD9B-4B7E-AFDF-FB5FCB9BA5F6}" mergeInterval="0" personalView="1" maximized="1" windowWidth="1020" windowHeight="507" tabRatio="926" activeSheetId="23"/>
    <customWorkbookView name="nmonteverde - Personal View" guid="{C3EF0F80-B7E0-494E-8085-B7C349F07694}" mergeInterval="0" personalView="1" maximized="1" windowWidth="1020" windowHeight="573" tabRatio="926" activeSheetId="47"/>
    <customWorkbookView name="chorn - Personal View" guid="{CC6768C9-4665-41C0-9961-CED8945EEDF4}" mergeInterval="0" personalView="1" maximized="1" windowWidth="952" windowHeight="499" tabRatio="926" activeSheetId="2"/>
    <customWorkbookView name="nmonteve - Personal View" guid="{0C0140BC-99E4-40E9-BCEC-80DC8B305317}" mergeInterval="0" personalView="1" maximized="1" windowWidth="1020" windowHeight="626" tabRatio="926" activeSheetId="2"/>
  </customWorkbookViews>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D124" i="106" l="1"/>
  <c r="R124" i="106"/>
  <c r="AQ62" i="106"/>
  <c r="N257" i="104"/>
  <c r="AH47" i="150" l="1"/>
  <c r="AH46" i="150"/>
  <c r="BX65" i="170"/>
  <c r="BX73" i="170"/>
  <c r="CB83" i="170"/>
  <c r="CA83" i="170"/>
  <c r="BZ83" i="170"/>
  <c r="BY83" i="170"/>
  <c r="BX83" i="170"/>
  <c r="BX81" i="170"/>
  <c r="BX74" i="170"/>
  <c r="BY81" i="170"/>
  <c r="BZ81" i="170"/>
  <c r="CA81" i="170"/>
  <c r="CB81" i="170"/>
  <c r="CB80" i="170"/>
  <c r="CA80" i="170"/>
  <c r="BZ80" i="170"/>
  <c r="BY80" i="170"/>
  <c r="BX80" i="170"/>
  <c r="CB79" i="170"/>
  <c r="CA79" i="170"/>
  <c r="BZ79" i="170"/>
  <c r="BY79" i="170"/>
  <c r="BX79" i="170"/>
  <c r="CB78" i="170"/>
  <c r="CA78" i="170"/>
  <c r="BZ78" i="170"/>
  <c r="BY78" i="170"/>
  <c r="BX78" i="170"/>
  <c r="CB77" i="170"/>
  <c r="CA77" i="170"/>
  <c r="BZ77" i="170"/>
  <c r="BY77" i="170"/>
  <c r="BX77" i="170"/>
  <c r="CB76" i="170"/>
  <c r="CA76" i="170"/>
  <c r="BZ76" i="170"/>
  <c r="BY76" i="170"/>
  <c r="BX76" i="170"/>
  <c r="CB75" i="170"/>
  <c r="CA75" i="170"/>
  <c r="BZ75" i="170"/>
  <c r="BY75" i="170"/>
  <c r="BX75" i="170"/>
  <c r="CB74" i="170"/>
  <c r="CA74" i="170"/>
  <c r="BZ74" i="170"/>
  <c r="BY74" i="170"/>
  <c r="CB73" i="170"/>
  <c r="CA73" i="170"/>
  <c r="BZ73" i="170"/>
  <c r="BY73" i="170"/>
  <c r="CB72" i="170"/>
  <c r="CA72" i="170"/>
  <c r="BZ72" i="170"/>
  <c r="BY72" i="170"/>
  <c r="BX72" i="170"/>
  <c r="CB71" i="170"/>
  <c r="CA71" i="170"/>
  <c r="BZ71" i="170"/>
  <c r="BY71" i="170"/>
  <c r="BX71" i="170"/>
  <c r="CB70" i="170"/>
  <c r="CA70" i="170"/>
  <c r="BZ70" i="170"/>
  <c r="BY70" i="170"/>
  <c r="BX70" i="170"/>
  <c r="CB69" i="170"/>
  <c r="CA69" i="170"/>
  <c r="BZ69" i="170"/>
  <c r="BY69" i="170"/>
  <c r="BX69" i="170"/>
  <c r="CB68" i="170"/>
  <c r="CA68" i="170"/>
  <c r="BZ68" i="170"/>
  <c r="BY68" i="170"/>
  <c r="BX68" i="170"/>
  <c r="CB67" i="170"/>
  <c r="CA67" i="170"/>
  <c r="BZ67" i="170"/>
  <c r="BY67" i="170"/>
  <c r="BX67" i="170"/>
  <c r="CB66" i="170"/>
  <c r="CA66" i="170"/>
  <c r="BZ66" i="170"/>
  <c r="BY66" i="170"/>
  <c r="BX66" i="170"/>
  <c r="CB65" i="170"/>
  <c r="CA65" i="170"/>
  <c r="BZ65" i="170"/>
  <c r="BY65" i="170"/>
  <c r="BT97" i="170" a="1"/>
  <c r="BT97" i="170" s="1"/>
  <c r="G4" i="149"/>
  <c r="F4" i="149"/>
  <c r="BW65" i="170" l="1"/>
  <c r="F3" i="149"/>
  <c r="G3" i="149"/>
  <c r="L88" i="106"/>
  <c r="V39" i="186"/>
  <c r="AF24" i="150"/>
  <c r="AF26" i="150"/>
  <c r="I14" i="150"/>
  <c r="AH12" i="150" l="1"/>
  <c r="AC16" i="186"/>
  <c r="AC23" i="186" s="1"/>
  <c r="AL54" i="186"/>
  <c r="AB31" i="186"/>
  <c r="B8" i="186"/>
  <c r="AL22" i="186" l="1"/>
  <c r="AH23" i="186" s="1"/>
  <c r="AJ23" i="186" l="1"/>
  <c r="F5" i="150"/>
  <c r="I31" i="162"/>
  <c r="I32" i="162" s="1"/>
  <c r="I29" i="162"/>
  <c r="D32" i="162"/>
  <c r="C32" i="162"/>
  <c r="D31" i="162"/>
  <c r="C31" i="162"/>
  <c r="I30" i="162"/>
  <c r="D30" i="162"/>
  <c r="C30" i="162"/>
  <c r="D29" i="162"/>
  <c r="C29" i="162"/>
  <c r="V38" i="186" l="1"/>
  <c r="AG28" i="186"/>
  <c r="J15" i="186"/>
  <c r="F4" i="186"/>
  <c r="V51" i="186"/>
  <c r="V46" i="186"/>
  <c r="V45" i="186"/>
  <c r="C19" i="186"/>
  <c r="B14" i="186"/>
  <c r="B7" i="186"/>
  <c r="Z10" i="185"/>
  <c r="AF45" i="150"/>
  <c r="Y74" i="150"/>
  <c r="V47" i="186" l="1"/>
  <c r="C28" i="186"/>
  <c r="C26" i="186"/>
  <c r="V40" i="186"/>
  <c r="C25" i="186"/>
  <c r="C27" i="186"/>
  <c r="AC28" i="186"/>
  <c r="AJ28" i="186" s="1"/>
  <c r="AH17" i="150"/>
  <c r="AP8" i="150"/>
  <c r="AK4" i="150"/>
  <c r="AH88" i="184" l="1"/>
  <c r="V88" i="184"/>
  <c r="AO97" i="104"/>
  <c r="Z10" i="170"/>
  <c r="G9" i="183"/>
  <c r="N9" i="183"/>
  <c r="G5" i="183"/>
  <c r="I12" i="162"/>
  <c r="D12" i="162"/>
  <c r="C12" i="162"/>
  <c r="C71" i="162"/>
  <c r="BU65" i="170" l="1"/>
  <c r="AA10" i="170"/>
  <c r="AL192" i="104"/>
  <c r="AL176" i="104"/>
  <c r="AL165" i="104"/>
  <c r="AL159" i="104"/>
  <c r="M42" i="104" l="1"/>
  <c r="M41" i="104" l="1"/>
  <c r="M40" i="104"/>
  <c r="M39" i="104"/>
  <c r="M38" i="104"/>
  <c r="M37" i="104"/>
  <c r="M36" i="104"/>
  <c r="M35" i="104"/>
  <c r="M34" i="104"/>
  <c r="M33" i="104"/>
  <c r="M32" i="104"/>
  <c r="AJ392" i="104"/>
  <c r="B58" i="147" l="1"/>
  <c r="B59" i="147"/>
  <c r="B60" i="147"/>
  <c r="B61"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34" i="147"/>
  <c r="B30" i="147"/>
  <c r="B31" i="147"/>
  <c r="B32" i="147"/>
  <c r="B9" i="147"/>
  <c r="B10" i="147"/>
  <c r="B11" i="147"/>
  <c r="B12" i="147"/>
  <c r="B13" i="147"/>
  <c r="B14" i="147"/>
  <c r="B15" i="147"/>
  <c r="B16" i="147"/>
  <c r="B17" i="147"/>
  <c r="B18" i="147"/>
  <c r="B19" i="147"/>
  <c r="B20" i="147"/>
  <c r="B21" i="147"/>
  <c r="B22" i="147"/>
  <c r="B23" i="147"/>
  <c r="B24" i="147"/>
  <c r="B25" i="147"/>
  <c r="B26" i="147"/>
  <c r="B27" i="147"/>
  <c r="B28" i="147"/>
  <c r="B29" i="147"/>
  <c r="B6" i="147"/>
  <c r="B7" i="147"/>
  <c r="B8" i="147"/>
  <c r="B5" i="147"/>
  <c r="I142" i="162"/>
  <c r="D142" i="162"/>
  <c r="C142" i="162"/>
  <c r="N375" i="104" l="1"/>
  <c r="E375" i="104"/>
  <c r="D140" i="162"/>
  <c r="N369" i="104"/>
  <c r="I141" i="162"/>
  <c r="D141" i="162"/>
  <c r="C141" i="162"/>
  <c r="E369" i="104"/>
  <c r="C140" i="162"/>
  <c r="N364" i="104" l="1"/>
  <c r="E364" i="104"/>
  <c r="AL360" i="104"/>
  <c r="L361" i="104"/>
  <c r="D139" i="162"/>
  <c r="C139" i="162"/>
  <c r="D137" i="162"/>
  <c r="N352" i="104"/>
  <c r="E352" i="104"/>
  <c r="J351" i="104"/>
  <c r="D109" i="162"/>
  <c r="C109" i="162"/>
  <c r="D108" i="162"/>
  <c r="C108" i="162"/>
  <c r="D107" i="162"/>
  <c r="C107" i="162"/>
  <c r="D136" i="162"/>
  <c r="C137" i="162"/>
  <c r="C138" i="162"/>
  <c r="D138" i="162"/>
  <c r="N73" i="110"/>
  <c r="E73" i="110"/>
  <c r="Z281" i="104"/>
  <c r="C136" i="162"/>
  <c r="AL261" i="104"/>
  <c r="AL255" i="104"/>
  <c r="AL258" i="104"/>
  <c r="AL252" i="104"/>
  <c r="I132" i="162"/>
  <c r="D132" i="162"/>
  <c r="C132" i="162"/>
  <c r="N254" i="104"/>
  <c r="E254" i="104"/>
  <c r="AL249" i="104"/>
  <c r="AL246" i="104"/>
  <c r="D131" i="162"/>
  <c r="C131" i="162"/>
  <c r="D130" i="162"/>
  <c r="C130" i="162"/>
  <c r="AL241" i="104"/>
  <c r="I129" i="162"/>
  <c r="D129" i="162"/>
  <c r="C129" i="162"/>
  <c r="L244" i="104"/>
  <c r="E244" i="104"/>
  <c r="AL220" i="104"/>
  <c r="AL232" i="104"/>
  <c r="AL236" i="104"/>
  <c r="AL229" i="104"/>
  <c r="N228" i="104"/>
  <c r="AL225" i="104"/>
  <c r="Z12" i="170"/>
  <c r="AA12" i="170" s="1"/>
  <c r="AA215" i="104"/>
  <c r="AL215" i="104"/>
  <c r="AL211" i="104"/>
  <c r="AL210" i="104"/>
  <c r="N196" i="104"/>
  <c r="AL194" i="104"/>
  <c r="AL179" i="104"/>
  <c r="N181" i="104"/>
  <c r="I124" i="162"/>
  <c r="D124" i="162"/>
  <c r="C124" i="162"/>
  <c r="AL154" i="104"/>
  <c r="AL182" i="104"/>
  <c r="AL152" i="104" l="1"/>
  <c r="K34" i="104"/>
  <c r="V34" i="104" s="1"/>
  <c r="I123" i="162"/>
  <c r="D123" i="162"/>
  <c r="C123" i="162"/>
  <c r="E178" i="104"/>
  <c r="N178" i="104"/>
  <c r="E196" i="104"/>
  <c r="AF32" i="150"/>
  <c r="I120" i="162"/>
  <c r="I119" i="162"/>
  <c r="D119" i="162"/>
  <c r="C119" i="162"/>
  <c r="I115" i="162"/>
  <c r="D115" i="162"/>
  <c r="C115" i="162"/>
  <c r="I116" i="162"/>
  <c r="I122" i="162"/>
  <c r="D122" i="162"/>
  <c r="C122" i="162"/>
  <c r="C121" i="162"/>
  <c r="I121" i="162"/>
  <c r="D121" i="162"/>
  <c r="C120" i="162"/>
  <c r="C116" i="162"/>
  <c r="D120" i="162"/>
  <c r="N174" i="104"/>
  <c r="E174" i="104"/>
  <c r="N173" i="104"/>
  <c r="E173" i="104"/>
  <c r="E191" i="104"/>
  <c r="I118" i="162"/>
  <c r="I117" i="162"/>
  <c r="D118" i="162"/>
  <c r="C118" i="162"/>
  <c r="C117" i="162"/>
  <c r="D117" i="162"/>
  <c r="D116" i="162"/>
  <c r="N191" i="104"/>
  <c r="N190" i="104"/>
  <c r="E190" i="104"/>
  <c r="I114" i="162"/>
  <c r="D114" i="162"/>
  <c r="C114" i="162"/>
  <c r="AH128" i="104"/>
  <c r="B122" i="104"/>
  <c r="I112" i="162"/>
  <c r="I111" i="162"/>
  <c r="D111" i="162"/>
  <c r="C111" i="162"/>
  <c r="E66" i="104"/>
  <c r="N66" i="104"/>
  <c r="N68" i="104"/>
  <c r="T34" i="104" l="1"/>
  <c r="Z34" i="104" s="1"/>
  <c r="N61" i="104"/>
  <c r="I110" i="162"/>
  <c r="D110" i="162"/>
  <c r="C110" i="162"/>
  <c r="E61" i="104"/>
  <c r="I27" i="147"/>
  <c r="F101" i="162"/>
  <c r="E101" i="162"/>
  <c r="C63" i="162" l="1"/>
  <c r="D54" i="162"/>
  <c r="C54" i="162"/>
  <c r="I16" i="162"/>
  <c r="D16" i="162"/>
  <c r="C16" i="162"/>
  <c r="I15" i="162"/>
  <c r="C15" i="162"/>
  <c r="D15" i="162"/>
  <c r="I14" i="162"/>
  <c r="D14" i="162"/>
  <c r="C14" i="162"/>
  <c r="M36" i="185"/>
  <c r="E36" i="185"/>
  <c r="D17" i="162" l="1"/>
  <c r="I17" i="162"/>
  <c r="C17" i="162"/>
  <c r="L32" i="185"/>
  <c r="E32" i="185"/>
  <c r="E8" i="170" l="1"/>
  <c r="U20" i="106" l="1"/>
  <c r="AO7" i="106"/>
  <c r="AO6" i="106"/>
  <c r="AI341" i="104" s="1"/>
  <c r="AO5" i="106"/>
  <c r="I8" i="162"/>
  <c r="I10" i="162"/>
  <c r="I9" i="162"/>
  <c r="I7" i="162"/>
  <c r="I107" i="162" l="1"/>
  <c r="I137" i="162"/>
  <c r="AL331" i="104"/>
  <c r="AI337" i="104"/>
  <c r="AL290" i="104"/>
  <c r="AL337" i="104"/>
  <c r="AI331" i="104"/>
  <c r="AL286" i="104"/>
  <c r="AL341" i="104"/>
  <c r="AL294" i="104"/>
  <c r="AL282" i="104"/>
  <c r="AL280" i="104"/>
  <c r="L60" i="106"/>
  <c r="I68" i="162"/>
  <c r="D68" i="162"/>
  <c r="C68" i="162"/>
  <c r="I67" i="162"/>
  <c r="D67" i="162"/>
  <c r="C67" i="162"/>
  <c r="D66" i="162"/>
  <c r="L61" i="106"/>
  <c r="E61" i="106"/>
  <c r="E60" i="106"/>
  <c r="J134" i="154"/>
  <c r="J135" i="154" s="1"/>
  <c r="J136" i="154" s="1"/>
  <c r="J137" i="154" s="1"/>
  <c r="J138" i="154" s="1"/>
  <c r="J139" i="154" s="1"/>
  <c r="J140" i="154" s="1"/>
  <c r="J141" i="154" s="1"/>
  <c r="J142" i="154" s="1"/>
  <c r="J143" i="154" s="1"/>
  <c r="J144" i="154" s="1"/>
  <c r="J145" i="154" s="1"/>
  <c r="J146" i="154" s="1"/>
  <c r="J147" i="154" s="1"/>
  <c r="L49" i="106"/>
  <c r="I5" i="162"/>
  <c r="AN8" i="130"/>
  <c r="I106" i="162"/>
  <c r="F106" i="162"/>
  <c r="E106" i="162"/>
  <c r="L359" i="104"/>
  <c r="E359" i="104"/>
  <c r="N263" i="104" l="1"/>
  <c r="E263" i="104"/>
  <c r="N260" i="104"/>
  <c r="E260" i="104"/>
  <c r="E257" i="104"/>
  <c r="N251" i="104"/>
  <c r="E251" i="104"/>
  <c r="N248" i="104"/>
  <c r="E248" i="104"/>
  <c r="E228" i="104"/>
  <c r="N218" i="104"/>
  <c r="E218" i="104"/>
  <c r="E181" i="104"/>
  <c r="E124" i="104"/>
  <c r="N159" i="114"/>
  <c r="N124" i="104" s="1"/>
  <c r="N111" i="104"/>
  <c r="E111" i="104"/>
  <c r="N106" i="104"/>
  <c r="E106" i="104"/>
  <c r="E240" i="104"/>
  <c r="L240" i="104"/>
  <c r="N122" i="106" l="1"/>
  <c r="E122" i="106"/>
  <c r="D88" i="162"/>
  <c r="I76" i="162"/>
  <c r="D76" i="162"/>
  <c r="C76" i="162"/>
  <c r="E72" i="106"/>
  <c r="L87" i="106"/>
  <c r="E87" i="106"/>
  <c r="I74" i="162"/>
  <c r="L75" i="106"/>
  <c r="E75" i="106"/>
  <c r="E68" i="106"/>
  <c r="E64" i="106"/>
  <c r="L54" i="106"/>
  <c r="E54" i="106"/>
  <c r="L27" i="106" l="1"/>
  <c r="E27" i="106"/>
  <c r="L21" i="106"/>
  <c r="E21" i="106"/>
  <c r="AM8" i="170" l="1"/>
  <c r="I89" i="162"/>
  <c r="D89" i="162"/>
  <c r="C89" i="162"/>
  <c r="O112" i="184"/>
  <c r="I73" i="162"/>
  <c r="D73" i="162"/>
  <c r="C73" i="162"/>
  <c r="I72" i="162"/>
  <c r="D72" i="162"/>
  <c r="C72" i="162"/>
  <c r="I71" i="162"/>
  <c r="D71" i="162"/>
  <c r="I70" i="162"/>
  <c r="D70" i="162"/>
  <c r="C70" i="162"/>
  <c r="I69" i="162"/>
  <c r="D69" i="162"/>
  <c r="C69" i="162"/>
  <c r="D74" i="162" l="1"/>
  <c r="C74" i="162"/>
  <c r="I65" i="162"/>
  <c r="D65" i="162"/>
  <c r="C65" i="162"/>
  <c r="AD12" i="152" l="1"/>
  <c r="AS5" i="152" l="1"/>
  <c r="AS6" i="152" s="1"/>
  <c r="AS7" i="152" s="1"/>
  <c r="AS8" i="152" s="1"/>
  <c r="AS9" i="152" s="1"/>
  <c r="AS10" i="152" s="1"/>
  <c r="AS11" i="152" s="1"/>
  <c r="AS12" i="152" s="1"/>
  <c r="AS13" i="152" s="1"/>
  <c r="AS14" i="152" s="1"/>
  <c r="AT5" i="152"/>
  <c r="AT6" i="152" s="1"/>
  <c r="AT7" i="152" s="1"/>
  <c r="AT8" i="152" s="1"/>
  <c r="AT9" i="152" s="1"/>
  <c r="AT10" i="152" s="1"/>
  <c r="AT11" i="152" s="1"/>
  <c r="AT12" i="152" s="1"/>
  <c r="AT13" i="152" s="1"/>
  <c r="AT14" i="152" s="1"/>
  <c r="AU5" i="152"/>
  <c r="AU6" i="152" s="1"/>
  <c r="AU7" i="152" s="1"/>
  <c r="AU8" i="152" s="1"/>
  <c r="AU9" i="152" s="1"/>
  <c r="AU10" i="152" s="1"/>
  <c r="AU11" i="152" s="1"/>
  <c r="AU12" i="152" s="1"/>
  <c r="AU13" i="152" s="1"/>
  <c r="AU14" i="152" s="1"/>
  <c r="AV5" i="152"/>
  <c r="AV6" i="152" s="1"/>
  <c r="AV7" i="152" s="1"/>
  <c r="AV8" i="152" s="1"/>
  <c r="AV9" i="152" s="1"/>
  <c r="AV10" i="152" s="1"/>
  <c r="AV11" i="152" s="1"/>
  <c r="AV12" i="152" s="1"/>
  <c r="AV13" i="152" s="1"/>
  <c r="AV14" i="152" s="1"/>
  <c r="AW5" i="152"/>
  <c r="AW6" i="152" s="1"/>
  <c r="AW7" i="152" s="1"/>
  <c r="AW8" i="152" s="1"/>
  <c r="AW9" i="152" s="1"/>
  <c r="AW10" i="152" s="1"/>
  <c r="AW11" i="152" s="1"/>
  <c r="AW12" i="152" s="1"/>
  <c r="AW13" i="152" s="1"/>
  <c r="AW14" i="152" s="1"/>
  <c r="AX5" i="152"/>
  <c r="AX6" i="152" s="1"/>
  <c r="AX7" i="152" s="1"/>
  <c r="AX8" i="152" s="1"/>
  <c r="AX9" i="152" s="1"/>
  <c r="AX10" i="152" s="1"/>
  <c r="AX11" i="152" s="1"/>
  <c r="AX12" i="152" s="1"/>
  <c r="AX13" i="152" s="1"/>
  <c r="AX14" i="152" s="1"/>
  <c r="AY5" i="152"/>
  <c r="AY6" i="152" s="1"/>
  <c r="AY7" i="152" s="1"/>
  <c r="AY8" i="152" s="1"/>
  <c r="AY9" i="152" s="1"/>
  <c r="AY10" i="152" s="1"/>
  <c r="AY11" i="152" s="1"/>
  <c r="AY12" i="152" s="1"/>
  <c r="AY13" i="152" s="1"/>
  <c r="AY14" i="152" s="1"/>
  <c r="AZ5" i="152"/>
  <c r="AZ6" i="152" s="1"/>
  <c r="AZ7" i="152" s="1"/>
  <c r="AZ8" i="152" s="1"/>
  <c r="AZ9" i="152" s="1"/>
  <c r="AZ10" i="152" s="1"/>
  <c r="AZ11" i="152" s="1"/>
  <c r="AZ12" i="152" s="1"/>
  <c r="AZ13" i="152" s="1"/>
  <c r="AZ14" i="152" s="1"/>
  <c r="D51" i="162" l="1"/>
  <c r="C51" i="162"/>
  <c r="C60" i="162"/>
  <c r="AO4" i="106"/>
  <c r="AO3" i="106"/>
  <c r="D60" i="162"/>
  <c r="D58" i="162"/>
  <c r="C58" i="162"/>
  <c r="D52" i="162"/>
  <c r="C52" i="162"/>
  <c r="AO53" i="106"/>
  <c r="AO51" i="106"/>
  <c r="AI316" i="104" s="1"/>
  <c r="D50" i="162"/>
  <c r="C50" i="162"/>
  <c r="D49" i="162"/>
  <c r="D57" i="162"/>
  <c r="C57" i="162"/>
  <c r="D8" i="184" l="1"/>
  <c r="C122" i="184"/>
  <c r="D94" i="184"/>
  <c r="F81" i="184"/>
  <c r="F35" i="184"/>
  <c r="D27" i="184"/>
  <c r="F19" i="184"/>
  <c r="F18" i="184"/>
  <c r="D11" i="184"/>
  <c r="D9" i="184"/>
  <c r="E13" i="184"/>
  <c r="F17" i="184"/>
  <c r="F16" i="184"/>
  <c r="D10" i="184"/>
  <c r="E14" i="184"/>
  <c r="E12" i="184"/>
  <c r="AL366" i="104"/>
  <c r="AL370" i="104"/>
  <c r="V329" i="104"/>
  <c r="AL300" i="104"/>
  <c r="I140" i="162"/>
  <c r="C43" i="185"/>
  <c r="D41" i="185"/>
  <c r="D40" i="185"/>
  <c r="I108" i="162"/>
  <c r="I138" i="162"/>
  <c r="AL321" i="104"/>
  <c r="AL316" i="104"/>
  <c r="AI321" i="104"/>
  <c r="AI300" i="104"/>
  <c r="U279" i="104"/>
  <c r="I6" i="162"/>
  <c r="U298" i="104"/>
  <c r="E15" i="185"/>
  <c r="I11" i="162"/>
  <c r="D14" i="185"/>
  <c r="F11" i="185"/>
  <c r="E37" i="185"/>
  <c r="D13" i="185"/>
  <c r="D23" i="185"/>
  <c r="E26" i="185"/>
  <c r="E25" i="185"/>
  <c r="I13" i="162"/>
  <c r="C120" i="184"/>
  <c r="D114" i="184"/>
  <c r="D31" i="184"/>
  <c r="E106" i="184"/>
  <c r="D30" i="184"/>
  <c r="D29" i="184"/>
  <c r="C84" i="162"/>
  <c r="I84" i="162"/>
  <c r="D84" i="162"/>
  <c r="I85" i="162"/>
  <c r="D85" i="162"/>
  <c r="C85" i="162"/>
  <c r="D56" i="162"/>
  <c r="C56" i="162"/>
  <c r="D55" i="162"/>
  <c r="C55" i="162"/>
  <c r="V385" i="106"/>
  <c r="AL297" i="104" l="1"/>
  <c r="AI297" i="104"/>
  <c r="AL276" i="104" s="1"/>
  <c r="AK4" i="104" s="1"/>
  <c r="D64" i="162"/>
  <c r="N414" i="106" l="1"/>
  <c r="D59" i="162"/>
  <c r="I60" i="162"/>
  <c r="I34" i="147" l="1"/>
  <c r="U3" i="147"/>
  <c r="G29" i="147" s="1"/>
  <c r="I29" i="147" s="1"/>
  <c r="I5" i="147"/>
  <c r="I61" i="147"/>
  <c r="I38" i="147"/>
  <c r="I41" i="147"/>
  <c r="I43" i="147"/>
  <c r="I44" i="147"/>
  <c r="I45" i="147"/>
  <c r="I46" i="147"/>
  <c r="I47" i="147"/>
  <c r="I48" i="147"/>
  <c r="I49" i="147"/>
  <c r="I50" i="147"/>
  <c r="I51" i="147"/>
  <c r="I52" i="147"/>
  <c r="I53" i="147"/>
  <c r="I54" i="147"/>
  <c r="I55" i="147"/>
  <c r="I56" i="147"/>
  <c r="I57" i="147"/>
  <c r="I58" i="147"/>
  <c r="I59" i="147"/>
  <c r="I60" i="147"/>
  <c r="I35" i="147"/>
  <c r="I36" i="147"/>
  <c r="I6" i="147"/>
  <c r="I7" i="147"/>
  <c r="I9" i="147"/>
  <c r="I10" i="147"/>
  <c r="I11" i="147"/>
  <c r="I12" i="147"/>
  <c r="I13" i="147"/>
  <c r="I14" i="147"/>
  <c r="I15" i="147"/>
  <c r="I16" i="147"/>
  <c r="I17" i="147"/>
  <c r="I18" i="147"/>
  <c r="I19" i="147"/>
  <c r="I20" i="147"/>
  <c r="I21" i="147"/>
  <c r="I22" i="147"/>
  <c r="I23" i="147"/>
  <c r="I24" i="147"/>
  <c r="I25" i="147"/>
  <c r="I26" i="147"/>
  <c r="I28" i="147"/>
  <c r="I30" i="147"/>
  <c r="I31" i="147"/>
  <c r="I32" i="147"/>
  <c r="C59" i="162" l="1"/>
  <c r="BT106" i="170" l="1"/>
  <c r="BT108" i="170"/>
  <c r="D115" i="149"/>
  <c r="D53" i="162" l="1"/>
  <c r="C53" i="162"/>
  <c r="D79" i="162"/>
  <c r="C64" i="162"/>
  <c r="I59" i="162"/>
  <c r="C49" i="162"/>
  <c r="AO18" i="106"/>
  <c r="AO29" i="106"/>
  <c r="V5" i="183" l="1"/>
  <c r="AR131" i="106"/>
  <c r="E138" i="154"/>
  <c r="D90" i="162"/>
  <c r="C90" i="162"/>
  <c r="F105" i="162"/>
  <c r="E105" i="162"/>
  <c r="F100" i="162"/>
  <c r="E100" i="162"/>
  <c r="X1" i="170" l="1"/>
  <c r="CQ60" i="170" l="1"/>
  <c r="CQ59" i="170"/>
  <c r="CQ58" i="170"/>
  <c r="CQ57" i="170"/>
  <c r="CQ56" i="170"/>
  <c r="CQ55" i="170"/>
  <c r="CQ54" i="170"/>
  <c r="CQ53" i="170"/>
  <c r="CQ52" i="170"/>
  <c r="CQ51" i="170"/>
  <c r="CQ50" i="170"/>
  <c r="CQ49" i="170"/>
  <c r="CQ48" i="170"/>
  <c r="CQ47" i="170"/>
  <c r="CQ46" i="170"/>
  <c r="CQ45" i="170"/>
  <c r="CQ44" i="170"/>
  <c r="CQ43" i="170"/>
  <c r="CQ42" i="170"/>
  <c r="CQ41" i="170"/>
  <c r="CQ33" i="170"/>
  <c r="Q33" i="183" l="1"/>
  <c r="AH298" i="106" l="1"/>
  <c r="AH297" i="106"/>
  <c r="AH296" i="106"/>
  <c r="AH293" i="106"/>
  <c r="AH295" i="106"/>
  <c r="AX10" i="170" l="1"/>
  <c r="F103" i="162" l="1"/>
  <c r="E103" i="162"/>
  <c r="AN10" i="170" l="1"/>
  <c r="F96" i="162"/>
  <c r="E96" i="162"/>
  <c r="AH102" i="104"/>
  <c r="AH101" i="104"/>
  <c r="AH100" i="104"/>
  <c r="AH99" i="104"/>
  <c r="AH98" i="104"/>
  <c r="AH97" i="104"/>
  <c r="AF97" i="104" s="1"/>
  <c r="AH96" i="104"/>
  <c r="AD96" i="104" s="1"/>
  <c r="AH95" i="104"/>
  <c r="AD95" i="104" s="1"/>
  <c r="AH94" i="104"/>
  <c r="AF94" i="104" s="1"/>
  <c r="AH93" i="104"/>
  <c r="AF102" i="104"/>
  <c r="AF101" i="104"/>
  <c r="AF100" i="104"/>
  <c r="AF99" i="104"/>
  <c r="AF98" i="104"/>
  <c r="AD102" i="104"/>
  <c r="AD101" i="104"/>
  <c r="AD100" i="104"/>
  <c r="AD99" i="104"/>
  <c r="AD98" i="104"/>
  <c r="AH142" i="104"/>
  <c r="AH141" i="104"/>
  <c r="AH140" i="104"/>
  <c r="AH139" i="104"/>
  <c r="AH138" i="104"/>
  <c r="AF138" i="104" s="1"/>
  <c r="AH137" i="104"/>
  <c r="AF137" i="104" s="1"/>
  <c r="AH136" i="104"/>
  <c r="AF136" i="104" s="1"/>
  <c r="AH135" i="104"/>
  <c r="AF135" i="104" s="1"/>
  <c r="AH134" i="104"/>
  <c r="AF134" i="104" s="1"/>
  <c r="AH133" i="104"/>
  <c r="AF133" i="104" s="1"/>
  <c r="AH132" i="104"/>
  <c r="AF132" i="104" s="1"/>
  <c r="AH131" i="104"/>
  <c r="AF131" i="104" s="1"/>
  <c r="AH130" i="104"/>
  <c r="AF130" i="104" s="1"/>
  <c r="AH129" i="104"/>
  <c r="AF129" i="104" s="1"/>
  <c r="AF128" i="104"/>
  <c r="AF142" i="104"/>
  <c r="AF141" i="104"/>
  <c r="AF140" i="104"/>
  <c r="AF139" i="104"/>
  <c r="AL150" i="104"/>
  <c r="AL149" i="104"/>
  <c r="AL146" i="104"/>
  <c r="AL145" i="104"/>
  <c r="AL147" i="104"/>
  <c r="AL148" i="104"/>
  <c r="BR154" i="104"/>
  <c r="AF93" i="104" l="1"/>
  <c r="AQ93" i="104" s="1"/>
  <c r="AD93" i="104"/>
  <c r="AP93" i="104" s="1"/>
  <c r="AL144" i="104"/>
  <c r="AD97" i="104"/>
  <c r="AR97" i="104" s="1"/>
  <c r="AF96" i="104"/>
  <c r="AF95" i="104"/>
  <c r="AF127" i="104"/>
  <c r="AD94" i="104"/>
  <c r="F138" i="154"/>
  <c r="F121" i="154"/>
  <c r="E121" i="154"/>
  <c r="F117" i="154"/>
  <c r="F109" i="154"/>
  <c r="E105" i="154"/>
  <c r="E104" i="154"/>
  <c r="E103" i="154"/>
  <c r="F67" i="154"/>
  <c r="F75" i="154"/>
  <c r="E75" i="154"/>
  <c r="F100" i="154"/>
  <c r="F89" i="154"/>
  <c r="E98" i="154"/>
  <c r="E97" i="154"/>
  <c r="E93" i="154"/>
  <c r="E78" i="154"/>
  <c r="E62" i="154"/>
  <c r="E61" i="154"/>
  <c r="E57" i="154"/>
  <c r="E20" i="154"/>
  <c r="E16" i="154"/>
  <c r="D21" i="162"/>
  <c r="C21" i="162"/>
  <c r="D20" i="162"/>
  <c r="C20" i="162"/>
  <c r="D19" i="162"/>
  <c r="C19" i="162"/>
  <c r="D18" i="162"/>
  <c r="C18" i="162"/>
  <c r="B56" i="155"/>
  <c r="B55" i="155"/>
  <c r="B54" i="155"/>
  <c r="B53" i="155"/>
  <c r="B52" i="155"/>
  <c r="B51" i="155"/>
  <c r="B50" i="155"/>
  <c r="B49" i="155"/>
  <c r="B48" i="155"/>
  <c r="B47" i="155"/>
  <c r="D37" i="154"/>
  <c r="D36" i="154"/>
  <c r="B9" i="155"/>
  <c r="B8" i="155"/>
  <c r="F4" i="150"/>
  <c r="T10" i="150" s="1"/>
  <c r="K363" i="106"/>
  <c r="E40" i="154" s="1"/>
  <c r="AJ103" i="170"/>
  <c r="D94" i="162"/>
  <c r="C94" i="162"/>
  <c r="D93" i="162"/>
  <c r="C93" i="162"/>
  <c r="D92" i="162"/>
  <c r="C92" i="162"/>
  <c r="D91" i="162"/>
  <c r="C91" i="162"/>
  <c r="D48" i="162"/>
  <c r="C48" i="162"/>
  <c r="D47" i="162"/>
  <c r="C47" i="162"/>
  <c r="D46" i="162"/>
  <c r="C46" i="162"/>
  <c r="D45" i="162"/>
  <c r="C45" i="162"/>
  <c r="D29" i="149"/>
  <c r="D17" i="149"/>
  <c r="AS93" i="104" l="1"/>
  <c r="AT93" i="104"/>
  <c r="E109" i="154"/>
  <c r="E100" i="154"/>
  <c r="F110" i="154"/>
  <c r="E21" i="154"/>
  <c r="E67" i="154"/>
  <c r="F4" i="153" l="1"/>
  <c r="N11" i="119"/>
  <c r="N9" i="119"/>
  <c r="N8" i="119"/>
  <c r="N7" i="119"/>
  <c r="N6" i="119"/>
  <c r="N5" i="119"/>
  <c r="N4" i="119"/>
  <c r="AJ8" i="170"/>
  <c r="X354" i="106"/>
  <c r="I333" i="106"/>
  <c r="I337" i="106" s="1"/>
  <c r="I342" i="106"/>
  <c r="H351" i="106"/>
  <c r="V215" i="104" s="1"/>
  <c r="AH294" i="106" l="1"/>
  <c r="AH292" i="106"/>
  <c r="AH291" i="106"/>
  <c r="AH290" i="106"/>
  <c r="AH289" i="106"/>
  <c r="AO6" i="183"/>
  <c r="AP6" i="183" s="1"/>
  <c r="AQ6" i="183" s="1"/>
  <c r="I3" i="149"/>
  <c r="D169" i="149"/>
  <c r="AB30" i="183" l="1"/>
  <c r="AH299" i="106"/>
  <c r="I79" i="162"/>
  <c r="C79" i="162"/>
  <c r="D112" i="162"/>
  <c r="C112" i="162"/>
  <c r="F4" i="183"/>
  <c r="AO4" i="183"/>
  <c r="AO3" i="183"/>
  <c r="AP3" i="183" s="1"/>
  <c r="AQ3" i="183" s="1"/>
  <c r="F104" i="162" l="1"/>
  <c r="E104" i="162"/>
  <c r="F102" i="162"/>
  <c r="E102" i="162"/>
  <c r="F99" i="162"/>
  <c r="E99" i="162"/>
  <c r="F98" i="162"/>
  <c r="E98" i="162"/>
  <c r="F97" i="162"/>
  <c r="E97" i="162"/>
  <c r="F95" i="162"/>
  <c r="E95" i="162"/>
  <c r="I80" i="162" l="1"/>
  <c r="D80" i="162"/>
  <c r="C80" i="162"/>
  <c r="D126" i="162"/>
  <c r="C126" i="162"/>
  <c r="I126" i="162"/>
  <c r="D125" i="162"/>
  <c r="C125" i="162"/>
  <c r="I125" i="162"/>
  <c r="I135" i="162" l="1"/>
  <c r="I128" i="162"/>
  <c r="D128" i="162"/>
  <c r="C128" i="162"/>
  <c r="D135" i="162"/>
  <c r="C135" i="162"/>
  <c r="I134" i="162"/>
  <c r="D134" i="162"/>
  <c r="C134" i="162"/>
  <c r="I133" i="162"/>
  <c r="D133" i="162"/>
  <c r="C133" i="162"/>
  <c r="I131" i="162" l="1"/>
  <c r="I127" i="162"/>
  <c r="I130" i="162"/>
  <c r="K210" i="104"/>
  <c r="K216" i="104" s="1"/>
  <c r="E263" i="106" l="1"/>
  <c r="N263" i="106"/>
  <c r="D6" i="149"/>
  <c r="D113" i="162"/>
  <c r="AV129" i="104"/>
  <c r="AV130" i="104"/>
  <c r="AV131" i="104"/>
  <c r="AV132" i="104"/>
  <c r="AV133" i="104"/>
  <c r="AV134" i="104"/>
  <c r="AV135" i="104"/>
  <c r="AV136" i="104"/>
  <c r="AV137" i="104"/>
  <c r="AV138" i="104"/>
  <c r="AV139" i="104"/>
  <c r="AV140" i="104"/>
  <c r="AV141" i="104"/>
  <c r="AV142" i="104"/>
  <c r="AV128" i="104"/>
  <c r="AO128" i="104"/>
  <c r="AV126" i="104" l="1"/>
  <c r="AO93" i="104"/>
  <c r="AU93" i="104" s="1"/>
  <c r="AL57" i="104"/>
  <c r="C75" i="162"/>
  <c r="I87" i="162"/>
  <c r="D87" i="162"/>
  <c r="C87" i="162"/>
  <c r="D86" i="162"/>
  <c r="I86" i="162"/>
  <c r="C86" i="162"/>
  <c r="K365" i="106"/>
  <c r="J346" i="106" l="1"/>
  <c r="S297" i="106"/>
  <c r="O297" i="106"/>
  <c r="M297" i="106"/>
  <c r="I297" i="106"/>
  <c r="AA286" i="106"/>
  <c r="AA285" i="106"/>
  <c r="I83" i="162"/>
  <c r="D83" i="162"/>
  <c r="C83" i="162"/>
  <c r="I82" i="162"/>
  <c r="D82" i="162"/>
  <c r="C82" i="162"/>
  <c r="AI251" i="106" l="1"/>
  <c r="N210" i="106" l="1"/>
  <c r="S3" i="147"/>
  <c r="R3" i="147"/>
  <c r="C66" i="162"/>
  <c r="I66" i="162"/>
  <c r="I77" i="162"/>
  <c r="D77" i="162"/>
  <c r="C77" i="162"/>
  <c r="D63" i="162"/>
  <c r="I78" i="162"/>
  <c r="D78" i="162"/>
  <c r="C78" i="162"/>
  <c r="AK98" i="106"/>
  <c r="I88" i="162"/>
  <c r="D62" i="162"/>
  <c r="C62" i="162"/>
  <c r="AO2" i="106"/>
  <c r="AK8" i="104" l="1"/>
  <c r="U83" i="106"/>
  <c r="O57" i="106"/>
  <c r="S66" i="106"/>
  <c r="T63" i="106"/>
  <c r="Q70" i="106"/>
  <c r="N153" i="114" s="1"/>
  <c r="G2" i="147"/>
  <c r="I139" i="162"/>
  <c r="AL351" i="104"/>
  <c r="I109" i="162"/>
  <c r="I136" i="162"/>
  <c r="D29" i="106"/>
  <c r="R30" i="106"/>
  <c r="J16" i="106"/>
  <c r="AC10" i="170"/>
  <c r="AC22" i="170"/>
  <c r="AC26" i="170"/>
  <c r="AC30" i="170"/>
  <c r="AC34" i="170"/>
  <c r="AC38" i="170"/>
  <c r="AC42" i="170"/>
  <c r="AC46" i="170"/>
  <c r="AC50" i="170"/>
  <c r="AC54" i="170"/>
  <c r="AC58" i="170"/>
  <c r="AC25" i="170"/>
  <c r="AC29" i="170"/>
  <c r="AC33" i="170"/>
  <c r="AC37" i="170"/>
  <c r="AC41" i="170"/>
  <c r="AC45" i="170"/>
  <c r="AC49" i="170"/>
  <c r="AC53" i="170"/>
  <c r="AC57" i="170"/>
  <c r="AC23" i="170"/>
  <c r="AC27" i="170"/>
  <c r="AC35" i="170"/>
  <c r="AC39" i="170"/>
  <c r="AC43" i="170"/>
  <c r="AC51" i="170"/>
  <c r="AC55" i="170"/>
  <c r="AC24" i="170"/>
  <c r="AC28" i="170"/>
  <c r="AC32" i="170"/>
  <c r="AC36" i="170"/>
  <c r="AC40" i="170"/>
  <c r="AC44" i="170"/>
  <c r="AC48" i="170"/>
  <c r="AC52" i="170"/>
  <c r="AC56" i="170"/>
  <c r="AC31" i="170"/>
  <c r="AC47" i="170"/>
  <c r="AC59" i="170"/>
  <c r="AB23" i="153"/>
  <c r="L48" i="155"/>
  <c r="D61" i="162"/>
  <c r="C61" i="162"/>
  <c r="I61" i="162"/>
  <c r="AO40" i="106"/>
  <c r="I58" i="162"/>
  <c r="C88" i="162"/>
  <c r="D75" i="162"/>
  <c r="I75" i="162"/>
  <c r="I113" i="162"/>
  <c r="K3" i="149" l="1"/>
  <c r="AB10" i="170"/>
  <c r="L47" i="155"/>
  <c r="R47" i="155" s="1"/>
  <c r="DV48" i="155"/>
  <c r="BK48" i="155"/>
  <c r="AM48" i="155"/>
  <c r="CI48" i="155"/>
  <c r="DG48" i="155"/>
  <c r="AY48" i="155"/>
  <c r="CU48" i="155"/>
  <c r="AG48" i="155"/>
  <c r="BE48" i="155"/>
  <c r="CC48" i="155"/>
  <c r="DA48" i="155"/>
  <c r="DY48" i="155"/>
  <c r="O48" i="155"/>
  <c r="X48" i="155"/>
  <c r="AJ48" i="155"/>
  <c r="AV48" i="155"/>
  <c r="BH48" i="155"/>
  <c r="BT48" i="155"/>
  <c r="CF48" i="155"/>
  <c r="CR48" i="155"/>
  <c r="DD48" i="155"/>
  <c r="DP48" i="155"/>
  <c r="AA48" i="155"/>
  <c r="BW48" i="155"/>
  <c r="DS48" i="155"/>
  <c r="U48" i="155"/>
  <c r="AS48" i="155"/>
  <c r="BQ48" i="155"/>
  <c r="CO48" i="155"/>
  <c r="DM48" i="155"/>
  <c r="R48" i="155"/>
  <c r="AD48" i="155"/>
  <c r="AP48" i="155"/>
  <c r="BB48" i="155"/>
  <c r="BN48" i="155"/>
  <c r="BZ48" i="155"/>
  <c r="CL48" i="155"/>
  <c r="CX48" i="155"/>
  <c r="DJ48" i="155"/>
  <c r="AB22" i="153"/>
  <c r="B11" i="183"/>
  <c r="I64" i="162"/>
  <c r="AO46" i="106"/>
  <c r="I63" i="162" s="1"/>
  <c r="AO36" i="106"/>
  <c r="AO43" i="106"/>
  <c r="I62" i="162" s="1"/>
  <c r="AO5" i="183"/>
  <c r="AP5" i="183" s="1"/>
  <c r="AQ5" i="183" s="1"/>
  <c r="AP4" i="183"/>
  <c r="AQ4" i="183" s="1"/>
  <c r="AH7" i="170"/>
  <c r="BB10" i="170"/>
  <c r="F45" i="184" l="1"/>
  <c r="F46" i="184"/>
  <c r="F43" i="184"/>
  <c r="F47" i="184"/>
  <c r="F42" i="184"/>
  <c r="F44" i="184"/>
  <c r="F6" i="183"/>
  <c r="L72" i="106"/>
  <c r="N151" i="114"/>
  <c r="L64" i="106" s="1"/>
  <c r="N152" i="114"/>
  <c r="L68" i="106" s="1"/>
  <c r="B16" i="183"/>
  <c r="G37" i="147"/>
  <c r="Q8" i="170"/>
  <c r="O8" i="170"/>
  <c r="P8" i="170"/>
  <c r="H3" i="147"/>
  <c r="H2" i="147"/>
  <c r="AD10" i="170"/>
  <c r="AD12" i="170"/>
  <c r="AD14" i="170"/>
  <c r="AD16" i="170"/>
  <c r="AD18" i="170"/>
  <c r="AD20" i="170"/>
  <c r="AD22" i="170"/>
  <c r="AD24" i="170"/>
  <c r="AD26" i="170"/>
  <c r="AD28" i="170"/>
  <c r="AD30" i="170"/>
  <c r="AD32" i="170"/>
  <c r="AD34" i="170"/>
  <c r="AD36" i="170"/>
  <c r="AD38" i="170"/>
  <c r="AD40" i="170"/>
  <c r="AD42" i="170"/>
  <c r="AD44" i="170"/>
  <c r="AD46" i="170"/>
  <c r="AD48" i="170"/>
  <c r="AD50" i="170"/>
  <c r="AD52" i="170"/>
  <c r="AD54" i="170"/>
  <c r="AD56" i="170"/>
  <c r="AD58" i="170"/>
  <c r="AD11" i="170"/>
  <c r="AD13" i="170"/>
  <c r="AD15" i="170"/>
  <c r="AD17" i="170"/>
  <c r="AD19" i="170"/>
  <c r="AD21" i="170"/>
  <c r="AD23" i="170"/>
  <c r="AD25" i="170"/>
  <c r="AD27" i="170"/>
  <c r="AD29" i="170"/>
  <c r="AD31" i="170"/>
  <c r="AD33" i="170"/>
  <c r="AD35" i="170"/>
  <c r="AD37" i="170"/>
  <c r="AD39" i="170"/>
  <c r="AD41" i="170"/>
  <c r="AD43" i="170"/>
  <c r="AD45" i="170"/>
  <c r="AD47" i="170"/>
  <c r="AD49" i="170"/>
  <c r="AD51" i="170"/>
  <c r="AD53" i="170"/>
  <c r="AD55" i="170"/>
  <c r="AD57" i="170"/>
  <c r="AD59" i="170"/>
  <c r="S3" i="106"/>
  <c r="CQ19" i="170"/>
  <c r="AE23" i="170"/>
  <c r="AE25" i="170"/>
  <c r="AE27" i="170"/>
  <c r="AE29" i="170"/>
  <c r="AE31" i="170"/>
  <c r="AE33" i="170"/>
  <c r="AE35" i="170"/>
  <c r="AE37" i="170"/>
  <c r="AE39" i="170"/>
  <c r="AE41" i="170"/>
  <c r="AE43" i="170"/>
  <c r="AE45" i="170"/>
  <c r="AE47" i="170"/>
  <c r="AE49" i="170"/>
  <c r="AE51" i="170"/>
  <c r="AE53" i="170"/>
  <c r="AE55" i="170"/>
  <c r="AE57" i="170"/>
  <c r="AE59" i="170"/>
  <c r="AE22" i="170"/>
  <c r="AE24" i="170"/>
  <c r="AE26" i="170"/>
  <c r="AE28" i="170"/>
  <c r="AE30" i="170"/>
  <c r="AE32" i="170"/>
  <c r="AE34" i="170"/>
  <c r="AE36" i="170"/>
  <c r="AE38" i="170"/>
  <c r="AE40" i="170"/>
  <c r="AE42" i="170"/>
  <c r="AE44" i="170"/>
  <c r="AE46" i="170"/>
  <c r="AE48" i="170"/>
  <c r="AE50" i="170"/>
  <c r="AE52" i="170"/>
  <c r="AE54" i="170"/>
  <c r="AE56" i="170"/>
  <c r="AE58" i="170"/>
  <c r="X47" i="155"/>
  <c r="O47" i="155"/>
  <c r="L52" i="155"/>
  <c r="DV52" i="155" s="1"/>
  <c r="L51" i="155"/>
  <c r="AB26" i="153"/>
  <c r="L49" i="155"/>
  <c r="AB24" i="153"/>
  <c r="AB25" i="153"/>
  <c r="L50" i="155"/>
  <c r="AB27" i="153"/>
  <c r="J4" i="149"/>
  <c r="F28" i="162"/>
  <c r="E28" i="162"/>
  <c r="F27" i="162"/>
  <c r="E27" i="162"/>
  <c r="F26" i="162"/>
  <c r="E26" i="162"/>
  <c r="F25" i="162"/>
  <c r="E25" i="162"/>
  <c r="F24" i="162"/>
  <c r="E24" i="162"/>
  <c r="D44" i="162"/>
  <c r="C44" i="162"/>
  <c r="D43" i="162"/>
  <c r="C43" i="162"/>
  <c r="D42" i="162"/>
  <c r="C42" i="162"/>
  <c r="D41" i="162"/>
  <c r="C41" i="162"/>
  <c r="D40" i="162"/>
  <c r="C40" i="162"/>
  <c r="I37" i="147" l="1"/>
  <c r="AD8" i="170"/>
  <c r="CQ7" i="170"/>
  <c r="CR41" i="170" s="1"/>
  <c r="CR33" i="170"/>
  <c r="CQ18" i="170"/>
  <c r="CF52" i="155"/>
  <c r="DJ52" i="155"/>
  <c r="AJ52" i="155"/>
  <c r="AS52" i="155"/>
  <c r="DG52" i="155"/>
  <c r="DD52" i="155"/>
  <c r="DS52" i="155"/>
  <c r="BH52" i="155"/>
  <c r="CO52" i="155"/>
  <c r="DA52" i="155"/>
  <c r="BZ52" i="155"/>
  <c r="AD52" i="155"/>
  <c r="BB52" i="155"/>
  <c r="O52" i="155"/>
  <c r="CC52" i="155"/>
  <c r="AG52" i="155"/>
  <c r="AA52" i="155"/>
  <c r="DY52" i="155"/>
  <c r="CI52" i="155"/>
  <c r="DP52" i="155"/>
  <c r="CR52" i="155"/>
  <c r="CX52" i="155"/>
  <c r="CU52" i="155"/>
  <c r="BT52" i="155"/>
  <c r="AV52" i="155"/>
  <c r="X52" i="155"/>
  <c r="BQ52" i="155"/>
  <c r="U52" i="155"/>
  <c r="AY52" i="155"/>
  <c r="CL52" i="155"/>
  <c r="BN52" i="155"/>
  <c r="AP52" i="155"/>
  <c r="R52" i="155"/>
  <c r="DM52" i="155"/>
  <c r="BE52" i="155"/>
  <c r="BW52" i="155"/>
  <c r="BK52" i="155"/>
  <c r="AM52" i="155"/>
  <c r="AJ24" i="153"/>
  <c r="AF24" i="153"/>
  <c r="DY51" i="155"/>
  <c r="BE51" i="155"/>
  <c r="CF51" i="155"/>
  <c r="U51" i="155"/>
  <c r="BQ51" i="155"/>
  <c r="AM51" i="155"/>
  <c r="BK51" i="155"/>
  <c r="CR51" i="155"/>
  <c r="R51" i="155"/>
  <c r="AD51" i="155"/>
  <c r="AP51" i="155"/>
  <c r="BB51" i="155"/>
  <c r="BN51" i="155"/>
  <c r="BZ51" i="155"/>
  <c r="CX51" i="155"/>
  <c r="DV51" i="155"/>
  <c r="CI51" i="155"/>
  <c r="CU51" i="155"/>
  <c r="DG51" i="155"/>
  <c r="O51" i="155"/>
  <c r="AG51" i="155"/>
  <c r="AS51" i="155"/>
  <c r="DD51" i="155"/>
  <c r="AA51" i="155"/>
  <c r="AY51" i="155"/>
  <c r="BW51" i="155"/>
  <c r="DP51" i="155"/>
  <c r="X51" i="155"/>
  <c r="AJ51" i="155"/>
  <c r="AV51" i="155"/>
  <c r="BH51" i="155"/>
  <c r="BT51" i="155"/>
  <c r="CL51" i="155"/>
  <c r="DJ51" i="155"/>
  <c r="CC51" i="155"/>
  <c r="DA51" i="155"/>
  <c r="DS51" i="155"/>
  <c r="CO51" i="155"/>
  <c r="DM51" i="155"/>
  <c r="DV50" i="155"/>
  <c r="X50" i="155"/>
  <c r="BK50" i="155"/>
  <c r="CI50" i="155"/>
  <c r="AY50" i="155"/>
  <c r="DA50" i="155"/>
  <c r="AG50" i="155"/>
  <c r="BE50" i="155"/>
  <c r="CC50" i="155"/>
  <c r="DM50" i="155"/>
  <c r="AD50" i="155"/>
  <c r="AP50" i="155"/>
  <c r="BB50" i="155"/>
  <c r="BN50" i="155"/>
  <c r="BZ50" i="155"/>
  <c r="CL50" i="155"/>
  <c r="DG50" i="155"/>
  <c r="DY50" i="155"/>
  <c r="AM50" i="155"/>
  <c r="AA50" i="155"/>
  <c r="BW50" i="155"/>
  <c r="R50" i="155"/>
  <c r="AS50" i="155"/>
  <c r="BQ50" i="155"/>
  <c r="CO50" i="155"/>
  <c r="O50" i="155"/>
  <c r="U50" i="155"/>
  <c r="AJ50" i="155"/>
  <c r="AV50" i="155"/>
  <c r="BH50" i="155"/>
  <c r="BT50" i="155"/>
  <c r="CF50" i="155"/>
  <c r="CU50" i="155"/>
  <c r="DS50" i="155"/>
  <c r="CR50" i="155"/>
  <c r="DD50" i="155"/>
  <c r="DP50" i="155"/>
  <c r="CX50" i="155"/>
  <c r="DJ50" i="155"/>
  <c r="DY49" i="155"/>
  <c r="DD49" i="155"/>
  <c r="BH49" i="155"/>
  <c r="AJ49" i="155"/>
  <c r="X49" i="155"/>
  <c r="BT49" i="155"/>
  <c r="DP49" i="155"/>
  <c r="R49" i="155"/>
  <c r="AP49" i="155"/>
  <c r="BN49" i="155"/>
  <c r="CL49" i="155"/>
  <c r="DJ49" i="155"/>
  <c r="AA49" i="155"/>
  <c r="AM49" i="155"/>
  <c r="AY49" i="155"/>
  <c r="BK49" i="155"/>
  <c r="BW49" i="155"/>
  <c r="CI49" i="155"/>
  <c r="CU49" i="155"/>
  <c r="DG49" i="155"/>
  <c r="DS49" i="155"/>
  <c r="CF49" i="155"/>
  <c r="AV49" i="155"/>
  <c r="CR49" i="155"/>
  <c r="O49" i="155"/>
  <c r="AD49" i="155"/>
  <c r="BB49" i="155"/>
  <c r="BZ49" i="155"/>
  <c r="CX49" i="155"/>
  <c r="DV49" i="155"/>
  <c r="U49" i="155"/>
  <c r="AG49" i="155"/>
  <c r="AS49" i="155"/>
  <c r="BE49" i="155"/>
  <c r="BQ49" i="155"/>
  <c r="CC49" i="155"/>
  <c r="DA49" i="155"/>
  <c r="CO49" i="155"/>
  <c r="DM49" i="155"/>
  <c r="D39" i="162"/>
  <c r="C39" i="162"/>
  <c r="D38" i="162"/>
  <c r="C38" i="162"/>
  <c r="D37" i="162"/>
  <c r="C37" i="162"/>
  <c r="D36" i="162"/>
  <c r="C36" i="162"/>
  <c r="D35" i="162"/>
  <c r="C35" i="162"/>
  <c r="D34" i="162"/>
  <c r="C34" i="162"/>
  <c r="D33" i="162"/>
  <c r="C33" i="162"/>
  <c r="F23" i="162"/>
  <c r="E23" i="162"/>
  <c r="D178" i="149"/>
  <c r="E18" i="149"/>
  <c r="D27" i="149"/>
  <c r="E83" i="149"/>
  <c r="AC17" i="186"/>
  <c r="AJ17" i="186" s="1"/>
  <c r="H3" i="149"/>
  <c r="J3" i="149"/>
  <c r="Q3" i="149"/>
  <c r="R3" i="149"/>
  <c r="S3" i="149"/>
  <c r="T3" i="149"/>
  <c r="U3" i="149"/>
  <c r="V3" i="149"/>
  <c r="W3" i="149"/>
  <c r="X3" i="149"/>
  <c r="Y3" i="149"/>
  <c r="Z3" i="149"/>
  <c r="AA3" i="149"/>
  <c r="AB3" i="149"/>
  <c r="AC3" i="149"/>
  <c r="AD3" i="149"/>
  <c r="AE3" i="149"/>
  <c r="AF3" i="149"/>
  <c r="AG3" i="149"/>
  <c r="AH3" i="149"/>
  <c r="AI3" i="149"/>
  <c r="AJ3" i="149"/>
  <c r="E7" i="149"/>
  <c r="AH4" i="149"/>
  <c r="AG4" i="149"/>
  <c r="AF4" i="149"/>
  <c r="AE4" i="149"/>
  <c r="AD4" i="149"/>
  <c r="AC4" i="149"/>
  <c r="AB4" i="149"/>
  <c r="AA4" i="149"/>
  <c r="Z4" i="149"/>
  <c r="Y4" i="149"/>
  <c r="X4" i="149"/>
  <c r="W4" i="149"/>
  <c r="V4" i="149"/>
  <c r="U4" i="149"/>
  <c r="T4" i="149"/>
  <c r="S4" i="149"/>
  <c r="R4" i="149"/>
  <c r="Q4" i="149"/>
  <c r="P4" i="149"/>
  <c r="O4" i="149"/>
  <c r="N4" i="149"/>
  <c r="M4" i="149"/>
  <c r="L4" i="149"/>
  <c r="K4" i="149"/>
  <c r="I4" i="149"/>
  <c r="H4" i="149"/>
  <c r="L8" i="170"/>
  <c r="M8" i="170"/>
  <c r="CB1" i="170"/>
  <c r="AL214" i="104"/>
  <c r="AL213" i="104"/>
  <c r="AL212" i="104"/>
  <c r="AC18" i="186" l="1"/>
  <c r="AC24" i="186" s="1"/>
  <c r="AJ24" i="186" s="1"/>
  <c r="AJ16" i="186"/>
  <c r="AK216" i="104"/>
  <c r="S358" i="104" s="1"/>
  <c r="M209" i="104"/>
  <c r="AL209" i="104" s="1"/>
  <c r="Z23" i="183"/>
  <c r="AJ18" i="186" l="1"/>
  <c r="X216" i="104"/>
  <c r="AJ23" i="183" s="1"/>
  <c r="D127" i="162"/>
  <c r="C127" i="162"/>
  <c r="C113" i="162"/>
  <c r="C22" i="162"/>
  <c r="D22" i="162"/>
  <c r="C81" i="162"/>
  <c r="D81" i="162"/>
  <c r="I81" i="162"/>
  <c r="AP129" i="104"/>
  <c r="AP128" i="104"/>
  <c r="X127" i="104"/>
  <c r="AO138" i="104"/>
  <c r="AO139" i="104"/>
  <c r="AO140" i="104"/>
  <c r="AO141" i="104"/>
  <c r="AO142" i="104"/>
  <c r="AP130" i="104"/>
  <c r="AP131" i="104"/>
  <c r="AP132" i="104"/>
  <c r="AP133" i="104"/>
  <c r="AP134" i="104"/>
  <c r="AP135" i="104"/>
  <c r="AP136" i="104"/>
  <c r="AP137" i="104"/>
  <c r="AP138" i="104"/>
  <c r="AP139" i="104"/>
  <c r="AP140" i="104"/>
  <c r="AP141" i="104"/>
  <c r="AP142" i="104"/>
  <c r="AO137" i="104"/>
  <c r="AO136" i="104"/>
  <c r="AO135" i="104"/>
  <c r="AO134" i="104"/>
  <c r="AO133" i="104"/>
  <c r="AO132" i="104"/>
  <c r="AO131" i="104"/>
  <c r="AO130" i="104"/>
  <c r="AO129" i="104"/>
  <c r="AY20" i="170"/>
  <c r="AE20" i="170" s="1"/>
  <c r="AJ29" i="186" l="1"/>
  <c r="AJ19" i="186"/>
  <c r="AT141" i="104"/>
  <c r="AU141" i="104" s="1"/>
  <c r="AS141" i="104"/>
  <c r="AT139" i="104"/>
  <c r="AU139" i="104" s="1"/>
  <c r="AS139" i="104"/>
  <c r="AT137" i="104"/>
  <c r="AU137" i="104" s="1"/>
  <c r="AS137" i="104"/>
  <c r="AT135" i="104"/>
  <c r="AU135" i="104" s="1"/>
  <c r="AS135" i="104"/>
  <c r="AT133" i="104"/>
  <c r="AU133" i="104" s="1"/>
  <c r="AS133" i="104"/>
  <c r="AT131" i="104"/>
  <c r="AU131" i="104" s="1"/>
  <c r="AS131" i="104"/>
  <c r="AT128" i="104"/>
  <c r="AS128" i="104"/>
  <c r="AT142" i="104"/>
  <c r="AU142" i="104" s="1"/>
  <c r="AS142" i="104"/>
  <c r="AT140" i="104"/>
  <c r="AU140" i="104" s="1"/>
  <c r="AS140" i="104"/>
  <c r="AT138" i="104"/>
  <c r="AU138" i="104" s="1"/>
  <c r="AS138" i="104"/>
  <c r="AT136" i="104"/>
  <c r="AU136" i="104" s="1"/>
  <c r="AS136" i="104"/>
  <c r="AT134" i="104"/>
  <c r="AU134" i="104" s="1"/>
  <c r="AS134" i="104"/>
  <c r="AT132" i="104"/>
  <c r="AU132" i="104" s="1"/>
  <c r="AS132" i="104"/>
  <c r="AT130" i="104"/>
  <c r="AU130" i="104" s="1"/>
  <c r="AS130" i="104"/>
  <c r="AT129" i="104"/>
  <c r="AS129" i="104"/>
  <c r="AL203" i="104"/>
  <c r="AL201" i="104" s="1"/>
  <c r="E33" i="185"/>
  <c r="AR93" i="104"/>
  <c r="AR135" i="104"/>
  <c r="AR137" i="104"/>
  <c r="T127" i="104"/>
  <c r="AR128" i="104"/>
  <c r="AR134" i="104"/>
  <c r="AR136" i="104"/>
  <c r="AR142" i="104"/>
  <c r="AR141" i="104"/>
  <c r="AR140" i="104"/>
  <c r="AR139" i="104"/>
  <c r="AR138" i="104"/>
  <c r="AR133" i="104"/>
  <c r="AR132" i="104"/>
  <c r="AR131" i="104"/>
  <c r="AR130" i="104"/>
  <c r="AR129" i="104"/>
  <c r="AS126" i="104" l="1"/>
  <c r="AR126" i="104"/>
  <c r="AT126" i="104"/>
  <c r="AP126" i="104"/>
  <c r="AL115" i="104" s="1"/>
  <c r="AU129" i="104"/>
  <c r="F37" i="184" l="1"/>
  <c r="AL116" i="104"/>
  <c r="AU128" i="104"/>
  <c r="AU126" i="104" s="1"/>
  <c r="AL119" i="104" s="1"/>
  <c r="AL121" i="104" l="1"/>
  <c r="Z11" i="170"/>
  <c r="BA10" i="170"/>
  <c r="BC10" i="170" s="1"/>
  <c r="AP94" i="104"/>
  <c r="AP95" i="104"/>
  <c r="AP96" i="104"/>
  <c r="AQ97" i="104"/>
  <c r="AQ99" i="104"/>
  <c r="AQ101" i="104"/>
  <c r="AQ94" i="104"/>
  <c r="AQ96" i="104"/>
  <c r="AP98" i="104"/>
  <c r="AQ98" i="104"/>
  <c r="AP100" i="104"/>
  <c r="AQ100" i="104"/>
  <c r="AP102" i="104"/>
  <c r="AQ102" i="104"/>
  <c r="N8" i="170"/>
  <c r="R8" i="170"/>
  <c r="AA11" i="170" l="1"/>
  <c r="K33" i="104"/>
  <c r="V33" i="104" s="1"/>
  <c r="AT100" i="104"/>
  <c r="AS100" i="104"/>
  <c r="AT96" i="104"/>
  <c r="AS96" i="104"/>
  <c r="AT94" i="104"/>
  <c r="AS94" i="104"/>
  <c r="AT102" i="104"/>
  <c r="AS102" i="104"/>
  <c r="AT98" i="104"/>
  <c r="AS98" i="104"/>
  <c r="AS95" i="104"/>
  <c r="AT95" i="104"/>
  <c r="AP99" i="104"/>
  <c r="AQ95" i="104"/>
  <c r="AP101" i="104"/>
  <c r="AP97" i="104"/>
  <c r="AO96" i="104"/>
  <c r="AO98" i="104"/>
  <c r="AO99" i="104"/>
  <c r="AO100" i="104"/>
  <c r="AO101" i="104"/>
  <c r="AO102" i="104"/>
  <c r="AO94" i="104"/>
  <c r="AO95" i="104"/>
  <c r="X92" i="104"/>
  <c r="T33" i="104" l="1"/>
  <c r="Z33" i="104" s="1"/>
  <c r="AP91" i="104"/>
  <c r="AS101" i="104"/>
  <c r="AT101" i="104"/>
  <c r="AU101" i="104" s="1"/>
  <c r="AS99" i="104"/>
  <c r="AT99" i="104"/>
  <c r="AU99" i="104" s="1"/>
  <c r="AS97" i="104"/>
  <c r="AS91" i="104" s="1"/>
  <c r="AT97" i="104"/>
  <c r="AU97" i="104" s="1"/>
  <c r="AR99" i="104"/>
  <c r="AQ91" i="104"/>
  <c r="AU100" i="104"/>
  <c r="AU102" i="104"/>
  <c r="T92" i="104"/>
  <c r="AU98" i="104"/>
  <c r="AU95" i="104"/>
  <c r="AU96" i="104"/>
  <c r="AT91" i="104" l="1"/>
  <c r="AR100" i="104"/>
  <c r="AR94" i="104"/>
  <c r="AR98" i="104"/>
  <c r="AR95" i="104"/>
  <c r="AF92" i="104"/>
  <c r="AR96" i="104"/>
  <c r="AR102" i="104"/>
  <c r="AR101" i="104"/>
  <c r="AD92" i="104"/>
  <c r="AR91" i="104" l="1"/>
  <c r="AU94" i="104"/>
  <c r="AL84" i="104" l="1"/>
  <c r="F36" i="184"/>
  <c r="AL85" i="104"/>
  <c r="AU91" i="104"/>
  <c r="AL88" i="104" s="1"/>
  <c r="N3" i="149"/>
  <c r="G40" i="147" s="1"/>
  <c r="AL90" i="104" l="1"/>
  <c r="AL72" i="104" s="1"/>
  <c r="I40" i="147"/>
  <c r="G3" i="147"/>
  <c r="AI20" i="170"/>
  <c r="AI21" i="170"/>
  <c r="AI22" i="170"/>
  <c r="AI23" i="170"/>
  <c r="AI24" i="170"/>
  <c r="AI25" i="170"/>
  <c r="AI26" i="170"/>
  <c r="AI27" i="170"/>
  <c r="AI28" i="170"/>
  <c r="AI29" i="170"/>
  <c r="AI30" i="170"/>
  <c r="AI31" i="170"/>
  <c r="AI32" i="170"/>
  <c r="AI33" i="170"/>
  <c r="AI34" i="170"/>
  <c r="AI35" i="170"/>
  <c r="AI36" i="170"/>
  <c r="AI37" i="170"/>
  <c r="AI38" i="170"/>
  <c r="AI39" i="170"/>
  <c r="AI40" i="170"/>
  <c r="AI41" i="170"/>
  <c r="AI42" i="170"/>
  <c r="AI43" i="170"/>
  <c r="AI44" i="170"/>
  <c r="AI45" i="170"/>
  <c r="AI46" i="170"/>
  <c r="AI47" i="170"/>
  <c r="AI48" i="170"/>
  <c r="AI49" i="170"/>
  <c r="AI50" i="170"/>
  <c r="AI51" i="170"/>
  <c r="AI52" i="170"/>
  <c r="AI53" i="170"/>
  <c r="AI54" i="170"/>
  <c r="AI55" i="170"/>
  <c r="AI56" i="170"/>
  <c r="AI57" i="170"/>
  <c r="AI58" i="170"/>
  <c r="AI59" i="170"/>
  <c r="Z19" i="170"/>
  <c r="F8" i="170"/>
  <c r="G8" i="170"/>
  <c r="Z13" i="170"/>
  <c r="Z14" i="170"/>
  <c r="AA14" i="170" s="1"/>
  <c r="Z15" i="170"/>
  <c r="AA15" i="170" s="1"/>
  <c r="Z16" i="170"/>
  <c r="AA16" i="170" s="1"/>
  <c r="Z17" i="170"/>
  <c r="AA17" i="170" s="1"/>
  <c r="Z18" i="170"/>
  <c r="Z20" i="170"/>
  <c r="AA20" i="170" s="1"/>
  <c r="Z21" i="170"/>
  <c r="Z22" i="170"/>
  <c r="AA22" i="170" s="1"/>
  <c r="Z23" i="170"/>
  <c r="AA23" i="170" s="1"/>
  <c r="Z24" i="170"/>
  <c r="AA24" i="170" s="1"/>
  <c r="Z25" i="170"/>
  <c r="AA25" i="170" s="1"/>
  <c r="Z26" i="170"/>
  <c r="AA26" i="170" s="1"/>
  <c r="Z27" i="170"/>
  <c r="AA27" i="170" s="1"/>
  <c r="Z28" i="170"/>
  <c r="AA28" i="170" s="1"/>
  <c r="Z29" i="170"/>
  <c r="AA29" i="170" s="1"/>
  <c r="Z30" i="170"/>
  <c r="AA30" i="170" s="1"/>
  <c r="Z31" i="170"/>
  <c r="AA31" i="170" s="1"/>
  <c r="Z32" i="170"/>
  <c r="AA32" i="170" s="1"/>
  <c r="Z33" i="170"/>
  <c r="AA33" i="170" s="1"/>
  <c r="Z34" i="170"/>
  <c r="AA34" i="170" s="1"/>
  <c r="Z35" i="170"/>
  <c r="AA35" i="170" s="1"/>
  <c r="Z36" i="170"/>
  <c r="AA36" i="170" s="1"/>
  <c r="Z37" i="170"/>
  <c r="AA37" i="170" s="1"/>
  <c r="Z38" i="170"/>
  <c r="AA38" i="170" s="1"/>
  <c r="Z39" i="170"/>
  <c r="AA39" i="170" s="1"/>
  <c r="Z40" i="170"/>
  <c r="AA40" i="170" s="1"/>
  <c r="Z41" i="170"/>
  <c r="AA41" i="170" s="1"/>
  <c r="Z42" i="170"/>
  <c r="AA42" i="170" s="1"/>
  <c r="Z43" i="170"/>
  <c r="AA43" i="170" s="1"/>
  <c r="Z44" i="170"/>
  <c r="AA44" i="170" s="1"/>
  <c r="Z45" i="170"/>
  <c r="AA45" i="170" s="1"/>
  <c r="Z46" i="170"/>
  <c r="AA46" i="170" s="1"/>
  <c r="Z47" i="170"/>
  <c r="AA47" i="170" s="1"/>
  <c r="Z48" i="170"/>
  <c r="AA48" i="170" s="1"/>
  <c r="Z49" i="170"/>
  <c r="AA49" i="170" s="1"/>
  <c r="Z50" i="170"/>
  <c r="AA50" i="170" s="1"/>
  <c r="Z51" i="170"/>
  <c r="AA51" i="170" s="1"/>
  <c r="Z52" i="170"/>
  <c r="AA52" i="170" s="1"/>
  <c r="Z53" i="170"/>
  <c r="AA53" i="170" s="1"/>
  <c r="Z54" i="170"/>
  <c r="AA54" i="170" s="1"/>
  <c r="Z55" i="170"/>
  <c r="AA55" i="170" s="1"/>
  <c r="Z56" i="170"/>
  <c r="AA56" i="170" s="1"/>
  <c r="Z57" i="170"/>
  <c r="AA57" i="170" s="1"/>
  <c r="Z58" i="170"/>
  <c r="AA58" i="170" s="1"/>
  <c r="Z59" i="170"/>
  <c r="AA59" i="170" s="1"/>
  <c r="AA18" i="170" l="1"/>
  <c r="N9" i="150"/>
  <c r="X54" i="186"/>
  <c r="V56" i="186" s="1"/>
  <c r="AA21" i="170"/>
  <c r="BU83" i="170"/>
  <c r="Z8" i="170"/>
  <c r="AA13" i="170"/>
  <c r="AA19" i="170"/>
  <c r="N8" i="150"/>
  <c r="K40" i="104"/>
  <c r="V40" i="104" s="1"/>
  <c r="K38" i="104"/>
  <c r="V38" i="104" s="1"/>
  <c r="K32" i="104"/>
  <c r="V32" i="104" s="1"/>
  <c r="K39" i="104"/>
  <c r="V39" i="104" s="1"/>
  <c r="K41" i="104"/>
  <c r="T41" i="104" s="1"/>
  <c r="K35" i="104"/>
  <c r="T35" i="104" s="1"/>
  <c r="K36" i="104"/>
  <c r="AK296" i="106"/>
  <c r="K37" i="104"/>
  <c r="AK298" i="106"/>
  <c r="AK295" i="106"/>
  <c r="AK294" i="106"/>
  <c r="AK290" i="106"/>
  <c r="AK297" i="106"/>
  <c r="AK293" i="106"/>
  <c r="BU82" i="170"/>
  <c r="AK289" i="106"/>
  <c r="AK291" i="106"/>
  <c r="AK292" i="106"/>
  <c r="BA58" i="170"/>
  <c r="BB58" i="170"/>
  <c r="BA56" i="170"/>
  <c r="BB56" i="170"/>
  <c r="BA54" i="170"/>
  <c r="BB54" i="170"/>
  <c r="BA52" i="170"/>
  <c r="BB52" i="170"/>
  <c r="BA50" i="170"/>
  <c r="BB50" i="170"/>
  <c r="BA48" i="170"/>
  <c r="BB48" i="170"/>
  <c r="BB46" i="170"/>
  <c r="BA46" i="170"/>
  <c r="BA44" i="170"/>
  <c r="BB44" i="170"/>
  <c r="BA42" i="170"/>
  <c r="BB42" i="170"/>
  <c r="BB40" i="170"/>
  <c r="BA40" i="170"/>
  <c r="BA38" i="170"/>
  <c r="BB38" i="170"/>
  <c r="BB36" i="170"/>
  <c r="BA36" i="170"/>
  <c r="BB34" i="170"/>
  <c r="BA34" i="170"/>
  <c r="BB32" i="170"/>
  <c r="BA32" i="170"/>
  <c r="BB30" i="170"/>
  <c r="BA30" i="170"/>
  <c r="BB28" i="170"/>
  <c r="BA28" i="170"/>
  <c r="BB26" i="170"/>
  <c r="BA26" i="170"/>
  <c r="BA24" i="170"/>
  <c r="BB24" i="170"/>
  <c r="BB22" i="170"/>
  <c r="BA22" i="170"/>
  <c r="BB59" i="170"/>
  <c r="BA59" i="170"/>
  <c r="BB57" i="170"/>
  <c r="BA57" i="170"/>
  <c r="BB55" i="170"/>
  <c r="BA55" i="170"/>
  <c r="BB53" i="170"/>
  <c r="BA53" i="170"/>
  <c r="BB51" i="170"/>
  <c r="BA51" i="170"/>
  <c r="BB49" i="170"/>
  <c r="BA49" i="170"/>
  <c r="BB47" i="170"/>
  <c r="BA47" i="170"/>
  <c r="BA45" i="170"/>
  <c r="BB45" i="170"/>
  <c r="BB43" i="170"/>
  <c r="BA43" i="170"/>
  <c r="BA41" i="170"/>
  <c r="BB41" i="170"/>
  <c r="BB39" i="170"/>
  <c r="BA39" i="170"/>
  <c r="BA37" i="170"/>
  <c r="BB37" i="170"/>
  <c r="BA35" i="170"/>
  <c r="BB35" i="170"/>
  <c r="BA33" i="170"/>
  <c r="BB33" i="170"/>
  <c r="BA31" i="170"/>
  <c r="BB31" i="170"/>
  <c r="BA29" i="170"/>
  <c r="BB29" i="170"/>
  <c r="BA27" i="170"/>
  <c r="BB27" i="170"/>
  <c r="BA25" i="170"/>
  <c r="BB25" i="170"/>
  <c r="BA23" i="170"/>
  <c r="BB23" i="170"/>
  <c r="BA21" i="170"/>
  <c r="BB21" i="170"/>
  <c r="BB18" i="170"/>
  <c r="BA18" i="170"/>
  <c r="BB16" i="170"/>
  <c r="BA16" i="170"/>
  <c r="BB14" i="170"/>
  <c r="BA14" i="170"/>
  <c r="BB20" i="170"/>
  <c r="BA20" i="170"/>
  <c r="BB17" i="170"/>
  <c r="BA17" i="170"/>
  <c r="BB15" i="170"/>
  <c r="BA15" i="170"/>
  <c r="BB13" i="170"/>
  <c r="BA13" i="170"/>
  <c r="BB11" i="170"/>
  <c r="BA11" i="170"/>
  <c r="BB19" i="170"/>
  <c r="BA19" i="170"/>
  <c r="BB12" i="170"/>
  <c r="BA12" i="170"/>
  <c r="N11" i="150"/>
  <c r="N10" i="150"/>
  <c r="N12" i="150"/>
  <c r="T40" i="104" l="1"/>
  <c r="Z40" i="104" s="1"/>
  <c r="T38" i="104"/>
  <c r="Z38" i="104" s="1"/>
  <c r="AA8" i="170"/>
  <c r="N21" i="183" s="1"/>
  <c r="T36" i="104"/>
  <c r="V36" i="104"/>
  <c r="O14" i="150"/>
  <c r="Q54" i="186"/>
  <c r="V55" i="186" s="1"/>
  <c r="V57" i="186"/>
  <c r="T39" i="104"/>
  <c r="Z39" i="104" s="1"/>
  <c r="V41" i="104"/>
  <c r="Z41" i="104" s="1"/>
  <c r="T32" i="104"/>
  <c r="AB34" i="104" s="1"/>
  <c r="V35" i="104"/>
  <c r="Z35" i="104" s="1"/>
  <c r="K42" i="104"/>
  <c r="X32" i="104"/>
  <c r="X34" i="104"/>
  <c r="X33" i="104"/>
  <c r="V37" i="104"/>
  <c r="T37" i="104"/>
  <c r="U30" i="183"/>
  <c r="AL30" i="183" s="1"/>
  <c r="AK299" i="106"/>
  <c r="BC38" i="170"/>
  <c r="BC42" i="170"/>
  <c r="BC48" i="170"/>
  <c r="BC52" i="170"/>
  <c r="BC54" i="170"/>
  <c r="BC46" i="170"/>
  <c r="BC18" i="170"/>
  <c r="BC23" i="170"/>
  <c r="BC37" i="170"/>
  <c r="BC41" i="170"/>
  <c r="BC43" i="170"/>
  <c r="BC47" i="170"/>
  <c r="BC49" i="170"/>
  <c r="BC51" i="170"/>
  <c r="BC53" i="170"/>
  <c r="BC55" i="170"/>
  <c r="BC57" i="170"/>
  <c r="BC59" i="170"/>
  <c r="BC22" i="170"/>
  <c r="BC24" i="170"/>
  <c r="BC26" i="170"/>
  <c r="BC28" i="170"/>
  <c r="BC30" i="170"/>
  <c r="BC32" i="170"/>
  <c r="BC34" i="170"/>
  <c r="BC56" i="170"/>
  <c r="BC36" i="170"/>
  <c r="BC40" i="170"/>
  <c r="BC44" i="170"/>
  <c r="BC50" i="170"/>
  <c r="BC21" i="170"/>
  <c r="BC25" i="170"/>
  <c r="BC27" i="170"/>
  <c r="BC29" i="170"/>
  <c r="BC31" i="170"/>
  <c r="BC33" i="170"/>
  <c r="BC35" i="170"/>
  <c r="BC39" i="170"/>
  <c r="BC45" i="170"/>
  <c r="BC58" i="170"/>
  <c r="BC19" i="170"/>
  <c r="BC11" i="170"/>
  <c r="BC13" i="170"/>
  <c r="BC15" i="170"/>
  <c r="BC17" i="170"/>
  <c r="BC20" i="170"/>
  <c r="BC14" i="170"/>
  <c r="BC16" i="170"/>
  <c r="BC12" i="170"/>
  <c r="AB32" i="104" l="1"/>
  <c r="AD32" i="104" s="1"/>
  <c r="Z36" i="104"/>
  <c r="V58" i="186"/>
  <c r="AJ60" i="186" s="1"/>
  <c r="AB35" i="104"/>
  <c r="Z32" i="104"/>
  <c r="AB33" i="104"/>
  <c r="AD33" i="104" s="1"/>
  <c r="X36" i="104"/>
  <c r="X35" i="104"/>
  <c r="AD35" i="104" s="1"/>
  <c r="X38" i="104"/>
  <c r="X40" i="104"/>
  <c r="T42" i="104"/>
  <c r="X39" i="104"/>
  <c r="X41" i="104"/>
  <c r="Z37" i="104"/>
  <c r="AB39" i="104"/>
  <c r="AB41" i="104"/>
  <c r="AB40" i="104"/>
  <c r="AB36" i="104"/>
  <c r="AB37" i="104"/>
  <c r="AB38" i="104"/>
  <c r="AD34" i="104"/>
  <c r="X37" i="104"/>
  <c r="BC8" i="170"/>
  <c r="H8" i="170"/>
  <c r="I8" i="170"/>
  <c r="AD36" i="104" l="1"/>
  <c r="AD40" i="104"/>
  <c r="AD41" i="104"/>
  <c r="AD38" i="104"/>
  <c r="AD39" i="104"/>
  <c r="AD37" i="104"/>
  <c r="E199" i="149"/>
  <c r="D199" i="149"/>
  <c r="D116" i="149"/>
  <c r="E116" i="149"/>
  <c r="D118" i="149"/>
  <c r="E118" i="149"/>
  <c r="D119" i="149"/>
  <c r="E119" i="149"/>
  <c r="D120" i="149"/>
  <c r="E120" i="149"/>
  <c r="D121" i="149"/>
  <c r="E121" i="149"/>
  <c r="D122" i="149"/>
  <c r="E122" i="149"/>
  <c r="D123" i="149"/>
  <c r="E123" i="149"/>
  <c r="D124" i="149"/>
  <c r="E124" i="149"/>
  <c r="D125" i="149"/>
  <c r="E125" i="149"/>
  <c r="D126" i="149"/>
  <c r="E126" i="149"/>
  <c r="D128" i="149"/>
  <c r="E128" i="149"/>
  <c r="D129" i="149"/>
  <c r="E129" i="149"/>
  <c r="D130" i="149"/>
  <c r="E130" i="149"/>
  <c r="D131" i="149"/>
  <c r="E131" i="149"/>
  <c r="D132" i="149"/>
  <c r="E132" i="149"/>
  <c r="D133" i="149"/>
  <c r="E133" i="149"/>
  <c r="D134" i="149"/>
  <c r="E134" i="149"/>
  <c r="D136" i="149"/>
  <c r="E136" i="149"/>
  <c r="D137" i="149"/>
  <c r="E137" i="149"/>
  <c r="D138" i="149"/>
  <c r="E138" i="149"/>
  <c r="D139" i="149"/>
  <c r="E139" i="149"/>
  <c r="D140" i="149"/>
  <c r="E140" i="149"/>
  <c r="D141" i="149"/>
  <c r="E141" i="149"/>
  <c r="D142" i="149"/>
  <c r="E142" i="149"/>
  <c r="D144" i="149"/>
  <c r="E144" i="149"/>
  <c r="D145" i="149"/>
  <c r="E145" i="149"/>
  <c r="D146" i="149"/>
  <c r="E146" i="149"/>
  <c r="D147" i="149"/>
  <c r="E147" i="149"/>
  <c r="D148" i="149"/>
  <c r="E148" i="149"/>
  <c r="D149" i="149"/>
  <c r="E149" i="149"/>
  <c r="D150" i="149"/>
  <c r="E150" i="149"/>
  <c r="D151" i="149"/>
  <c r="E151" i="149"/>
  <c r="D152" i="149"/>
  <c r="E152" i="149"/>
  <c r="D153" i="149"/>
  <c r="E153" i="149"/>
  <c r="D154" i="149"/>
  <c r="E154" i="149"/>
  <c r="D156" i="149"/>
  <c r="E156" i="149"/>
  <c r="D157" i="149"/>
  <c r="E157" i="149"/>
  <c r="D158" i="149"/>
  <c r="E158" i="149"/>
  <c r="D159" i="149"/>
  <c r="E159" i="149"/>
  <c r="D160" i="149"/>
  <c r="E160" i="149"/>
  <c r="D162" i="149"/>
  <c r="E162" i="149"/>
  <c r="D163" i="149"/>
  <c r="E163" i="149"/>
  <c r="D164" i="149"/>
  <c r="E164" i="149"/>
  <c r="D165" i="149"/>
  <c r="E165" i="149"/>
  <c r="D166" i="149"/>
  <c r="E166" i="149"/>
  <c r="D167" i="149"/>
  <c r="E167" i="149"/>
  <c r="E169" i="149"/>
  <c r="D170" i="149"/>
  <c r="E170" i="149"/>
  <c r="D171" i="149"/>
  <c r="E171" i="149"/>
  <c r="D172" i="149"/>
  <c r="E172" i="149"/>
  <c r="D173" i="149"/>
  <c r="E173" i="149"/>
  <c r="D174" i="149"/>
  <c r="E174" i="149"/>
  <c r="D176" i="149"/>
  <c r="E176" i="149"/>
  <c r="D177" i="149"/>
  <c r="E177" i="149"/>
  <c r="E178" i="149"/>
  <c r="D179" i="149"/>
  <c r="E179" i="149"/>
  <c r="D180" i="149"/>
  <c r="E180" i="149"/>
  <c r="D181" i="149"/>
  <c r="E181" i="149"/>
  <c r="D182" i="149"/>
  <c r="E182" i="149"/>
  <c r="D184" i="149"/>
  <c r="E184" i="149"/>
  <c r="D185" i="149"/>
  <c r="E185" i="149"/>
  <c r="D186" i="149"/>
  <c r="E186" i="149"/>
  <c r="D187" i="149"/>
  <c r="E187" i="149"/>
  <c r="D188" i="149"/>
  <c r="E188" i="149"/>
  <c r="D189" i="149"/>
  <c r="E189" i="149"/>
  <c r="D190" i="149"/>
  <c r="E190" i="149"/>
  <c r="D191" i="149"/>
  <c r="E191" i="149"/>
  <c r="D193" i="149"/>
  <c r="E193" i="149"/>
  <c r="D194" i="149"/>
  <c r="E194" i="149"/>
  <c r="D195" i="149"/>
  <c r="E195" i="149"/>
  <c r="D196" i="149"/>
  <c r="E196" i="149"/>
  <c r="D198" i="149"/>
  <c r="E198" i="149"/>
  <c r="D200" i="149"/>
  <c r="E200" i="149"/>
  <c r="E115" i="149"/>
  <c r="AD42" i="104" l="1"/>
  <c r="D86" i="149"/>
  <c r="E86" i="149"/>
  <c r="D87" i="149"/>
  <c r="E87" i="149"/>
  <c r="E85" i="149"/>
  <c r="D85" i="149"/>
  <c r="D72" i="149"/>
  <c r="E72" i="149"/>
  <c r="E61" i="149"/>
  <c r="D45" i="149"/>
  <c r="D44" i="149"/>
  <c r="E45" i="149"/>
  <c r="E44" i="149"/>
  <c r="E110" i="149"/>
  <c r="D110" i="149"/>
  <c r="E99" i="149"/>
  <c r="D99" i="149"/>
  <c r="E6" i="149"/>
  <c r="E11" i="149"/>
  <c r="E8" i="149"/>
  <c r="D107" i="149"/>
  <c r="D108" i="149"/>
  <c r="D109" i="149"/>
  <c r="D111" i="149"/>
  <c r="D106" i="149"/>
  <c r="D90" i="149"/>
  <c r="D91" i="149"/>
  <c r="D92" i="149"/>
  <c r="D93" i="149"/>
  <c r="D94" i="149"/>
  <c r="D95" i="149"/>
  <c r="D96" i="149"/>
  <c r="D97" i="149"/>
  <c r="D98" i="149"/>
  <c r="D100" i="149"/>
  <c r="D101" i="149"/>
  <c r="D102" i="149"/>
  <c r="D103" i="149"/>
  <c r="D104" i="149"/>
  <c r="D89" i="149"/>
  <c r="D84" i="149"/>
  <c r="D83" i="149"/>
  <c r="D76" i="149"/>
  <c r="D77" i="149"/>
  <c r="D78" i="149"/>
  <c r="D79" i="149"/>
  <c r="D80" i="149"/>
  <c r="D81" i="149"/>
  <c r="D75" i="149"/>
  <c r="D71" i="149"/>
  <c r="D73" i="149"/>
  <c r="D70" i="149"/>
  <c r="D62" i="149"/>
  <c r="D63" i="149"/>
  <c r="D64" i="149"/>
  <c r="D65" i="149"/>
  <c r="D66" i="149"/>
  <c r="D67" i="149"/>
  <c r="D68" i="149"/>
  <c r="D61" i="149"/>
  <c r="D48" i="149"/>
  <c r="D49" i="149"/>
  <c r="D50" i="149"/>
  <c r="D51" i="149"/>
  <c r="D52" i="149"/>
  <c r="D53" i="149"/>
  <c r="D54" i="149"/>
  <c r="D55" i="149"/>
  <c r="D56" i="149"/>
  <c r="D57" i="149"/>
  <c r="D58" i="149"/>
  <c r="D59" i="149"/>
  <c r="D47" i="149"/>
  <c r="D43" i="149"/>
  <c r="D42" i="149"/>
  <c r="D41" i="149"/>
  <c r="D39" i="149"/>
  <c r="D30" i="149"/>
  <c r="D31" i="149"/>
  <c r="D32" i="149"/>
  <c r="D33" i="149"/>
  <c r="D34" i="149"/>
  <c r="D35" i="149"/>
  <c r="D36" i="149"/>
  <c r="D37" i="149"/>
  <c r="D38" i="149"/>
  <c r="D18" i="149"/>
  <c r="D19" i="149"/>
  <c r="D20" i="149"/>
  <c r="D21" i="149"/>
  <c r="D22" i="149"/>
  <c r="D23" i="149"/>
  <c r="D24" i="149"/>
  <c r="D25" i="149"/>
  <c r="D26" i="149"/>
  <c r="D16" i="149"/>
  <c r="D13" i="149"/>
  <c r="D14" i="149"/>
  <c r="D12" i="149"/>
  <c r="D11" i="149"/>
  <c r="D10" i="149"/>
  <c r="D9" i="149"/>
  <c r="D7" i="149"/>
  <c r="D8" i="149"/>
  <c r="E14" i="149"/>
  <c r="E12" i="149"/>
  <c r="L12" i="186" l="1"/>
  <c r="AF30" i="186" s="1"/>
  <c r="AA7" i="186"/>
  <c r="AA8" i="186" s="1"/>
  <c r="AA9" i="186" s="1"/>
  <c r="D3" i="149"/>
  <c r="AF7" i="153"/>
  <c r="AJ7" i="153" s="1"/>
  <c r="AF32" i="186" l="1"/>
  <c r="AF31" i="186"/>
  <c r="AJ31" i="186" s="1"/>
  <c r="AJ30" i="186"/>
  <c r="AE7" i="186"/>
  <c r="M30" i="183"/>
  <c r="T3" i="147"/>
  <c r="AA10" i="186" l="1"/>
  <c r="AI7" i="186"/>
  <c r="AE8" i="186"/>
  <c r="AE9" i="186" s="1"/>
  <c r="E73" i="149"/>
  <c r="E67" i="149"/>
  <c r="E59" i="149"/>
  <c r="E57" i="149"/>
  <c r="E58" i="149"/>
  <c r="AI8" i="186" l="1"/>
  <c r="AE10" i="186"/>
  <c r="AZ10" i="170"/>
  <c r="AZ11" i="170"/>
  <c r="AZ12" i="170"/>
  <c r="AZ13" i="170"/>
  <c r="AZ14" i="170"/>
  <c r="AZ15" i="170"/>
  <c r="AZ16" i="170"/>
  <c r="AZ17" i="170"/>
  <c r="AZ18" i="170"/>
  <c r="AZ19" i="170"/>
  <c r="AZ20" i="170"/>
  <c r="AZ21" i="170"/>
  <c r="AZ22" i="170"/>
  <c r="AZ23" i="170"/>
  <c r="AZ24" i="170"/>
  <c r="AZ25" i="170"/>
  <c r="AZ26" i="170"/>
  <c r="AZ27" i="170"/>
  <c r="AZ28" i="170"/>
  <c r="AZ29" i="170"/>
  <c r="AZ30" i="170"/>
  <c r="AZ31" i="170"/>
  <c r="AZ32" i="170"/>
  <c r="AZ33" i="170"/>
  <c r="AZ34" i="170"/>
  <c r="AZ35" i="170"/>
  <c r="AZ36" i="170"/>
  <c r="AZ37" i="170"/>
  <c r="AZ38" i="170"/>
  <c r="AZ39" i="170"/>
  <c r="AZ40" i="170"/>
  <c r="AZ41" i="170"/>
  <c r="AZ42" i="170"/>
  <c r="AZ43" i="170"/>
  <c r="AZ44" i="170"/>
  <c r="AZ45" i="170"/>
  <c r="AZ46" i="170"/>
  <c r="AZ47" i="170"/>
  <c r="AZ48" i="170"/>
  <c r="AZ49" i="170"/>
  <c r="AZ50" i="170"/>
  <c r="AZ51" i="170"/>
  <c r="AZ52" i="170"/>
  <c r="AZ53" i="170"/>
  <c r="AZ54" i="170"/>
  <c r="AZ55" i="170"/>
  <c r="AZ56" i="170"/>
  <c r="AZ57" i="170"/>
  <c r="AZ58" i="170"/>
  <c r="AZ59" i="170"/>
  <c r="AY10" i="170"/>
  <c r="AY11" i="170"/>
  <c r="AY12" i="170"/>
  <c r="AY13" i="170"/>
  <c r="AY14" i="170"/>
  <c r="AY15" i="170"/>
  <c r="AY16" i="170"/>
  <c r="AY17" i="170"/>
  <c r="AY18" i="170"/>
  <c r="AY19" i="170"/>
  <c r="AY21" i="170"/>
  <c r="AY22" i="170"/>
  <c r="AY23" i="170"/>
  <c r="AY24" i="170"/>
  <c r="AY25" i="170"/>
  <c r="AY26" i="170"/>
  <c r="AY27" i="170"/>
  <c r="AY28" i="170"/>
  <c r="AY29" i="170"/>
  <c r="AY30" i="170"/>
  <c r="AY31" i="170"/>
  <c r="AY32" i="170"/>
  <c r="AY33" i="170"/>
  <c r="AY34" i="170"/>
  <c r="AY35" i="170"/>
  <c r="AY36" i="170"/>
  <c r="AY37" i="170"/>
  <c r="AY38" i="170"/>
  <c r="AY39" i="170"/>
  <c r="AY40" i="170"/>
  <c r="AY41" i="170"/>
  <c r="AY42" i="170"/>
  <c r="AY43" i="170"/>
  <c r="AY44" i="170"/>
  <c r="AY45" i="170"/>
  <c r="AY46" i="170"/>
  <c r="AY47" i="170"/>
  <c r="AY48" i="170"/>
  <c r="AY49" i="170"/>
  <c r="AY50" i="170"/>
  <c r="AY51" i="170"/>
  <c r="AY52" i="170"/>
  <c r="AY53" i="170"/>
  <c r="AY54" i="170"/>
  <c r="AY55" i="170"/>
  <c r="AY56" i="170"/>
  <c r="AY57" i="170"/>
  <c r="AY58" i="170"/>
  <c r="AY59" i="170"/>
  <c r="AX11" i="170"/>
  <c r="AX12" i="170"/>
  <c r="AX13" i="170"/>
  <c r="AX14" i="170"/>
  <c r="AX15" i="170"/>
  <c r="AX16" i="170"/>
  <c r="AX17" i="170"/>
  <c r="AX18" i="170"/>
  <c r="AX19" i="170"/>
  <c r="AX20" i="170"/>
  <c r="AX21" i="170"/>
  <c r="AX22" i="170"/>
  <c r="AB22" i="170" s="1"/>
  <c r="AX23" i="170"/>
  <c r="AB23" i="170" s="1"/>
  <c r="AX24" i="170"/>
  <c r="AB24" i="170" s="1"/>
  <c r="AX25" i="170"/>
  <c r="AB25" i="170" s="1"/>
  <c r="AX26" i="170"/>
  <c r="AB26" i="170" s="1"/>
  <c r="AX27" i="170"/>
  <c r="AB27" i="170" s="1"/>
  <c r="AX28" i="170"/>
  <c r="AB28" i="170" s="1"/>
  <c r="AX29" i="170"/>
  <c r="AB29" i="170" s="1"/>
  <c r="AX30" i="170"/>
  <c r="AB30" i="170" s="1"/>
  <c r="AX31" i="170"/>
  <c r="AB31" i="170" s="1"/>
  <c r="AX32" i="170"/>
  <c r="AB32" i="170" s="1"/>
  <c r="AX33" i="170"/>
  <c r="AB33" i="170" s="1"/>
  <c r="AX34" i="170"/>
  <c r="AB34" i="170" s="1"/>
  <c r="AX35" i="170"/>
  <c r="AB35" i="170" s="1"/>
  <c r="AX36" i="170"/>
  <c r="AB36" i="170" s="1"/>
  <c r="AX37" i="170"/>
  <c r="AB37" i="170" s="1"/>
  <c r="AX38" i="170"/>
  <c r="AB38" i="170" s="1"/>
  <c r="AX39" i="170"/>
  <c r="AB39" i="170" s="1"/>
  <c r="AX40" i="170"/>
  <c r="AB40" i="170" s="1"/>
  <c r="AX41" i="170"/>
  <c r="AB41" i="170" s="1"/>
  <c r="AX42" i="170"/>
  <c r="AB42" i="170" s="1"/>
  <c r="AX43" i="170"/>
  <c r="AB43" i="170" s="1"/>
  <c r="AX44" i="170"/>
  <c r="AB44" i="170" s="1"/>
  <c r="AX45" i="170"/>
  <c r="AB45" i="170" s="1"/>
  <c r="AX46" i="170"/>
  <c r="AB46" i="170" s="1"/>
  <c r="AX47" i="170"/>
  <c r="AB47" i="170" s="1"/>
  <c r="AX48" i="170"/>
  <c r="AB48" i="170" s="1"/>
  <c r="AX49" i="170"/>
  <c r="AB49" i="170" s="1"/>
  <c r="AX50" i="170"/>
  <c r="AB50" i="170" s="1"/>
  <c r="AX51" i="170"/>
  <c r="AB51" i="170" s="1"/>
  <c r="AX52" i="170"/>
  <c r="AB52" i="170" s="1"/>
  <c r="AX53" i="170"/>
  <c r="AB53" i="170" s="1"/>
  <c r="AX54" i="170"/>
  <c r="AB54" i="170" s="1"/>
  <c r="AX55" i="170"/>
  <c r="AB55" i="170" s="1"/>
  <c r="AX56" i="170"/>
  <c r="AB56" i="170" s="1"/>
  <c r="AX57" i="170"/>
  <c r="AB57" i="170" s="1"/>
  <c r="AX58" i="170"/>
  <c r="AB58" i="170" s="1"/>
  <c r="AX59" i="170"/>
  <c r="AB59" i="170" s="1"/>
  <c r="AC11" i="170" l="1"/>
  <c r="AE19" i="170"/>
  <c r="AE17" i="170"/>
  <c r="AE15" i="170"/>
  <c r="AE13" i="170"/>
  <c r="AE11" i="170"/>
  <c r="AE21" i="170"/>
  <c r="AE18" i="170"/>
  <c r="AE16" i="170"/>
  <c r="AE14" i="170"/>
  <c r="AE12" i="170"/>
  <c r="AE10" i="170"/>
  <c r="AB21" i="170"/>
  <c r="AC21" i="170"/>
  <c r="AB19" i="170"/>
  <c r="AC19" i="170"/>
  <c r="AB20" i="170"/>
  <c r="AC20" i="170"/>
  <c r="AC17" i="170"/>
  <c r="AB17" i="170"/>
  <c r="AC15" i="170"/>
  <c r="AB15" i="170"/>
  <c r="AC13" i="170"/>
  <c r="AB13" i="170"/>
  <c r="AB11" i="170"/>
  <c r="AC18" i="170"/>
  <c r="AB18" i="170"/>
  <c r="AC16" i="170"/>
  <c r="AB16" i="170"/>
  <c r="AC14" i="170"/>
  <c r="AB14" i="170"/>
  <c r="AC12" i="170"/>
  <c r="AB12" i="170"/>
  <c r="Q3" i="162"/>
  <c r="L3" i="149"/>
  <c r="D8" i="170"/>
  <c r="E7" i="170" s="1"/>
  <c r="AL356" i="104" s="1"/>
  <c r="AL355" i="104" s="1"/>
  <c r="AL354" i="104" s="1"/>
  <c r="J8" i="170"/>
  <c r="AW10" i="170"/>
  <c r="AU10" i="170"/>
  <c r="T8" i="170"/>
  <c r="S8" i="170"/>
  <c r="AO135" i="106"/>
  <c r="Y8" i="170"/>
  <c r="W14" i="183" l="1"/>
  <c r="E28" i="184"/>
  <c r="AL68" i="104"/>
  <c r="AL67" i="104" s="1"/>
  <c r="H7" i="170"/>
  <c r="W4" i="170"/>
  <c r="AE8" i="170"/>
  <c r="M27" i="183" s="1"/>
  <c r="AI28" i="185"/>
  <c r="N6" i="152"/>
  <c r="AC8" i="170"/>
  <c r="M25" i="183" s="1"/>
  <c r="Y7" i="170"/>
  <c r="J7" i="170"/>
  <c r="B131" i="106"/>
  <c r="L131" i="106" s="1"/>
  <c r="F7" i="170"/>
  <c r="G7" i="170"/>
  <c r="I7" i="170"/>
  <c r="AI4" i="153"/>
  <c r="AJ8" i="153" s="1"/>
  <c r="AJ9" i="153" s="1"/>
  <c r="AJ10" i="153" s="1"/>
  <c r="AB16" i="153" s="1"/>
  <c r="BT66" i="170"/>
  <c r="BU66" i="170" s="1"/>
  <c r="AL347" i="104" l="1"/>
  <c r="AL346" i="104" s="1"/>
  <c r="AK6" i="104" s="1"/>
  <c r="AL348" i="104"/>
  <c r="AB8" i="170"/>
  <c r="M23" i="183" s="1"/>
  <c r="M24" i="183" s="1"/>
  <c r="N17" i="183" s="1"/>
  <c r="E113" i="154"/>
  <c r="E117" i="154" s="1"/>
  <c r="BT67" i="170"/>
  <c r="BU67" i="170" s="1"/>
  <c r="AN11" i="170"/>
  <c r="AN12" i="170"/>
  <c r="AN13" i="170"/>
  <c r="AN14" i="170"/>
  <c r="AN15" i="170"/>
  <c r="AN16" i="170"/>
  <c r="AN17" i="170"/>
  <c r="AN18" i="170"/>
  <c r="AN19" i="170"/>
  <c r="AN20" i="170"/>
  <c r="AN21" i="170"/>
  <c r="AN22" i="170"/>
  <c r="AN23" i="170"/>
  <c r="AN24" i="170"/>
  <c r="AN25" i="170"/>
  <c r="AN26" i="170"/>
  <c r="AN27" i="170"/>
  <c r="AN28" i="170"/>
  <c r="AN29" i="170"/>
  <c r="AN30" i="170"/>
  <c r="AN31" i="170"/>
  <c r="AN32" i="170"/>
  <c r="AN33" i="170"/>
  <c r="AN34" i="170"/>
  <c r="AN35" i="170"/>
  <c r="AN36" i="170"/>
  <c r="AN37" i="170"/>
  <c r="AN38" i="170"/>
  <c r="AN39" i="170"/>
  <c r="AN40" i="170"/>
  <c r="AN41" i="170"/>
  <c r="AN42" i="170"/>
  <c r="AN43" i="170"/>
  <c r="AN44" i="170"/>
  <c r="AN45" i="170"/>
  <c r="AN46" i="170"/>
  <c r="AN47" i="170"/>
  <c r="AN48" i="170"/>
  <c r="AN49" i="170"/>
  <c r="AN50" i="170"/>
  <c r="AN51" i="170"/>
  <c r="AN52" i="170"/>
  <c r="AN53" i="170"/>
  <c r="AN54" i="170"/>
  <c r="AN55" i="170"/>
  <c r="AN56" i="170"/>
  <c r="AN57" i="170"/>
  <c r="AN58" i="170"/>
  <c r="AN59" i="170"/>
  <c r="I8" i="147" l="1"/>
  <c r="I2" i="147" s="1"/>
  <c r="BW66" i="170"/>
  <c r="BT68" i="170"/>
  <c r="BW67" i="170"/>
  <c r="C20" i="136"/>
  <c r="C21" i="136"/>
  <c r="C22" i="136"/>
  <c r="C23" i="136"/>
  <c r="C17" i="136"/>
  <c r="C18" i="136"/>
  <c r="C19" i="136"/>
  <c r="C12" i="136"/>
  <c r="C11" i="136"/>
  <c r="C10" i="136"/>
  <c r="C9" i="136"/>
  <c r="C8" i="136"/>
  <c r="C7" i="136"/>
  <c r="E6" i="136"/>
  <c r="C6" i="136"/>
  <c r="D6" i="136"/>
  <c r="C5" i="136"/>
  <c r="E5" i="136"/>
  <c r="D5" i="136"/>
  <c r="AW14" i="170"/>
  <c r="AW15" i="170"/>
  <c r="AW17" i="170"/>
  <c r="AW18" i="170"/>
  <c r="AW19" i="170"/>
  <c r="AW20" i="170"/>
  <c r="AW21" i="170"/>
  <c r="AW22" i="170"/>
  <c r="AW23" i="170"/>
  <c r="AW24" i="170"/>
  <c r="AW25" i="170"/>
  <c r="AW26" i="170"/>
  <c r="AW27" i="170"/>
  <c r="AW28" i="170"/>
  <c r="AW29" i="170"/>
  <c r="AW30" i="170"/>
  <c r="AW31" i="170"/>
  <c r="AW32" i="170"/>
  <c r="AW33" i="170"/>
  <c r="AW34" i="170"/>
  <c r="AW35" i="170"/>
  <c r="AW36" i="170"/>
  <c r="AW37" i="170"/>
  <c r="AW38" i="170"/>
  <c r="AW39" i="170"/>
  <c r="AW40" i="170"/>
  <c r="AW41" i="170"/>
  <c r="AW42" i="170"/>
  <c r="AW43" i="170"/>
  <c r="AW44" i="170"/>
  <c r="AW45" i="170"/>
  <c r="AW46" i="170"/>
  <c r="AW47" i="170"/>
  <c r="AW48" i="170"/>
  <c r="AW49" i="170"/>
  <c r="AW50" i="170"/>
  <c r="AW51" i="170"/>
  <c r="AW52" i="170"/>
  <c r="AW53" i="170"/>
  <c r="AW54" i="170"/>
  <c r="AW55" i="170"/>
  <c r="AW56" i="170"/>
  <c r="AW57" i="170"/>
  <c r="AW58" i="170"/>
  <c r="AW59" i="170"/>
  <c r="AU14" i="170"/>
  <c r="AU15" i="170"/>
  <c r="AU17" i="170"/>
  <c r="AU18" i="170"/>
  <c r="AU19" i="170"/>
  <c r="AU20" i="170"/>
  <c r="AU21" i="170"/>
  <c r="AU22" i="170"/>
  <c r="AU23" i="170"/>
  <c r="AU24" i="170"/>
  <c r="AU25" i="170"/>
  <c r="AU26" i="170"/>
  <c r="AU27" i="170"/>
  <c r="AU28" i="170"/>
  <c r="AU29" i="170"/>
  <c r="AU30" i="170"/>
  <c r="AU31" i="170"/>
  <c r="AU32" i="170"/>
  <c r="AU33" i="170"/>
  <c r="AU34" i="170"/>
  <c r="AU35" i="170"/>
  <c r="AU36" i="170"/>
  <c r="AU37" i="170"/>
  <c r="AU38" i="170"/>
  <c r="AU39" i="170"/>
  <c r="AU40" i="170"/>
  <c r="AU41" i="170"/>
  <c r="AU42" i="170"/>
  <c r="AU43" i="170"/>
  <c r="AU44" i="170"/>
  <c r="AU45" i="170"/>
  <c r="AU46" i="170"/>
  <c r="AU47" i="170"/>
  <c r="AU48" i="170"/>
  <c r="AU49" i="170"/>
  <c r="AU50" i="170"/>
  <c r="AU51" i="170"/>
  <c r="AU52" i="170"/>
  <c r="AU53" i="170"/>
  <c r="AU54" i="170"/>
  <c r="AU55" i="170"/>
  <c r="AU56" i="170"/>
  <c r="AU57" i="170"/>
  <c r="AU58" i="170"/>
  <c r="AU59" i="170"/>
  <c r="AS14" i="170"/>
  <c r="AS15" i="170"/>
  <c r="AS16" i="170"/>
  <c r="AS17" i="170"/>
  <c r="AS18" i="170"/>
  <c r="AS19" i="170"/>
  <c r="AS20" i="170"/>
  <c r="AS21" i="170"/>
  <c r="AS22" i="170"/>
  <c r="AS23" i="170"/>
  <c r="AS24" i="170"/>
  <c r="AS25" i="170"/>
  <c r="AS26" i="170"/>
  <c r="AS27" i="170"/>
  <c r="AS28" i="170"/>
  <c r="AS29" i="170"/>
  <c r="AS30" i="170"/>
  <c r="AS31" i="170"/>
  <c r="AS32" i="170"/>
  <c r="AS33" i="170"/>
  <c r="AS34" i="170"/>
  <c r="AS35" i="170"/>
  <c r="AS36" i="170"/>
  <c r="AS37" i="170"/>
  <c r="AS38" i="170"/>
  <c r="AS39" i="170"/>
  <c r="AS40" i="170"/>
  <c r="AS41" i="170"/>
  <c r="AS42" i="170"/>
  <c r="AS43" i="170"/>
  <c r="AS44" i="170"/>
  <c r="AS45" i="170"/>
  <c r="AS46" i="170"/>
  <c r="AS47" i="170"/>
  <c r="AS48" i="170"/>
  <c r="AS49" i="170"/>
  <c r="AS50" i="170"/>
  <c r="AS51" i="170"/>
  <c r="AS52" i="170"/>
  <c r="AS53" i="170"/>
  <c r="AS54" i="170"/>
  <c r="AS55" i="170"/>
  <c r="AS56" i="170"/>
  <c r="AS57" i="170"/>
  <c r="AS58" i="170"/>
  <c r="AS59" i="170"/>
  <c r="AQ14" i="170"/>
  <c r="AQ15" i="170"/>
  <c r="AQ16" i="170"/>
  <c r="AQ17" i="170"/>
  <c r="AQ18" i="170"/>
  <c r="AQ19" i="170"/>
  <c r="AQ20" i="170"/>
  <c r="AQ21" i="170"/>
  <c r="AQ22" i="170"/>
  <c r="AQ23" i="170"/>
  <c r="AQ24" i="170"/>
  <c r="AQ25" i="170"/>
  <c r="AQ26" i="170"/>
  <c r="AQ27" i="170"/>
  <c r="AQ28" i="170"/>
  <c r="AQ29" i="170"/>
  <c r="AQ30" i="170"/>
  <c r="AQ31" i="170"/>
  <c r="AQ32" i="170"/>
  <c r="AQ33" i="170"/>
  <c r="AQ34" i="170"/>
  <c r="AQ35" i="170"/>
  <c r="AQ36" i="170"/>
  <c r="AQ37" i="170"/>
  <c r="AQ38" i="170"/>
  <c r="AQ39" i="170"/>
  <c r="AQ40" i="170"/>
  <c r="AQ41" i="170"/>
  <c r="AQ42" i="170"/>
  <c r="AQ43" i="170"/>
  <c r="AQ44" i="170"/>
  <c r="AQ45" i="170"/>
  <c r="AQ46" i="170"/>
  <c r="AQ47" i="170"/>
  <c r="AQ48" i="170"/>
  <c r="AQ49" i="170"/>
  <c r="AQ50" i="170"/>
  <c r="AQ51" i="170"/>
  <c r="AQ52" i="170"/>
  <c r="AQ53" i="170"/>
  <c r="AQ54" i="170"/>
  <c r="AQ55" i="170"/>
  <c r="AQ56" i="170"/>
  <c r="AQ57" i="170"/>
  <c r="AQ58" i="170"/>
  <c r="AQ59" i="170"/>
  <c r="BT69" i="170" l="1"/>
  <c r="BU68" i="170"/>
  <c r="AN8" i="170"/>
  <c r="AL92" i="170"/>
  <c r="AL93" i="170"/>
  <c r="AL94" i="170"/>
  <c r="AL95" i="170"/>
  <c r="AL96" i="170"/>
  <c r="AL97" i="170"/>
  <c r="AL98" i="170"/>
  <c r="AL99" i="170"/>
  <c r="AL100" i="170"/>
  <c r="AL101" i="170"/>
  <c r="AL102" i="170"/>
  <c r="AL91" i="170"/>
  <c r="BW68" i="170" l="1"/>
  <c r="BT70" i="170"/>
  <c r="BU69" i="170"/>
  <c r="L6" i="155"/>
  <c r="BW69" i="170" l="1"/>
  <c r="BT71" i="170"/>
  <c r="BU70" i="170"/>
  <c r="AH66" i="170"/>
  <c r="AH85" i="170"/>
  <c r="AH79" i="170"/>
  <c r="AH73" i="170"/>
  <c r="AH67" i="170"/>
  <c r="AH84" i="170"/>
  <c r="AH78" i="170"/>
  <c r="AH72" i="170"/>
  <c r="AH69" i="170"/>
  <c r="AH83" i="170"/>
  <c r="AH77" i="170"/>
  <c r="AH71" i="170"/>
  <c r="AH75" i="170"/>
  <c r="AH80" i="170"/>
  <c r="AH74" i="170"/>
  <c r="AH68" i="170"/>
  <c r="AH82" i="170"/>
  <c r="AH76" i="170"/>
  <c r="AH70" i="170"/>
  <c r="AH81" i="170"/>
  <c r="AL7" i="170"/>
  <c r="CU19" i="170" s="1"/>
  <c r="AK7" i="170"/>
  <c r="CT19" i="170" s="1"/>
  <c r="AJ7" i="170"/>
  <c r="CS19" i="170" s="1"/>
  <c r="AO7" i="170"/>
  <c r="CX19" i="170" s="1"/>
  <c r="AI7" i="170"/>
  <c r="CR19" i="170" s="1"/>
  <c r="AN7" i="170"/>
  <c r="CW19" i="170" s="1"/>
  <c r="AM7" i="170"/>
  <c r="CV19" i="170" s="1"/>
  <c r="BW70" i="170" l="1"/>
  <c r="BT72" i="170"/>
  <c r="BU71" i="170"/>
  <c r="AI19" i="170"/>
  <c r="CX12" i="170"/>
  <c r="CX10" i="170"/>
  <c r="CS12" i="170"/>
  <c r="CT46" i="170" s="1"/>
  <c r="CS10" i="170"/>
  <c r="CT44" i="170" s="1"/>
  <c r="CV12" i="170"/>
  <c r="CV46" i="170" s="1"/>
  <c r="CV10" i="170"/>
  <c r="CV44" i="170" s="1"/>
  <c r="CU12" i="170"/>
  <c r="CU10" i="170"/>
  <c r="CW12" i="170"/>
  <c r="CW10" i="170"/>
  <c r="CQ12" i="170"/>
  <c r="CQ10" i="170"/>
  <c r="CT12" i="170"/>
  <c r="CT10" i="170"/>
  <c r="CR12" i="170"/>
  <c r="CR10" i="170"/>
  <c r="CQ11" i="170"/>
  <c r="CQ13" i="170"/>
  <c r="CQ21" i="170"/>
  <c r="CR55" i="170" s="1"/>
  <c r="CR52" i="170"/>
  <c r="CQ14" i="170"/>
  <c r="CR48" i="170" s="1"/>
  <c r="CQ16" i="170"/>
  <c r="CR50" i="170" s="1"/>
  <c r="CQ9" i="170"/>
  <c r="CR43" i="170" s="1"/>
  <c r="CQ26" i="170"/>
  <c r="CR60" i="170" s="1"/>
  <c r="CQ22" i="170"/>
  <c r="CR56" i="170" s="1"/>
  <c r="CQ24" i="170"/>
  <c r="CR58" i="170" s="1"/>
  <c r="CQ20" i="170"/>
  <c r="CR54" i="170" s="1"/>
  <c r="CQ8" i="170"/>
  <c r="CR42" i="170" s="1"/>
  <c r="CQ17" i="170"/>
  <c r="CQ15" i="170"/>
  <c r="CR49" i="170" s="1"/>
  <c r="CQ25" i="170"/>
  <c r="CR59" i="170" s="1"/>
  <c r="CQ23" i="170"/>
  <c r="CR57" i="170" s="1"/>
  <c r="CR53" i="170"/>
  <c r="CW26" i="170"/>
  <c r="CW25" i="170"/>
  <c r="CW13" i="170"/>
  <c r="CW9" i="170"/>
  <c r="CW15" i="170"/>
  <c r="CW23" i="170"/>
  <c r="CW7" i="170"/>
  <c r="CW18" i="170"/>
  <c r="CW53" i="170"/>
  <c r="CW20" i="170"/>
  <c r="CW11" i="170"/>
  <c r="CW16" i="170"/>
  <c r="CW21" i="170"/>
  <c r="CW8" i="170"/>
  <c r="CW14" i="170"/>
  <c r="CW17" i="170"/>
  <c r="CW22" i="170"/>
  <c r="CW24" i="170"/>
  <c r="CR26" i="170"/>
  <c r="CR9" i="170"/>
  <c r="CR17" i="170"/>
  <c r="CR7" i="170"/>
  <c r="CR25" i="170"/>
  <c r="CR21" i="170"/>
  <c r="CR20" i="170"/>
  <c r="CR11" i="170"/>
  <c r="CR22" i="170"/>
  <c r="CR13" i="170"/>
  <c r="CR23" i="170"/>
  <c r="CR14" i="170"/>
  <c r="CS33" i="170"/>
  <c r="CR15" i="170"/>
  <c r="CR16" i="170"/>
  <c r="CR18" i="170"/>
  <c r="CR24" i="170"/>
  <c r="CR8" i="170"/>
  <c r="CS53" i="170"/>
  <c r="CX26" i="170"/>
  <c r="CX9" i="170"/>
  <c r="CX17" i="170"/>
  <c r="CX21" i="170"/>
  <c r="CX20" i="170"/>
  <c r="CX11" i="170"/>
  <c r="CX18" i="170"/>
  <c r="CX22" i="170"/>
  <c r="CX13" i="170"/>
  <c r="CX23" i="170"/>
  <c r="CX14" i="170"/>
  <c r="CX7" i="170"/>
  <c r="CX25" i="170"/>
  <c r="CX16" i="170"/>
  <c r="CX24" i="170"/>
  <c r="CX15" i="170"/>
  <c r="CX8" i="170"/>
  <c r="CS21" i="170"/>
  <c r="CT55" i="170" s="1"/>
  <c r="CS20" i="170"/>
  <c r="CT54" i="170" s="1"/>
  <c r="CS8" i="170"/>
  <c r="CT42" i="170" s="1"/>
  <c r="CS16" i="170"/>
  <c r="CT50" i="170" s="1"/>
  <c r="CS22" i="170"/>
  <c r="CT56" i="170" s="1"/>
  <c r="CS9" i="170"/>
  <c r="CT43" i="170" s="1"/>
  <c r="CS17" i="170"/>
  <c r="CT51" i="170" s="1"/>
  <c r="CS23" i="170"/>
  <c r="CT57" i="170" s="1"/>
  <c r="CS11" i="170"/>
  <c r="CT45" i="170" s="1"/>
  <c r="CS18" i="170"/>
  <c r="CT52" i="170" s="1"/>
  <c r="CT53" i="170"/>
  <c r="AI14" i="170" s="1"/>
  <c r="CT33" i="170"/>
  <c r="CS24" i="170"/>
  <c r="CT58" i="170" s="1"/>
  <c r="CS13" i="170"/>
  <c r="CT47" i="170" s="1"/>
  <c r="CS25" i="170"/>
  <c r="CT59" i="170" s="1"/>
  <c r="CS14" i="170"/>
  <c r="CT48" i="170" s="1"/>
  <c r="CS7" i="170"/>
  <c r="CT41" i="170" s="1"/>
  <c r="CS15" i="170"/>
  <c r="CT49" i="170" s="1"/>
  <c r="CS26" i="170"/>
  <c r="CT60" i="170" s="1"/>
  <c r="CT22" i="170"/>
  <c r="CT14" i="170"/>
  <c r="CT21" i="170"/>
  <c r="CT23" i="170"/>
  <c r="CT7" i="170"/>
  <c r="CT15" i="170"/>
  <c r="CU33" i="170"/>
  <c r="CT24" i="170"/>
  <c r="CT8" i="170"/>
  <c r="CT16" i="170"/>
  <c r="CT25" i="170"/>
  <c r="CT9" i="170"/>
  <c r="CT17" i="170"/>
  <c r="CT11" i="170"/>
  <c r="CT20" i="170"/>
  <c r="CT26" i="170"/>
  <c r="CT18" i="170"/>
  <c r="CT13" i="170"/>
  <c r="CU53" i="170"/>
  <c r="AI18" i="170" s="1"/>
  <c r="CW33" i="170"/>
  <c r="CV15" i="170"/>
  <c r="CV49" i="170" s="1"/>
  <c r="CV24" i="170"/>
  <c r="CV58" i="170" s="1"/>
  <c r="CV7" i="170"/>
  <c r="CV41" i="170" s="1"/>
  <c r="CV23" i="170"/>
  <c r="CV57" i="170" s="1"/>
  <c r="CV21" i="170"/>
  <c r="CV55" i="170" s="1"/>
  <c r="CV8" i="170"/>
  <c r="CV42" i="170" s="1"/>
  <c r="CV13" i="170"/>
  <c r="CV47" i="170" s="1"/>
  <c r="CV53" i="170"/>
  <c r="CV25" i="170"/>
  <c r="CV59" i="170" s="1"/>
  <c r="CV22" i="170"/>
  <c r="CV56" i="170" s="1"/>
  <c r="CV17" i="170"/>
  <c r="CV51" i="170" s="1"/>
  <c r="CV18" i="170"/>
  <c r="CV52" i="170" s="1"/>
  <c r="CV9" i="170"/>
  <c r="CV43" i="170" s="1"/>
  <c r="CV11" i="170"/>
  <c r="CV26" i="170"/>
  <c r="CV60" i="170" s="1"/>
  <c r="CV14" i="170"/>
  <c r="CV48" i="170" s="1"/>
  <c r="CV20" i="170"/>
  <c r="CV54" i="170" s="1"/>
  <c r="CV16" i="170"/>
  <c r="CV50" i="170" s="1"/>
  <c r="CU25" i="170"/>
  <c r="CU18" i="170"/>
  <c r="CU11" i="170"/>
  <c r="CU24" i="170"/>
  <c r="CU22" i="170"/>
  <c r="CV33" i="170"/>
  <c r="CU13" i="170"/>
  <c r="CU15" i="170"/>
  <c r="CU21" i="170"/>
  <c r="CU17" i="170"/>
  <c r="CU16" i="170"/>
  <c r="CU7" i="170"/>
  <c r="CU9" i="170"/>
  <c r="CU8" i="170"/>
  <c r="CU14" i="170"/>
  <c r="CU20" i="170"/>
  <c r="CU26" i="170"/>
  <c r="CU23" i="170"/>
  <c r="X8" i="170"/>
  <c r="X7" i="170" s="1"/>
  <c r="V8" i="170"/>
  <c r="V7" i="170" s="1"/>
  <c r="U8" i="170"/>
  <c r="K8" i="170"/>
  <c r="U7" i="170" l="1"/>
  <c r="BW71" i="170"/>
  <c r="BT73" i="170"/>
  <c r="BU72" i="170"/>
  <c r="AI15" i="170"/>
  <c r="CU44" i="170"/>
  <c r="CW44" i="170"/>
  <c r="CU50" i="170"/>
  <c r="CS57" i="170"/>
  <c r="CR44" i="170"/>
  <c r="CS44" i="170"/>
  <c r="CW45" i="170"/>
  <c r="CU46" i="170"/>
  <c r="CS45" i="170"/>
  <c r="CS46" i="170"/>
  <c r="CR46" i="170"/>
  <c r="CW46" i="170"/>
  <c r="CV45" i="170"/>
  <c r="CS55" i="170"/>
  <c r="CR45" i="170"/>
  <c r="CS49" i="170"/>
  <c r="CS42" i="170"/>
  <c r="CS58" i="170"/>
  <c r="AI11" i="170" s="1"/>
  <c r="CU43" i="170"/>
  <c r="CU47" i="170"/>
  <c r="CS52" i="170"/>
  <c r="CS41" i="170"/>
  <c r="CU60" i="170"/>
  <c r="CR47" i="170"/>
  <c r="CS47" i="170"/>
  <c r="CU41" i="170"/>
  <c r="CS50" i="170"/>
  <c r="CS60" i="170"/>
  <c r="CU49" i="170"/>
  <c r="CS59" i="170"/>
  <c r="CU58" i="170"/>
  <c r="CS56" i="170"/>
  <c r="CU54" i="170"/>
  <c r="CS43" i="170"/>
  <c r="CS54" i="170"/>
  <c r="CR51" i="170"/>
  <c r="CS51" i="170"/>
  <c r="CU48" i="170"/>
  <c r="CS48" i="170"/>
  <c r="CU52" i="170"/>
  <c r="AI13" i="170" s="1"/>
  <c r="CU59" i="170"/>
  <c r="CW58" i="170"/>
  <c r="CW50" i="170"/>
  <c r="CW57" i="170"/>
  <c r="CW56" i="170"/>
  <c r="CW49" i="170"/>
  <c r="CU42" i="170"/>
  <c r="CU55" i="170"/>
  <c r="AI17" i="170" s="1"/>
  <c r="CW51" i="170"/>
  <c r="CW54" i="170"/>
  <c r="CW43" i="170"/>
  <c r="CW48" i="170"/>
  <c r="CW47" i="170"/>
  <c r="CU45" i="170"/>
  <c r="CU56" i="170"/>
  <c r="CW42" i="170"/>
  <c r="CW52" i="170"/>
  <c r="CW59" i="170"/>
  <c r="CU57" i="170"/>
  <c r="CU51" i="170"/>
  <c r="CW55" i="170"/>
  <c r="CW41" i="170"/>
  <c r="CW60" i="170"/>
  <c r="AK5" i="104" l="1"/>
  <c r="AK263" i="110"/>
  <c r="R7" i="170"/>
  <c r="O7" i="170"/>
  <c r="Q7" i="170"/>
  <c r="L7" i="170"/>
  <c r="K4" i="170"/>
  <c r="AK271" i="110"/>
  <c r="N7" i="170"/>
  <c r="M7" i="170"/>
  <c r="P7" i="170"/>
  <c r="AK264" i="110"/>
  <c r="AK270" i="110" s="1"/>
  <c r="M4" i="170"/>
  <c r="BD8" i="170"/>
  <c r="BE8" i="170" s="1"/>
  <c r="S7" i="170"/>
  <c r="T7" i="170"/>
  <c r="E40" i="184" s="1"/>
  <c r="Z7" i="170"/>
  <c r="AL65" i="104"/>
  <c r="Y3" i="170"/>
  <c r="Y4" i="170" s="1"/>
  <c r="K7" i="170"/>
  <c r="AI10" i="170"/>
  <c r="AL10" i="170" s="1"/>
  <c r="AO10" i="170" s="1"/>
  <c r="BW72" i="170"/>
  <c r="BT74" i="170"/>
  <c r="BU73" i="170"/>
  <c r="AI16" i="170"/>
  <c r="AI12" i="170"/>
  <c r="AL12" i="170" s="1"/>
  <c r="AL14" i="170"/>
  <c r="AO14" i="170" s="1"/>
  <c r="AL18" i="170"/>
  <c r="AO18" i="170" s="1"/>
  <c r="AL22" i="170"/>
  <c r="AO22" i="170" s="1"/>
  <c r="AL26" i="170"/>
  <c r="AO26" i="170" s="1"/>
  <c r="AL30" i="170"/>
  <c r="AO30" i="170" s="1"/>
  <c r="AL34" i="170"/>
  <c r="AO34" i="170" s="1"/>
  <c r="AL38" i="170"/>
  <c r="AO38" i="170" s="1"/>
  <c r="AL42" i="170"/>
  <c r="AO42" i="170" s="1"/>
  <c r="AL46" i="170"/>
  <c r="AO46" i="170" s="1"/>
  <c r="AL50" i="170"/>
  <c r="AO50" i="170" s="1"/>
  <c r="AL58" i="170"/>
  <c r="AO58" i="170" s="1"/>
  <c r="AL21" i="170"/>
  <c r="AO21" i="170" s="1"/>
  <c r="AL37" i="170"/>
  <c r="AO37" i="170" s="1"/>
  <c r="AL41" i="170"/>
  <c r="AO41" i="170" s="1"/>
  <c r="AL45" i="170"/>
  <c r="AO45" i="170" s="1"/>
  <c r="AL49" i="170"/>
  <c r="AO49" i="170" s="1"/>
  <c r="AL53" i="170"/>
  <c r="AO53" i="170" s="1"/>
  <c r="AL57" i="170"/>
  <c r="AO57" i="170" s="1"/>
  <c r="AL20" i="170"/>
  <c r="AO20" i="170" s="1"/>
  <c r="AL24" i="170"/>
  <c r="AO24" i="170" s="1"/>
  <c r="AL28" i="170"/>
  <c r="AO28" i="170" s="1"/>
  <c r="AL32" i="170"/>
  <c r="AO32" i="170" s="1"/>
  <c r="AL36" i="170"/>
  <c r="AO36" i="170" s="1"/>
  <c r="AL40" i="170"/>
  <c r="AO40" i="170" s="1"/>
  <c r="AL44" i="170"/>
  <c r="AO44" i="170" s="1"/>
  <c r="AL48" i="170"/>
  <c r="AO48" i="170" s="1"/>
  <c r="AL54" i="170"/>
  <c r="AO54" i="170" s="1"/>
  <c r="AL11" i="170"/>
  <c r="AL15" i="170"/>
  <c r="AO15" i="170" s="1"/>
  <c r="AL17" i="170"/>
  <c r="AO17" i="170" s="1"/>
  <c r="AL19" i="170"/>
  <c r="AO19" i="170" s="1"/>
  <c r="AL23" i="170"/>
  <c r="AO23" i="170" s="1"/>
  <c r="AL25" i="170"/>
  <c r="AO25" i="170" s="1"/>
  <c r="AL27" i="170"/>
  <c r="AO27" i="170" s="1"/>
  <c r="AL29" i="170"/>
  <c r="AO29" i="170" s="1"/>
  <c r="AL31" i="170"/>
  <c r="AO31" i="170" s="1"/>
  <c r="AL35" i="170"/>
  <c r="AO35" i="170" s="1"/>
  <c r="AL43" i="170"/>
  <c r="AO43" i="170" s="1"/>
  <c r="AL47" i="170"/>
  <c r="AO47" i="170" s="1"/>
  <c r="AL51" i="170"/>
  <c r="AO51" i="170" s="1"/>
  <c r="AL55" i="170"/>
  <c r="AO55" i="170" s="1"/>
  <c r="AL59" i="170"/>
  <c r="AO59" i="170" s="1"/>
  <c r="AL52" i="170"/>
  <c r="AO52" i="170" s="1"/>
  <c r="AL39" i="170"/>
  <c r="AO39" i="170" s="1"/>
  <c r="AL13" i="170"/>
  <c r="AQ13" i="170" s="1"/>
  <c r="AS13" i="170" s="1"/>
  <c r="AL56" i="170"/>
  <c r="AO56" i="170" s="1"/>
  <c r="AL33" i="170"/>
  <c r="AO33" i="170" s="1"/>
  <c r="D3" i="170" l="1"/>
  <c r="E34" i="184"/>
  <c r="AL49" i="184"/>
  <c r="AL64" i="104"/>
  <c r="AL62" i="104" s="1"/>
  <c r="AL56" i="104" s="1"/>
  <c r="AK269" i="110"/>
  <c r="AK265" i="110"/>
  <c r="AK272" i="110" s="1"/>
  <c r="E38" i="184"/>
  <c r="V3" i="170"/>
  <c r="R4" i="170"/>
  <c r="AF20" i="170" s="1"/>
  <c r="AR3" i="183"/>
  <c r="B9" i="183"/>
  <c r="E33" i="184" s="1"/>
  <c r="AQ10" i="170"/>
  <c r="BT75" i="170"/>
  <c r="BU74" i="170"/>
  <c r="BW73" i="170"/>
  <c r="AL16" i="170"/>
  <c r="AS10" i="170"/>
  <c r="AO13" i="170"/>
  <c r="AU13" i="170"/>
  <c r="AW13" i="170" s="1"/>
  <c r="AQ11" i="170"/>
  <c r="AS11" i="170" s="1"/>
  <c r="AO11" i="170"/>
  <c r="AU11" i="170"/>
  <c r="AW11" i="170" s="1"/>
  <c r="AQ12" i="170"/>
  <c r="AS12" i="170" s="1"/>
  <c r="AU12" i="170"/>
  <c r="AW12" i="170" s="1"/>
  <c r="AO12" i="170"/>
  <c r="AI8" i="170"/>
  <c r="AG10" i="170" l="1"/>
  <c r="AF22" i="170"/>
  <c r="AF26" i="170"/>
  <c r="AF30" i="170"/>
  <c r="AF34" i="170"/>
  <c r="AF38" i="170"/>
  <c r="AF42" i="170"/>
  <c r="AF46" i="170"/>
  <c r="AF50" i="170"/>
  <c r="AF54" i="170"/>
  <c r="AF58" i="170"/>
  <c r="AF23" i="170"/>
  <c r="AF27" i="170"/>
  <c r="AF31" i="170"/>
  <c r="AF35" i="170"/>
  <c r="AF39" i="170"/>
  <c r="AF43" i="170"/>
  <c r="AF47" i="170"/>
  <c r="AF51" i="170"/>
  <c r="AF55" i="170"/>
  <c r="AF59" i="170"/>
  <c r="AG11" i="170"/>
  <c r="AG37" i="170"/>
  <c r="AG29" i="170"/>
  <c r="AG54" i="170"/>
  <c r="AG57" i="170"/>
  <c r="AG41" i="170"/>
  <c r="AG25" i="170"/>
  <c r="AG50" i="170"/>
  <c r="AG34" i="170"/>
  <c r="AG59" i="170"/>
  <c r="AG51" i="170"/>
  <c r="AG43" i="170"/>
  <c r="AG35" i="170"/>
  <c r="AG27" i="170"/>
  <c r="AG56" i="170"/>
  <c r="AG48" i="170"/>
  <c r="AG40" i="170"/>
  <c r="AG30" i="170"/>
  <c r="AG32" i="170"/>
  <c r="AG24" i="170"/>
  <c r="AG22" i="170"/>
  <c r="AG20" i="170"/>
  <c r="AG12" i="170"/>
  <c r="AF10" i="170"/>
  <c r="AF24" i="170"/>
  <c r="AF28" i="170"/>
  <c r="AF32" i="170"/>
  <c r="AF36" i="170"/>
  <c r="AF40" i="170"/>
  <c r="AF44" i="170"/>
  <c r="AF48" i="170"/>
  <c r="AF52" i="170"/>
  <c r="AF56" i="170"/>
  <c r="AF21" i="170"/>
  <c r="AF25" i="170"/>
  <c r="AF29" i="170"/>
  <c r="AF33" i="170"/>
  <c r="AF37" i="170"/>
  <c r="AF41" i="170"/>
  <c r="AF45" i="170"/>
  <c r="AF49" i="170"/>
  <c r="AF53" i="170"/>
  <c r="AF57" i="170"/>
  <c r="AG14" i="170"/>
  <c r="AG53" i="170"/>
  <c r="AG45" i="170"/>
  <c r="AG46" i="170"/>
  <c r="AG38" i="170"/>
  <c r="AG49" i="170"/>
  <c r="AG33" i="170"/>
  <c r="AG58" i="170"/>
  <c r="AG42" i="170"/>
  <c r="AG26" i="170"/>
  <c r="AG55" i="170"/>
  <c r="AG47" i="170"/>
  <c r="AG39" i="170"/>
  <c r="AG31" i="170"/>
  <c r="AG23" i="170"/>
  <c r="AG52" i="170"/>
  <c r="AG44" i="170"/>
  <c r="AG36" i="170"/>
  <c r="AG28" i="170"/>
  <c r="AF18" i="170"/>
  <c r="AF14" i="170"/>
  <c r="AF19" i="170"/>
  <c r="AF15" i="170"/>
  <c r="AG21" i="170"/>
  <c r="AG18" i="170"/>
  <c r="AG16" i="170"/>
  <c r="AG17" i="170"/>
  <c r="AG13" i="170"/>
  <c r="AF16" i="170"/>
  <c r="AF12" i="170"/>
  <c r="AF17" i="170"/>
  <c r="AF13" i="170"/>
  <c r="AF11" i="170"/>
  <c r="AG19" i="170"/>
  <c r="AG15" i="170"/>
  <c r="BT76" i="170"/>
  <c r="BU75" i="170"/>
  <c r="BW74" i="170"/>
  <c r="AS8" i="170"/>
  <c r="E36" i="154" s="1"/>
  <c r="AO16" i="170"/>
  <c r="AO8" i="170" s="1"/>
  <c r="AL8" i="170"/>
  <c r="AU16" i="170"/>
  <c r="AW16" i="170" s="1"/>
  <c r="AW8" i="170" s="1"/>
  <c r="AF8" i="170" l="1"/>
  <c r="AG8" i="170"/>
  <c r="E37" i="154"/>
  <c r="L9" i="155" s="1"/>
  <c r="BW75" i="170"/>
  <c r="BT77" i="170"/>
  <c r="BU76" i="170"/>
  <c r="L8" i="155"/>
  <c r="C3" i="175"/>
  <c r="C4" i="175" s="1"/>
  <c r="C5" i="175" s="1"/>
  <c r="C6" i="175" s="1"/>
  <c r="C7" i="175" s="1"/>
  <c r="C8" i="175" s="1"/>
  <c r="C9" i="175" s="1"/>
  <c r="C10" i="175" s="1"/>
  <c r="C11" i="175" s="1"/>
  <c r="C12" i="175" s="1"/>
  <c r="C13" i="175" s="1"/>
  <c r="C14" i="175" s="1"/>
  <c r="C15" i="175" s="1"/>
  <c r="C16" i="175" s="1"/>
  <c r="C17" i="175" s="1"/>
  <c r="C18" i="175" s="1"/>
  <c r="M26" i="183" l="1"/>
  <c r="BT78" i="170"/>
  <c r="BU77" i="170"/>
  <c r="BW76" i="170"/>
  <c r="BW77" i="170" l="1"/>
  <c r="BT79" i="170"/>
  <c r="BU78" i="170"/>
  <c r="P3" i="149"/>
  <c r="G42" i="147" s="1"/>
  <c r="I42" i="147" s="1"/>
  <c r="M3" i="149"/>
  <c r="G39" i="147" s="1"/>
  <c r="O3" i="149"/>
  <c r="L3" i="162"/>
  <c r="AJ393" i="104" l="1"/>
  <c r="AJ394" i="104" s="1"/>
  <c r="AJ395" i="104" s="1"/>
  <c r="I39" i="147"/>
  <c r="I3" i="147" s="1"/>
  <c r="BW78" i="170"/>
  <c r="BT80" i="170"/>
  <c r="BU79" i="170"/>
  <c r="M3" i="162"/>
  <c r="N3" i="162"/>
  <c r="BW79" i="170" l="1"/>
  <c r="BT81" i="170"/>
  <c r="BU81" i="170" s="1"/>
  <c r="BU80" i="170"/>
  <c r="AQ11" i="132"/>
  <c r="AQ12" i="132"/>
  <c r="AP11" i="132"/>
  <c r="AP12" i="132"/>
  <c r="AO11" i="132"/>
  <c r="AO12" i="132"/>
  <c r="AN11" i="132"/>
  <c r="AN12" i="132"/>
  <c r="AQ10" i="132"/>
  <c r="AP10" i="132"/>
  <c r="AO10" i="132"/>
  <c r="AN10" i="132"/>
  <c r="AN6" i="130"/>
  <c r="AL12" i="129"/>
  <c r="H287" i="110"/>
  <c r="AK215" i="110"/>
  <c r="BW80" i="170" l="1"/>
  <c r="BW81" i="170"/>
  <c r="BU85" i="170"/>
  <c r="BV65" i="170" s="1"/>
  <c r="X233" i="110"/>
  <c r="AK223" i="110"/>
  <c r="AK219" i="110"/>
  <c r="AK208" i="110"/>
  <c r="AC191" i="110"/>
  <c r="Y191" i="110"/>
  <c r="BV66" i="170" l="1"/>
  <c r="BV81" i="170"/>
  <c r="BV83" i="170"/>
  <c r="BV82" i="170"/>
  <c r="BV67" i="170"/>
  <c r="AF49" i="104" s="1"/>
  <c r="BV68" i="170"/>
  <c r="AB46" i="104" s="1"/>
  <c r="BV69" i="170"/>
  <c r="BV70" i="170"/>
  <c r="BV71" i="170"/>
  <c r="BV72" i="170"/>
  <c r="BV73" i="170"/>
  <c r="H46" i="104" s="1"/>
  <c r="BV74" i="170"/>
  <c r="BV75" i="170"/>
  <c r="BV76" i="170"/>
  <c r="BV77" i="170"/>
  <c r="BV78" i="170"/>
  <c r="BV79" i="170"/>
  <c r="BV80" i="170"/>
  <c r="BW85" i="170"/>
  <c r="AL380" i="104" s="1"/>
  <c r="AF32" i="153"/>
  <c r="AB28" i="153"/>
  <c r="AJ27" i="153"/>
  <c r="AF26" i="153"/>
  <c r="AF25" i="153"/>
  <c r="AJ22" i="153"/>
  <c r="AJ23" i="153" l="1"/>
  <c r="AF23" i="153"/>
  <c r="H52" i="104"/>
  <c r="H53" i="104"/>
  <c r="H49" i="104"/>
  <c r="H51" i="104"/>
  <c r="H54" i="104"/>
  <c r="H50" i="104"/>
  <c r="H47" i="104"/>
  <c r="H48" i="104"/>
  <c r="T51" i="104"/>
  <c r="T54" i="104"/>
  <c r="T49" i="104"/>
  <c r="T48" i="104"/>
  <c r="T47" i="104"/>
  <c r="T46" i="104"/>
  <c r="T53" i="104"/>
  <c r="T50" i="104"/>
  <c r="T52" i="104"/>
  <c r="X52" i="104"/>
  <c r="X54" i="104"/>
  <c r="X51" i="104"/>
  <c r="X53" i="104"/>
  <c r="X47" i="104"/>
  <c r="X46" i="104"/>
  <c r="X50" i="104"/>
  <c r="X49" i="104"/>
  <c r="X48" i="104"/>
  <c r="AF54" i="104"/>
  <c r="AF52" i="104"/>
  <c r="AF51" i="104"/>
  <c r="AF50" i="104"/>
  <c r="AF48" i="104"/>
  <c r="AF53" i="104"/>
  <c r="AF47" i="104"/>
  <c r="AF46" i="104"/>
  <c r="L53" i="104"/>
  <c r="L51" i="104"/>
  <c r="L52" i="104"/>
  <c r="L47" i="104"/>
  <c r="L50" i="104"/>
  <c r="L49" i="104"/>
  <c r="L48" i="104"/>
  <c r="L46" i="104"/>
  <c r="L54" i="104"/>
  <c r="P54" i="104"/>
  <c r="P52" i="104"/>
  <c r="P47" i="104"/>
  <c r="P46" i="104"/>
  <c r="P49" i="104"/>
  <c r="P48" i="104"/>
  <c r="P53" i="104"/>
  <c r="P51" i="104"/>
  <c r="P50" i="104"/>
  <c r="AB51" i="104"/>
  <c r="AB48" i="104"/>
  <c r="AB47" i="104"/>
  <c r="AB53" i="104"/>
  <c r="AB50" i="104"/>
  <c r="AB49" i="104"/>
  <c r="AB52" i="104"/>
  <c r="AB54" i="104"/>
  <c r="AJ46" i="104"/>
  <c r="AJ53" i="104"/>
  <c r="AJ51" i="104"/>
  <c r="AJ52" i="104"/>
  <c r="AJ48" i="104"/>
  <c r="AJ50" i="104"/>
  <c r="AJ54" i="104"/>
  <c r="AJ47" i="104"/>
  <c r="AJ49" i="104"/>
  <c r="BV85" i="170"/>
  <c r="AJ25" i="153"/>
  <c r="AF22" i="153"/>
  <c r="AF27" i="153"/>
  <c r="AJ26" i="153"/>
  <c r="AJ44" i="153"/>
  <c r="AJ49" i="153" s="1"/>
  <c r="AL46" i="104" l="1"/>
  <c r="AL47" i="104"/>
  <c r="AL54" i="104"/>
  <c r="AJ45" i="153"/>
  <c r="E10" i="149" l="1"/>
  <c r="AJ362" i="106" l="1"/>
  <c r="Y286" i="106"/>
  <c r="N166" i="106" l="1"/>
  <c r="O3" i="162" l="1"/>
  <c r="P3" i="162"/>
  <c r="K32" i="162" l="1"/>
  <c r="G32" i="162" s="1"/>
  <c r="K31" i="162"/>
  <c r="G31" i="162" s="1"/>
  <c r="K29" i="162"/>
  <c r="G29" i="162" s="1"/>
  <c r="K30" i="162"/>
  <c r="G30" i="162" s="1"/>
  <c r="K12" i="162"/>
  <c r="G12" i="162" s="1"/>
  <c r="K142" i="162"/>
  <c r="G142" i="162" s="1"/>
  <c r="K140" i="162"/>
  <c r="G140" i="162" s="1"/>
  <c r="K141" i="162"/>
  <c r="G141" i="162" s="1"/>
  <c r="K139" i="162"/>
  <c r="G139" i="162" s="1"/>
  <c r="K109" i="162"/>
  <c r="G109" i="162" s="1"/>
  <c r="K108" i="162"/>
  <c r="G108" i="162" s="1"/>
  <c r="K107" i="162"/>
  <c r="G107" i="162" s="1"/>
  <c r="K137" i="162"/>
  <c r="G137" i="162" s="1"/>
  <c r="K138" i="162"/>
  <c r="G138" i="162" s="1"/>
  <c r="K136" i="162"/>
  <c r="G136" i="162" s="1"/>
  <c r="K132" i="162"/>
  <c r="G132" i="162" s="1"/>
  <c r="K129" i="162"/>
  <c r="G129" i="162" s="1"/>
  <c r="K123" i="162"/>
  <c r="G123" i="162" s="1"/>
  <c r="K124" i="162"/>
  <c r="G124" i="162" s="1"/>
  <c r="K119" i="162"/>
  <c r="G119" i="162" s="1"/>
  <c r="K115" i="162"/>
  <c r="G115" i="162" s="1"/>
  <c r="K122" i="162"/>
  <c r="G122" i="162" s="1"/>
  <c r="K121" i="162"/>
  <c r="G121" i="162" s="1"/>
  <c r="K120" i="162"/>
  <c r="G120" i="162" s="1"/>
  <c r="K117" i="162"/>
  <c r="G117" i="162" s="1"/>
  <c r="K118" i="162"/>
  <c r="G118" i="162" s="1"/>
  <c r="K116" i="162"/>
  <c r="G116" i="162" s="1"/>
  <c r="K114" i="162"/>
  <c r="G114" i="162" s="1"/>
  <c r="K111" i="162"/>
  <c r="G111" i="162" s="1"/>
  <c r="K110" i="162"/>
  <c r="G110" i="162" s="1"/>
  <c r="K101" i="162"/>
  <c r="G101" i="162" s="1"/>
  <c r="K54" i="162"/>
  <c r="G54" i="162" s="1"/>
  <c r="K15" i="162"/>
  <c r="G15" i="162" s="1"/>
  <c r="K16" i="162"/>
  <c r="G16" i="162" s="1"/>
  <c r="K17" i="162"/>
  <c r="G17" i="162" s="1"/>
  <c r="K14" i="162"/>
  <c r="G14" i="162" s="1"/>
  <c r="K13" i="162"/>
  <c r="G13" i="162" s="1"/>
  <c r="K11" i="162"/>
  <c r="G11" i="162" s="1"/>
  <c r="K10" i="162"/>
  <c r="G10" i="162" s="1"/>
  <c r="K9" i="162"/>
  <c r="G9" i="162" s="1"/>
  <c r="K8" i="162"/>
  <c r="G8" i="162" s="1"/>
  <c r="K7" i="162"/>
  <c r="G7" i="162" s="1"/>
  <c r="K68" i="162"/>
  <c r="G68" i="162" s="1"/>
  <c r="K67" i="162"/>
  <c r="G67" i="162" s="1"/>
  <c r="K5" i="162"/>
  <c r="G5" i="162" s="1"/>
  <c r="K6" i="162"/>
  <c r="G6" i="162" s="1"/>
  <c r="K106" i="162"/>
  <c r="G106" i="162" s="1"/>
  <c r="K76" i="162"/>
  <c r="G76" i="162" s="1"/>
  <c r="K89" i="162"/>
  <c r="G89" i="162" s="1"/>
  <c r="K73" i="162"/>
  <c r="G73" i="162" s="1"/>
  <c r="K72" i="162"/>
  <c r="G72" i="162" s="1"/>
  <c r="K71" i="162"/>
  <c r="G71" i="162" s="1"/>
  <c r="K70" i="162"/>
  <c r="G70" i="162" s="1"/>
  <c r="K69" i="162"/>
  <c r="G69" i="162" s="1"/>
  <c r="K74" i="162"/>
  <c r="G74" i="162" s="1"/>
  <c r="K65" i="162"/>
  <c r="G65" i="162" s="1"/>
  <c r="K51" i="162"/>
  <c r="G51" i="162" s="1"/>
  <c r="K52" i="162"/>
  <c r="G52" i="162" s="1"/>
  <c r="K50" i="162"/>
  <c r="G50" i="162" s="1"/>
  <c r="K57" i="162"/>
  <c r="G57" i="162" s="1"/>
  <c r="K84" i="162"/>
  <c r="G84" i="162" s="1"/>
  <c r="K85" i="162"/>
  <c r="G85" i="162" s="1"/>
  <c r="K55" i="162"/>
  <c r="G55" i="162" s="1"/>
  <c r="K56" i="162"/>
  <c r="G56" i="162" s="1"/>
  <c r="K60" i="162"/>
  <c r="G60" i="162" s="1"/>
  <c r="K53" i="162"/>
  <c r="G53" i="162" s="1"/>
  <c r="K59" i="162"/>
  <c r="G59" i="162" s="1"/>
  <c r="K49" i="162"/>
  <c r="G49" i="162" s="1"/>
  <c r="K90" i="162"/>
  <c r="G90" i="162" s="1"/>
  <c r="K105" i="162"/>
  <c r="G105" i="162" s="1"/>
  <c r="K100" i="162"/>
  <c r="G100" i="162" s="1"/>
  <c r="K103" i="162"/>
  <c r="G103" i="162" s="1"/>
  <c r="K96" i="162"/>
  <c r="G96" i="162" s="1"/>
  <c r="K20" i="162"/>
  <c r="G20" i="162" s="1"/>
  <c r="K21" i="162"/>
  <c r="G21" i="162" s="1"/>
  <c r="K19" i="162"/>
  <c r="G19" i="162" s="1"/>
  <c r="K18" i="162"/>
  <c r="G18" i="162" s="1"/>
  <c r="K94" i="162"/>
  <c r="G94" i="162" s="1"/>
  <c r="K93" i="162"/>
  <c r="G93" i="162" s="1"/>
  <c r="K92" i="162"/>
  <c r="G92" i="162" s="1"/>
  <c r="K91" i="162"/>
  <c r="G91" i="162" s="1"/>
  <c r="K48" i="162"/>
  <c r="G48" i="162" s="1"/>
  <c r="K47" i="162"/>
  <c r="G47" i="162" s="1"/>
  <c r="K46" i="162"/>
  <c r="G46" i="162" s="1"/>
  <c r="K45" i="162"/>
  <c r="G45" i="162" s="1"/>
  <c r="K79" i="162"/>
  <c r="G79" i="162" s="1"/>
  <c r="K112" i="162"/>
  <c r="G112" i="162" s="1"/>
  <c r="K104" i="162"/>
  <c r="G104" i="162" s="1"/>
  <c r="K102" i="162"/>
  <c r="G102" i="162" s="1"/>
  <c r="K99" i="162"/>
  <c r="G99" i="162" s="1"/>
  <c r="K98" i="162"/>
  <c r="G98" i="162" s="1"/>
  <c r="K97" i="162"/>
  <c r="G97" i="162" s="1"/>
  <c r="K95" i="162"/>
  <c r="G95" i="162" s="1"/>
  <c r="K80" i="162"/>
  <c r="G80" i="162" s="1"/>
  <c r="K126" i="162"/>
  <c r="G126" i="162" s="1"/>
  <c r="K125" i="162"/>
  <c r="G125" i="162" s="1"/>
  <c r="K134" i="162"/>
  <c r="G134" i="162" s="1"/>
  <c r="K128" i="162"/>
  <c r="G128" i="162" s="1"/>
  <c r="K135" i="162"/>
  <c r="G135" i="162" s="1"/>
  <c r="K131" i="162"/>
  <c r="G131" i="162" s="1"/>
  <c r="K133" i="162"/>
  <c r="G133" i="162" s="1"/>
  <c r="K130" i="162"/>
  <c r="G130" i="162" s="1"/>
  <c r="K86" i="162"/>
  <c r="G86" i="162" s="1"/>
  <c r="K87" i="162"/>
  <c r="G87" i="162" s="1"/>
  <c r="K83" i="162"/>
  <c r="G83" i="162" s="1"/>
  <c r="K82" i="162"/>
  <c r="G82" i="162" s="1"/>
  <c r="K66" i="162"/>
  <c r="G66" i="162" s="1"/>
  <c r="K77" i="162"/>
  <c r="G77" i="162" s="1"/>
  <c r="K78" i="162"/>
  <c r="G78" i="162" s="1"/>
  <c r="K63" i="162"/>
  <c r="G63" i="162" s="1"/>
  <c r="K64" i="162"/>
  <c r="G64" i="162" s="1"/>
  <c r="K62" i="162"/>
  <c r="G62" i="162" s="1"/>
  <c r="K61" i="162"/>
  <c r="G61" i="162" s="1"/>
  <c r="K58" i="162"/>
  <c r="G58" i="162" s="1"/>
  <c r="K75" i="162"/>
  <c r="G75" i="162" s="1"/>
  <c r="K27" i="162"/>
  <c r="G27" i="162" s="1"/>
  <c r="K28" i="162"/>
  <c r="G28" i="162" s="1"/>
  <c r="K25" i="162"/>
  <c r="G25" i="162" s="1"/>
  <c r="K26" i="162"/>
  <c r="G26" i="162" s="1"/>
  <c r="K24" i="162"/>
  <c r="G24" i="162" s="1"/>
  <c r="K43" i="162"/>
  <c r="G43" i="162" s="1"/>
  <c r="K44" i="162"/>
  <c r="G44" i="162" s="1"/>
  <c r="K41" i="162"/>
  <c r="G41" i="162" s="1"/>
  <c r="K42" i="162"/>
  <c r="G42" i="162" s="1"/>
  <c r="K39" i="162"/>
  <c r="G39" i="162" s="1"/>
  <c r="K40" i="162"/>
  <c r="G40" i="162" s="1"/>
  <c r="K37" i="162"/>
  <c r="G37" i="162" s="1"/>
  <c r="K38" i="162"/>
  <c r="G38" i="162" s="1"/>
  <c r="K36" i="162"/>
  <c r="G36" i="162" s="1"/>
  <c r="K35" i="162"/>
  <c r="G35" i="162" s="1"/>
  <c r="K34" i="162"/>
  <c r="G34" i="162" s="1"/>
  <c r="K33" i="162"/>
  <c r="G33" i="162" s="1"/>
  <c r="K127" i="162"/>
  <c r="G127" i="162" s="1"/>
  <c r="K88" i="162"/>
  <c r="G88" i="162" s="1"/>
  <c r="K81" i="162"/>
  <c r="G81" i="162" s="1"/>
  <c r="K23" i="162"/>
  <c r="G23" i="162" s="1"/>
  <c r="K22" i="162"/>
  <c r="G22" i="162" s="1"/>
  <c r="K113" i="162"/>
  <c r="G113" i="162" s="1"/>
  <c r="T9" i="150" l="1"/>
  <c r="OX3" i="140" l="1"/>
  <c r="OW3" i="140" l="1"/>
  <c r="MX3" i="140"/>
  <c r="MV3" i="140"/>
  <c r="MU3" i="140"/>
  <c r="MT3" i="140"/>
  <c r="MR3" i="140"/>
  <c r="MQ3" i="140"/>
  <c r="MP3" i="140"/>
  <c r="MO3" i="140"/>
  <c r="MN3" i="140"/>
  <c r="MM3" i="140"/>
  <c r="ML3" i="140"/>
  <c r="MK3" i="140"/>
  <c r="MH3" i="140"/>
  <c r="ME3" i="140"/>
  <c r="MD3" i="140"/>
  <c r="LY3" i="140"/>
  <c r="LX3" i="140"/>
  <c r="LW3" i="140"/>
  <c r="LV3" i="140"/>
  <c r="LU3" i="140"/>
  <c r="LT3" i="140"/>
  <c r="LS3" i="140"/>
  <c r="LR3" i="140"/>
  <c r="LQ3" i="140"/>
  <c r="LP3" i="140"/>
  <c r="LO3" i="140"/>
  <c r="LN3" i="140"/>
  <c r="LM3" i="140"/>
  <c r="LL3" i="140"/>
  <c r="LK3" i="140"/>
  <c r="LJ3" i="140"/>
  <c r="LI3" i="140"/>
  <c r="LH3" i="140"/>
  <c r="LG3" i="140"/>
  <c r="LF3" i="140"/>
  <c r="LE3" i="140"/>
  <c r="LD3" i="140"/>
  <c r="LC3" i="140"/>
  <c r="LB3" i="140"/>
  <c r="LA3" i="140"/>
  <c r="KZ3" i="140"/>
  <c r="KY3" i="140"/>
  <c r="KX3" i="140"/>
  <c r="KW3" i="140"/>
  <c r="KV3" i="140"/>
  <c r="KT3" i="140"/>
  <c r="JW3" i="140"/>
  <c r="JZ3" i="140"/>
  <c r="JV3" i="140"/>
  <c r="JU3" i="140"/>
  <c r="JT3" i="140"/>
  <c r="JS3" i="140"/>
  <c r="JR3" i="140"/>
  <c r="JQ3" i="140"/>
  <c r="JP3" i="140"/>
  <c r="JO3" i="140"/>
  <c r="JN3" i="140"/>
  <c r="JM3" i="140"/>
  <c r="JL3" i="140"/>
  <c r="JK3" i="140"/>
  <c r="JJ3" i="140"/>
  <c r="JI3" i="140"/>
  <c r="JH3" i="140"/>
  <c r="JG3" i="140"/>
  <c r="JF3" i="140"/>
  <c r="JE3" i="140"/>
  <c r="JD3" i="140"/>
  <c r="JC3" i="140"/>
  <c r="JB3" i="140"/>
  <c r="JA3" i="140"/>
  <c r="IZ3" i="140"/>
  <c r="IY3" i="140"/>
  <c r="IX3" i="140"/>
  <c r="IW3" i="140"/>
  <c r="IV3" i="140"/>
  <c r="IU3" i="140"/>
  <c r="IT3" i="140"/>
  <c r="IS3" i="140"/>
  <c r="IR3" i="140"/>
  <c r="IQ3" i="140"/>
  <c r="IP3" i="140"/>
  <c r="IO3" i="140"/>
  <c r="IN3" i="140"/>
  <c r="IM3" i="140"/>
  <c r="IL3" i="140"/>
  <c r="IK3" i="140"/>
  <c r="IJ3" i="140"/>
  <c r="II3" i="140"/>
  <c r="IH3" i="140"/>
  <c r="IG3" i="140"/>
  <c r="IF3" i="140"/>
  <c r="IE3" i="140"/>
  <c r="ID3" i="140"/>
  <c r="IB3" i="140"/>
  <c r="IA3" i="140"/>
  <c r="HZ3" i="140"/>
  <c r="HY3" i="140"/>
  <c r="HX3" i="140"/>
  <c r="HW3" i="140"/>
  <c r="HV3" i="140"/>
  <c r="HU3" i="140"/>
  <c r="HT3" i="140"/>
  <c r="HS3" i="140"/>
  <c r="HR3" i="140"/>
  <c r="HQ3" i="140"/>
  <c r="HP3" i="140"/>
  <c r="HO3" i="140"/>
  <c r="HN3" i="140"/>
  <c r="HM3" i="140"/>
  <c r="HL3" i="140"/>
  <c r="HJ3" i="140"/>
  <c r="HI3" i="140"/>
  <c r="HH3" i="140"/>
  <c r="HG3" i="140"/>
  <c r="HF3" i="140"/>
  <c r="HE3" i="140"/>
  <c r="HD3" i="140"/>
  <c r="HC3" i="140"/>
  <c r="HB3" i="140"/>
  <c r="HA3" i="140"/>
  <c r="GZ3" i="140"/>
  <c r="GY3" i="140"/>
  <c r="GX3" i="140"/>
  <c r="GW3" i="140"/>
  <c r="GV3" i="140"/>
  <c r="GU3" i="140"/>
  <c r="GT3" i="140"/>
  <c r="GR3" i="140"/>
  <c r="GQ3" i="140"/>
  <c r="GP3" i="140"/>
  <c r="GO3" i="140"/>
  <c r="GN3" i="140"/>
  <c r="GM3" i="140"/>
  <c r="GL3" i="140"/>
  <c r="GK3" i="140"/>
  <c r="GJ3" i="140"/>
  <c r="FZ3" i="140"/>
  <c r="FY3" i="140"/>
  <c r="FX3" i="140"/>
  <c r="FV3" i="140"/>
  <c r="FU3" i="140"/>
  <c r="FT3" i="140"/>
  <c r="FR3" i="140"/>
  <c r="FQ3" i="140"/>
  <c r="FP3" i="140"/>
  <c r="FN3" i="140"/>
  <c r="FM3" i="140"/>
  <c r="FL3" i="140"/>
  <c r="GI3" i="140"/>
  <c r="GH3" i="140"/>
  <c r="GG3" i="140"/>
  <c r="GF3" i="140"/>
  <c r="GE3" i="140"/>
  <c r="GD3" i="140"/>
  <c r="GC3" i="140"/>
  <c r="GA3" i="140"/>
  <c r="FW3" i="140"/>
  <c r="FS3" i="140"/>
  <c r="FO3" i="140"/>
  <c r="FI3" i="140"/>
  <c r="FH3" i="140"/>
  <c r="FG3" i="140"/>
  <c r="FE3" i="140"/>
  <c r="FD3" i="140"/>
  <c r="FC3" i="140"/>
  <c r="FA3" i="140"/>
  <c r="EZ3" i="140"/>
  <c r="EY3" i="140"/>
  <c r="EW3" i="140"/>
  <c r="EV3" i="140"/>
  <c r="EU3" i="140"/>
  <c r="ER3" i="140"/>
  <c r="EQ3" i="140"/>
  <c r="EP3" i="140"/>
  <c r="EN3" i="140"/>
  <c r="EM3" i="140"/>
  <c r="FJ3" i="140"/>
  <c r="FF3" i="140"/>
  <c r="FB3" i="140"/>
  <c r="EX3" i="140"/>
  <c r="ES3" i="140"/>
  <c r="EO3" i="140"/>
  <c r="EL3" i="140"/>
  <c r="EJ3" i="140"/>
  <c r="EI3" i="140"/>
  <c r="EH3" i="140"/>
  <c r="EG3" i="140"/>
  <c r="EF3" i="140"/>
  <c r="EE3" i="140"/>
  <c r="ED3" i="140"/>
  <c r="DY3" i="140"/>
  <c r="DX3" i="140"/>
  <c r="DW3" i="140"/>
  <c r="DU3" i="140"/>
  <c r="DT3" i="140"/>
  <c r="DS3" i="140"/>
  <c r="EK3" i="140"/>
  <c r="DZ3" i="140"/>
  <c r="DV3" i="140"/>
  <c r="DR3" i="140"/>
  <c r="DQ3" i="140"/>
  <c r="DP3" i="140"/>
  <c r="DO3" i="140"/>
  <c r="DN3" i="140"/>
  <c r="DM3" i="140"/>
  <c r="DL3" i="140"/>
  <c r="DK3" i="140"/>
  <c r="DF3" i="140"/>
  <c r="DD3" i="140"/>
  <c r="DB3" i="140"/>
  <c r="CZ3" i="140"/>
  <c r="CX3" i="140"/>
  <c r="CV3" i="140"/>
  <c r="DG3" i="140"/>
  <c r="DE3" i="140"/>
  <c r="DC3" i="140"/>
  <c r="DA3" i="140"/>
  <c r="CY3" i="140"/>
  <c r="CW3" i="140"/>
  <c r="CT3" i="140"/>
  <c r="CR3" i="140"/>
  <c r="CP3" i="140"/>
  <c r="CN3" i="140"/>
  <c r="CL3" i="140"/>
  <c r="CJ3" i="140"/>
  <c r="CU3" i="140"/>
  <c r="CS3" i="140"/>
  <c r="CQ3" i="140"/>
  <c r="CO3" i="140"/>
  <c r="CM3" i="140"/>
  <c r="CK3" i="140"/>
  <c r="CI3" i="140"/>
  <c r="CC3" i="140"/>
  <c r="CB3" i="140"/>
  <c r="CA3" i="140"/>
  <c r="BZ3" i="140"/>
  <c r="BY3" i="140"/>
  <c r="BH3" i="140"/>
  <c r="BV3" i="140"/>
  <c r="BU3" i="140"/>
  <c r="BT3" i="140"/>
  <c r="BS3" i="140"/>
  <c r="BR3" i="140"/>
  <c r="BQ3" i="140"/>
  <c r="BP3" i="140"/>
  <c r="BO3" i="140"/>
  <c r="BN3" i="140"/>
  <c r="BM3" i="140"/>
  <c r="BL3" i="140"/>
  <c r="BI3" i="140"/>
  <c r="BG3" i="140"/>
  <c r="BF3" i="140"/>
  <c r="BE3" i="140"/>
  <c r="BB3" i="140"/>
  <c r="AZ3" i="140"/>
  <c r="AY3" i="140"/>
  <c r="AX3" i="140"/>
  <c r="AW3" i="140"/>
  <c r="BD3" i="140"/>
  <c r="BC3" i="140"/>
  <c r="BA3" i="140"/>
  <c r="AO3" i="140"/>
  <c r="AN3" i="140"/>
  <c r="AM3" i="140"/>
  <c r="AL3" i="140"/>
  <c r="AK3" i="140"/>
  <c r="AJ3" i="140"/>
  <c r="AI3" i="140"/>
  <c r="AH3" i="140"/>
  <c r="AG3" i="140"/>
  <c r="AQ3" i="140"/>
  <c r="AP3" i="140"/>
  <c r="AE3" i="140"/>
  <c r="AD3" i="140"/>
  <c r="AC3" i="140"/>
  <c r="AB3" i="140"/>
  <c r="AA3" i="140"/>
  <c r="Z3" i="140"/>
  <c r="Y3" i="140"/>
  <c r="L3" i="140"/>
  <c r="I3" i="140"/>
  <c r="X3" i="140"/>
  <c r="W3" i="140"/>
  <c r="V3" i="140"/>
  <c r="U3" i="140"/>
  <c r="T3" i="140"/>
  <c r="S3" i="140"/>
  <c r="R3" i="140"/>
  <c r="Q3" i="140"/>
  <c r="P3" i="140"/>
  <c r="O3" i="140"/>
  <c r="N3" i="140"/>
  <c r="M3" i="140"/>
  <c r="J3" i="140"/>
  <c r="H3" i="140"/>
  <c r="G3" i="140"/>
  <c r="F3" i="140"/>
  <c r="E3" i="140"/>
  <c r="D3" i="140"/>
  <c r="A3" i="140"/>
  <c r="OJ3" i="140"/>
  <c r="OK3" i="140"/>
  <c r="OM3" i="140"/>
  <c r="ON3" i="140"/>
  <c r="OO3" i="140"/>
  <c r="OP3" i="140"/>
  <c r="OQ3" i="140"/>
  <c r="OZ3" i="140"/>
  <c r="PA3" i="140"/>
  <c r="PB3" i="140"/>
  <c r="PC3" i="140"/>
  <c r="PD3" i="140"/>
  <c r="PE3" i="140"/>
  <c r="PF3" i="140"/>
  <c r="PG3" i="140"/>
  <c r="PH3" i="140"/>
  <c r="PI3" i="140"/>
  <c r="PJ3" i="140"/>
  <c r="PK3" i="140"/>
  <c r="PL3" i="140"/>
  <c r="PM3" i="140"/>
  <c r="PN3" i="140"/>
  <c r="PO3" i="140"/>
  <c r="PS3" i="140"/>
  <c r="PU3" i="140"/>
  <c r="PV3" i="140"/>
  <c r="PX3" i="140"/>
  <c r="PY3" i="140"/>
  <c r="QA3" i="140"/>
  <c r="QB3" i="140"/>
  <c r="QD3" i="140"/>
  <c r="QE3" i="140"/>
  <c r="QF3" i="140"/>
  <c r="QG3" i="140"/>
  <c r="QH3" i="140"/>
  <c r="QI3" i="140"/>
  <c r="QJ3" i="140"/>
  <c r="QK3" i="140"/>
  <c r="RJ3" i="140"/>
  <c r="RK3" i="140"/>
  <c r="E111" i="149" l="1"/>
  <c r="E109" i="149"/>
  <c r="E108" i="149"/>
  <c r="E107" i="149"/>
  <c r="E106" i="149"/>
  <c r="E104" i="149"/>
  <c r="E103" i="149"/>
  <c r="E102" i="149"/>
  <c r="E101" i="149"/>
  <c r="E100" i="149"/>
  <c r="E98" i="149"/>
  <c r="E97" i="149"/>
  <c r="E96" i="149"/>
  <c r="E95" i="149"/>
  <c r="E94" i="149"/>
  <c r="E93" i="149"/>
  <c r="E92" i="149"/>
  <c r="E91" i="149"/>
  <c r="E90" i="149"/>
  <c r="E89" i="149"/>
  <c r="E84" i="149"/>
  <c r="E81" i="149"/>
  <c r="E80" i="149"/>
  <c r="E79" i="149"/>
  <c r="E78" i="149"/>
  <c r="E77" i="149"/>
  <c r="E76" i="149"/>
  <c r="E75" i="149"/>
  <c r="E71" i="149"/>
  <c r="E70" i="149"/>
  <c r="E68" i="149"/>
  <c r="E66" i="149"/>
  <c r="E65" i="149"/>
  <c r="E64" i="149"/>
  <c r="E63" i="149"/>
  <c r="E62" i="149"/>
  <c r="E56" i="149"/>
  <c r="E55" i="149"/>
  <c r="E54" i="149"/>
  <c r="E53" i="149"/>
  <c r="E52" i="149"/>
  <c r="E51" i="149"/>
  <c r="E50" i="149"/>
  <c r="E49" i="149"/>
  <c r="E48" i="149"/>
  <c r="E47" i="149"/>
  <c r="E43" i="149"/>
  <c r="E42" i="149"/>
  <c r="E41" i="149"/>
  <c r="E39" i="149"/>
  <c r="E38" i="149"/>
  <c r="E37" i="149"/>
  <c r="E36" i="149"/>
  <c r="E35" i="149"/>
  <c r="E34" i="149"/>
  <c r="E33" i="149"/>
  <c r="E32" i="149"/>
  <c r="E31" i="149"/>
  <c r="E30" i="149"/>
  <c r="E29" i="149"/>
  <c r="E27" i="149"/>
  <c r="E26" i="149"/>
  <c r="E25" i="149"/>
  <c r="E24" i="149"/>
  <c r="E23" i="149"/>
  <c r="E22" i="149"/>
  <c r="E21" i="149"/>
  <c r="E20" i="149"/>
  <c r="E19" i="149"/>
  <c r="E17" i="149"/>
  <c r="E16" i="149"/>
  <c r="E13" i="149"/>
  <c r="E9" i="149"/>
  <c r="E3" i="149" l="1"/>
  <c r="T28" i="183" s="1"/>
  <c r="AI28" i="183" l="1"/>
  <c r="AI29" i="183" s="1"/>
  <c r="M28" i="183" s="1"/>
  <c r="N20" i="183" s="1"/>
  <c r="D31" i="153"/>
  <c r="D30" i="153"/>
  <c r="D29" i="153"/>
  <c r="D28" i="153"/>
  <c r="D22" i="153"/>
  <c r="D21" i="153"/>
  <c r="D20" i="153"/>
  <c r="D19" i="153"/>
  <c r="AB31" i="153"/>
  <c r="AB30" i="153"/>
  <c r="AB29" i="153"/>
  <c r="AB21" i="153"/>
  <c r="AF21" i="153" s="1"/>
  <c r="AB20" i="153"/>
  <c r="AB19" i="153"/>
  <c r="N19" i="183" l="1"/>
  <c r="AL11" i="183" s="1"/>
  <c r="I90" i="184" s="1"/>
  <c r="AF19" i="153"/>
  <c r="AJ19" i="153"/>
  <c r="AB33" i="153"/>
  <c r="N14" i="183" l="1"/>
  <c r="AC14" i="183" s="1"/>
  <c r="D14" i="183"/>
  <c r="Q26" i="183" s="1"/>
  <c r="NR3" i="140"/>
  <c r="C3" i="140" l="1"/>
  <c r="KM3" i="140" l="1"/>
  <c r="PP3" i="140"/>
  <c r="EC3" i="140" l="1"/>
  <c r="JY3" i="140" l="1"/>
  <c r="N212" i="106" l="1"/>
  <c r="AF16" i="153" l="1"/>
  <c r="RI3" i="140" l="1"/>
  <c r="N167" i="106"/>
  <c r="AH18" i="150" l="1"/>
  <c r="AH19" i="150"/>
  <c r="AH20" i="150"/>
  <c r="AH21" i="150"/>
  <c r="KB3" i="140" l="1"/>
  <c r="RG3" i="140"/>
  <c r="K367" i="106" l="1"/>
  <c r="CF3" i="140" s="1"/>
  <c r="CE3" i="140"/>
  <c r="E242" i="106" l="1"/>
  <c r="N242" i="106"/>
  <c r="N233" i="106"/>
  <c r="E233" i="106"/>
  <c r="N224" i="106"/>
  <c r="E224" i="106"/>
  <c r="N215" i="106"/>
  <c r="E215" i="106"/>
  <c r="L56" i="155" l="1"/>
  <c r="R56" i="155" s="1"/>
  <c r="L55" i="155"/>
  <c r="AJ55" i="155" s="1"/>
  <c r="L54" i="155"/>
  <c r="AM54" i="155" s="1"/>
  <c r="L53" i="155"/>
  <c r="AY53" i="155" s="1"/>
  <c r="L46" i="155"/>
  <c r="BK53" i="155" l="1"/>
  <c r="DV54" i="155"/>
  <c r="DD54" i="155"/>
  <c r="BT54" i="155"/>
  <c r="BB54" i="155"/>
  <c r="CX54" i="155"/>
  <c r="AV54" i="155"/>
  <c r="O54" i="155"/>
  <c r="AJ54" i="155"/>
  <c r="DA54" i="155"/>
  <c r="AY54" i="155"/>
  <c r="CU54" i="155"/>
  <c r="DY54" i="155"/>
  <c r="BW54" i="155"/>
  <c r="DS54" i="155"/>
  <c r="BH54" i="155"/>
  <c r="DG53" i="155"/>
  <c r="DP54" i="155"/>
  <c r="BE54" i="155"/>
  <c r="BZ55" i="155"/>
  <c r="BE55" i="155"/>
  <c r="DA53" i="155"/>
  <c r="BH55" i="155"/>
  <c r="BB55" i="155"/>
  <c r="BH53" i="155"/>
  <c r="BW55" i="155"/>
  <c r="AY55" i="155"/>
  <c r="X53" i="155"/>
  <c r="U53" i="155"/>
  <c r="AM53" i="155"/>
  <c r="DD55" i="155"/>
  <c r="R53" i="155"/>
  <c r="DA55" i="155"/>
  <c r="AD55" i="155"/>
  <c r="DY53" i="155"/>
  <c r="CC53" i="155"/>
  <c r="AG53" i="155"/>
  <c r="CR54" i="155"/>
  <c r="AG54" i="155"/>
  <c r="CX55" i="155"/>
  <c r="AA55" i="155"/>
  <c r="BE53" i="155"/>
  <c r="O53" i="155"/>
  <c r="DY55" i="155"/>
  <c r="AS53" i="155"/>
  <c r="CL53" i="155"/>
  <c r="AG55" i="155"/>
  <c r="CF53" i="155"/>
  <c r="AJ53" i="155"/>
  <c r="DP53" i="155"/>
  <c r="BT53" i="155"/>
  <c r="CF54" i="155"/>
  <c r="AD54" i="155"/>
  <c r="CU55" i="155"/>
  <c r="X55" i="155"/>
  <c r="AV53" i="155"/>
  <c r="CO53" i="155"/>
  <c r="DS55" i="155"/>
  <c r="DM53" i="155"/>
  <c r="BQ53" i="155"/>
  <c r="CC54" i="155"/>
  <c r="AA54" i="155"/>
  <c r="CF55" i="155"/>
  <c r="DD53" i="155"/>
  <c r="O55" i="155"/>
  <c r="CR53" i="155"/>
  <c r="AA53" i="155"/>
  <c r="DV55" i="155"/>
  <c r="AP53" i="155"/>
  <c r="CI53" i="155"/>
  <c r="DJ53" i="155"/>
  <c r="BN53" i="155"/>
  <c r="BZ54" i="155"/>
  <c r="X54" i="155"/>
  <c r="CC55" i="155"/>
  <c r="CI56" i="155"/>
  <c r="O56" i="155"/>
  <c r="BH56" i="155"/>
  <c r="CC56" i="155"/>
  <c r="BB56" i="155"/>
  <c r="DV53" i="155"/>
  <c r="CX53" i="155"/>
  <c r="BZ53" i="155"/>
  <c r="BB53" i="155"/>
  <c r="AD53" i="155"/>
  <c r="DM54" i="155"/>
  <c r="CO54" i="155"/>
  <c r="BQ54" i="155"/>
  <c r="AS54" i="155"/>
  <c r="U54" i="155"/>
  <c r="DP55" i="155"/>
  <c r="CR55" i="155"/>
  <c r="BT55" i="155"/>
  <c r="AV55" i="155"/>
  <c r="U55" i="155"/>
  <c r="DS56" i="155"/>
  <c r="CU56" i="155"/>
  <c r="BW56" i="155"/>
  <c r="AY56" i="155"/>
  <c r="AA56" i="155"/>
  <c r="DG56" i="155"/>
  <c r="AM56" i="155"/>
  <c r="CF56" i="155"/>
  <c r="DY56" i="155"/>
  <c r="BE56" i="155"/>
  <c r="DV56" i="155"/>
  <c r="CX56" i="155"/>
  <c r="AD56" i="155"/>
  <c r="DS53" i="155"/>
  <c r="CU53" i="155"/>
  <c r="BW53" i="155"/>
  <c r="DJ54" i="155"/>
  <c r="CL54" i="155"/>
  <c r="BN54" i="155"/>
  <c r="AP54" i="155"/>
  <c r="R54" i="155"/>
  <c r="DM55" i="155"/>
  <c r="CO55" i="155"/>
  <c r="BQ55" i="155"/>
  <c r="AS55" i="155"/>
  <c r="R55" i="155"/>
  <c r="DP56" i="155"/>
  <c r="CR56" i="155"/>
  <c r="BT56" i="155"/>
  <c r="AV56" i="155"/>
  <c r="X56" i="155"/>
  <c r="BK56" i="155"/>
  <c r="DD56" i="155"/>
  <c r="DA56" i="155"/>
  <c r="BZ56" i="155"/>
  <c r="DG54" i="155"/>
  <c r="CI54" i="155"/>
  <c r="BK54" i="155"/>
  <c r="DJ55" i="155"/>
  <c r="CL55" i="155"/>
  <c r="BN55" i="155"/>
  <c r="AP55" i="155"/>
  <c r="AM55" i="155"/>
  <c r="DM56" i="155"/>
  <c r="CO56" i="155"/>
  <c r="BQ56" i="155"/>
  <c r="AS56" i="155"/>
  <c r="U56" i="155"/>
  <c r="AJ56" i="155"/>
  <c r="AG56" i="155"/>
  <c r="DG55" i="155"/>
  <c r="CI55" i="155"/>
  <c r="BK55" i="155"/>
  <c r="DJ56" i="155"/>
  <c r="CL56" i="155"/>
  <c r="BN56" i="155"/>
  <c r="AP56" i="155"/>
  <c r="N199" i="104" l="1"/>
  <c r="E199" i="104"/>
  <c r="N198" i="104"/>
  <c r="E198" i="104"/>
  <c r="QC3" i="140" l="1"/>
  <c r="PZ3" i="140"/>
  <c r="PW3" i="140"/>
  <c r="KD3" i="140" l="1"/>
  <c r="BQ2" i="155" l="1"/>
  <c r="M74" i="150" l="1"/>
  <c r="K3" i="140" l="1"/>
  <c r="JX3" i="140"/>
  <c r="N442" i="106" l="1"/>
  <c r="N239" i="106" l="1"/>
  <c r="N230" i="106"/>
  <c r="N221" i="106"/>
  <c r="N209" i="106"/>
  <c r="N200" i="106"/>
  <c r="N184" i="106"/>
  <c r="N173" i="106"/>
  <c r="N238" i="106"/>
  <c r="N229" i="106"/>
  <c r="N220" i="106"/>
  <c r="N208" i="106"/>
  <c r="N198" i="106"/>
  <c r="N182" i="106"/>
  <c r="N171" i="106"/>
  <c r="NF3" i="140" l="1"/>
  <c r="AJ32" i="153"/>
  <c r="AJ31" i="153"/>
  <c r="AF31" i="153"/>
  <c r="AJ30" i="153"/>
  <c r="AF30" i="153"/>
  <c r="AJ29" i="153"/>
  <c r="AF29" i="153"/>
  <c r="AJ28" i="153"/>
  <c r="AF28" i="153"/>
  <c r="AJ21" i="153"/>
  <c r="AJ20" i="153"/>
  <c r="AF20" i="153"/>
  <c r="AJ33" i="153" l="1"/>
  <c r="AF33" i="153"/>
  <c r="C148" i="154"/>
  <c r="N105" i="104"/>
  <c r="N104" i="104"/>
  <c r="N103" i="104"/>
  <c r="E105" i="104"/>
  <c r="E104" i="104"/>
  <c r="E103" i="104"/>
  <c r="AL18" i="129" l="1"/>
  <c r="N204" i="106" l="1"/>
  <c r="N203" i="106"/>
  <c r="N202" i="106"/>
  <c r="N201" i="106"/>
  <c r="N199" i="106"/>
  <c r="E204" i="106"/>
  <c r="E203" i="106"/>
  <c r="E202" i="106"/>
  <c r="E201" i="106"/>
  <c r="E200" i="106"/>
  <c r="E199" i="106"/>
  <c r="E198" i="106"/>
  <c r="N188" i="106"/>
  <c r="N187" i="106"/>
  <c r="N186" i="106"/>
  <c r="N185" i="106"/>
  <c r="N183" i="106"/>
  <c r="N181" i="106"/>
  <c r="E188" i="106"/>
  <c r="E187" i="106"/>
  <c r="E186" i="106"/>
  <c r="E185" i="106"/>
  <c r="E184" i="106"/>
  <c r="E183" i="106"/>
  <c r="E182" i="106"/>
  <c r="E181" i="106"/>
  <c r="KL3" i="140" l="1"/>
  <c r="KK3" i="140"/>
  <c r="KJ3" i="140"/>
  <c r="KH3" i="140" l="1"/>
  <c r="KI3" i="140"/>
  <c r="AK206" i="110"/>
  <c r="KE3" i="140"/>
  <c r="KG3" i="140"/>
  <c r="KF3" i="140"/>
  <c r="QT3" i="140"/>
  <c r="QO3" i="140"/>
  <c r="QU3" i="140"/>
  <c r="QP3" i="140"/>
  <c r="KO3" i="140" l="1"/>
  <c r="AF3" i="140"/>
  <c r="PT3" i="140"/>
  <c r="PR3" i="140"/>
  <c r="QQ3" i="140"/>
  <c r="QV3" i="140"/>
  <c r="OY3" i="140" l="1"/>
  <c r="KN3" i="140"/>
  <c r="QW3" i="140"/>
  <c r="E425" i="106"/>
  <c r="E424" i="106"/>
  <c r="N426" i="106"/>
  <c r="N425" i="106"/>
  <c r="N424" i="106"/>
  <c r="N423" i="106"/>
  <c r="N422" i="106"/>
  <c r="N421" i="106"/>
  <c r="NN3" i="140" l="1"/>
  <c r="NO3" i="140"/>
  <c r="AL53" i="104"/>
  <c r="AL49" i="104"/>
  <c r="AL50" i="104"/>
  <c r="AL48" i="104"/>
  <c r="AL51" i="104"/>
  <c r="KR3" i="140"/>
  <c r="B46" i="155"/>
  <c r="B45" i="155"/>
  <c r="B43" i="155"/>
  <c r="N39" i="128"/>
  <c r="E39" i="128"/>
  <c r="N24" i="129"/>
  <c r="N23" i="129"/>
  <c r="E24" i="129"/>
  <c r="E23" i="129"/>
  <c r="N17" i="129"/>
  <c r="E17" i="129"/>
  <c r="N11" i="129"/>
  <c r="E11" i="129"/>
  <c r="N280" i="110"/>
  <c r="E280" i="110"/>
  <c r="N203" i="110"/>
  <c r="E203" i="110"/>
  <c r="N143" i="110"/>
  <c r="E143" i="110"/>
  <c r="N127" i="110"/>
  <c r="E127" i="110"/>
  <c r="N222" i="104"/>
  <c r="N219" i="104"/>
  <c r="E222" i="104"/>
  <c r="E219" i="104"/>
  <c r="N163" i="104"/>
  <c r="N158" i="104"/>
  <c r="E163" i="104"/>
  <c r="E158" i="104"/>
  <c r="N459" i="106"/>
  <c r="E459" i="106"/>
  <c r="E442" i="106"/>
  <c r="N433" i="106"/>
  <c r="N432" i="106"/>
  <c r="E433" i="106"/>
  <c r="E432" i="106"/>
  <c r="E426" i="106"/>
  <c r="E423" i="106"/>
  <c r="E422" i="106"/>
  <c r="E421" i="106"/>
  <c r="E414" i="106"/>
  <c r="N392" i="106"/>
  <c r="E392" i="106"/>
  <c r="N262" i="106"/>
  <c r="N261" i="106"/>
  <c r="E262" i="106"/>
  <c r="E261" i="106"/>
  <c r="N243" i="106"/>
  <c r="N241" i="106"/>
  <c r="N240" i="106"/>
  <c r="E243" i="106"/>
  <c r="E241" i="106"/>
  <c r="E240" i="106"/>
  <c r="E239" i="106"/>
  <c r="E238" i="106"/>
  <c r="N234" i="106"/>
  <c r="N232" i="106"/>
  <c r="N231" i="106"/>
  <c r="E234" i="106"/>
  <c r="E232" i="106"/>
  <c r="E231" i="106"/>
  <c r="E230" i="106"/>
  <c r="E229" i="106"/>
  <c r="N225" i="106"/>
  <c r="N223" i="106"/>
  <c r="N222" i="106"/>
  <c r="E225" i="106"/>
  <c r="E223" i="106"/>
  <c r="E222" i="106"/>
  <c r="E221" i="106"/>
  <c r="E220" i="106"/>
  <c r="N216" i="106"/>
  <c r="N214" i="106"/>
  <c r="N213" i="106"/>
  <c r="N211" i="106"/>
  <c r="E216" i="106"/>
  <c r="E214" i="106"/>
  <c r="E213" i="106"/>
  <c r="E212" i="106"/>
  <c r="E211" i="106"/>
  <c r="E210" i="106"/>
  <c r="E209" i="106"/>
  <c r="E208" i="106"/>
  <c r="N177" i="106"/>
  <c r="N176" i="106"/>
  <c r="N175" i="106"/>
  <c r="N174" i="106"/>
  <c r="N172" i="106"/>
  <c r="E177" i="106"/>
  <c r="E176" i="106"/>
  <c r="E175" i="106"/>
  <c r="E174" i="106"/>
  <c r="E173" i="106"/>
  <c r="E172" i="106"/>
  <c r="E171" i="106"/>
  <c r="N165" i="106"/>
  <c r="N164" i="106"/>
  <c r="N163" i="106"/>
  <c r="N162" i="106"/>
  <c r="N161" i="106"/>
  <c r="E167" i="106"/>
  <c r="E166" i="106"/>
  <c r="E165" i="106"/>
  <c r="E164" i="106"/>
  <c r="E163" i="106"/>
  <c r="E162" i="106"/>
  <c r="E161" i="106"/>
  <c r="N103" i="106"/>
  <c r="N102" i="106"/>
  <c r="N101" i="106"/>
  <c r="E103" i="106"/>
  <c r="E102" i="106"/>
  <c r="E101" i="106"/>
  <c r="E49" i="106"/>
  <c r="N141" i="106"/>
  <c r="E141" i="106"/>
  <c r="N137" i="106"/>
  <c r="E137" i="106"/>
  <c r="E88" i="106"/>
  <c r="N10" i="119"/>
  <c r="AJ370" i="106"/>
  <c r="AJ369" i="106"/>
  <c r="AJ368" i="106"/>
  <c r="AJ367" i="106"/>
  <c r="AJ365" i="106"/>
  <c r="AJ364" i="106"/>
  <c r="AJ363" i="106"/>
  <c r="BW3" i="140"/>
  <c r="S385" i="106"/>
  <c r="Y385" i="106"/>
  <c r="AB385" i="106"/>
  <c r="AE385" i="106"/>
  <c r="AH385" i="106"/>
  <c r="Y285" i="106"/>
  <c r="BJ3" i="140" s="1"/>
  <c r="GB3" i="140"/>
  <c r="GS3" i="140"/>
  <c r="HK3" i="140"/>
  <c r="IC3" i="140"/>
  <c r="FK3" i="140"/>
  <c r="DJ3" i="140"/>
  <c r="DI3" i="140"/>
  <c r="DH3" i="140"/>
  <c r="EA3" i="140"/>
  <c r="EB3" i="140"/>
  <c r="ET3" i="140"/>
  <c r="AF28" i="150"/>
  <c r="AF30" i="150"/>
  <c r="AF34" i="150"/>
  <c r="AF36" i="150"/>
  <c r="AF38" i="150"/>
  <c r="AF40" i="150"/>
  <c r="W4" i="150"/>
  <c r="AP9" i="150"/>
  <c r="AP10" i="150" s="1"/>
  <c r="AP11" i="150" s="1"/>
  <c r="AO8" i="150"/>
  <c r="L74" i="155"/>
  <c r="O74" i="155" s="1"/>
  <c r="R74" i="155" s="1"/>
  <c r="U74" i="155" s="1"/>
  <c r="X74" i="155" s="1"/>
  <c r="AA74" i="155" s="1"/>
  <c r="AD74" i="155" s="1"/>
  <c r="AG74" i="155" s="1"/>
  <c r="AJ74" i="155" s="1"/>
  <c r="AM74" i="155" s="1"/>
  <c r="AP74" i="155" s="1"/>
  <c r="AS74" i="155" s="1"/>
  <c r="AV74" i="155" s="1"/>
  <c r="AY74" i="155" s="1"/>
  <c r="BB74" i="155" s="1"/>
  <c r="BE74" i="155" s="1"/>
  <c r="BH74" i="155" s="1"/>
  <c r="BK74" i="155" s="1"/>
  <c r="BN74" i="155" s="1"/>
  <c r="BQ74" i="155" s="1"/>
  <c r="BT74" i="155" s="1"/>
  <c r="BW74" i="155" s="1"/>
  <c r="BZ74" i="155" s="1"/>
  <c r="CC74" i="155" s="1"/>
  <c r="CF74" i="155" s="1"/>
  <c r="CI74" i="155" s="1"/>
  <c r="CL74" i="155" s="1"/>
  <c r="CO74" i="155" s="1"/>
  <c r="CR74" i="155" s="1"/>
  <c r="CU74" i="155" s="1"/>
  <c r="CX74" i="155" s="1"/>
  <c r="DA74" i="155" s="1"/>
  <c r="DD74" i="155" s="1"/>
  <c r="DG74" i="155" s="1"/>
  <c r="DJ74" i="155" s="1"/>
  <c r="DM74" i="155" s="1"/>
  <c r="DP74" i="155" s="1"/>
  <c r="DS74" i="155" s="1"/>
  <c r="DV74" i="155" s="1"/>
  <c r="DY74" i="155" s="1"/>
  <c r="AG47" i="155"/>
  <c r="DA46" i="155"/>
  <c r="L45" i="155"/>
  <c r="DM45" i="155" s="1"/>
  <c r="L43" i="155"/>
  <c r="L37" i="155"/>
  <c r="O37" i="155" s="1"/>
  <c r="R37" i="155" s="1"/>
  <c r="U37" i="155" s="1"/>
  <c r="X37" i="155" s="1"/>
  <c r="AA37" i="155" s="1"/>
  <c r="AD37" i="155" s="1"/>
  <c r="AG37" i="155" s="1"/>
  <c r="AJ37" i="155" s="1"/>
  <c r="AM37" i="155" s="1"/>
  <c r="AP37" i="155" s="1"/>
  <c r="AS37" i="155" s="1"/>
  <c r="AV37" i="155" s="1"/>
  <c r="AY37" i="155" s="1"/>
  <c r="BB37" i="155" s="1"/>
  <c r="BE37" i="155" s="1"/>
  <c r="BH37" i="155" s="1"/>
  <c r="BK37" i="155" s="1"/>
  <c r="BN37" i="155" s="1"/>
  <c r="BQ37" i="155" s="1"/>
  <c r="BT37" i="155" s="1"/>
  <c r="BW37" i="155" s="1"/>
  <c r="BZ37" i="155" s="1"/>
  <c r="CC37" i="155" s="1"/>
  <c r="CF37" i="155" s="1"/>
  <c r="CI37" i="155" s="1"/>
  <c r="CL37" i="155" s="1"/>
  <c r="CO37" i="155" s="1"/>
  <c r="CR37" i="155" s="1"/>
  <c r="CU37" i="155" s="1"/>
  <c r="CX37" i="155" s="1"/>
  <c r="DA37" i="155" s="1"/>
  <c r="DD37" i="155" s="1"/>
  <c r="DG37" i="155" s="1"/>
  <c r="DJ37" i="155" s="1"/>
  <c r="DM37" i="155" s="1"/>
  <c r="DP37" i="155" s="1"/>
  <c r="DS37" i="155" s="1"/>
  <c r="DV37" i="155" s="1"/>
  <c r="DY37" i="155" s="1"/>
  <c r="L36" i="155"/>
  <c r="O36" i="155" s="1"/>
  <c r="R36" i="155" s="1"/>
  <c r="U36" i="155" s="1"/>
  <c r="X36" i="155" s="1"/>
  <c r="AA36" i="155" s="1"/>
  <c r="AD36" i="155" s="1"/>
  <c r="AG36" i="155" s="1"/>
  <c r="AJ36" i="155" s="1"/>
  <c r="AM36" i="155" s="1"/>
  <c r="AP36" i="155" s="1"/>
  <c r="AS36" i="155" s="1"/>
  <c r="AV36" i="155" s="1"/>
  <c r="AY36" i="155" s="1"/>
  <c r="BB36" i="155" s="1"/>
  <c r="BE36" i="155" s="1"/>
  <c r="BH36" i="155" s="1"/>
  <c r="BK36" i="155" s="1"/>
  <c r="BN36" i="155" s="1"/>
  <c r="BQ36" i="155" s="1"/>
  <c r="BT36" i="155" s="1"/>
  <c r="BW36" i="155" s="1"/>
  <c r="BZ36" i="155" s="1"/>
  <c r="CC36" i="155" s="1"/>
  <c r="CF36" i="155" s="1"/>
  <c r="CI36" i="155" s="1"/>
  <c r="CL36" i="155" s="1"/>
  <c r="CO36" i="155" s="1"/>
  <c r="CR36" i="155" s="1"/>
  <c r="CU36" i="155" s="1"/>
  <c r="CX36" i="155" s="1"/>
  <c r="DA36" i="155" s="1"/>
  <c r="DD36" i="155" s="1"/>
  <c r="DG36" i="155" s="1"/>
  <c r="DJ36" i="155" s="1"/>
  <c r="DM36" i="155" s="1"/>
  <c r="DP36" i="155" s="1"/>
  <c r="DS36" i="155" s="1"/>
  <c r="DV36" i="155" s="1"/>
  <c r="DY36" i="155" s="1"/>
  <c r="L35" i="155"/>
  <c r="O35" i="155" s="1"/>
  <c r="R35" i="155" s="1"/>
  <c r="U35" i="155" s="1"/>
  <c r="X35" i="155" s="1"/>
  <c r="AA35" i="155" s="1"/>
  <c r="AD35" i="155" s="1"/>
  <c r="AG35" i="155" s="1"/>
  <c r="AJ35" i="155" s="1"/>
  <c r="AM35" i="155" s="1"/>
  <c r="AP35" i="155" s="1"/>
  <c r="AS35" i="155" s="1"/>
  <c r="AV35" i="155" s="1"/>
  <c r="AY35" i="155" s="1"/>
  <c r="BB35" i="155" s="1"/>
  <c r="BE35" i="155" s="1"/>
  <c r="BH35" i="155" s="1"/>
  <c r="BK35" i="155" s="1"/>
  <c r="BN35" i="155" s="1"/>
  <c r="BQ35" i="155" s="1"/>
  <c r="BT35" i="155" s="1"/>
  <c r="BW35" i="155" s="1"/>
  <c r="BZ35" i="155" s="1"/>
  <c r="CC35" i="155" s="1"/>
  <c r="CF35" i="155" s="1"/>
  <c r="CI35" i="155" s="1"/>
  <c r="CL35" i="155" s="1"/>
  <c r="CO35" i="155" s="1"/>
  <c r="CR35" i="155" s="1"/>
  <c r="CU35" i="155" s="1"/>
  <c r="CX35" i="155" s="1"/>
  <c r="DA35" i="155" s="1"/>
  <c r="DD35" i="155" s="1"/>
  <c r="DG35" i="155" s="1"/>
  <c r="DJ35" i="155" s="1"/>
  <c r="DM35" i="155" s="1"/>
  <c r="DP35" i="155" s="1"/>
  <c r="DS35" i="155" s="1"/>
  <c r="DV35" i="155" s="1"/>
  <c r="DY35" i="155" s="1"/>
  <c r="L33" i="155"/>
  <c r="O33" i="155" s="1"/>
  <c r="R33" i="155" s="1"/>
  <c r="U33" i="155" s="1"/>
  <c r="X33" i="155" s="1"/>
  <c r="AA33" i="155" s="1"/>
  <c r="AD33" i="155" s="1"/>
  <c r="AG33" i="155" s="1"/>
  <c r="AJ33" i="155" s="1"/>
  <c r="AM33" i="155" s="1"/>
  <c r="AP33" i="155" s="1"/>
  <c r="AS33" i="155" s="1"/>
  <c r="AV33" i="155" s="1"/>
  <c r="AY33" i="155" s="1"/>
  <c r="BB33" i="155" s="1"/>
  <c r="BE33" i="155" s="1"/>
  <c r="BH33" i="155" s="1"/>
  <c r="BK33" i="155" s="1"/>
  <c r="BN33" i="155" s="1"/>
  <c r="BQ33" i="155" s="1"/>
  <c r="BT33" i="155" s="1"/>
  <c r="BW33" i="155" s="1"/>
  <c r="BZ33" i="155" s="1"/>
  <c r="CC33" i="155" s="1"/>
  <c r="CF33" i="155" s="1"/>
  <c r="CI33" i="155" s="1"/>
  <c r="CL33" i="155" s="1"/>
  <c r="CO33" i="155" s="1"/>
  <c r="CR33" i="155" s="1"/>
  <c r="CU33" i="155" s="1"/>
  <c r="CX33" i="155" s="1"/>
  <c r="DA33" i="155" s="1"/>
  <c r="DD33" i="155" s="1"/>
  <c r="DG33" i="155" s="1"/>
  <c r="DJ33" i="155" s="1"/>
  <c r="DM33" i="155" s="1"/>
  <c r="DP33" i="155" s="1"/>
  <c r="DS33" i="155" s="1"/>
  <c r="DV33" i="155" s="1"/>
  <c r="DY33" i="155" s="1"/>
  <c r="L10" i="155"/>
  <c r="O10" i="155" s="1"/>
  <c r="R10" i="155" s="1"/>
  <c r="U10" i="155" s="1"/>
  <c r="X10" i="155" s="1"/>
  <c r="AA10" i="155" s="1"/>
  <c r="AD10" i="155" s="1"/>
  <c r="AG10" i="155" s="1"/>
  <c r="AJ10" i="155" s="1"/>
  <c r="AM10" i="155" s="1"/>
  <c r="AP10" i="155" s="1"/>
  <c r="AS10" i="155" s="1"/>
  <c r="AV10" i="155" s="1"/>
  <c r="AY10" i="155" s="1"/>
  <c r="BB10" i="155" s="1"/>
  <c r="BE10" i="155" s="1"/>
  <c r="BH10" i="155" s="1"/>
  <c r="BK10" i="155" s="1"/>
  <c r="BN10" i="155" s="1"/>
  <c r="BQ10" i="155" s="1"/>
  <c r="BT10" i="155" s="1"/>
  <c r="BW10" i="155" s="1"/>
  <c r="BZ10" i="155" s="1"/>
  <c r="CC10" i="155" s="1"/>
  <c r="CF10" i="155" s="1"/>
  <c r="CI10" i="155" s="1"/>
  <c r="CL10" i="155" s="1"/>
  <c r="CO10" i="155" s="1"/>
  <c r="CR10" i="155" s="1"/>
  <c r="CU10" i="155" s="1"/>
  <c r="CX10" i="155" s="1"/>
  <c r="DA10" i="155" s="1"/>
  <c r="DD10" i="155" s="1"/>
  <c r="DG10" i="155" s="1"/>
  <c r="DJ10" i="155" s="1"/>
  <c r="DM10" i="155" s="1"/>
  <c r="DP10" i="155" s="1"/>
  <c r="DS10" i="155" s="1"/>
  <c r="DV10" i="155" s="1"/>
  <c r="DY10" i="155" s="1"/>
  <c r="J27" i="155"/>
  <c r="J26" i="155"/>
  <c r="J25" i="155"/>
  <c r="U25" i="155" s="1"/>
  <c r="J24" i="155"/>
  <c r="J23" i="155"/>
  <c r="J22" i="155"/>
  <c r="B25" i="155"/>
  <c r="B11" i="155"/>
  <c r="F28" i="154"/>
  <c r="F16" i="154"/>
  <c r="D47" i="154"/>
  <c r="J11" i="155"/>
  <c r="E84" i="154"/>
  <c r="Y3" i="155"/>
  <c r="L5" i="155" s="1"/>
  <c r="E33" i="154" s="1"/>
  <c r="AS46" i="155"/>
  <c r="BW46" i="155"/>
  <c r="DS46" i="155"/>
  <c r="CR46" i="155"/>
  <c r="DD46" i="155"/>
  <c r="MW3" i="140"/>
  <c r="MS3" i="140"/>
  <c r="P15" i="153"/>
  <c r="AR5" i="152"/>
  <c r="O46" i="155"/>
  <c r="BK3" i="140"/>
  <c r="AU3" i="140"/>
  <c r="OL3" i="140"/>
  <c r="OU3" i="140"/>
  <c r="OT3" i="140"/>
  <c r="NP3" i="140"/>
  <c r="NT3" i="140"/>
  <c r="NU3" i="140"/>
  <c r="NV3" i="140"/>
  <c r="PQ3" i="140"/>
  <c r="AO13" i="132"/>
  <c r="AN14" i="132"/>
  <c r="AV3" i="140"/>
  <c r="AN24" i="130"/>
  <c r="AN23" i="130"/>
  <c r="AN22" i="130"/>
  <c r="AN19" i="130"/>
  <c r="AN18" i="130"/>
  <c r="AN17" i="130"/>
  <c r="AN15" i="130"/>
  <c r="AN14" i="130"/>
  <c r="AN13" i="130"/>
  <c r="AN12" i="130"/>
  <c r="AN11" i="130"/>
  <c r="AN10" i="130"/>
  <c r="AN9" i="130"/>
  <c r="X247" i="110"/>
  <c r="OF3" i="140"/>
  <c r="OE3" i="140"/>
  <c r="OD3" i="140"/>
  <c r="OC3" i="140"/>
  <c r="OB3" i="140"/>
  <c r="OA3" i="140"/>
  <c r="AQ34" i="132"/>
  <c r="AP34" i="132"/>
  <c r="AO34" i="132"/>
  <c r="AN34" i="132"/>
  <c r="AQ33" i="132"/>
  <c r="AP33" i="132"/>
  <c r="AO33" i="132"/>
  <c r="AN33" i="132"/>
  <c r="AQ32" i="132"/>
  <c r="AP32" i="132"/>
  <c r="AO32" i="132"/>
  <c r="AN32" i="132"/>
  <c r="AQ31" i="132"/>
  <c r="AP31" i="132"/>
  <c r="AO31" i="132"/>
  <c r="AN31" i="132"/>
  <c r="AQ30" i="132"/>
  <c r="AP30" i="132"/>
  <c r="AO30" i="132"/>
  <c r="AN30" i="132"/>
  <c r="AQ29" i="132"/>
  <c r="AP29" i="132"/>
  <c r="AO29" i="132"/>
  <c r="AN29" i="132"/>
  <c r="AQ28" i="132"/>
  <c r="AP28" i="132"/>
  <c r="AO28" i="132"/>
  <c r="AN28" i="132"/>
  <c r="AQ27" i="132"/>
  <c r="AP27" i="132"/>
  <c r="AO27" i="132"/>
  <c r="AN27" i="132"/>
  <c r="AQ26" i="132"/>
  <c r="AP26" i="132"/>
  <c r="AO26" i="132"/>
  <c r="AN26" i="132"/>
  <c r="AQ25" i="132"/>
  <c r="AP25" i="132"/>
  <c r="AO25" i="132"/>
  <c r="AN25" i="132"/>
  <c r="AQ24" i="132"/>
  <c r="AP24" i="132"/>
  <c r="AO24" i="132"/>
  <c r="AN24" i="132"/>
  <c r="AQ23" i="132"/>
  <c r="AP23" i="132"/>
  <c r="AO23" i="132"/>
  <c r="AN23" i="132"/>
  <c r="AQ22" i="132"/>
  <c r="AP22" i="132"/>
  <c r="AO22" i="132"/>
  <c r="AN22" i="132"/>
  <c r="AQ21" i="132"/>
  <c r="AP21" i="132"/>
  <c r="AO21" i="132"/>
  <c r="AN21" i="132"/>
  <c r="AQ20" i="132"/>
  <c r="AP20" i="132"/>
  <c r="AO20" i="132"/>
  <c r="AN20" i="132"/>
  <c r="AQ19" i="132"/>
  <c r="AP19" i="132"/>
  <c r="AO19" i="132"/>
  <c r="AN19" i="132"/>
  <c r="AQ18" i="132"/>
  <c r="AP18" i="132"/>
  <c r="AO18" i="132"/>
  <c r="AN18" i="132"/>
  <c r="AQ17" i="132"/>
  <c r="AP17" i="132"/>
  <c r="AO17" i="132"/>
  <c r="AN17" i="132"/>
  <c r="AQ16" i="132"/>
  <c r="AP16" i="132"/>
  <c r="AO16" i="132"/>
  <c r="AN16" i="132"/>
  <c r="AQ15" i="132"/>
  <c r="AP15" i="132"/>
  <c r="AO15" i="132"/>
  <c r="AN15" i="132"/>
  <c r="AQ14" i="132"/>
  <c r="AP14" i="132"/>
  <c r="AO14" i="132"/>
  <c r="AQ13" i="132"/>
  <c r="AP13" i="132"/>
  <c r="AN13" i="132"/>
  <c r="C67" i="120"/>
  <c r="C66" i="120"/>
  <c r="C65" i="120"/>
  <c r="AL52" i="104"/>
  <c r="I8" i="150" l="1"/>
  <c r="P8" i="150" s="1"/>
  <c r="I9" i="150"/>
  <c r="AH22" i="150"/>
  <c r="AL24" i="104"/>
  <c r="AK3" i="104" s="1"/>
  <c r="L57" i="155"/>
  <c r="AJ371" i="106"/>
  <c r="CH3" i="140" s="1"/>
  <c r="BX3" i="140"/>
  <c r="CD3" i="140"/>
  <c r="AO9" i="150"/>
  <c r="AO10" i="150" s="1"/>
  <c r="AN25" i="130"/>
  <c r="AJ229" i="110"/>
  <c r="QL3" i="140"/>
  <c r="X259" i="110"/>
  <c r="QM3" i="140"/>
  <c r="OV3" i="140"/>
  <c r="AT3" i="140"/>
  <c r="AR3" i="140"/>
  <c r="AS3" i="140"/>
  <c r="F74" i="150"/>
  <c r="AF72" i="150" s="1"/>
  <c r="H105" i="154"/>
  <c r="H102" i="154"/>
  <c r="OI3" i="140"/>
  <c r="BE45" i="155"/>
  <c r="E41" i="154"/>
  <c r="MG3" i="140" s="1"/>
  <c r="MF3" i="140"/>
  <c r="BN46" i="155"/>
  <c r="X46" i="155"/>
  <c r="CO46" i="155"/>
  <c r="DD45" i="155"/>
  <c r="R45" i="155"/>
  <c r="BK46" i="155"/>
  <c r="DJ46" i="155"/>
  <c r="CC46" i="155"/>
  <c r="R46" i="155"/>
  <c r="O45" i="155"/>
  <c r="CU45" i="155"/>
  <c r="DV46" i="155"/>
  <c r="AM46" i="155"/>
  <c r="AV46" i="155"/>
  <c r="CX46" i="155"/>
  <c r="AY46" i="155"/>
  <c r="BQ46" i="155"/>
  <c r="CX45" i="155"/>
  <c r="AV45" i="155"/>
  <c r="AP45" i="155"/>
  <c r="CL46" i="155"/>
  <c r="DP46" i="155"/>
  <c r="AJ46" i="155"/>
  <c r="AD46" i="155"/>
  <c r="AA46" i="155"/>
  <c r="BE46" i="155"/>
  <c r="DD43" i="155"/>
  <c r="O43" i="155"/>
  <c r="R43" i="155"/>
  <c r="AR6" i="152"/>
  <c r="AR7" i="152" s="1"/>
  <c r="AR8" i="152" s="1"/>
  <c r="AR9" i="152" s="1"/>
  <c r="AR10" i="152" s="1"/>
  <c r="AR11" i="152" s="1"/>
  <c r="AR12" i="152" s="1"/>
  <c r="AR13" i="152" s="1"/>
  <c r="BB47" i="155"/>
  <c r="BQ25" i="155"/>
  <c r="AS43" i="155"/>
  <c r="CR25" i="155"/>
  <c r="R25" i="155"/>
  <c r="L38" i="155"/>
  <c r="O38" i="155" s="1"/>
  <c r="R38" i="155" s="1"/>
  <c r="U38" i="155" s="1"/>
  <c r="X38" i="155" s="1"/>
  <c r="AA38" i="155" s="1"/>
  <c r="AD38" i="155" s="1"/>
  <c r="AG38" i="155" s="1"/>
  <c r="AJ38" i="155" s="1"/>
  <c r="AM38" i="155" s="1"/>
  <c r="AP38" i="155" s="1"/>
  <c r="AS38" i="155" s="1"/>
  <c r="AV38" i="155" s="1"/>
  <c r="AY38" i="155" s="1"/>
  <c r="BB38" i="155" s="1"/>
  <c r="BE38" i="155" s="1"/>
  <c r="BH38" i="155" s="1"/>
  <c r="BK38" i="155" s="1"/>
  <c r="BN38" i="155" s="1"/>
  <c r="BQ38" i="155" s="1"/>
  <c r="BT38" i="155" s="1"/>
  <c r="BW38" i="155" s="1"/>
  <c r="BZ38" i="155" s="1"/>
  <c r="CC38" i="155" s="1"/>
  <c r="CF38" i="155" s="1"/>
  <c r="CI38" i="155" s="1"/>
  <c r="CL38" i="155" s="1"/>
  <c r="CO38" i="155" s="1"/>
  <c r="CR38" i="155" s="1"/>
  <c r="CU38" i="155" s="1"/>
  <c r="CX38" i="155" s="1"/>
  <c r="DA38" i="155" s="1"/>
  <c r="DD38" i="155" s="1"/>
  <c r="DG38" i="155" s="1"/>
  <c r="DJ38" i="155" s="1"/>
  <c r="DM38" i="155" s="1"/>
  <c r="DP38" i="155" s="1"/>
  <c r="DS38" i="155" s="1"/>
  <c r="DV38" i="155" s="1"/>
  <c r="DY38" i="155" s="1"/>
  <c r="AJ232" i="110"/>
  <c r="BK45" i="155"/>
  <c r="DG46" i="155"/>
  <c r="CF46" i="155"/>
  <c r="BZ46" i="155"/>
  <c r="DY46" i="155"/>
  <c r="AG46" i="155"/>
  <c r="L23" i="155"/>
  <c r="AS45" i="155"/>
  <c r="CU46" i="155"/>
  <c r="BT46" i="155"/>
  <c r="BB46" i="155"/>
  <c r="DM46" i="155"/>
  <c r="U46" i="155"/>
  <c r="CI46" i="155"/>
  <c r="BH46" i="155"/>
  <c r="AP46" i="155"/>
  <c r="NQ3" i="140"/>
  <c r="BW47" i="155"/>
  <c r="L34" i="155"/>
  <c r="O34" i="155" s="1"/>
  <c r="R34" i="155" s="1"/>
  <c r="U34" i="155" s="1"/>
  <c r="X34" i="155" s="1"/>
  <c r="AA34" i="155" s="1"/>
  <c r="AD34" i="155" s="1"/>
  <c r="AG34" i="155" s="1"/>
  <c r="AJ34" i="155" s="1"/>
  <c r="AM34" i="155" s="1"/>
  <c r="AP34" i="155" s="1"/>
  <c r="AS34" i="155" s="1"/>
  <c r="AV34" i="155" s="1"/>
  <c r="AY34" i="155" s="1"/>
  <c r="BB34" i="155" s="1"/>
  <c r="BE34" i="155" s="1"/>
  <c r="BH34" i="155" s="1"/>
  <c r="BK34" i="155" s="1"/>
  <c r="BN34" i="155" s="1"/>
  <c r="BQ34" i="155" s="1"/>
  <c r="BT34" i="155" s="1"/>
  <c r="BW34" i="155" s="1"/>
  <c r="BZ34" i="155" s="1"/>
  <c r="CC34" i="155" s="1"/>
  <c r="CF34" i="155" s="1"/>
  <c r="CI34" i="155" s="1"/>
  <c r="CL34" i="155" s="1"/>
  <c r="CO34" i="155" s="1"/>
  <c r="CR34" i="155" s="1"/>
  <c r="CU34" i="155" s="1"/>
  <c r="CX34" i="155" s="1"/>
  <c r="DA34" i="155" s="1"/>
  <c r="DD34" i="155" s="1"/>
  <c r="DG34" i="155" s="1"/>
  <c r="DJ34" i="155" s="1"/>
  <c r="DM34" i="155" s="1"/>
  <c r="DP34" i="155" s="1"/>
  <c r="DS34" i="155" s="1"/>
  <c r="DV34" i="155" s="1"/>
  <c r="DY34" i="155" s="1"/>
  <c r="K369" i="106"/>
  <c r="K371" i="106" s="1"/>
  <c r="AJ230" i="110"/>
  <c r="AJ231" i="110"/>
  <c r="E81" i="154"/>
  <c r="E89" i="154" s="1"/>
  <c r="E110" i="154" s="1"/>
  <c r="E146" i="154" s="1"/>
  <c r="L25" i="155"/>
  <c r="CX25" i="155"/>
  <c r="AJ25" i="155"/>
  <c r="BT43" i="155"/>
  <c r="AM43" i="155"/>
  <c r="BN25" i="155"/>
  <c r="DY25" i="155"/>
  <c r="DJ43" i="155"/>
  <c r="CI25" i="155"/>
  <c r="AA25" i="155"/>
  <c r="BW25" i="155"/>
  <c r="BN47" i="155"/>
  <c r="DJ47" i="155"/>
  <c r="CF47" i="155"/>
  <c r="CI47" i="155"/>
  <c r="AS47" i="155"/>
  <c r="CO47" i="155"/>
  <c r="DP47" i="155"/>
  <c r="CU47" i="155"/>
  <c r="AD47" i="155"/>
  <c r="BZ47" i="155"/>
  <c r="DV47" i="155"/>
  <c r="DD47" i="155"/>
  <c r="DG47" i="155"/>
  <c r="BE47" i="155"/>
  <c r="DA47" i="155"/>
  <c r="AV47" i="155"/>
  <c r="AM47" i="155"/>
  <c r="DS47" i="155"/>
  <c r="CX47" i="155"/>
  <c r="BK47" i="155"/>
  <c r="CC47" i="155"/>
  <c r="CR47" i="155"/>
  <c r="AP47" i="155"/>
  <c r="AJ47" i="155"/>
  <c r="U47" i="155"/>
  <c r="DM47" i="155"/>
  <c r="AY47" i="155"/>
  <c r="BT47" i="155"/>
  <c r="AA47" i="155"/>
  <c r="CU25" i="155"/>
  <c r="CC25" i="155"/>
  <c r="BH25" i="155"/>
  <c r="DD25" i="155"/>
  <c r="AD25" i="155"/>
  <c r="BZ25" i="155"/>
  <c r="DV25" i="155"/>
  <c r="AS25" i="155"/>
  <c r="AG25" i="155"/>
  <c r="DA25" i="155"/>
  <c r="X25" i="155"/>
  <c r="BT25" i="155"/>
  <c r="DP25" i="155"/>
  <c r="AP25" i="155"/>
  <c r="CL25" i="155"/>
  <c r="DM25" i="155"/>
  <c r="DG25" i="155"/>
  <c r="DS25" i="155"/>
  <c r="AV25" i="155"/>
  <c r="AM25" i="155"/>
  <c r="DJ25" i="155"/>
  <c r="BK25" i="155"/>
  <c r="O25" i="155"/>
  <c r="BE25" i="155"/>
  <c r="CF25" i="155"/>
  <c r="BB25" i="155"/>
  <c r="CO25" i="155"/>
  <c r="AY25" i="155"/>
  <c r="BK43" i="155"/>
  <c r="DG43" i="155"/>
  <c r="CO43" i="155"/>
  <c r="BH43" i="155"/>
  <c r="AP43" i="155"/>
  <c r="CL43" i="155"/>
  <c r="AG43" i="155"/>
  <c r="DY43" i="155"/>
  <c r="DP43" i="155"/>
  <c r="U43" i="155"/>
  <c r="AA43" i="155"/>
  <c r="BW43" i="155"/>
  <c r="DS43" i="155"/>
  <c r="DM43" i="155"/>
  <c r="CF43" i="155"/>
  <c r="BB43" i="155"/>
  <c r="CX43" i="155"/>
  <c r="BE43" i="155"/>
  <c r="AJ43" i="155"/>
  <c r="AY43" i="155"/>
  <c r="CC43" i="155"/>
  <c r="AD43" i="155"/>
  <c r="DV43" i="155"/>
  <c r="CR43" i="155"/>
  <c r="CI43" i="155"/>
  <c r="X43" i="155"/>
  <c r="BN43" i="155"/>
  <c r="BQ43" i="155"/>
  <c r="CU43" i="155"/>
  <c r="AV43" i="155"/>
  <c r="BZ43" i="155"/>
  <c r="DA43" i="155"/>
  <c r="DY47" i="155"/>
  <c r="BH47" i="155"/>
  <c r="BQ47" i="155"/>
  <c r="CL47" i="155"/>
  <c r="X45" i="155"/>
  <c r="BT45" i="155"/>
  <c r="DP45" i="155"/>
  <c r="CL45" i="155"/>
  <c r="BQ45" i="155"/>
  <c r="AA45" i="155"/>
  <c r="BW45" i="155"/>
  <c r="DS45" i="155"/>
  <c r="DV45" i="155"/>
  <c r="DA45" i="155"/>
  <c r="AJ45" i="155"/>
  <c r="CF45" i="155"/>
  <c r="AD45" i="155"/>
  <c r="DJ45" i="155"/>
  <c r="CO45" i="155"/>
  <c r="AM45" i="155"/>
  <c r="CI45" i="155"/>
  <c r="BB45" i="155"/>
  <c r="AG45" i="155"/>
  <c r="BZ45" i="155"/>
  <c r="AY45" i="155"/>
  <c r="U45" i="155"/>
  <c r="CR45" i="155"/>
  <c r="CC45" i="155"/>
  <c r="DG45" i="155"/>
  <c r="DY45" i="155"/>
  <c r="BN45" i="155"/>
  <c r="BH45" i="155"/>
  <c r="NZ3" i="140"/>
  <c r="NS3" i="140"/>
  <c r="NY3" i="140"/>
  <c r="MC3" i="140"/>
  <c r="P9" i="150"/>
  <c r="O57" i="155" l="1"/>
  <c r="C117" i="184"/>
  <c r="AJ255" i="110"/>
  <c r="AK266" i="110"/>
  <c r="AF7" i="152"/>
  <c r="AI7" i="152" s="1"/>
  <c r="QZ3" i="140" s="1"/>
  <c r="E145" i="154"/>
  <c r="F145" i="154" s="1"/>
  <c r="E147" i="154"/>
  <c r="F147" i="154" s="1"/>
  <c r="CG3" i="140"/>
  <c r="F41" i="154"/>
  <c r="I10" i="150"/>
  <c r="P10" i="150" s="1"/>
  <c r="AO11" i="150"/>
  <c r="I12" i="150" s="1"/>
  <c r="P12" i="150" s="1"/>
  <c r="I11" i="150"/>
  <c r="P11" i="150" s="1"/>
  <c r="AJ233" i="110"/>
  <c r="NM3" i="140"/>
  <c r="AJ236" i="110"/>
  <c r="AJ244" i="110"/>
  <c r="AJ240" i="110"/>
  <c r="AJ243" i="110"/>
  <c r="AJ247" i="110"/>
  <c r="AJ254" i="110"/>
  <c r="AJ257" i="110"/>
  <c r="AJ253" i="110"/>
  <c r="AJ250" i="110"/>
  <c r="AJ246" i="110"/>
  <c r="AJ252" i="110"/>
  <c r="AJ251" i="110"/>
  <c r="AJ245" i="110"/>
  <c r="AJ237" i="110"/>
  <c r="AJ256" i="110"/>
  <c r="AJ248" i="110"/>
  <c r="AJ258" i="110"/>
  <c r="AJ239" i="110"/>
  <c r="AJ249" i="110"/>
  <c r="AJ241" i="110"/>
  <c r="AJ238" i="110"/>
  <c r="AJ242" i="110"/>
  <c r="AF8" i="152"/>
  <c r="AI8" i="152" s="1"/>
  <c r="RA3" i="140" s="1"/>
  <c r="QN3" i="140"/>
  <c r="NK3" i="140"/>
  <c r="AY57" i="155"/>
  <c r="F32" i="154"/>
  <c r="BH57" i="155"/>
  <c r="AF10" i="152"/>
  <c r="AI10" i="152" s="1"/>
  <c r="RB3" i="140" s="1"/>
  <c r="L16" i="155"/>
  <c r="O16" i="155" s="1"/>
  <c r="R16" i="155" s="1"/>
  <c r="U16" i="155" s="1"/>
  <c r="X16" i="155" s="1"/>
  <c r="AA16" i="155" s="1"/>
  <c r="AD16" i="155" s="1"/>
  <c r="AG16" i="155" s="1"/>
  <c r="AJ16" i="155" s="1"/>
  <c r="AM16" i="155" s="1"/>
  <c r="AP16" i="155" s="1"/>
  <c r="AS16" i="155" s="1"/>
  <c r="AV16" i="155" s="1"/>
  <c r="AY16" i="155" s="1"/>
  <c r="BB16" i="155" s="1"/>
  <c r="BE16" i="155" s="1"/>
  <c r="BH16" i="155" s="1"/>
  <c r="BK16" i="155" s="1"/>
  <c r="BN16" i="155" s="1"/>
  <c r="BQ16" i="155" s="1"/>
  <c r="BT16" i="155" s="1"/>
  <c r="BW16" i="155" s="1"/>
  <c r="BZ16" i="155" s="1"/>
  <c r="CC16" i="155" s="1"/>
  <c r="CF16" i="155" s="1"/>
  <c r="CI16" i="155" s="1"/>
  <c r="CL16" i="155" s="1"/>
  <c r="CO16" i="155" s="1"/>
  <c r="CR16" i="155" s="1"/>
  <c r="CU16" i="155" s="1"/>
  <c r="CX16" i="155" s="1"/>
  <c r="DA16" i="155" s="1"/>
  <c r="DD16" i="155" s="1"/>
  <c r="DG16" i="155" s="1"/>
  <c r="DJ16" i="155" s="1"/>
  <c r="DM16" i="155" s="1"/>
  <c r="DP16" i="155" s="1"/>
  <c r="DS16" i="155" s="1"/>
  <c r="DV16" i="155" s="1"/>
  <c r="DY16" i="155" s="1"/>
  <c r="O9" i="155"/>
  <c r="R9" i="155" s="1"/>
  <c r="U9" i="155" s="1"/>
  <c r="X9" i="155" s="1"/>
  <c r="AA9" i="155" s="1"/>
  <c r="AD9" i="155" s="1"/>
  <c r="AG9" i="155" s="1"/>
  <c r="AJ9" i="155" s="1"/>
  <c r="AM9" i="155" s="1"/>
  <c r="AP9" i="155" s="1"/>
  <c r="AS9" i="155" s="1"/>
  <c r="AV9" i="155" s="1"/>
  <c r="AY9" i="155" s="1"/>
  <c r="BB9" i="155" s="1"/>
  <c r="BE9" i="155" s="1"/>
  <c r="BH9" i="155" s="1"/>
  <c r="BK9" i="155" s="1"/>
  <c r="BN9" i="155" s="1"/>
  <c r="BQ9" i="155" s="1"/>
  <c r="BT9" i="155" s="1"/>
  <c r="BW9" i="155" s="1"/>
  <c r="BZ9" i="155" s="1"/>
  <c r="CC9" i="155" s="1"/>
  <c r="CF9" i="155" s="1"/>
  <c r="CI9" i="155" s="1"/>
  <c r="CL9" i="155" s="1"/>
  <c r="CO9" i="155" s="1"/>
  <c r="CR9" i="155" s="1"/>
  <c r="CU9" i="155" s="1"/>
  <c r="CX9" i="155" s="1"/>
  <c r="DA9" i="155" s="1"/>
  <c r="DD9" i="155" s="1"/>
  <c r="DG9" i="155" s="1"/>
  <c r="DJ9" i="155" s="1"/>
  <c r="DM9" i="155" s="1"/>
  <c r="DP9" i="155" s="1"/>
  <c r="DS9" i="155" s="1"/>
  <c r="DV9" i="155" s="1"/>
  <c r="DY9" i="155" s="1"/>
  <c r="CR57" i="155"/>
  <c r="AF11" i="152"/>
  <c r="AI11" i="152" s="1"/>
  <c r="RC3" i="140" s="1"/>
  <c r="L15" i="155"/>
  <c r="BW57" i="155"/>
  <c r="AS57" i="155"/>
  <c r="DD57" i="155"/>
  <c r="BQ57" i="155"/>
  <c r="BZ57" i="155"/>
  <c r="BN57" i="155"/>
  <c r="CF57" i="155"/>
  <c r="DY57" i="155"/>
  <c r="AM57" i="155"/>
  <c r="AV57" i="155"/>
  <c r="DV57" i="155"/>
  <c r="AJ57" i="155"/>
  <c r="AA57" i="155"/>
  <c r="CO57" i="155"/>
  <c r="DJ57" i="155"/>
  <c r="CU57" i="155"/>
  <c r="AD57" i="155"/>
  <c r="DM57" i="155"/>
  <c r="DG57" i="155"/>
  <c r="R57" i="155"/>
  <c r="BB57" i="155"/>
  <c r="AG57" i="155"/>
  <c r="BT57" i="155"/>
  <c r="X57" i="155"/>
  <c r="BE57" i="155"/>
  <c r="U57" i="155"/>
  <c r="CL57" i="155"/>
  <c r="DA57" i="155"/>
  <c r="CI57" i="155"/>
  <c r="CC57" i="155"/>
  <c r="CX57" i="155"/>
  <c r="DS57" i="155"/>
  <c r="DP57" i="155"/>
  <c r="AP57" i="155"/>
  <c r="BK57" i="155"/>
  <c r="E34" i="154"/>
  <c r="E43" i="154" s="1"/>
  <c r="O6" i="155"/>
  <c r="AH7" i="150" l="1"/>
  <c r="AJ398" i="104" s="1"/>
  <c r="AJ399" i="104" s="1"/>
  <c r="AJ402" i="104" s="1"/>
  <c r="AK10" i="104" s="1"/>
  <c r="AK7" i="104"/>
  <c r="AK9" i="104" s="1"/>
  <c r="F43" i="154"/>
  <c r="F50" i="154" s="1"/>
  <c r="F51" i="154" s="1"/>
  <c r="F122" i="154" s="1"/>
  <c r="F139" i="154" s="1"/>
  <c r="AK267" i="110"/>
  <c r="QS3" i="140" s="1"/>
  <c r="AK273" i="110"/>
  <c r="QX3" i="140" s="1"/>
  <c r="E50" i="154"/>
  <c r="E51" i="154" s="1"/>
  <c r="E122" i="154" s="1"/>
  <c r="E139" i="154" s="1"/>
  <c r="MA3" i="140"/>
  <c r="P14" i="153"/>
  <c r="AB14" i="153" s="1"/>
  <c r="KA3" i="140"/>
  <c r="NJ3" i="140"/>
  <c r="MY3" i="140"/>
  <c r="KQ3" i="140"/>
  <c r="AJ259" i="110"/>
  <c r="QR3" i="140"/>
  <c r="NL3" i="140"/>
  <c r="AI12" i="152"/>
  <c r="O15" i="155"/>
  <c r="L26" i="155"/>
  <c r="O23" i="155"/>
  <c r="R6" i="155"/>
  <c r="L32" i="155"/>
  <c r="O32" i="155" s="1"/>
  <c r="QY3" i="140"/>
  <c r="F146" i="154"/>
  <c r="AH72" i="150" l="1"/>
  <c r="AH8" i="150" s="1"/>
  <c r="OS3" i="140"/>
  <c r="OR3" i="140"/>
  <c r="NI3" i="140"/>
  <c r="MZ3" i="140"/>
  <c r="KS3" i="140"/>
  <c r="L17" i="155"/>
  <c r="L18" i="155" s="1"/>
  <c r="MJ3" i="140"/>
  <c r="H108" i="154"/>
  <c r="RD3" i="140"/>
  <c r="O26" i="155"/>
  <c r="R15" i="155"/>
  <c r="L39" i="155"/>
  <c r="R23" i="155"/>
  <c r="U6" i="155"/>
  <c r="AJ14" i="153"/>
  <c r="AF14" i="153"/>
  <c r="R32" i="155"/>
  <c r="O39" i="155"/>
  <c r="AH10" i="150" l="1"/>
  <c r="AH9" i="150"/>
  <c r="AC13" i="150" s="1"/>
  <c r="NA3" i="140"/>
  <c r="L27" i="155"/>
  <c r="O17" i="155"/>
  <c r="O27" i="155" s="1"/>
  <c r="U15" i="155"/>
  <c r="R26" i="155"/>
  <c r="X6" i="155"/>
  <c r="U23" i="155"/>
  <c r="R39" i="155"/>
  <c r="U32" i="155"/>
  <c r="RF3" i="140" l="1"/>
  <c r="AJ16" i="153"/>
  <c r="NC3" i="140" s="1"/>
  <c r="O18" i="155"/>
  <c r="R17" i="155"/>
  <c r="R27" i="155" s="1"/>
  <c r="U26" i="155"/>
  <c r="X15" i="155"/>
  <c r="AA6" i="155"/>
  <c r="X23" i="155"/>
  <c r="U39" i="155"/>
  <c r="X32" i="155"/>
  <c r="RE3" i="140" l="1"/>
  <c r="RH3" i="140"/>
  <c r="NB3" i="140"/>
  <c r="AF34" i="153"/>
  <c r="ND3" i="140" s="1"/>
  <c r="AJ34" i="153"/>
  <c r="NE3" i="140" s="1"/>
  <c r="U17" i="155"/>
  <c r="U18" i="155" s="1"/>
  <c r="R18" i="155"/>
  <c r="O8" i="155"/>
  <c r="MB3" i="140"/>
  <c r="AA15" i="155"/>
  <c r="X26" i="155"/>
  <c r="AA23" i="155"/>
  <c r="AD6" i="155"/>
  <c r="X39" i="155"/>
  <c r="AA32" i="155"/>
  <c r="L22" i="155" l="1"/>
  <c r="LZ3" i="140"/>
  <c r="U27" i="155"/>
  <c r="X17" i="155"/>
  <c r="X18" i="155" s="1"/>
  <c r="L24" i="155"/>
  <c r="O5" i="155"/>
  <c r="O22" i="155" s="1"/>
  <c r="L12" i="155"/>
  <c r="L19" i="155" s="1"/>
  <c r="R8" i="155"/>
  <c r="O24" i="155"/>
  <c r="AA26" i="155"/>
  <c r="AD15" i="155"/>
  <c r="AD23" i="155"/>
  <c r="AG6" i="155"/>
  <c r="AD32" i="155"/>
  <c r="AA39" i="155"/>
  <c r="L28" i="155" l="1"/>
  <c r="L29" i="155" s="1"/>
  <c r="L40" i="155" s="1"/>
  <c r="L62" i="155" s="1"/>
  <c r="NG3" i="140" s="1"/>
  <c r="X27" i="155"/>
  <c r="AA17" i="155"/>
  <c r="AD17" i="155" s="1"/>
  <c r="AG17" i="155" s="1"/>
  <c r="R5" i="155"/>
  <c r="R22" i="155" s="1"/>
  <c r="O28" i="155"/>
  <c r="O12" i="155"/>
  <c r="O19" i="155" s="1"/>
  <c r="MI3" i="140"/>
  <c r="U8" i="155"/>
  <c r="R24" i="155"/>
  <c r="AG15" i="155"/>
  <c r="AD26" i="155"/>
  <c r="AG23" i="155"/>
  <c r="AJ6" i="155"/>
  <c r="AG32" i="155"/>
  <c r="AD39" i="155"/>
  <c r="L60" i="155" l="1"/>
  <c r="AD18" i="155"/>
  <c r="AD27" i="155"/>
  <c r="AA27" i="155"/>
  <c r="AA18" i="155"/>
  <c r="O29" i="155"/>
  <c r="O40" i="155" s="1"/>
  <c r="O60" i="155" s="1"/>
  <c r="O65" i="155" s="1"/>
  <c r="R28" i="155"/>
  <c r="R12" i="155"/>
  <c r="R19" i="155" s="1"/>
  <c r="U5" i="155"/>
  <c r="U22" i="155" s="1"/>
  <c r="X8" i="155"/>
  <c r="U24" i="155"/>
  <c r="KC3" i="140"/>
  <c r="AG26" i="155"/>
  <c r="AJ15" i="155"/>
  <c r="AM6" i="155"/>
  <c r="AJ23" i="155"/>
  <c r="AJ32" i="155"/>
  <c r="AG39" i="155"/>
  <c r="AG27" i="155"/>
  <c r="AJ17" i="155"/>
  <c r="AG18" i="155"/>
  <c r="L65" i="155" l="1"/>
  <c r="L66" i="155" s="1"/>
  <c r="O62" i="155"/>
  <c r="R29" i="155"/>
  <c r="R40" i="155" s="1"/>
  <c r="R62" i="155" s="1"/>
  <c r="U12" i="155"/>
  <c r="U19" i="155" s="1"/>
  <c r="U28" i="155"/>
  <c r="X5" i="155"/>
  <c r="X22" i="155" s="1"/>
  <c r="AA8" i="155"/>
  <c r="X24" i="155"/>
  <c r="AM15" i="155"/>
  <c r="AJ26" i="155"/>
  <c r="AP6" i="155"/>
  <c r="AM23" i="155"/>
  <c r="AM32" i="155"/>
  <c r="AJ39" i="155"/>
  <c r="AM17" i="155"/>
  <c r="AJ27" i="155"/>
  <c r="AJ18" i="155"/>
  <c r="R60" i="155" l="1"/>
  <c r="R65" i="155" s="1"/>
  <c r="X12" i="155"/>
  <c r="X19" i="155" s="1"/>
  <c r="AA5" i="155"/>
  <c r="AD5" i="155" s="1"/>
  <c r="AD22" i="155" s="1"/>
  <c r="X28" i="155"/>
  <c r="U29" i="155"/>
  <c r="U40" i="155" s="1"/>
  <c r="U60" i="155" s="1"/>
  <c r="U65" i="155" s="1"/>
  <c r="AA24" i="155"/>
  <c r="AD8" i="155"/>
  <c r="AM26" i="155"/>
  <c r="AP15" i="155"/>
  <c r="AS6" i="155"/>
  <c r="AP23" i="155"/>
  <c r="AP32" i="155"/>
  <c r="AM39" i="155"/>
  <c r="AM27" i="155"/>
  <c r="AP17" i="155"/>
  <c r="AM18" i="155"/>
  <c r="U62" i="155" l="1"/>
  <c r="AA12" i="155"/>
  <c r="AA19" i="155" s="1"/>
  <c r="X29" i="155"/>
  <c r="X40" i="155" s="1"/>
  <c r="X60" i="155" s="1"/>
  <c r="X65" i="155" s="1"/>
  <c r="AA22" i="155"/>
  <c r="AA28" i="155" s="1"/>
  <c r="AD12" i="155"/>
  <c r="AD19" i="155" s="1"/>
  <c r="AG5" i="155"/>
  <c r="AG22" i="155" s="1"/>
  <c r="AG8" i="155"/>
  <c r="AD24" i="155"/>
  <c r="AD28" i="155" s="1"/>
  <c r="AP26" i="155"/>
  <c r="AS15" i="155"/>
  <c r="AV6" i="155"/>
  <c r="AS23" i="155"/>
  <c r="AP39" i="155"/>
  <c r="AS32" i="155"/>
  <c r="AS17" i="155"/>
  <c r="AP27" i="155"/>
  <c r="AP18" i="155"/>
  <c r="X62" i="155" l="1"/>
  <c r="AA29" i="155"/>
  <c r="AA40" i="155" s="1"/>
  <c r="AA60" i="155" s="1"/>
  <c r="AA65" i="155" s="1"/>
  <c r="AD29" i="155"/>
  <c r="AD40" i="155" s="1"/>
  <c r="AD60" i="155" s="1"/>
  <c r="AD65" i="155" s="1"/>
  <c r="AJ5" i="155"/>
  <c r="AJ22" i="155" s="1"/>
  <c r="AG12" i="155"/>
  <c r="AG19" i="155" s="1"/>
  <c r="AJ8" i="155"/>
  <c r="AG24" i="155"/>
  <c r="AG28" i="155" s="1"/>
  <c r="AS26" i="155"/>
  <c r="AV15" i="155"/>
  <c r="AV23" i="155"/>
  <c r="AY6" i="155"/>
  <c r="AV32" i="155"/>
  <c r="AS39" i="155"/>
  <c r="AV17" i="155"/>
  <c r="AS27" i="155"/>
  <c r="AS18" i="155"/>
  <c r="AA62" i="155" l="1"/>
  <c r="AD62" i="155"/>
  <c r="AM5" i="155"/>
  <c r="AM22" i="155" s="1"/>
  <c r="AJ12" i="155"/>
  <c r="AJ19" i="155" s="1"/>
  <c r="AG29" i="155"/>
  <c r="AG40" i="155" s="1"/>
  <c r="AG60" i="155" s="1"/>
  <c r="AG65" i="155" s="1"/>
  <c r="AM8" i="155"/>
  <c r="AJ24" i="155"/>
  <c r="AJ28" i="155" s="1"/>
  <c r="AY15" i="155"/>
  <c r="AV26" i="155"/>
  <c r="AY23" i="155"/>
  <c r="BB6" i="155"/>
  <c r="AY32" i="155"/>
  <c r="AV39" i="155"/>
  <c r="AV27" i="155"/>
  <c r="AY17" i="155"/>
  <c r="AV18" i="155"/>
  <c r="AG62" i="155" l="1"/>
  <c r="AM12" i="155"/>
  <c r="AM19" i="155" s="1"/>
  <c r="AP5" i="155"/>
  <c r="AS5" i="155" s="1"/>
  <c r="AS22" i="155" s="1"/>
  <c r="AJ29" i="155"/>
  <c r="AJ40" i="155" s="1"/>
  <c r="AJ62" i="155" s="1"/>
  <c r="AM24" i="155"/>
  <c r="AM28" i="155" s="1"/>
  <c r="AP8" i="155"/>
  <c r="AY26" i="155"/>
  <c r="BB15" i="155"/>
  <c r="BB23" i="155"/>
  <c r="BE6" i="155"/>
  <c r="BB32" i="155"/>
  <c r="AY39" i="155"/>
  <c r="BB17" i="155"/>
  <c r="AY27" i="155"/>
  <c r="AY18" i="155"/>
  <c r="AP12" i="155" l="1"/>
  <c r="AP19" i="155" s="1"/>
  <c r="AV5" i="155"/>
  <c r="AV22" i="155" s="1"/>
  <c r="AM29" i="155"/>
  <c r="AM40" i="155" s="1"/>
  <c r="AM60" i="155" s="1"/>
  <c r="AM65" i="155" s="1"/>
  <c r="AP22" i="155"/>
  <c r="AJ60" i="155"/>
  <c r="AJ65" i="155" s="1"/>
  <c r="AP24" i="155"/>
  <c r="AS8" i="155"/>
  <c r="AS12" i="155" s="1"/>
  <c r="AS19" i="155" s="1"/>
  <c r="BE15" i="155"/>
  <c r="BB26" i="155"/>
  <c r="BE23" i="155"/>
  <c r="BH6" i="155"/>
  <c r="BB39" i="155"/>
  <c r="BE32" i="155"/>
  <c r="BB27" i="155"/>
  <c r="BE17" i="155"/>
  <c r="BB18" i="155"/>
  <c r="AM62" i="155" l="1"/>
  <c r="AY5" i="155"/>
  <c r="AY22" i="155" s="1"/>
  <c r="AP28" i="155"/>
  <c r="AP29" i="155" s="1"/>
  <c r="AP40" i="155" s="1"/>
  <c r="AP60" i="155" s="1"/>
  <c r="AP65" i="155" s="1"/>
  <c r="AV8" i="155"/>
  <c r="AV12" i="155" s="1"/>
  <c r="AV19" i="155" s="1"/>
  <c r="AS24" i="155"/>
  <c r="AS28" i="155" s="1"/>
  <c r="AS29" i="155" s="1"/>
  <c r="AS40" i="155" s="1"/>
  <c r="AS60" i="155" s="1"/>
  <c r="AS65" i="155" s="1"/>
  <c r="BH15" i="155"/>
  <c r="BE26" i="155"/>
  <c r="BK6" i="155"/>
  <c r="BH23" i="155"/>
  <c r="BH32" i="155"/>
  <c r="BE39" i="155"/>
  <c r="BH17" i="155"/>
  <c r="BE27" i="155"/>
  <c r="BE18" i="155"/>
  <c r="AP62" i="155" l="1"/>
  <c r="BB5" i="155"/>
  <c r="BB22" i="155" s="1"/>
  <c r="AS62" i="155"/>
  <c r="AV24" i="155"/>
  <c r="AV28" i="155" s="1"/>
  <c r="AV29" i="155" s="1"/>
  <c r="AV40" i="155" s="1"/>
  <c r="AY8" i="155"/>
  <c r="AY12" i="155" s="1"/>
  <c r="AY19" i="155" s="1"/>
  <c r="BK15" i="155"/>
  <c r="BH26" i="155"/>
  <c r="BK23" i="155"/>
  <c r="BN6" i="155"/>
  <c r="BK32" i="155"/>
  <c r="BH39" i="155"/>
  <c r="BH27" i="155"/>
  <c r="BK17" i="155"/>
  <c r="BH18" i="155"/>
  <c r="BE5" i="155" l="1"/>
  <c r="BH5" i="155" s="1"/>
  <c r="AV60" i="155"/>
  <c r="AV65" i="155" s="1"/>
  <c r="AV62" i="155"/>
  <c r="BB8" i="155"/>
  <c r="BB12" i="155" s="1"/>
  <c r="BB19" i="155" s="1"/>
  <c r="AY24" i="155"/>
  <c r="AY28" i="155" s="1"/>
  <c r="AY29" i="155" s="1"/>
  <c r="AY40" i="155" s="1"/>
  <c r="AY60" i="155" s="1"/>
  <c r="AY65" i="155" s="1"/>
  <c r="BK26" i="155"/>
  <c r="BN15" i="155"/>
  <c r="BQ6" i="155"/>
  <c r="BN23" i="155"/>
  <c r="BN32" i="155"/>
  <c r="BK39" i="155"/>
  <c r="BN17" i="155"/>
  <c r="BK27" i="155"/>
  <c r="BK18" i="155"/>
  <c r="BE22" i="155" l="1"/>
  <c r="AY62" i="155"/>
  <c r="BB24" i="155"/>
  <c r="BB28" i="155" s="1"/>
  <c r="BB29" i="155" s="1"/>
  <c r="BB40" i="155" s="1"/>
  <c r="BE8" i="155"/>
  <c r="BE12" i="155" s="1"/>
  <c r="BE19" i="155" s="1"/>
  <c r="BQ15" i="155"/>
  <c r="BN26" i="155"/>
  <c r="BT6" i="155"/>
  <c r="BQ23" i="155"/>
  <c r="BN39" i="155"/>
  <c r="BQ32" i="155"/>
  <c r="BQ17" i="155"/>
  <c r="BN27" i="155"/>
  <c r="BN18" i="155"/>
  <c r="BK5" i="155"/>
  <c r="BH22" i="155"/>
  <c r="BB60" i="155" l="1"/>
  <c r="BB65" i="155" s="1"/>
  <c r="BB62" i="155"/>
  <c r="BH8" i="155"/>
  <c r="BH12" i="155" s="1"/>
  <c r="BH19" i="155" s="1"/>
  <c r="BE24" i="155"/>
  <c r="BE28" i="155" s="1"/>
  <c r="BE29" i="155" s="1"/>
  <c r="BE40" i="155" s="1"/>
  <c r="BE62" i="155" s="1"/>
  <c r="BT15" i="155"/>
  <c r="BQ26" i="155"/>
  <c r="BW6" i="155"/>
  <c r="BT23" i="155"/>
  <c r="BQ39" i="155"/>
  <c r="BT32" i="155"/>
  <c r="BT17" i="155"/>
  <c r="BQ27" i="155"/>
  <c r="BQ18" i="155"/>
  <c r="BK22" i="155"/>
  <c r="BN5" i="155"/>
  <c r="BE60" i="155" l="1"/>
  <c r="BE65" i="155" s="1"/>
  <c r="BH24" i="155"/>
  <c r="BH28" i="155" s="1"/>
  <c r="BH29" i="155" s="1"/>
  <c r="BH40" i="155" s="1"/>
  <c r="BK8" i="155"/>
  <c r="BK12" i="155" s="1"/>
  <c r="BK19" i="155" s="1"/>
  <c r="BW15" i="155"/>
  <c r="BT26" i="155"/>
  <c r="BZ6" i="155"/>
  <c r="BW23" i="155"/>
  <c r="BT39" i="155"/>
  <c r="BW32" i="155"/>
  <c r="BW17" i="155"/>
  <c r="BT27" i="155"/>
  <c r="BT18" i="155"/>
  <c r="BQ5" i="155"/>
  <c r="BN22" i="155"/>
  <c r="BH60" i="155" l="1"/>
  <c r="BH65" i="155" s="1"/>
  <c r="BH62" i="155"/>
  <c r="BN8" i="155"/>
  <c r="BN12" i="155" s="1"/>
  <c r="BN19" i="155" s="1"/>
  <c r="BK24" i="155"/>
  <c r="BK28" i="155" s="1"/>
  <c r="BK29" i="155" s="1"/>
  <c r="BK40" i="155" s="1"/>
  <c r="BK62" i="155" s="1"/>
  <c r="BW26" i="155"/>
  <c r="BZ15" i="155"/>
  <c r="BZ23" i="155"/>
  <c r="CC6" i="155"/>
  <c r="BW39" i="155"/>
  <c r="BZ32" i="155"/>
  <c r="BZ17" i="155"/>
  <c r="BW27" i="155"/>
  <c r="BW18" i="155"/>
  <c r="BQ22" i="155"/>
  <c r="BT5" i="155"/>
  <c r="BK60" i="155" l="1"/>
  <c r="BK65" i="155" s="1"/>
  <c r="BN24" i="155"/>
  <c r="BN28" i="155" s="1"/>
  <c r="BN29" i="155" s="1"/>
  <c r="BN40" i="155" s="1"/>
  <c r="BN62" i="155" s="1"/>
  <c r="BQ8" i="155"/>
  <c r="BQ12" i="155" s="1"/>
  <c r="BQ19" i="155" s="1"/>
  <c r="BZ26" i="155"/>
  <c r="CC15" i="155"/>
  <c r="CC23" i="155"/>
  <c r="CF6" i="155"/>
  <c r="CC32" i="155"/>
  <c r="BZ39" i="155"/>
  <c r="CC17" i="155"/>
  <c r="BZ27" i="155"/>
  <c r="BZ18" i="155"/>
  <c r="BW5" i="155"/>
  <c r="BT22" i="155"/>
  <c r="BN60" i="155" l="1"/>
  <c r="BN65" i="155" s="1"/>
  <c r="BQ24" i="155"/>
  <c r="BQ28" i="155" s="1"/>
  <c r="BQ29" i="155" s="1"/>
  <c r="BQ40" i="155" s="1"/>
  <c r="BT8" i="155"/>
  <c r="BT12" i="155" s="1"/>
  <c r="BT19" i="155" s="1"/>
  <c r="CF15" i="155"/>
  <c r="CC26" i="155"/>
  <c r="CI6" i="155"/>
  <c r="CF23" i="155"/>
  <c r="CC39" i="155"/>
  <c r="CF32" i="155"/>
  <c r="CF17" i="155"/>
  <c r="CC27" i="155"/>
  <c r="CC18" i="155"/>
  <c r="BZ5" i="155"/>
  <c r="BW22" i="155"/>
  <c r="BQ60" i="155" l="1"/>
  <c r="BQ65" i="155" s="1"/>
  <c r="BQ62" i="155"/>
  <c r="BT24" i="155"/>
  <c r="BT28" i="155" s="1"/>
  <c r="BT29" i="155" s="1"/>
  <c r="BT40" i="155" s="1"/>
  <c r="BW8" i="155"/>
  <c r="BW12" i="155" s="1"/>
  <c r="BW19" i="155" s="1"/>
  <c r="CI15" i="155"/>
  <c r="CF26" i="155"/>
  <c r="CL6" i="155"/>
  <c r="CI23" i="155"/>
  <c r="CF39" i="155"/>
  <c r="CI32" i="155"/>
  <c r="CI17" i="155"/>
  <c r="CF27" i="155"/>
  <c r="CF18" i="155"/>
  <c r="BZ22" i="155"/>
  <c r="CC5" i="155"/>
  <c r="BT62" i="155" l="1"/>
  <c r="BT60" i="155"/>
  <c r="BT65" i="155" s="1"/>
  <c r="BW24" i="155"/>
  <c r="BW28" i="155" s="1"/>
  <c r="BW29" i="155" s="1"/>
  <c r="BW40" i="155" s="1"/>
  <c r="BW60" i="155" s="1"/>
  <c r="BW65" i="155" s="1"/>
  <c r="BZ8" i="155"/>
  <c r="BZ12" i="155" s="1"/>
  <c r="BZ19" i="155" s="1"/>
  <c r="CI26" i="155"/>
  <c r="CL15" i="155"/>
  <c r="CL23" i="155"/>
  <c r="CO6" i="155"/>
  <c r="CI39" i="155"/>
  <c r="CL32" i="155"/>
  <c r="CI27" i="155"/>
  <c r="CL17" i="155"/>
  <c r="CI18" i="155"/>
  <c r="CF5" i="155"/>
  <c r="CC22" i="155"/>
  <c r="BW62" i="155" l="1"/>
  <c r="CC8" i="155"/>
  <c r="CC12" i="155" s="1"/>
  <c r="CC19" i="155" s="1"/>
  <c r="BZ24" i="155"/>
  <c r="BZ28" i="155" s="1"/>
  <c r="BZ29" i="155" s="1"/>
  <c r="BZ40" i="155" s="1"/>
  <c r="CL26" i="155"/>
  <c r="CO15" i="155"/>
  <c r="CR6" i="155"/>
  <c r="CO23" i="155"/>
  <c r="CL39" i="155"/>
  <c r="CO32" i="155"/>
  <c r="CO17" i="155"/>
  <c r="CL27" i="155"/>
  <c r="CL18" i="155"/>
  <c r="CI5" i="155"/>
  <c r="CF22" i="155"/>
  <c r="BZ60" i="155" l="1"/>
  <c r="BZ65" i="155" s="1"/>
  <c r="BZ62" i="155"/>
  <c r="CC24" i="155"/>
  <c r="CC28" i="155" s="1"/>
  <c r="CC29" i="155" s="1"/>
  <c r="CC40" i="155" s="1"/>
  <c r="CC60" i="155" s="1"/>
  <c r="CC65" i="155" s="1"/>
  <c r="CF8" i="155"/>
  <c r="CF12" i="155" s="1"/>
  <c r="CF19" i="155" s="1"/>
  <c r="CR15" i="155"/>
  <c r="CO26" i="155"/>
  <c r="CR23" i="155"/>
  <c r="CU6" i="155"/>
  <c r="CO39" i="155"/>
  <c r="CR32" i="155"/>
  <c r="CR17" i="155"/>
  <c r="CO27" i="155"/>
  <c r="CO18" i="155"/>
  <c r="CI22" i="155"/>
  <c r="CL5" i="155"/>
  <c r="CC62" i="155" l="1"/>
  <c r="CF24" i="155"/>
  <c r="CF28" i="155" s="1"/>
  <c r="CF29" i="155" s="1"/>
  <c r="CF40" i="155" s="1"/>
  <c r="CF60" i="155" s="1"/>
  <c r="CF65" i="155" s="1"/>
  <c r="CI8" i="155"/>
  <c r="CI12" i="155" s="1"/>
  <c r="CI19" i="155" s="1"/>
  <c r="CU15" i="155"/>
  <c r="CR26" i="155"/>
  <c r="CU23" i="155"/>
  <c r="CX6" i="155"/>
  <c r="CU32" i="155"/>
  <c r="CR39" i="155"/>
  <c r="CU17" i="155"/>
  <c r="CR27" i="155"/>
  <c r="CR18" i="155"/>
  <c r="CO5" i="155"/>
  <c r="CL22" i="155"/>
  <c r="CF62" i="155" l="1"/>
  <c r="CL8" i="155"/>
  <c r="CL12" i="155" s="1"/>
  <c r="CL19" i="155" s="1"/>
  <c r="CI24" i="155"/>
  <c r="CI28" i="155" s="1"/>
  <c r="CI29" i="155" s="1"/>
  <c r="CI40" i="155" s="1"/>
  <c r="CU26" i="155"/>
  <c r="CX15" i="155"/>
  <c r="DA6" i="155"/>
  <c r="CX23" i="155"/>
  <c r="CU39" i="155"/>
  <c r="CX32" i="155"/>
  <c r="CU27" i="155"/>
  <c r="CX17" i="155"/>
  <c r="CU18" i="155"/>
  <c r="CO22" i="155"/>
  <c r="CR5" i="155"/>
  <c r="CI60" i="155" l="1"/>
  <c r="CI65" i="155" s="1"/>
  <c r="CI62" i="155"/>
  <c r="CO8" i="155"/>
  <c r="CO12" i="155" s="1"/>
  <c r="CO19" i="155" s="1"/>
  <c r="CL24" i="155"/>
  <c r="CL28" i="155" s="1"/>
  <c r="CL29" i="155" s="1"/>
  <c r="CL40" i="155" s="1"/>
  <c r="CL60" i="155" s="1"/>
  <c r="CL65" i="155" s="1"/>
  <c r="DA15" i="155"/>
  <c r="CX26" i="155"/>
  <c r="DA23" i="155"/>
  <c r="DD6" i="155"/>
  <c r="DA32" i="155"/>
  <c r="CX39" i="155"/>
  <c r="CX27" i="155"/>
  <c r="DA17" i="155"/>
  <c r="CX18" i="155"/>
  <c r="CR22" i="155"/>
  <c r="CU5" i="155"/>
  <c r="CL62" i="155" l="1"/>
  <c r="CO24" i="155"/>
  <c r="CO28" i="155" s="1"/>
  <c r="CO29" i="155" s="1"/>
  <c r="CO40" i="155" s="1"/>
  <c r="CO60" i="155" s="1"/>
  <c r="CO65" i="155" s="1"/>
  <c r="CR8" i="155"/>
  <c r="CR12" i="155" s="1"/>
  <c r="CR19" i="155" s="1"/>
  <c r="DD15" i="155"/>
  <c r="DA26" i="155"/>
  <c r="DD23" i="155"/>
  <c r="DG6" i="155"/>
  <c r="DA39" i="155"/>
  <c r="DD32" i="155"/>
  <c r="DD17" i="155"/>
  <c r="DA27" i="155"/>
  <c r="DA18" i="155"/>
  <c r="CU22" i="155"/>
  <c r="CX5" i="155"/>
  <c r="CO62" i="155" l="1"/>
  <c r="CR24" i="155"/>
  <c r="CR28" i="155" s="1"/>
  <c r="CR29" i="155" s="1"/>
  <c r="CR40" i="155" s="1"/>
  <c r="CR60" i="155" s="1"/>
  <c r="CR65" i="155" s="1"/>
  <c r="CU8" i="155"/>
  <c r="CU12" i="155" s="1"/>
  <c r="CU19" i="155" s="1"/>
  <c r="DG15" i="155"/>
  <c r="DD26" i="155"/>
  <c r="DJ6" i="155"/>
  <c r="DG23" i="155"/>
  <c r="DD39" i="155"/>
  <c r="DG32" i="155"/>
  <c r="DG17" i="155"/>
  <c r="DD27" i="155"/>
  <c r="DD18" i="155"/>
  <c r="DA5" i="155"/>
  <c r="CX22" i="155"/>
  <c r="CR62" i="155" l="1"/>
  <c r="CU24" i="155"/>
  <c r="CU28" i="155" s="1"/>
  <c r="CU29" i="155" s="1"/>
  <c r="CU40" i="155" s="1"/>
  <c r="CX8" i="155"/>
  <c r="CX12" i="155" s="1"/>
  <c r="CX19" i="155" s="1"/>
  <c r="DG26" i="155"/>
  <c r="DJ15" i="155"/>
  <c r="DJ23" i="155"/>
  <c r="DM6" i="155"/>
  <c r="DJ32" i="155"/>
  <c r="DG39" i="155"/>
  <c r="DG27" i="155"/>
  <c r="DJ17" i="155"/>
  <c r="DG18" i="155"/>
  <c r="DD5" i="155"/>
  <c r="DA22" i="155"/>
  <c r="CU60" i="155" l="1"/>
  <c r="CU65" i="155" s="1"/>
  <c r="CU62" i="155"/>
  <c r="DA8" i="155"/>
  <c r="DA12" i="155" s="1"/>
  <c r="DA19" i="155" s="1"/>
  <c r="CX24" i="155"/>
  <c r="CX28" i="155" s="1"/>
  <c r="CX29" i="155" s="1"/>
  <c r="CX40" i="155" s="1"/>
  <c r="DJ26" i="155"/>
  <c r="DM15" i="155"/>
  <c r="DP6" i="155"/>
  <c r="DM23" i="155"/>
  <c r="DJ39" i="155"/>
  <c r="DM32" i="155"/>
  <c r="DM17" i="155"/>
  <c r="DJ27" i="155"/>
  <c r="DJ18" i="155"/>
  <c r="DD22" i="155"/>
  <c r="DG5" i="155"/>
  <c r="CX60" i="155" l="1"/>
  <c r="CX65" i="155" s="1"/>
  <c r="CX62" i="155"/>
  <c r="DA24" i="155"/>
  <c r="DA28" i="155" s="1"/>
  <c r="DA29" i="155" s="1"/>
  <c r="DA40" i="155" s="1"/>
  <c r="DA60" i="155" s="1"/>
  <c r="DA65" i="155" s="1"/>
  <c r="DD8" i="155"/>
  <c r="DD12" i="155" s="1"/>
  <c r="DD19" i="155" s="1"/>
  <c r="DP15" i="155"/>
  <c r="DM26" i="155"/>
  <c r="DS6" i="155"/>
  <c r="DP23" i="155"/>
  <c r="DP32" i="155"/>
  <c r="DM39" i="155"/>
  <c r="DM27" i="155"/>
  <c r="DP17" i="155"/>
  <c r="DM18" i="155"/>
  <c r="DG22" i="155"/>
  <c r="DJ5" i="155"/>
  <c r="DA62" i="155" l="1"/>
  <c r="DD24" i="155"/>
  <c r="DD28" i="155" s="1"/>
  <c r="DD29" i="155" s="1"/>
  <c r="DD40" i="155" s="1"/>
  <c r="DD60" i="155" s="1"/>
  <c r="DD65" i="155" s="1"/>
  <c r="DG8" i="155"/>
  <c r="DG12" i="155" s="1"/>
  <c r="DG19" i="155" s="1"/>
  <c r="DS15" i="155"/>
  <c r="DP26" i="155"/>
  <c r="DS23" i="155"/>
  <c r="DV6" i="155"/>
  <c r="DP39" i="155"/>
  <c r="DS32" i="155"/>
  <c r="DS17" i="155"/>
  <c r="DP27" i="155"/>
  <c r="DP18" i="155"/>
  <c r="DJ22" i="155"/>
  <c r="DM5" i="155"/>
  <c r="DD62" i="155" l="1"/>
  <c r="DG24" i="155"/>
  <c r="DG28" i="155" s="1"/>
  <c r="DG29" i="155" s="1"/>
  <c r="DG40" i="155" s="1"/>
  <c r="DG62" i="155" s="1"/>
  <c r="DJ8" i="155"/>
  <c r="DJ12" i="155" s="1"/>
  <c r="DJ19" i="155" s="1"/>
  <c r="DS26" i="155"/>
  <c r="DV15" i="155"/>
  <c r="DV23" i="155"/>
  <c r="DY6" i="155"/>
  <c r="DY23" i="155" s="1"/>
  <c r="DV32" i="155"/>
  <c r="DS39" i="155"/>
  <c r="DS27" i="155"/>
  <c r="DV17" i="155"/>
  <c r="DS18" i="155"/>
  <c r="DP5" i="155"/>
  <c r="DM22" i="155"/>
  <c r="DG60" i="155" l="1"/>
  <c r="DG65" i="155" s="1"/>
  <c r="DM8" i="155"/>
  <c r="DM12" i="155" s="1"/>
  <c r="DM19" i="155" s="1"/>
  <c r="DJ24" i="155"/>
  <c r="DJ28" i="155" s="1"/>
  <c r="DJ29" i="155" s="1"/>
  <c r="DJ40" i="155" s="1"/>
  <c r="DV26" i="155"/>
  <c r="DY15" i="155"/>
  <c r="DY26" i="155" s="1"/>
  <c r="DY32" i="155"/>
  <c r="DY39" i="155" s="1"/>
  <c r="DV39" i="155"/>
  <c r="DV27" i="155"/>
  <c r="DY17" i="155"/>
  <c r="DV18" i="155"/>
  <c r="DP22" i="155"/>
  <c r="DS5" i="155"/>
  <c r="DJ60" i="155" l="1"/>
  <c r="DJ65" i="155" s="1"/>
  <c r="DJ62" i="155"/>
  <c r="DP8" i="155"/>
  <c r="DP12" i="155" s="1"/>
  <c r="DP19" i="155" s="1"/>
  <c r="DM24" i="155"/>
  <c r="DM28" i="155" s="1"/>
  <c r="DM29" i="155" s="1"/>
  <c r="DM40" i="155" s="1"/>
  <c r="DM62" i="155" s="1"/>
  <c r="DY27" i="155"/>
  <c r="DY18" i="155"/>
  <c r="DV5" i="155"/>
  <c r="DS22" i="155"/>
  <c r="DM60" i="155" l="1"/>
  <c r="DM65" i="155" s="1"/>
  <c r="DP24" i="155"/>
  <c r="DP28" i="155" s="1"/>
  <c r="DP29" i="155" s="1"/>
  <c r="DP40" i="155" s="1"/>
  <c r="DP60" i="155" s="1"/>
  <c r="DP65" i="155" s="1"/>
  <c r="DS8" i="155"/>
  <c r="DS12" i="155" s="1"/>
  <c r="DS19" i="155" s="1"/>
  <c r="DV22" i="155"/>
  <c r="DY5" i="155"/>
  <c r="DP62" i="155" l="1"/>
  <c r="DV8" i="155"/>
  <c r="DV12" i="155" s="1"/>
  <c r="DV19" i="155" s="1"/>
  <c r="DS24" i="155"/>
  <c r="DS28" i="155" s="1"/>
  <c r="DS29" i="155" s="1"/>
  <c r="DS40" i="155" s="1"/>
  <c r="DY22" i="155"/>
  <c r="DS60" i="155" l="1"/>
  <c r="DS65" i="155" s="1"/>
  <c r="DS62" i="155"/>
  <c r="DV24" i="155"/>
  <c r="DV28" i="155" s="1"/>
  <c r="DV29" i="155" s="1"/>
  <c r="DV40" i="155" s="1"/>
  <c r="DY8" i="155"/>
  <c r="DV60" i="155" l="1"/>
  <c r="DV65" i="155" s="1"/>
  <c r="DV62" i="155"/>
  <c r="DY24" i="155"/>
  <c r="DY28" i="155" s="1"/>
  <c r="DY12" i="155"/>
  <c r="DY19" i="155" s="1"/>
  <c r="DY29" i="155" l="1"/>
  <c r="DY40" i="155" s="1"/>
  <c r="DY60" i="155" s="1"/>
  <c r="DY65" i="155" s="1"/>
  <c r="DY62" i="155" l="1"/>
  <c r="KP3" i="140" l="1"/>
  <c r="L67" i="155" l="1"/>
  <c r="L69" i="155" s="1"/>
  <c r="L75" i="155" l="1"/>
  <c r="KU3" i="140" l="1"/>
  <c r="L70" i="155"/>
  <c r="L73" i="155"/>
  <c r="L72" i="155"/>
  <c r="L68" i="155"/>
  <c r="L71" i="155"/>
  <c r="O66" i="155"/>
  <c r="O67" i="155" s="1"/>
  <c r="B3" i="140" l="1"/>
  <c r="O72" i="155"/>
  <c r="O70" i="155"/>
  <c r="O73" i="155"/>
  <c r="O69" i="155"/>
  <c r="O68" i="155"/>
  <c r="O71" i="155"/>
  <c r="O75" i="155"/>
  <c r="R66" i="155" l="1"/>
  <c r="R67" i="155" s="1"/>
  <c r="R70" i="155" l="1"/>
  <c r="R71" i="155"/>
  <c r="R68" i="155"/>
  <c r="R73" i="155"/>
  <c r="R72" i="155"/>
  <c r="R69" i="155"/>
  <c r="R75" i="155"/>
  <c r="OH3" i="140"/>
  <c r="C64" i="120"/>
  <c r="U66" i="155" l="1"/>
  <c r="U67" i="155" s="1"/>
  <c r="U75" i="155" l="1"/>
  <c r="X66" i="155" s="1"/>
  <c r="U72" i="155"/>
  <c r="U68" i="155"/>
  <c r="U70" i="155"/>
  <c r="U73" i="155"/>
  <c r="U71" i="155"/>
  <c r="U69" i="155"/>
  <c r="OG3" i="140" l="1"/>
  <c r="X67" i="155"/>
  <c r="X68" i="155" s="1"/>
  <c r="X75" i="155"/>
  <c r="AA66" i="155" s="1"/>
  <c r="AA67" i="155" s="1"/>
  <c r="X72" i="155" l="1"/>
  <c r="X71" i="155"/>
  <c r="X69" i="155"/>
  <c r="X70" i="155"/>
  <c r="X73" i="155"/>
  <c r="AA75" i="155"/>
  <c r="AD66" i="155" s="1"/>
  <c r="AD67" i="155" s="1"/>
  <c r="AA69" i="155"/>
  <c r="AA70" i="155"/>
  <c r="AA68" i="155"/>
  <c r="AA72" i="155"/>
  <c r="AA73" i="155"/>
  <c r="AA71" i="155"/>
  <c r="AD75" i="155" l="1"/>
  <c r="AG66" i="155" s="1"/>
  <c r="AG67" i="155" s="1"/>
  <c r="AD71" i="155"/>
  <c r="AD68" i="155"/>
  <c r="AD72" i="155"/>
  <c r="AD70" i="155"/>
  <c r="AD69" i="155"/>
  <c r="AD73" i="155"/>
  <c r="AG75" i="155" l="1"/>
  <c r="AJ66" i="155" s="1"/>
  <c r="AJ67" i="155" s="1"/>
  <c r="AG72" i="155"/>
  <c r="AG70" i="155"/>
  <c r="AG68" i="155"/>
  <c r="AG71" i="155"/>
  <c r="AG69" i="155"/>
  <c r="AG73" i="155"/>
  <c r="AJ75" i="155" l="1"/>
  <c r="AM66" i="155" s="1"/>
  <c r="AJ70" i="155"/>
  <c r="AJ68" i="155"/>
  <c r="AJ73" i="155"/>
  <c r="AJ72" i="155"/>
  <c r="AJ71" i="155"/>
  <c r="AJ69" i="155"/>
  <c r="AM67" i="155" l="1"/>
  <c r="AM71" i="155" s="1"/>
  <c r="AM75" i="155"/>
  <c r="AP66" i="155" s="1"/>
  <c r="AP67" i="155" s="1"/>
  <c r="AM72" i="155" l="1"/>
  <c r="AM73" i="155"/>
  <c r="AM70" i="155"/>
  <c r="AM68" i="155"/>
  <c r="AM69" i="155"/>
  <c r="AP75" i="155"/>
  <c r="AP69" i="155"/>
  <c r="AP71" i="155"/>
  <c r="AP73" i="155"/>
  <c r="AP68" i="155"/>
  <c r="AP70" i="155"/>
  <c r="AP72" i="155"/>
  <c r="AS66" i="155" l="1"/>
  <c r="AS67" i="155" s="1"/>
  <c r="AS68" i="155" l="1"/>
  <c r="AS73" i="155"/>
  <c r="AS69" i="155"/>
  <c r="AS71" i="155"/>
  <c r="AS70" i="155"/>
  <c r="AS72" i="155"/>
  <c r="AS75" i="155"/>
  <c r="AV66" i="155" l="1"/>
  <c r="AV67" i="155" s="1"/>
  <c r="AV69" i="155" l="1"/>
  <c r="AV72" i="155"/>
  <c r="AV73" i="155"/>
  <c r="AV70" i="155"/>
  <c r="AV68" i="155"/>
  <c r="AV71" i="155"/>
  <c r="AV75" i="155"/>
  <c r="AY66" i="155" l="1"/>
  <c r="AY67" i="155" s="1"/>
  <c r="AY71" i="155" l="1"/>
  <c r="AY73" i="155"/>
  <c r="AY68" i="155"/>
  <c r="AY70" i="155"/>
  <c r="AY72" i="155"/>
  <c r="AY69" i="155"/>
  <c r="AY75" i="155"/>
  <c r="BB66" i="155" l="1"/>
  <c r="BB67" i="155" s="1"/>
  <c r="BB69" i="155" l="1"/>
  <c r="BB72" i="155"/>
  <c r="BB73" i="155"/>
  <c r="BB71" i="155"/>
  <c r="BB70" i="155"/>
  <c r="BB68" i="155"/>
  <c r="BB75" i="155"/>
  <c r="BE66" i="155" l="1"/>
  <c r="BE67" i="155" s="1"/>
  <c r="BE75" i="155" l="1"/>
  <c r="BH66" i="155" s="1"/>
  <c r="BH67" i="155" s="1"/>
  <c r="BE73" i="155"/>
  <c r="BE71" i="155"/>
  <c r="BE70" i="155"/>
  <c r="BE72" i="155"/>
  <c r="BE68" i="155"/>
  <c r="BE69" i="155"/>
  <c r="BH75" i="155" l="1"/>
  <c r="BK66" i="155" s="1"/>
  <c r="BK67" i="155" s="1"/>
  <c r="BH73" i="155"/>
  <c r="BH70" i="155"/>
  <c r="BH72" i="155"/>
  <c r="BH68" i="155"/>
  <c r="BH69" i="155"/>
  <c r="BH71" i="155"/>
  <c r="BK75" i="155" l="1"/>
  <c r="BK72" i="155"/>
  <c r="BK73" i="155"/>
  <c r="BK70" i="155"/>
  <c r="BK68" i="155"/>
  <c r="BK69" i="155"/>
  <c r="BK71" i="155"/>
  <c r="BN66" i="155" l="1"/>
  <c r="BN67" i="155" s="1"/>
  <c r="BN68" i="155" l="1"/>
  <c r="BN73" i="155"/>
  <c r="BN70" i="155"/>
  <c r="BN69" i="155"/>
  <c r="BN72" i="155"/>
  <c r="BN71" i="155"/>
  <c r="BN75" i="155"/>
  <c r="BQ66" i="155" l="1"/>
  <c r="BQ67" i="155" s="1"/>
  <c r="BQ75" i="155" l="1"/>
  <c r="BQ72" i="155"/>
  <c r="BQ73" i="155"/>
  <c r="BQ69" i="155"/>
  <c r="BQ71" i="155"/>
  <c r="BQ68" i="155"/>
  <c r="BQ70" i="155"/>
  <c r="BT66" i="155" l="1"/>
  <c r="BT67" i="155" s="1"/>
  <c r="BT70" i="155" l="1"/>
  <c r="BT73" i="155"/>
  <c r="BT71" i="155"/>
  <c r="BT69" i="155"/>
  <c r="BT72" i="155"/>
  <c r="BT68" i="155"/>
  <c r="BT75" i="155"/>
  <c r="BW66" i="155" l="1"/>
  <c r="BW67" i="155" s="1"/>
  <c r="BW75" i="155" l="1"/>
  <c r="BZ66" i="155" s="1"/>
  <c r="BZ67" i="155" s="1"/>
  <c r="BW68" i="155"/>
  <c r="BW72" i="155"/>
  <c r="BW71" i="155"/>
  <c r="BW69" i="155"/>
  <c r="BW70" i="155"/>
  <c r="BW73" i="155"/>
  <c r="BZ75" i="155" l="1"/>
  <c r="BZ70" i="155"/>
  <c r="BZ72" i="155"/>
  <c r="BZ73" i="155"/>
  <c r="BZ68" i="155"/>
  <c r="BZ69" i="155"/>
  <c r="BZ71" i="155"/>
  <c r="CC66" i="155" l="1"/>
  <c r="CC67" i="155" s="1"/>
  <c r="CC72" i="155" l="1"/>
  <c r="CC73" i="155"/>
  <c r="CC69" i="155"/>
  <c r="CC70" i="155"/>
  <c r="CC71" i="155"/>
  <c r="CC68" i="155"/>
  <c r="CC75" i="155"/>
  <c r="CF66" i="155" l="1"/>
  <c r="CF67" i="155" s="1"/>
  <c r="CF71" i="155" l="1"/>
  <c r="CF70" i="155"/>
  <c r="CF69" i="155"/>
  <c r="CF68" i="155"/>
  <c r="CF72" i="155"/>
  <c r="CF73" i="155"/>
  <c r="CF75" i="155"/>
  <c r="CI66" i="155" l="1"/>
  <c r="CI67" i="155" s="1"/>
  <c r="CI75" i="155" l="1"/>
  <c r="CL66" i="155" s="1"/>
  <c r="CL67" i="155" s="1"/>
  <c r="CI69" i="155"/>
  <c r="CI73" i="155"/>
  <c r="CI68" i="155"/>
  <c r="CI70" i="155"/>
  <c r="CI72" i="155"/>
  <c r="CI71" i="155"/>
  <c r="CL70" i="155" l="1"/>
  <c r="CL73" i="155"/>
  <c r="CL71" i="155"/>
  <c r="CL69" i="155"/>
  <c r="CL72" i="155"/>
  <c r="CL68" i="155"/>
  <c r="CL75" i="155"/>
  <c r="CO66" i="155" l="1"/>
  <c r="CO67" i="155" s="1"/>
  <c r="CO75" i="155" l="1"/>
  <c r="CR66" i="155" s="1"/>
  <c r="CR67" i="155" s="1"/>
  <c r="CO71" i="155"/>
  <c r="CO73" i="155"/>
  <c r="CO69" i="155"/>
  <c r="CO72" i="155"/>
  <c r="CO70" i="155"/>
  <c r="CO68" i="155"/>
  <c r="CR75" i="155" l="1"/>
  <c r="CU66" i="155" s="1"/>
  <c r="CU67" i="155" s="1"/>
  <c r="CR71" i="155"/>
  <c r="CR68" i="155"/>
  <c r="CR70" i="155"/>
  <c r="CR73" i="155"/>
  <c r="CR72" i="155"/>
  <c r="CR69" i="155"/>
  <c r="CU75" i="155" l="1"/>
  <c r="CX66" i="155" s="1"/>
  <c r="CX67" i="155" s="1"/>
  <c r="CU71" i="155"/>
  <c r="CU69" i="155"/>
  <c r="CU72" i="155"/>
  <c r="CU70" i="155"/>
  <c r="CU68" i="155"/>
  <c r="CU73" i="155"/>
  <c r="CX75" i="155" l="1"/>
  <c r="DA66" i="155" s="1"/>
  <c r="DA67" i="155" s="1"/>
  <c r="CX72" i="155"/>
  <c r="CX71" i="155"/>
  <c r="CX70" i="155"/>
  <c r="CX69" i="155"/>
  <c r="CX73" i="155"/>
  <c r="CX68" i="155"/>
  <c r="DA75" i="155" l="1"/>
  <c r="DA72" i="155"/>
  <c r="DA71" i="155"/>
  <c r="DA69" i="155"/>
  <c r="DA70" i="155"/>
  <c r="DA68" i="155"/>
  <c r="DA73" i="155"/>
  <c r="DD66" i="155" l="1"/>
  <c r="DD67" i="155" s="1"/>
  <c r="DD72" i="155" l="1"/>
  <c r="DD70" i="155"/>
  <c r="DD68" i="155"/>
  <c r="DD73" i="155"/>
  <c r="DD71" i="155"/>
  <c r="DD69" i="155"/>
  <c r="DD75" i="155"/>
  <c r="DG66" i="155" l="1"/>
  <c r="DG67" i="155" s="1"/>
  <c r="DG70" i="155" l="1"/>
  <c r="DG68" i="155"/>
  <c r="DG71" i="155"/>
  <c r="DG72" i="155"/>
  <c r="DG73" i="155"/>
  <c r="DG69" i="155"/>
  <c r="DG75" i="155"/>
  <c r="DJ66" i="155" l="1"/>
  <c r="DJ67" i="155" s="1"/>
  <c r="DJ73" i="155" l="1"/>
  <c r="DJ68" i="155"/>
  <c r="DJ72" i="155"/>
  <c r="DJ70" i="155"/>
  <c r="DJ69" i="155"/>
  <c r="DJ71" i="155"/>
  <c r="DJ75" i="155"/>
  <c r="DM66" i="155" l="1"/>
  <c r="DM67" i="155" s="1"/>
  <c r="DM75" i="155" l="1"/>
  <c r="DP66" i="155" s="1"/>
  <c r="DP67" i="155" s="1"/>
  <c r="DM68" i="155"/>
  <c r="DM70" i="155"/>
  <c r="DM71" i="155"/>
  <c r="DM73" i="155"/>
  <c r="DM72" i="155"/>
  <c r="DM69" i="155"/>
  <c r="DP75" i="155" l="1"/>
  <c r="DS66" i="155" s="1"/>
  <c r="DS67" i="155" s="1"/>
  <c r="DP69" i="155"/>
  <c r="DP72" i="155"/>
  <c r="DP68" i="155"/>
  <c r="DP70" i="155"/>
  <c r="DP73" i="155"/>
  <c r="DP71" i="155"/>
  <c r="DS75" i="155" l="1"/>
  <c r="DS68" i="155"/>
  <c r="DS69" i="155"/>
  <c r="DS71" i="155"/>
  <c r="DS72" i="155"/>
  <c r="DS70" i="155"/>
  <c r="DS73" i="155"/>
  <c r="DV66" i="155" l="1"/>
  <c r="DV67" i="155" s="1"/>
  <c r="DV75" i="155" l="1"/>
  <c r="DY66" i="155" s="1"/>
  <c r="DY67" i="155" s="1"/>
  <c r="DV73" i="155"/>
  <c r="DV68" i="155"/>
  <c r="DV72" i="155"/>
  <c r="DV70" i="155"/>
  <c r="DV71" i="155"/>
  <c r="DV69" i="155"/>
  <c r="DY70" i="155" l="1"/>
  <c r="DY72" i="155"/>
  <c r="DY69" i="155"/>
  <c r="DY68" i="155"/>
  <c r="DY73" i="155"/>
  <c r="DY71" i="155"/>
  <c r="DY75" i="155"/>
  <c r="NX3" i="140"/>
  <c r="NH3" i="140" l="1"/>
  <c r="NW3" i="1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Gutierrez, Alfredo@HCD</author>
    <author>Agutierrez</author>
    <author>hcdadmin</author>
    <author>George, Ryan@HCD</author>
    <author>George Rodine</author>
    <author>eabdala</author>
    <author>rschmunk</author>
    <author>Debra Starbuck</author>
    <author>Russ Schmunk</author>
    <author>Denise Cabelera</author>
    <author>mpope</author>
  </authors>
  <commentList>
    <comment ref="L64" authorId="0" shapeId="0" xr:uid="{5A7B8F45-2745-4536-9630-C1A8DE6D33F8}">
      <text>
        <r>
          <rPr>
            <sz val="9"/>
            <color indexed="81"/>
            <rFont val="Tahoma"/>
            <family val="2"/>
          </rPr>
          <t>For the purposes of these guidelines, “culturally competent services”
means services that respect diversity in the community and respond
effectively across cultures, regardless of differences in language,
communication styles, beliefs, attitudes, and behaviors.</t>
        </r>
      </text>
    </comment>
    <comment ref="L68" authorId="0" shapeId="0" xr:uid="{D9732E40-FE55-43F6-A44A-4925E669E0D0}">
      <text>
        <r>
          <rPr>
            <sz val="9"/>
            <color indexed="81"/>
            <rFont val="Tahoma"/>
            <family val="2"/>
          </rPr>
          <t>For the purposes of these guidelines, “culturally competent services”
means services that respect diversity in the community and respond
effectively across cultures, regardless of differences in language,
communication styles, beliefs, attitudes, and behaviors.</t>
        </r>
      </text>
    </comment>
    <comment ref="B111" authorId="1" shapeId="0" xr:uid="{00000000-0006-0000-0400-000009000000}">
      <text>
        <r>
          <rPr>
            <sz val="9"/>
            <color indexed="81"/>
            <rFont val="Tahoma"/>
            <family val="2"/>
          </rPr>
          <t>Spell out complete HCD program name.</t>
        </r>
      </text>
    </comment>
    <comment ref="Z111" authorId="0" shapeId="0" xr:uid="{90AC24F1-4BD9-44C0-AD7B-7840FD0C59C8}">
      <text>
        <r>
          <rPr>
            <sz val="9"/>
            <color indexed="81"/>
            <rFont val="Tahoma"/>
            <family val="2"/>
          </rPr>
          <t>Section 7317 (b)
Substituting previously awarded Department funds is prohibited.
Substitutions based solely upon Sponsor preference or
convenience will not be permitted. Department approval
of the withdrawal is required prior to the application due date
without assurance of receiving a new award.</t>
        </r>
      </text>
    </comment>
    <comment ref="AF118" authorId="2" shapeId="0" xr:uid="{00000000-0006-0000-0400-000004000000}">
      <text>
        <r>
          <rPr>
            <sz val="9"/>
            <color indexed="81"/>
            <rFont val="Tahoma"/>
            <family val="2"/>
          </rPr>
          <t>See TCAC Staff Report or Tax
Credit Reservation letter.</t>
        </r>
      </text>
    </comment>
    <comment ref="AL118" authorId="2" shapeId="0" xr:uid="{00000000-0006-0000-0400-000005000000}">
      <text>
        <r>
          <rPr>
            <sz val="9"/>
            <color indexed="81"/>
            <rFont val="Tahoma"/>
            <family val="2"/>
          </rPr>
          <t>See TCAC Staff Report or Tax
Credit Reservation letter.</t>
        </r>
      </text>
    </comment>
    <comment ref="AF119" authorId="2" shapeId="0" xr:uid="{00000000-0006-0000-0400-000006000000}">
      <text>
        <r>
          <rPr>
            <sz val="9"/>
            <color indexed="81"/>
            <rFont val="Tahoma"/>
            <family val="2"/>
          </rPr>
          <t>See TCAC Staff Report or Tax
Credit Reservation letter.</t>
        </r>
      </text>
    </comment>
    <comment ref="AL119" authorId="2" shapeId="0" xr:uid="{00000000-0006-0000-0400-000007000000}">
      <text>
        <r>
          <rPr>
            <sz val="9"/>
            <color indexed="81"/>
            <rFont val="Tahoma"/>
            <family val="2"/>
          </rPr>
          <t>See TCAC Staff Report or Tax
Credit Reservation letter.</t>
        </r>
      </text>
    </comment>
    <comment ref="AK120" authorId="0" shapeId="0" xr:uid="{0F6EBEF3-FDD3-4AEE-B396-067BE5DD8D72}">
      <text>
        <r>
          <rPr>
            <sz val="9"/>
            <color indexed="81"/>
            <rFont val="Tahoma"/>
            <family val="2"/>
          </rPr>
          <t>Do not type date if Tax Credit
Reservation has not been awarded.</t>
        </r>
      </text>
    </comment>
    <comment ref="AL122" authorId="3" shapeId="0" xr:uid="{87B26F7F-C9C0-4AE2-8A5D-E00096A68DCE}">
      <text>
        <r>
          <rPr>
            <sz val="9"/>
            <color indexed="81"/>
            <rFont val="Tahoma"/>
            <family val="2"/>
          </rPr>
          <t>If cell is shaded red critical
threshold item was not met.</t>
        </r>
      </text>
    </comment>
    <comment ref="B124" authorId="0" shapeId="0" xr:uid="{103BCB41-A2F8-4C57-A67F-D526BEF93917}">
      <text>
        <r>
          <rPr>
            <sz val="9"/>
            <color indexed="81"/>
            <rFont val="Tahoma"/>
            <family val="2"/>
          </rPr>
          <t>The Project complies with the
restrictions on demolition as set
forth in UMR Section 8302</t>
        </r>
      </text>
    </comment>
    <comment ref="B130" authorId="1" shapeId="0" xr:uid="{00000000-0006-0000-0400-00000A000000}">
      <text>
        <r>
          <rPr>
            <sz val="9"/>
            <color indexed="81"/>
            <rFont val="Tahoma"/>
            <family val="2"/>
          </rPr>
          <t xml:space="preserve">Proposed # of residential units
</t>
        </r>
      </text>
    </comment>
    <comment ref="F130" authorId="1" shapeId="0" xr:uid="{00000000-0006-0000-0400-00000B000000}">
      <text>
        <r>
          <rPr>
            <sz val="9"/>
            <color indexed="81"/>
            <rFont val="Tahoma"/>
            <family val="2"/>
          </rPr>
          <t>Proposed # of Low Income Housing
Tax Credit Units (80% AMI or less).</t>
        </r>
      </text>
    </comment>
    <comment ref="H130" authorId="1" shapeId="0" xr:uid="{00000000-0006-0000-0400-00000C000000}">
      <text>
        <r>
          <rPr>
            <sz val="9"/>
            <color indexed="81"/>
            <rFont val="Tahoma"/>
            <family val="2"/>
          </rPr>
          <t>Land area of  developed project,
after any planned subdivision.</t>
        </r>
      </text>
    </comment>
    <comment ref="B180" authorId="0" shapeId="0" xr:uid="{F73BF511-98AF-4D79-B153-FB8DBFC15BFA}">
      <text>
        <r>
          <rPr>
            <sz val="9"/>
            <color indexed="81"/>
            <rFont val="Tahoma"/>
            <family val="2"/>
          </rPr>
          <t xml:space="preserve">MHP Section 7303 (j) Joint ventures in which Community-Based Developers,
Emerging Developers, New Community-Based Developers, Tribal Entities,
and Tribes participate and rely on an experienced Sponsor or property
management company for scoring under the experience category of
Section 7320(c) below must also meet additional requirement set forth
at Section 7303 (j).
</t>
        </r>
      </text>
    </comment>
    <comment ref="B245" authorId="0" shapeId="0" xr:uid="{12D1EE2C-7C4E-4294-8290-2AC0171DED2F}">
      <text>
        <r>
          <rPr>
            <sz val="9"/>
            <color indexed="81"/>
            <rFont val="Tahoma"/>
            <family val="2"/>
          </rPr>
          <t>At time of application, a Sponsor must have
site control of the proposed Project property,
in the name of the Sponsor or an entity
controlled by the Sponsor.</t>
        </r>
      </text>
    </comment>
    <comment ref="Q250" authorId="1" shapeId="0" xr:uid="{00000000-0006-0000-0400-00000F000000}">
      <text>
        <r>
          <rPr>
            <sz val="9"/>
            <color indexed="81"/>
            <rFont val="Tahoma"/>
            <family val="2"/>
          </rPr>
          <t xml:space="preserve">Indicate the date the site was acquired,
leased or the date you entered into a
purchase option or other agreement for
control of the site. </t>
        </r>
      </text>
    </comment>
    <comment ref="T250" authorId="1" shapeId="0" xr:uid="{00000000-0006-0000-0400-000010000000}">
      <text>
        <r>
          <rPr>
            <sz val="9"/>
            <color indexed="81"/>
            <rFont val="Tahoma"/>
            <family val="2"/>
          </rPr>
          <t>Indicate the date site control lapses,
under your current agreement.</t>
        </r>
      </text>
    </comment>
    <comment ref="W250" authorId="1" shapeId="0" xr:uid="{00000000-0006-0000-0400-000011000000}">
      <text>
        <r>
          <rPr>
            <sz val="9"/>
            <color indexed="81"/>
            <rFont val="Tahoma"/>
            <family val="2"/>
          </rPr>
          <t xml:space="preserve">e.g.  two 30-day extensions;
one 60-day extension; etc. </t>
        </r>
      </text>
    </comment>
    <comment ref="N262" authorId="4" shapeId="0" xr:uid="{00000000-0006-0000-0400-000012000000}">
      <text>
        <r>
          <rPr>
            <sz val="9"/>
            <color indexed="81"/>
            <rFont val="Tahoma"/>
            <family val="2"/>
          </rPr>
          <t>Properties on Tribal lands may also use
attorney’s opinion regarding chain of
title and current title status.</t>
        </r>
      </text>
    </comment>
    <comment ref="B266" authorId="5" shapeId="0" xr:uid="{00000000-0006-0000-0400-000013000000}">
      <text>
        <r>
          <rPr>
            <sz val="8"/>
            <color indexed="81"/>
            <rFont val="Tahoma"/>
            <family val="2"/>
          </rPr>
          <t>e.g. Vacant City Lot</t>
        </r>
      </text>
    </comment>
    <comment ref="N266" authorId="5" shapeId="0" xr:uid="{00000000-0006-0000-0400-000014000000}">
      <text>
        <r>
          <rPr>
            <sz val="8"/>
            <color indexed="81"/>
            <rFont val="Tahoma"/>
            <family val="2"/>
          </rPr>
          <t>Once the development is approved. 
E.g.. RD4 - Unlimited Residence.</t>
        </r>
      </text>
    </comment>
    <comment ref="B268" authorId="5" shapeId="0" xr:uid="{00000000-0006-0000-0400-000015000000}">
      <text>
        <r>
          <rPr>
            <sz val="8"/>
            <color indexed="81"/>
            <rFont val="Tahoma"/>
            <family val="2"/>
          </rPr>
          <t>Will the developed project be subject
to a local rent control ordinance?</t>
        </r>
      </text>
    </comment>
    <comment ref="F268" authorId="5" shapeId="0" xr:uid="{00000000-0006-0000-0400-000016000000}">
      <text>
        <r>
          <rPr>
            <sz val="8"/>
            <color indexed="81"/>
            <rFont val="Tahoma"/>
            <family val="2"/>
          </rPr>
          <t xml:space="preserve">Direct access to public road required. 
Indicate whether or not the road
maintenance is Public or Private. </t>
        </r>
      </text>
    </comment>
    <comment ref="D273" authorId="6" shapeId="0" xr:uid="{00000000-0006-0000-0400-000017000000}">
      <text>
        <r>
          <rPr>
            <sz val="8"/>
            <color indexed="81"/>
            <rFont val="Tahoma"/>
            <family val="2"/>
          </rPr>
          <t>a.k.a. Special Flood Hazard Zone</t>
        </r>
      </text>
    </comment>
    <comment ref="E285" authorId="7" shapeId="0" xr:uid="{00000000-0006-0000-0400-000018000000}">
      <text>
        <r>
          <rPr>
            <sz val="8"/>
            <color indexed="8"/>
            <rFont val="Tahoma"/>
            <family val="2"/>
          </rPr>
          <t>Only list the number of beds if rent is
charged by the bed rather than by the unit.</t>
        </r>
      </text>
    </comment>
    <comment ref="J285" authorId="7" shapeId="0" xr:uid="{A529D383-3527-4233-A525-757FFE71EC9C}">
      <text>
        <r>
          <rPr>
            <sz val="8"/>
            <color indexed="8"/>
            <rFont val="Tahoma"/>
            <family val="2"/>
          </rPr>
          <t>Only list the number of beds if rent is
charged by the bed rather than by the unit.</t>
        </r>
      </text>
    </comment>
    <comment ref="P285" authorId="7" shapeId="0" xr:uid="{9E1063C5-9138-4824-88BC-3861D12F79E3}">
      <text>
        <r>
          <rPr>
            <sz val="8"/>
            <color indexed="8"/>
            <rFont val="Tahoma"/>
            <family val="2"/>
          </rPr>
          <t>Only list the number of beds if rent is
charged by the bed rather than by the unit.</t>
        </r>
      </text>
    </comment>
    <comment ref="V285" authorId="7" shapeId="0" xr:uid="{DD604D0F-89EC-4408-922B-81BC5B9A0E7B}">
      <text>
        <r>
          <rPr>
            <sz val="8"/>
            <color indexed="8"/>
            <rFont val="Tahoma"/>
            <family val="2"/>
          </rPr>
          <t>Only list the number of beds if rent is
charged by the bed rather than by the unit.</t>
        </r>
      </text>
    </comment>
    <comment ref="Y285" authorId="8" shapeId="0" xr:uid="{00000000-0006-0000-0400-000019000000}">
      <text>
        <r>
          <rPr>
            <sz val="8"/>
            <color indexed="8"/>
            <rFont val="Tahoma"/>
            <family val="2"/>
          </rPr>
          <t>Include manager's units.</t>
        </r>
      </text>
    </comment>
    <comment ref="E286" authorId="7" shapeId="0" xr:uid="{00000000-0006-0000-0400-00001A000000}">
      <text>
        <r>
          <rPr>
            <sz val="8"/>
            <color indexed="8"/>
            <rFont val="Tahoma"/>
            <family val="2"/>
          </rPr>
          <t>Only list the number of beds if rent is
charged by the bed rather than by the unit.</t>
        </r>
      </text>
    </comment>
    <comment ref="J286" authorId="7" shapeId="0" xr:uid="{213F0628-284C-4690-A6E1-B9838F8F8EB9}">
      <text>
        <r>
          <rPr>
            <sz val="8"/>
            <color indexed="8"/>
            <rFont val="Tahoma"/>
            <family val="2"/>
          </rPr>
          <t>Only list the number of beds if rent is
charged by the bed rather than by the unit.</t>
        </r>
      </text>
    </comment>
    <comment ref="P286" authorId="7" shapeId="0" xr:uid="{88087504-A4C2-44A3-83BE-4D28B1580312}">
      <text>
        <r>
          <rPr>
            <sz val="8"/>
            <color indexed="8"/>
            <rFont val="Tahoma"/>
            <family val="2"/>
          </rPr>
          <t>Only list the number of beds if rent is
charged by the bed rather than by the unit.</t>
        </r>
      </text>
    </comment>
    <comment ref="V286" authorId="7" shapeId="0" xr:uid="{1F42392E-F8A4-4B21-A59E-8A7B9A96EE81}">
      <text>
        <r>
          <rPr>
            <sz val="8"/>
            <color indexed="8"/>
            <rFont val="Tahoma"/>
            <family val="2"/>
          </rPr>
          <t>Only list the number of beds if rent is
charged by the bed rather than by the unit.</t>
        </r>
      </text>
    </comment>
    <comment ref="Y286" authorId="8" shapeId="0" xr:uid="{00000000-0006-0000-0400-00001B000000}">
      <text>
        <r>
          <rPr>
            <sz val="8"/>
            <color indexed="8"/>
            <rFont val="Tahoma"/>
            <family val="2"/>
          </rPr>
          <t>Include manager's units.</t>
        </r>
      </text>
    </comment>
    <comment ref="AD288" authorId="1" shapeId="0" xr:uid="{00000000-0006-0000-0400-00001C000000}">
      <text>
        <r>
          <rPr>
            <sz val="9"/>
            <color indexed="16"/>
            <rFont val="Tahoma"/>
            <family val="2"/>
          </rPr>
          <t>Must be completed</t>
        </r>
        <r>
          <rPr>
            <sz val="9"/>
            <color indexed="81"/>
            <rFont val="Tahoma"/>
            <family val="2"/>
          </rPr>
          <t xml:space="preserve"> for
max loan amount to calculate.</t>
        </r>
      </text>
    </comment>
    <comment ref="AH288" authorId="0" shapeId="0" xr:uid="{72369242-FE74-402B-BCBB-24C881EA8788}">
      <text>
        <r>
          <rPr>
            <sz val="9"/>
            <color indexed="81"/>
            <rFont val="Tahoma"/>
            <family val="2"/>
          </rPr>
          <t>Populates from "Unit Mix"</t>
        </r>
      </text>
    </comment>
    <comment ref="AK288" authorId="0" shapeId="0" xr:uid="{2E73CCC8-E09D-4F42-9440-F2F45BDF78F6}">
      <text>
        <r>
          <rPr>
            <sz val="9"/>
            <color indexed="81"/>
            <rFont val="Tahoma"/>
            <family val="2"/>
          </rPr>
          <t>Populates from "Unit Mix"</t>
        </r>
      </text>
    </comment>
    <comment ref="T308" authorId="0" shapeId="0" xr:uid="{2875615B-D203-48D4-B729-675CCD292202}">
      <text>
        <r>
          <rPr>
            <sz val="9"/>
            <color indexed="81"/>
            <rFont val="Tahoma"/>
            <family val="2"/>
          </rPr>
          <t>List additional unit amenity.</t>
        </r>
      </text>
    </comment>
    <comment ref="AB308" authorId="0" shapeId="0" xr:uid="{61622147-3E18-4005-858C-6A542F658473}">
      <text>
        <r>
          <rPr>
            <sz val="9"/>
            <color indexed="81"/>
            <rFont val="Tahoma"/>
            <family val="2"/>
          </rPr>
          <t>List additional unit amenity.</t>
        </r>
      </text>
    </comment>
    <comment ref="AJ308" authorId="0" shapeId="0" xr:uid="{978AEBE2-FAE4-47D4-8F56-D9B94B3EE8DC}">
      <text>
        <r>
          <rPr>
            <sz val="9"/>
            <color indexed="81"/>
            <rFont val="Tahoma"/>
            <family val="2"/>
          </rPr>
          <t>List additional unit amenity.</t>
        </r>
      </text>
    </comment>
    <comment ref="H311" authorId="1" shapeId="0" xr:uid="{00000000-0006-0000-0400-00001E000000}">
      <text>
        <r>
          <rPr>
            <sz val="9"/>
            <color indexed="81"/>
            <rFont val="Tahoma"/>
            <family val="2"/>
          </rPr>
          <t>Number of Elevators on site.</t>
        </r>
      </text>
    </comment>
    <comment ref="Q311" authorId="1" shapeId="0" xr:uid="{00000000-0006-0000-0400-00001F000000}">
      <text>
        <r>
          <rPr>
            <sz val="9"/>
            <color indexed="81"/>
            <rFont val="Tahoma"/>
            <family val="2"/>
          </rPr>
          <t>Enter the number of laundry rooms on site.</t>
        </r>
      </text>
    </comment>
    <comment ref="Z311" authorId="1" shapeId="0" xr:uid="{00000000-0006-0000-0400-000020000000}">
      <text>
        <r>
          <rPr>
            <sz val="9"/>
            <color indexed="81"/>
            <rFont val="Tahoma"/>
            <family val="2"/>
          </rPr>
          <t>Total Number of Washers in the
community laundry facilities?</t>
        </r>
      </text>
    </comment>
    <comment ref="AI311" authorId="1" shapeId="0" xr:uid="{00000000-0006-0000-0400-000021000000}">
      <text>
        <r>
          <rPr>
            <sz val="9"/>
            <color indexed="81"/>
            <rFont val="Tahoma"/>
            <family val="2"/>
          </rPr>
          <t>Total Number of dryers in the
community laundry buildings?</t>
        </r>
      </text>
    </comment>
    <comment ref="B313" authorId="0" shapeId="0" xr:uid="{960A7EB2-7BAE-4A23-A49F-D812C396A613}">
      <text>
        <r>
          <rPr>
            <sz val="9"/>
            <color indexed="81"/>
            <rFont val="Tahoma"/>
            <family val="2"/>
          </rPr>
          <t>Describe which units will be equipped
with hookups, and any washers or
dryers that will be provided.</t>
        </r>
      </text>
    </comment>
    <comment ref="D319" authorId="0" shapeId="0" xr:uid="{1C0C3523-8A86-4AC9-8AFF-9F9080FB4684}">
      <text>
        <r>
          <rPr>
            <sz val="9"/>
            <color indexed="81"/>
            <rFont val="Tahoma"/>
            <family val="2"/>
          </rPr>
          <t>List additional unit amenity.</t>
        </r>
      </text>
    </comment>
    <comment ref="N319" authorId="0" shapeId="0" xr:uid="{E96195DE-2292-4A75-9877-09DC9ACECBC5}">
      <text>
        <r>
          <rPr>
            <sz val="9"/>
            <color indexed="81"/>
            <rFont val="Tahoma"/>
            <family val="2"/>
          </rPr>
          <t>List additional unit amenity.</t>
        </r>
      </text>
    </comment>
    <comment ref="X319" authorId="0" shapeId="0" xr:uid="{32C35674-2F5E-4377-B834-234ACF7217E4}">
      <text>
        <r>
          <rPr>
            <sz val="9"/>
            <color indexed="81"/>
            <rFont val="Tahoma"/>
            <family val="2"/>
          </rPr>
          <t>List additional unit amenity.</t>
        </r>
      </text>
    </comment>
    <comment ref="AH319" authorId="0" shapeId="0" xr:uid="{E36B4919-0226-4BD2-91B5-096184F15668}">
      <text>
        <r>
          <rPr>
            <sz val="9"/>
            <color indexed="81"/>
            <rFont val="Tahoma"/>
            <family val="2"/>
          </rPr>
          <t>List additional project amenity.</t>
        </r>
      </text>
    </comment>
    <comment ref="B327" authorId="0" shapeId="0" xr:uid="{A21DCB7A-4D10-43EE-840A-50D0CE9625A7}">
      <text>
        <r>
          <rPr>
            <sz val="9"/>
            <color indexed="81"/>
            <rFont val="Tahoma"/>
            <family val="2"/>
          </rPr>
          <t>Provide a general scription
of other on-site services.</t>
        </r>
      </text>
    </comment>
    <comment ref="B331" authorId="0" shapeId="0" xr:uid="{63D4D3DE-5F06-41FB-B15D-9A32D0ACEEAC}">
      <text>
        <r>
          <rPr>
            <sz val="9"/>
            <color indexed="81"/>
            <rFont val="Tahoma"/>
            <family val="2"/>
          </rPr>
          <t>Gross building floor area.  Measure from
exterior face of exterior studs to
centerline of interior walls. Exclude
porches and similar unheated spaces.</t>
        </r>
      </text>
    </comment>
    <comment ref="G332" authorId="9" shapeId="0" xr:uid="{00000000-0006-0000-0400-00002B000000}">
      <text>
        <r>
          <rPr>
            <sz val="8"/>
            <color indexed="81"/>
            <rFont val="Tahoma"/>
            <family val="2"/>
          </rPr>
          <t>Includes units and purely residential common
areas (interior corridors and stairwells,
lobbies, janitorial rooms, mechanical and
electrical rooms, utility chases, and
elevator shafts.)</t>
        </r>
      </text>
    </comment>
    <comment ref="P332" authorId="8" shapeId="0" xr:uid="{6D708EDE-D2C2-4CBE-9D2F-83B0EC7A5AC7}">
      <text>
        <r>
          <rPr>
            <sz val="8"/>
            <color indexed="8"/>
            <rFont val="Tahoma"/>
            <family val="2"/>
          </rPr>
          <t>Include here only if space primarily
serves project tenants.</t>
        </r>
      </text>
    </comment>
    <comment ref="X332" authorId="9" shapeId="0" xr:uid="{C9A0C102-1244-4EB9-90EB-B8996971693A}">
      <text>
        <r>
          <rPr>
            <sz val="8"/>
            <color indexed="81"/>
            <rFont val="Tahoma"/>
            <family val="2"/>
          </rPr>
          <t>Includes units and purely residential common
areas (interior corridors and stairwells,
lobbies, janitorial rooms, mechanical and
electrical rooms, utility chases, and
elevator shafts.)</t>
        </r>
      </text>
    </comment>
    <comment ref="AH332" authorId="8" shapeId="0" xr:uid="{AB66DE5F-8FD7-4900-B1E6-881C010F96E0}">
      <text>
        <r>
          <rPr>
            <sz val="8"/>
            <color indexed="8"/>
            <rFont val="Tahoma"/>
            <family val="2"/>
          </rPr>
          <t>Include here only if space primarily
serves project tenants.</t>
        </r>
      </text>
    </comment>
    <comment ref="G335" authorId="8" shapeId="0" xr:uid="{98B0350D-A294-41F0-9EFE-0A8E5D97E7B3}">
      <text>
        <r>
          <rPr>
            <sz val="8"/>
            <color indexed="8"/>
            <rFont val="Tahoma"/>
            <family val="2"/>
          </rPr>
          <t>Include here only if space primarily
serves project tenants.</t>
        </r>
      </text>
    </comment>
    <comment ref="P335" authorId="9" shapeId="0" xr:uid="{0D27DFA0-AB78-448A-918B-CB31E31D8EE4}">
      <text>
        <r>
          <rPr>
            <sz val="8"/>
            <color indexed="81"/>
            <rFont val="Tahoma"/>
            <family val="2"/>
          </rPr>
          <t>Includes units and purely residential common
areas (interior corridors and stairwells,
lobbies, janitorial rooms, mechanical and
electrical rooms, utility chases, and
elevator shafts.)</t>
        </r>
      </text>
    </comment>
    <comment ref="X335" authorId="8" shapeId="0" xr:uid="{00000000-0006-0000-0400-000033000000}">
      <text>
        <r>
          <rPr>
            <sz val="8"/>
            <color indexed="8"/>
            <rFont val="Tahoma"/>
            <family val="2"/>
          </rPr>
          <t>Include here only if space primarily
serves project tenants.</t>
        </r>
      </text>
    </comment>
    <comment ref="G336" authorId="9" shapeId="0" xr:uid="{B21A156F-BC27-4BA3-AF66-ED723D1C140F}">
      <text>
        <r>
          <rPr>
            <sz val="8"/>
            <color indexed="81"/>
            <rFont val="Tahoma"/>
            <family val="2"/>
          </rPr>
          <t>Includes units and purely residential common
areas (interior corridors and stairwells,
lobbies, janitorial rooms, mechanical and
electrical rooms, utility chases, and
elevator shafts.)</t>
        </r>
      </text>
    </comment>
    <comment ref="P336" authorId="9" shapeId="0" xr:uid="{3AA25C53-DD03-49DE-B9BD-3EFBC48DCDF3}">
      <text>
        <r>
          <rPr>
            <sz val="8"/>
            <color indexed="81"/>
            <rFont val="Tahoma"/>
            <family val="2"/>
          </rPr>
          <t>Includes units and purely residential common
areas (interior corridors and stairwells,
lobbies, janitorial rooms, mechanical and
electrical rooms, utility chases, and
elevator shafts.)</t>
        </r>
      </text>
    </comment>
    <comment ref="X336" authorId="9" shapeId="0" xr:uid="{A72C17E4-0F50-4429-92AA-DCE10582CBD7}">
      <text>
        <r>
          <rPr>
            <sz val="8"/>
            <color indexed="81"/>
            <rFont val="Tahoma"/>
            <family val="2"/>
          </rPr>
          <t>Includes units and purely residential common
areas (interior corridors and stairwells,
lobbies, janitorial rooms, mechanical and
electrical rooms, utility chases, and
elevator shafts.)</t>
        </r>
      </text>
    </comment>
    <comment ref="AH336" authorId="8" shapeId="0" xr:uid="{4AC7CD4C-CFD9-44E0-BA32-F7F109FBE9C2}">
      <text>
        <r>
          <rPr>
            <sz val="8"/>
            <color indexed="8"/>
            <rFont val="Tahoma"/>
            <family val="2"/>
          </rPr>
          <t>Include here only if space primarily
serves project tenants.</t>
        </r>
      </text>
    </comment>
    <comment ref="AA345" authorId="0" shapeId="0" xr:uid="{276A950B-3F8B-4A0C-AAAC-D69B3D0C24DB}">
      <text>
        <r>
          <rPr>
            <sz val="9"/>
            <color indexed="81"/>
            <rFont val="Tahoma"/>
            <family val="2"/>
          </rPr>
          <t>(included within total
parking spaces)</t>
        </r>
      </text>
    </comment>
    <comment ref="P349" authorId="8" shapeId="0" xr:uid="{00000000-0006-0000-0400-00002A000000}">
      <text>
        <r>
          <rPr>
            <sz val="8"/>
            <color indexed="8"/>
            <rFont val="Tahoma"/>
            <family val="2"/>
          </rPr>
          <t>Gross building floor area.  Measure from exterior
face of exterior studs to centerline of interior walls. 
Exclude porches and similar unheated space.</t>
        </r>
      </text>
    </comment>
    <comment ref="G350" authorId="7" shapeId="0" xr:uid="{00000000-0006-0000-0400-00002C000000}">
      <text>
        <r>
          <rPr>
            <sz val="8"/>
            <color indexed="8"/>
            <rFont val="Tahoma"/>
            <family val="2"/>
          </rPr>
          <t>Income producing commercial space.</t>
        </r>
      </text>
    </comment>
    <comment ref="M350" authorId="8" shapeId="0" xr:uid="{00000000-0006-0000-0400-00002D000000}">
      <text>
        <r>
          <rPr>
            <sz val="8"/>
            <color indexed="8"/>
            <rFont val="Tahoma"/>
            <family val="2"/>
          </rPr>
          <t>E.g. administrative offices of sponsor.</t>
        </r>
      </text>
    </comment>
    <comment ref="U350" authorId="7" shapeId="0" xr:uid="{00000000-0006-0000-0400-00002E000000}">
      <text>
        <r>
          <rPr>
            <sz val="8"/>
            <color indexed="8"/>
            <rFont val="Tahoma"/>
            <family val="2"/>
          </rPr>
          <t>Childcare that is not includable in tax credit basis.</t>
        </r>
      </text>
    </comment>
    <comment ref="AC350" authorId="7" shapeId="0" xr:uid="{00000000-0006-0000-0400-000030000000}">
      <text>
        <r>
          <rPr>
            <sz val="8"/>
            <color indexed="8"/>
            <rFont val="Tahoma"/>
            <family val="2"/>
          </rPr>
          <t>Include any space here that you will be able
to rent to tenants for an extra monthly fee.</t>
        </r>
      </text>
    </comment>
    <comment ref="P362" authorId="8" shapeId="0" xr:uid="{00000000-0006-0000-0400-000035000000}">
      <text>
        <r>
          <rPr>
            <sz val="8"/>
            <color indexed="8"/>
            <rFont val="Tahoma"/>
            <family val="2"/>
          </rPr>
          <t>Tenant Name and/or Use</t>
        </r>
      </text>
    </comment>
    <comment ref="Y362" authorId="8" shapeId="0" xr:uid="{00000000-0006-0000-0400-000036000000}">
      <text>
        <r>
          <rPr>
            <sz val="8"/>
            <color indexed="8"/>
            <rFont val="Tahoma"/>
            <family val="2"/>
          </rPr>
          <t>NNN = tenant pays rent + taxes,
insurance, utilities, etc.</t>
        </r>
      </text>
    </comment>
    <comment ref="P363" authorId="8" shapeId="0" xr:uid="{C2132658-023E-4EE7-9C66-08CDCC60378C}">
      <text>
        <r>
          <rPr>
            <sz val="8"/>
            <color indexed="8"/>
            <rFont val="Tahoma"/>
            <family val="2"/>
          </rPr>
          <t>Tenant Name and/or Use</t>
        </r>
      </text>
    </comment>
    <comment ref="Y363" authorId="8" shapeId="0" xr:uid="{36C82BF7-B103-4AFD-BE43-7481E860D424}">
      <text>
        <r>
          <rPr>
            <sz val="8"/>
            <color indexed="8"/>
            <rFont val="Tahoma"/>
            <family val="2"/>
          </rPr>
          <t>NNN = tenant pays rent + taxes,
insurance, utilities, etc.</t>
        </r>
      </text>
    </comment>
    <comment ref="P364" authorId="8" shapeId="0" xr:uid="{292BDB37-7698-4F52-B32B-E6A17D0937CF}">
      <text>
        <r>
          <rPr>
            <sz val="8"/>
            <color indexed="8"/>
            <rFont val="Tahoma"/>
            <family val="2"/>
          </rPr>
          <t>Tenant Name and/or Use</t>
        </r>
      </text>
    </comment>
    <comment ref="Y364" authorId="8" shapeId="0" xr:uid="{AA725C8A-F1B9-49D3-B79A-67144EF07FB5}">
      <text>
        <r>
          <rPr>
            <sz val="8"/>
            <color indexed="8"/>
            <rFont val="Tahoma"/>
            <family val="2"/>
          </rPr>
          <t>NNN = tenant pays rent + taxes,
insurance, utilities, etc.</t>
        </r>
      </text>
    </comment>
    <comment ref="P365" authorId="8" shapeId="0" xr:uid="{7C976DA1-679B-4930-B94C-D12161AA90E5}">
      <text>
        <r>
          <rPr>
            <sz val="8"/>
            <color indexed="8"/>
            <rFont val="Tahoma"/>
            <family val="2"/>
          </rPr>
          <t>Tenant Name and/or Use</t>
        </r>
      </text>
    </comment>
    <comment ref="Y365" authorId="8" shapeId="0" xr:uid="{C490943D-3A09-48BC-BBA4-8820F94F9004}">
      <text>
        <r>
          <rPr>
            <sz val="8"/>
            <color indexed="8"/>
            <rFont val="Tahoma"/>
            <family val="2"/>
          </rPr>
          <t>NNN = tenant pays rent + taxes,
insurance, utilities, etc.</t>
        </r>
      </text>
    </comment>
    <comment ref="P367" authorId="8" shapeId="0" xr:uid="{60E28FAE-7656-4B61-9B1C-D089F5DA6928}">
      <text>
        <r>
          <rPr>
            <sz val="8"/>
            <color indexed="8"/>
            <rFont val="Tahoma"/>
            <family val="2"/>
          </rPr>
          <t>Tenant Name and/or Use</t>
        </r>
      </text>
    </comment>
    <comment ref="Y367" authorId="8" shapeId="0" xr:uid="{A30E4966-C30D-4DF5-A608-27053DF72DD9}">
      <text>
        <r>
          <rPr>
            <sz val="8"/>
            <color indexed="8"/>
            <rFont val="Tahoma"/>
            <family val="2"/>
          </rPr>
          <t>NNN = tenant pays rent + taxes,
insurance, utilities, etc.</t>
        </r>
      </text>
    </comment>
    <comment ref="P368" authorId="8" shapeId="0" xr:uid="{73B3A3B7-9535-4039-8A5F-4D94D9475E51}">
      <text>
        <r>
          <rPr>
            <sz val="8"/>
            <color indexed="8"/>
            <rFont val="Tahoma"/>
            <family val="2"/>
          </rPr>
          <t>Tenant Name and/or Use</t>
        </r>
      </text>
    </comment>
    <comment ref="Y368" authorId="8" shapeId="0" xr:uid="{726E7DC0-CD4C-480A-982C-E67EF429057D}">
      <text>
        <r>
          <rPr>
            <sz val="8"/>
            <color indexed="8"/>
            <rFont val="Tahoma"/>
            <family val="2"/>
          </rPr>
          <t>NNN = tenant pays rent + taxes,
insurance, utilities, etc.</t>
        </r>
      </text>
    </comment>
    <comment ref="P369" authorId="8" shapeId="0" xr:uid="{2957D387-6A83-4775-B176-B562F288780B}">
      <text>
        <r>
          <rPr>
            <sz val="8"/>
            <color indexed="8"/>
            <rFont val="Tahoma"/>
            <family val="2"/>
          </rPr>
          <t>Tenant Name and/or Use</t>
        </r>
      </text>
    </comment>
    <comment ref="Y369" authorId="8" shapeId="0" xr:uid="{18CDF51C-D2BA-415C-BFFF-CD2C08FA6C27}">
      <text>
        <r>
          <rPr>
            <sz val="8"/>
            <color indexed="8"/>
            <rFont val="Tahoma"/>
            <family val="2"/>
          </rPr>
          <t>NNN = tenant pays rent + taxes,
insurance, utilities, etc.</t>
        </r>
      </text>
    </comment>
    <comment ref="P370" authorId="8" shapeId="0" xr:uid="{503A30EF-5B87-4946-91A4-DE5E1AC4F959}">
      <text>
        <r>
          <rPr>
            <sz val="8"/>
            <color indexed="8"/>
            <rFont val="Tahoma"/>
            <family val="2"/>
          </rPr>
          <t>Tenant Name and/or Use</t>
        </r>
      </text>
    </comment>
    <comment ref="Y370" authorId="8" shapeId="0" xr:uid="{50E8218C-C10F-4B57-BCB1-161605AD5C7E}">
      <text>
        <r>
          <rPr>
            <sz val="8"/>
            <color indexed="8"/>
            <rFont val="Tahoma"/>
            <family val="2"/>
          </rPr>
          <t>NNN = tenant pays rent + taxes,
insurance, utilities, etc.</t>
        </r>
      </text>
    </comment>
    <comment ref="G384" authorId="10" shapeId="0" xr:uid="{00000000-0006-0000-0400-000045000000}">
      <text>
        <r>
          <rPr>
            <sz val="8"/>
            <color indexed="81"/>
            <rFont val="Tahoma"/>
            <family val="2"/>
          </rPr>
          <t>Specify</t>
        </r>
      </text>
    </comment>
    <comment ref="G388" authorId="0" shapeId="0" xr:uid="{00000000-0006-0000-0400-000046000000}">
      <text>
        <r>
          <rPr>
            <sz val="9"/>
            <color indexed="81"/>
            <rFont val="Tahoma"/>
            <family val="2"/>
          </rPr>
          <t>Name of local PHA</t>
        </r>
      </text>
    </comment>
    <comment ref="W389" authorId="1" shapeId="0" xr:uid="{00000000-0006-0000-0400-000047000000}">
      <text>
        <r>
          <rPr>
            <sz val="9"/>
            <color indexed="81"/>
            <rFont val="Tahoma"/>
            <family val="2"/>
          </rPr>
          <t>If other, indicate the name of the
Agency that provided the Utility
Allowance Schedule.</t>
        </r>
      </text>
    </comment>
    <comment ref="B418" authorId="0" shapeId="0" xr:uid="{872C5BCF-CF8B-4260-B80F-B900E9A7EF77}">
      <text>
        <r>
          <rPr>
            <sz val="9"/>
            <color indexed="81"/>
            <rFont val="Tahoma"/>
            <family val="2"/>
          </rPr>
          <t>Environmental Reports are required as
set forth in the application checklist
and the Notice of Funding Availability.</t>
        </r>
      </text>
    </comment>
    <comment ref="AJ463" authorId="1" shapeId="0" xr:uid="{0497BE68-1C7D-43E4-97CF-7B704F4C5849}">
      <text>
        <r>
          <rPr>
            <sz val="9"/>
            <color indexed="81"/>
            <rFont val="Tahoma"/>
            <family val="2"/>
          </rPr>
          <t xml:space="preserve">Date completed </t>
        </r>
        <r>
          <rPr>
            <b/>
            <sz val="9"/>
            <color indexed="81"/>
            <rFont val="Tahoma"/>
            <family val="2"/>
          </rPr>
          <t>or</t>
        </r>
        <r>
          <rPr>
            <sz val="9"/>
            <color indexed="81"/>
            <rFont val="Tahoma"/>
            <family val="2"/>
          </rPr>
          <t xml:space="preserve">
Date expected for completion.
Do not leave blank, if not
applicable type N/A.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George Rodine</author>
    <author>Gutierrez, Alfredo@HCD</author>
  </authors>
  <commentList>
    <comment ref="N89" authorId="0" shapeId="0" xr:uid="{00000000-0006-0000-2200-000001000000}">
      <text>
        <r>
          <rPr>
            <sz val="9"/>
            <color indexed="81"/>
            <rFont val="Tahoma"/>
            <family val="2"/>
          </rPr>
          <t xml:space="preserve">Properties on Tribal lands may also use attorney’s opinion regarding chain of title and current title status
</t>
        </r>
      </text>
    </comment>
    <comment ref="N186" authorId="1" shapeId="0" xr:uid="{00000000-0006-0000-2200-000002000000}">
      <text>
        <r>
          <rPr>
            <sz val="9"/>
            <color indexed="81"/>
            <rFont val="Tahoma"/>
            <family val="2"/>
          </rPr>
          <t>'Submit a letter of explanation providing details
for all "Not Included" answers that are shaded
red above.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Richard</author>
    <author>rschmunk</author>
    <author>Debra Starbuck</author>
    <author>Russ Schmunk</author>
    <author>grodine</author>
    <author>mpope</author>
    <author>Gutierrez, Alfredo@HCD</author>
    <author>George Rodine</author>
    <author>Administrator</author>
  </authors>
  <commentList>
    <comment ref="B5" authorId="0" shapeId="0" xr:uid="{00000000-0006-0000-1500-000001000000}">
      <text>
        <r>
          <rPr>
            <sz val="8"/>
            <color indexed="8"/>
            <rFont val="Tahoma"/>
            <family val="2"/>
          </rPr>
          <t>Number of employees</t>
        </r>
        <r>
          <rPr>
            <b/>
            <sz val="8"/>
            <color indexed="8"/>
            <rFont val="Tahoma"/>
            <family val="2"/>
          </rPr>
          <t>.</t>
        </r>
      </text>
    </comment>
    <comment ref="C5" authorId="1" shapeId="0" xr:uid="{00000000-0006-0000-1500-000002000000}">
      <text>
        <r>
          <rPr>
            <sz val="8"/>
            <color indexed="8"/>
            <rFont val="Tahoma"/>
            <family val="2"/>
          </rPr>
          <t>Number of full-time equivalent employees.
E.g. 3 people working 0.5 time = 1.5 FTE.</t>
        </r>
      </text>
    </comment>
    <comment ref="E6" authorId="1" shapeId="0" xr:uid="{00000000-0006-0000-1500-000003000000}">
      <text>
        <r>
          <rPr>
            <sz val="8"/>
            <color indexed="8"/>
            <rFont val="Tahoma"/>
            <family val="2"/>
          </rPr>
          <t>Rolls to Account No. 6330 below.</t>
        </r>
      </text>
    </comment>
    <comment ref="F6" authorId="2" shapeId="0" xr:uid="{00000000-0006-0000-1500-000004000000}">
      <text>
        <r>
          <rPr>
            <sz val="8"/>
            <color indexed="8"/>
            <rFont val="Tahoma"/>
            <family val="2"/>
          </rPr>
          <t>Rolls  to Account No. 6331 below.</t>
        </r>
      </text>
    </comment>
    <comment ref="E7" authorId="1" shapeId="0" xr:uid="{00000000-0006-0000-1500-000005000000}">
      <text>
        <r>
          <rPr>
            <sz val="8"/>
            <color indexed="8"/>
            <rFont val="Tahoma"/>
            <family val="2"/>
          </rPr>
          <t>Rolls to Account No. 6330 below.</t>
        </r>
      </text>
    </comment>
    <comment ref="F7" authorId="2" shapeId="0" xr:uid="{00000000-0006-0000-1500-000006000000}">
      <text>
        <r>
          <rPr>
            <sz val="8"/>
            <color indexed="8"/>
            <rFont val="Tahoma"/>
            <family val="2"/>
          </rPr>
          <t>Rolls  to Account No. 6331 below.</t>
        </r>
      </text>
    </comment>
    <comment ref="E8" authorId="1" shapeId="0" xr:uid="{00000000-0006-0000-1500-000007000000}">
      <text>
        <r>
          <rPr>
            <sz val="8"/>
            <color indexed="8"/>
            <rFont val="Tahoma"/>
            <family val="2"/>
          </rPr>
          <t>Rolls to Account No. 6990 below.</t>
        </r>
      </text>
    </comment>
    <comment ref="E9" authorId="1" shapeId="0" xr:uid="{00000000-0006-0000-1500-000008000000}">
      <text>
        <r>
          <rPr>
            <sz val="8"/>
            <color indexed="8"/>
            <rFont val="Tahoma"/>
            <family val="2"/>
          </rPr>
          <t>Rolls to Account No. 6990 below.</t>
        </r>
      </text>
    </comment>
    <comment ref="E10" authorId="1" shapeId="0" xr:uid="{00000000-0006-0000-1500-000009000000}">
      <text>
        <r>
          <rPr>
            <sz val="8"/>
            <color indexed="8"/>
            <rFont val="Tahoma"/>
            <family val="2"/>
          </rPr>
          <t>Rolls to Account No. 6990 below.</t>
        </r>
      </text>
    </comment>
    <comment ref="E11" authorId="1" shapeId="0" xr:uid="{00000000-0006-0000-1500-00000A000000}">
      <text>
        <r>
          <rPr>
            <sz val="8"/>
            <color indexed="8"/>
            <rFont val="Tahoma"/>
            <family val="2"/>
          </rPr>
          <t>Rolls to Account No. 6510 below.</t>
        </r>
      </text>
    </comment>
    <comment ref="F11" authorId="2" shapeId="0" xr:uid="{00000000-0006-0000-1500-00000B000000}">
      <text>
        <r>
          <rPr>
            <sz val="8"/>
            <color indexed="8"/>
            <rFont val="Tahoma"/>
            <family val="2"/>
          </rPr>
          <t>Rolls  to Account No. 6521 below.</t>
        </r>
      </text>
    </comment>
    <comment ref="E12" authorId="3" shapeId="0" xr:uid="{00000000-0006-0000-1500-00000C000000}">
      <text>
        <r>
          <rPr>
            <sz val="8"/>
            <color indexed="81"/>
            <rFont val="Tahoma"/>
            <family val="2"/>
          </rPr>
          <t>Rolls to Account No. 6310 below.</t>
        </r>
      </text>
    </comment>
    <comment ref="F12" authorId="2" shapeId="0" xr:uid="{00000000-0006-0000-1500-00000D000000}">
      <text>
        <r>
          <rPr>
            <sz val="8"/>
            <color indexed="8"/>
            <rFont val="Tahoma"/>
            <family val="2"/>
          </rPr>
          <t>Rolls to Account No. 6331 below.</t>
        </r>
      </text>
    </comment>
    <comment ref="E13" authorId="1" shapeId="0" xr:uid="{00000000-0006-0000-1500-00000E000000}">
      <text>
        <r>
          <rPr>
            <sz val="8"/>
            <color indexed="8"/>
            <rFont val="Tahoma"/>
            <family val="2"/>
          </rPr>
          <t>Rolls to Account No. 6510 below.</t>
        </r>
      </text>
    </comment>
    <comment ref="F13" authorId="1" shapeId="0" xr:uid="{00000000-0006-0000-1500-00000F000000}">
      <text>
        <r>
          <rPr>
            <sz val="8"/>
            <color indexed="8"/>
            <rFont val="Tahoma"/>
            <family val="2"/>
          </rPr>
          <t>Rolls to Account No. 6531 below.</t>
        </r>
      </text>
    </comment>
    <comment ref="D14" authorId="2" shapeId="0" xr:uid="{00000000-0006-0000-1500-000010000000}">
      <text>
        <r>
          <rPr>
            <sz val="9"/>
            <color indexed="8"/>
            <rFont val="Tahoma"/>
            <family val="2"/>
          </rPr>
          <t xml:space="preserve">List any other employees positions
included in project operating expenses. </t>
        </r>
      </text>
    </comment>
    <comment ref="E14" authorId="4" shapeId="0" xr:uid="{00000000-0006-0000-1500-000011000000}">
      <text>
        <r>
          <rPr>
            <sz val="8"/>
            <color indexed="81"/>
            <rFont val="Tahoma"/>
            <family val="2"/>
          </rPr>
          <t>Rolls to Account No. 6510 below.</t>
        </r>
      </text>
    </comment>
    <comment ref="F14" authorId="4" shapeId="0" xr:uid="{00000000-0006-0000-1500-000012000000}">
      <text>
        <r>
          <rPr>
            <sz val="8"/>
            <color indexed="81"/>
            <rFont val="Tahoma"/>
            <family val="2"/>
          </rPr>
          <t>Rolls to Account No. 6521 below.</t>
        </r>
      </text>
    </comment>
    <comment ref="D15" authorId="2" shapeId="0" xr:uid="{00000000-0006-0000-1500-000013000000}">
      <text>
        <r>
          <rPr>
            <sz val="9"/>
            <color indexed="8"/>
            <rFont val="Tahoma"/>
            <family val="2"/>
          </rPr>
          <t xml:space="preserve">List any other employees positions
included in project operating expenses. </t>
        </r>
      </text>
    </comment>
    <comment ref="E15" authorId="4" shapeId="0" xr:uid="{00000000-0006-0000-1500-000014000000}">
      <text>
        <r>
          <rPr>
            <sz val="8"/>
            <color indexed="81"/>
            <rFont val="Tahoma"/>
            <family val="2"/>
          </rPr>
          <t>Rolls to Account No. 6510 below.</t>
        </r>
      </text>
    </comment>
    <comment ref="F15" authorId="4" shapeId="0" xr:uid="{00000000-0006-0000-1500-000015000000}">
      <text>
        <r>
          <rPr>
            <sz val="8"/>
            <color indexed="81"/>
            <rFont val="Tahoma"/>
            <family val="2"/>
          </rPr>
          <t>Rolls to Account No. 6521 below.</t>
        </r>
      </text>
    </comment>
    <comment ref="E17" authorId="4" shapeId="0" xr:uid="{00000000-0006-0000-1500-000016000000}">
      <text>
        <r>
          <rPr>
            <sz val="8"/>
            <color rgb="FF000000"/>
            <rFont val="Tahoma"/>
            <family val="2"/>
          </rPr>
          <t>Rolls to Account No. 6711 below.</t>
        </r>
      </text>
    </comment>
    <comment ref="E18" authorId="4" shapeId="0" xr:uid="{00000000-0006-0000-1500-000017000000}">
      <text>
        <r>
          <rPr>
            <sz val="8"/>
            <color rgb="FF000000"/>
            <rFont val="Tahoma"/>
            <family val="2"/>
          </rPr>
          <t>Rolls to Account No. 6722 below.</t>
        </r>
      </text>
    </comment>
    <comment ref="E19" authorId="4" shapeId="0" xr:uid="{00000000-0006-0000-1500-000018000000}">
      <text>
        <r>
          <rPr>
            <sz val="8"/>
            <color rgb="FF000000"/>
            <rFont val="Tahoma"/>
            <family val="2"/>
          </rPr>
          <t>Rolls to Account No. 6723 below.</t>
        </r>
      </text>
    </comment>
    <comment ref="B24" authorId="5" shapeId="0" xr:uid="{00000000-0006-0000-1500-000019000000}">
      <text>
        <r>
          <rPr>
            <sz val="8"/>
            <color indexed="81"/>
            <rFont val="Tahoma"/>
            <family val="2"/>
          </rPr>
          <t xml:space="preserve">Income restriction level, expressed as a % of AMI.  </t>
        </r>
      </text>
    </comment>
    <comment ref="E24" authorId="6" shapeId="0" xr:uid="{95F03B1B-FE09-42C0-A5EF-DE80DD924B42}">
      <text>
        <r>
          <rPr>
            <sz val="9"/>
            <color indexed="81"/>
            <rFont val="Tahoma"/>
            <family val="2"/>
          </rPr>
          <t>Number of bedrooms by Unit.</t>
        </r>
      </text>
    </comment>
    <comment ref="F24" authorId="6" shapeId="0" xr:uid="{5EEB5256-A6F5-427B-BA76-973AA2B07052}">
      <text>
        <r>
          <rPr>
            <sz val="9"/>
            <color indexed="81"/>
            <rFont val="Tahoma"/>
            <family val="2"/>
          </rPr>
          <t>Square Footage.</t>
        </r>
      </text>
    </comment>
    <comment ref="F32" authorId="3" shapeId="0" xr:uid="{00000000-0006-0000-1500-00001A000000}">
      <text>
        <r>
          <rPr>
            <sz val="8"/>
            <color indexed="81"/>
            <rFont val="Tahoma"/>
            <family val="2"/>
          </rPr>
          <t>Rolls from Project Overview sheet.</t>
        </r>
      </text>
    </comment>
    <comment ref="E33" authorId="4" shapeId="0" xr:uid="{00000000-0006-0000-1500-00001B000000}">
      <text>
        <r>
          <rPr>
            <sz val="8"/>
            <color indexed="81"/>
            <rFont val="Tahoma"/>
            <family val="2"/>
          </rPr>
          <t>Rolls from Cash Flow sheet.</t>
        </r>
      </text>
    </comment>
    <comment ref="E34" authorId="4" shapeId="0" xr:uid="{00000000-0006-0000-1500-00001C000000}">
      <text>
        <r>
          <rPr>
            <sz val="8"/>
            <color indexed="81"/>
            <rFont val="Tahoma"/>
            <family val="2"/>
          </rPr>
          <t>Rolls from Cash Flow sheet.</t>
        </r>
      </text>
    </comment>
    <comment ref="D36" authorId="6" shapeId="0" xr:uid="{E10FB27E-6028-4459-BDA4-52298D2C5585}">
      <text>
        <r>
          <rPr>
            <sz val="9"/>
            <color indexed="81"/>
            <rFont val="Tahoma"/>
            <family val="2"/>
          </rPr>
          <t>Subsidy Program Name 1
From "Unit Mix" tab.</t>
        </r>
      </text>
    </comment>
    <comment ref="E36" authorId="4" shapeId="0" xr:uid="{00000000-0006-0000-1500-00001D000000}">
      <text>
        <r>
          <rPr>
            <sz val="8"/>
            <color indexed="81"/>
            <rFont val="Tahoma"/>
            <family val="2"/>
          </rPr>
          <t>Rolls from Subsidies sheet.</t>
        </r>
      </text>
    </comment>
    <comment ref="D37" authorId="6" shapeId="0" xr:uid="{2A998387-1046-4292-9341-A9CD320F1D47}">
      <text>
        <r>
          <rPr>
            <sz val="9"/>
            <color indexed="81"/>
            <rFont val="Tahoma"/>
            <family val="2"/>
          </rPr>
          <t>Subsidy Program Name 2
From "Unit Mix" tab.</t>
        </r>
      </text>
    </comment>
    <comment ref="E37" authorId="4" shapeId="0" xr:uid="{00000000-0006-0000-1500-00001E000000}">
      <text>
        <r>
          <rPr>
            <sz val="8"/>
            <color indexed="81"/>
            <rFont val="Tahoma"/>
            <family val="2"/>
          </rPr>
          <t>Rolls from Subsidies sheet.</t>
        </r>
      </text>
    </comment>
    <comment ref="D39" authorId="7" shapeId="0" xr:uid="{00000000-0006-0000-1500-00001F000000}">
      <text>
        <r>
          <rPr>
            <sz val="9"/>
            <color indexed="81"/>
            <rFont val="Tahoma"/>
            <family val="2"/>
          </rPr>
          <t>Use Comments cells as needed to provide details.</t>
        </r>
      </text>
    </comment>
    <comment ref="E40" authorId="3" shapeId="0" xr:uid="{00000000-0006-0000-1500-000020000000}">
      <text>
        <r>
          <rPr>
            <sz val="8"/>
            <color indexed="81"/>
            <rFont val="Tahoma"/>
            <family val="2"/>
          </rPr>
          <t>Rolls from Project Overview sheet.</t>
        </r>
      </text>
    </comment>
    <comment ref="E41" authorId="3" shapeId="0" xr:uid="{00000000-0006-0000-1500-000021000000}">
      <text>
        <r>
          <rPr>
            <sz val="8"/>
            <color indexed="81"/>
            <rFont val="Tahoma"/>
            <family val="2"/>
          </rPr>
          <t>Rolls from Project Overview sheet.</t>
        </r>
      </text>
    </comment>
    <comment ref="F41" authorId="3" shapeId="0" xr:uid="{00000000-0006-0000-1500-000022000000}">
      <text>
        <r>
          <rPr>
            <sz val="8"/>
            <color indexed="81"/>
            <rFont val="Tahoma"/>
            <family val="2"/>
          </rPr>
          <t>Rolls from Project Overview sheet.</t>
        </r>
      </text>
    </comment>
    <comment ref="E44" authorId="4" shapeId="0" xr:uid="{00000000-0006-0000-1500-000023000000}">
      <text>
        <r>
          <rPr>
            <sz val="8"/>
            <color indexed="81"/>
            <rFont val="Tahoma"/>
            <family val="2"/>
          </rPr>
          <t>For projects that serve multiple tenant types or include multiple unit types
(SRO, Special Needs, Family, etc.), TCAC will allow the use of a weighted
average vacancy rate for the project based on the underwriting vacancy
rates required under TCAC regulation section 10327(g)(3).</t>
        </r>
      </text>
    </comment>
    <comment ref="E45" authorId="4" shapeId="0" xr:uid="{A10281E2-FC75-443B-847A-E35274023F0C}">
      <text>
        <r>
          <rPr>
            <sz val="8"/>
            <color indexed="81"/>
            <rFont val="Tahoma"/>
            <family val="2"/>
          </rPr>
          <t>For projects that serve multiple tenant types or include multiple unit types
(SRO, Special Needs, Family, etc.), TCAC will allow the use of a weighted
average vacancy rate for the project based on the underwriting vacancy
rates required under TCAC regulation section 10327(g)(3).</t>
        </r>
      </text>
    </comment>
    <comment ref="E46" authorId="4" shapeId="0" xr:uid="{BCDF8E0D-97DB-4B2B-A4E5-7BD7DFBE334F}">
      <text>
        <r>
          <rPr>
            <sz val="8"/>
            <color indexed="81"/>
            <rFont val="Tahoma"/>
            <family val="2"/>
          </rPr>
          <t>For projects that serve multiple tenant types or include multiple unit types
(SRO, Special Needs, Family, etc.), TCAC will allow the use of a weighted
average vacancy rate for the project based on the underwriting vacancy
rates required under TCAC regulation section 10327(g)(3).</t>
        </r>
      </text>
    </comment>
    <comment ref="E47" authorId="4" shapeId="0" xr:uid="{50069BF4-F7C6-4CDF-897D-46696C43090D}">
      <text>
        <r>
          <rPr>
            <sz val="8"/>
            <color indexed="81"/>
            <rFont val="Tahoma"/>
            <family val="2"/>
          </rPr>
          <t>For projects that serve multiple tenant types or include multiple unit types
(SRO, Special Needs, Family, etc.), TCAC will allow the use of a weighted
average vacancy rate for the project based on the underwriting vacancy
rates required under TCAC regulation section 10327(g)(3).</t>
        </r>
      </text>
    </comment>
    <comment ref="E48" authorId="4" shapeId="0" xr:uid="{1B3CB05F-3484-49B3-B2E2-24239B46BFFB}">
      <text>
        <r>
          <rPr>
            <sz val="8"/>
            <color indexed="81"/>
            <rFont val="Tahoma"/>
            <family val="2"/>
          </rPr>
          <t>For projects that serve multiple tenant types or include multiple unit types
(SRO, Special Needs, Family, etc.), TCAC will allow the use of a weighted
average vacancy rate for the project based on the underwriting vacancy
rates required under TCAC regulation section 10327(g)(3).</t>
        </r>
      </text>
    </comment>
    <comment ref="D66" authorId="7" shapeId="0" xr:uid="{00000000-0006-0000-1500-000028000000}">
      <text>
        <r>
          <rPr>
            <sz val="9"/>
            <color indexed="81"/>
            <rFont val="Tahoma"/>
            <family val="2"/>
          </rPr>
          <t>Use Comments cells to provide expense details.</t>
        </r>
      </text>
    </comment>
    <comment ref="D74" authorId="7" shapeId="0" xr:uid="{00000000-0006-0000-1500-000029000000}">
      <text>
        <r>
          <rPr>
            <sz val="9"/>
            <color indexed="81"/>
            <rFont val="Tahoma"/>
            <family val="2"/>
          </rPr>
          <t>Use Comments cells as needed
to provide details.</t>
        </r>
      </text>
    </comment>
    <comment ref="D88" authorId="7" shapeId="0" xr:uid="{00000000-0006-0000-1500-00002A000000}">
      <text>
        <r>
          <rPr>
            <sz val="9"/>
            <color indexed="81"/>
            <rFont val="Tahoma"/>
            <family val="2"/>
          </rPr>
          <t>Use Comments cells to provide expense details.</t>
        </r>
      </text>
    </comment>
    <comment ref="E92" authorId="3" shapeId="0" xr:uid="{00000000-0006-0000-1500-00002B000000}">
      <text>
        <r>
          <rPr>
            <sz val="8"/>
            <color indexed="81"/>
            <rFont val="Tahoma"/>
            <family val="2"/>
          </rPr>
          <t>Including assessments.</t>
        </r>
      </text>
    </comment>
    <comment ref="F92" authorId="3" shapeId="0" xr:uid="{00000000-0006-0000-1500-00002C000000}">
      <text>
        <r>
          <rPr>
            <sz val="8"/>
            <color indexed="81"/>
            <rFont val="Tahoma"/>
            <family val="2"/>
          </rPr>
          <t>Including assessments.</t>
        </r>
      </text>
    </comment>
    <comment ref="D99" authorId="7" shapeId="0" xr:uid="{00000000-0006-0000-1500-00002D000000}">
      <text>
        <r>
          <rPr>
            <sz val="9"/>
            <color indexed="81"/>
            <rFont val="Tahoma"/>
            <family val="2"/>
          </rPr>
          <t>Use Comments cells to provide
expense details.</t>
        </r>
      </text>
    </comment>
    <comment ref="H102" authorId="7" shapeId="0" xr:uid="{00000000-0006-0000-1500-00002E000000}">
      <text>
        <r>
          <rPr>
            <sz val="9"/>
            <color indexed="81"/>
            <rFont val="Tahoma"/>
            <family val="2"/>
          </rPr>
          <t xml:space="preserve">Staff Supervisor(s) Salaries - may not exceed 10% of on-site staff salaries
</t>
        </r>
        <r>
          <rPr>
            <b/>
            <sz val="9"/>
            <color indexed="81"/>
            <rFont val="Tahoma"/>
            <family val="2"/>
          </rPr>
          <t>UMR §8314(f)(1)</t>
        </r>
        <r>
          <rPr>
            <sz val="9"/>
            <color indexed="81"/>
            <rFont val="Tahoma"/>
            <family val="2"/>
          </rPr>
          <t xml:space="preserve">
</t>
        </r>
      </text>
    </comment>
    <comment ref="E103" authorId="7" shapeId="0" xr:uid="{00000000-0006-0000-1500-00002F000000}">
      <text>
        <r>
          <rPr>
            <sz val="9"/>
            <color indexed="81"/>
            <rFont val="Tahoma"/>
            <family val="2"/>
          </rPr>
          <t>If shaded red, amount exceeds maximum allowable</t>
        </r>
        <r>
          <rPr>
            <b/>
            <sz val="9"/>
            <color indexed="81"/>
            <rFont val="Tahoma"/>
            <family val="2"/>
          </rPr>
          <t xml:space="preserve">
HCD UMRs 8314(f)(1)</t>
        </r>
      </text>
    </comment>
    <comment ref="H105" authorId="7" shapeId="0" xr:uid="{00000000-0006-0000-1500-000030000000}">
      <text>
        <r>
          <rPr>
            <sz val="9"/>
            <color indexed="81"/>
            <rFont val="Tahoma"/>
            <family val="2"/>
          </rPr>
          <t xml:space="preserve">Supportive Services Admin. Overhead - may not exceed 15% of Total Supportive Services Costs
</t>
        </r>
        <r>
          <rPr>
            <b/>
            <sz val="9"/>
            <color indexed="81"/>
            <rFont val="Tahoma"/>
            <family val="2"/>
          </rPr>
          <t>UMR §8314(f)(2)</t>
        </r>
      </text>
    </comment>
    <comment ref="E106" authorId="7" shapeId="0" xr:uid="{00000000-0006-0000-1500-000031000000}">
      <text>
        <r>
          <rPr>
            <sz val="9"/>
            <color indexed="81"/>
            <rFont val="Tahoma"/>
            <family val="2"/>
          </rPr>
          <t>If shaded red, amount exceeds maximum allowable</t>
        </r>
        <r>
          <rPr>
            <b/>
            <sz val="9"/>
            <color indexed="81"/>
            <rFont val="Tahoma"/>
            <family val="2"/>
          </rPr>
          <t xml:space="preserve">
HCD UMRs 8314(f)(2)</t>
        </r>
      </text>
    </comment>
    <comment ref="D107" authorId="7" shapeId="0" xr:uid="{00000000-0006-0000-1500-000032000000}">
      <text>
        <r>
          <rPr>
            <sz val="9"/>
            <color indexed="81"/>
            <rFont val="Tahoma"/>
            <family val="2"/>
          </rPr>
          <t>Use Comments cells as needed to provide details.</t>
        </r>
      </text>
    </comment>
    <comment ref="D108" authorId="7" shapeId="0" xr:uid="{00000000-0006-0000-1500-000033000000}">
      <text>
        <r>
          <rPr>
            <sz val="9"/>
            <color indexed="81"/>
            <rFont val="Tahoma"/>
            <family val="2"/>
          </rPr>
          <t>Use Comments cells as needed to provide details.</t>
        </r>
      </text>
    </comment>
    <comment ref="H108" authorId="7" shapeId="0" xr:uid="{00000000-0006-0000-1500-000034000000}">
      <text>
        <r>
          <rPr>
            <sz val="9"/>
            <color indexed="81"/>
            <rFont val="Tahoma"/>
            <family val="2"/>
          </rPr>
          <t xml:space="preserve">Total Supportive Services Costs may not exceed Supportive Cost Limits
</t>
        </r>
        <r>
          <rPr>
            <b/>
            <sz val="9"/>
            <color indexed="81"/>
            <rFont val="Tahoma"/>
            <family val="2"/>
          </rPr>
          <t>UMR §8314(e)
see "Supportive Services Costs' worksheet</t>
        </r>
      </text>
    </comment>
    <comment ref="E109" authorId="7" shapeId="0" xr:uid="{00000000-0006-0000-1500-000035000000}">
      <text>
        <r>
          <rPr>
            <sz val="9"/>
            <color indexed="81"/>
            <rFont val="Tahoma"/>
            <family val="2"/>
          </rPr>
          <t>If shaded red, amount exceeds maximum allowable</t>
        </r>
        <r>
          <rPr>
            <b/>
            <sz val="9"/>
            <color indexed="81"/>
            <rFont val="Tahoma"/>
            <family val="2"/>
          </rPr>
          <t xml:space="preserve">
HCD UMRs 8314(e)</t>
        </r>
      </text>
    </comment>
    <comment ref="D112" authorId="5" shapeId="0" xr:uid="{00000000-0006-0000-1500-000036000000}">
      <text>
        <r>
          <rPr>
            <sz val="8"/>
            <color indexed="81"/>
            <rFont val="Tahoma"/>
            <family val="2"/>
          </rPr>
          <t>Reserves funded from operating cash flow only. 
Do not include capitalized reserves.</t>
        </r>
      </text>
    </comment>
    <comment ref="E113" authorId="6" shapeId="0" xr:uid="{09A32EC7-FFEC-4BBF-8D05-A60DE08A3713}">
      <text>
        <r>
          <rPr>
            <sz val="9"/>
            <color indexed="81"/>
            <rFont val="Tahoma"/>
            <family val="2"/>
          </rPr>
          <t>See "Reserves Calculator" tab, row 10.</t>
        </r>
      </text>
    </comment>
    <comment ref="D114" authorId="7" shapeId="0" xr:uid="{00000000-0006-0000-1500-000037000000}">
      <text>
        <r>
          <rPr>
            <sz val="9"/>
            <color indexed="81"/>
            <rFont val="Tahoma"/>
            <family val="2"/>
          </rPr>
          <t>Use Comments cells as needed to provide details.</t>
        </r>
      </text>
    </comment>
    <comment ref="D115" authorId="7" shapeId="0" xr:uid="{00000000-0006-0000-1500-000038000000}">
      <text>
        <r>
          <rPr>
            <sz val="9"/>
            <color indexed="81"/>
            <rFont val="Tahoma"/>
            <family val="2"/>
          </rPr>
          <t>Use Comments cells as needed to provide details.</t>
        </r>
      </text>
    </comment>
    <comment ref="D116" authorId="7" shapeId="0" xr:uid="{00000000-0006-0000-1500-000039000000}">
      <text>
        <r>
          <rPr>
            <sz val="9"/>
            <color indexed="81"/>
            <rFont val="Tahoma"/>
            <family val="2"/>
          </rPr>
          <t>Use Comments cells as needed to provide details.</t>
        </r>
      </text>
    </comment>
    <comment ref="D125" authorId="8" shapeId="0" xr:uid="{00000000-0006-0000-1500-00003A000000}">
      <text>
        <r>
          <rPr>
            <sz val="9"/>
            <color indexed="81"/>
            <rFont val="Tahoma"/>
            <family val="2"/>
          </rPr>
          <t>Required Residential Debt Service: Do not include
residual receipts payments.  Show only "must pay"
residential debt service.</t>
        </r>
      </text>
    </comment>
    <comment ref="D126" authorId="8" shapeId="0" xr:uid="{757CDE34-258E-466D-BDDD-8B18A3A99D7D}">
      <text>
        <r>
          <rPr>
            <sz val="9"/>
            <color indexed="81"/>
            <rFont val="Tahoma"/>
            <family val="2"/>
          </rPr>
          <t>Required Residential Debt Service: Do not include
residual receipts payments.  Show only "must pay"
residential debt service.</t>
        </r>
      </text>
    </comment>
    <comment ref="D127" authorId="8" shapeId="0" xr:uid="{F9D44BBC-AA2B-4A02-BFF9-B4075D931A1F}">
      <text>
        <r>
          <rPr>
            <sz val="9"/>
            <color indexed="81"/>
            <rFont val="Tahoma"/>
            <family val="2"/>
          </rPr>
          <t>Required Residential Debt Service: Do not include
residual receipts payments.  Show only "must pay"
residential debt service.</t>
        </r>
      </text>
    </comment>
    <comment ref="E142" authorId="4" shapeId="0" xr:uid="{00000000-0006-0000-1500-000042000000}">
      <text>
        <r>
          <rPr>
            <sz val="8"/>
            <color indexed="81"/>
            <rFont val="Tahoma"/>
            <family val="2"/>
          </rPr>
          <t>Rolls to Cash Flow sheet below Debt
Service Coverage Ratio line.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Gutierrez, Alfredo@HCD</author>
    <author>rschmunk</author>
  </authors>
  <commentList>
    <comment ref="E2" authorId="0" shapeId="0" xr:uid="{B2D2ED28-7395-43C8-8D46-46DE7325D0EE}">
      <text>
        <r>
          <rPr>
            <sz val="9"/>
            <color indexed="81"/>
            <rFont val="Tahoma"/>
            <family val="2"/>
          </rPr>
          <t>Construction Sources Totals</t>
        </r>
      </text>
    </comment>
    <comment ref="E3" authorId="0" shapeId="0" xr:uid="{3C07AD07-1242-4EEC-82CD-70617A2698E7}">
      <text>
        <r>
          <rPr>
            <sz val="9"/>
            <color indexed="81"/>
            <rFont val="Tahoma"/>
            <family val="2"/>
          </rPr>
          <t>Permanent Sources Totals</t>
        </r>
      </text>
    </comment>
    <comment ref="C4" authorId="0" shapeId="0" xr:uid="{1880B4AC-41D7-4F20-A039-2956F835020D}">
      <text>
        <r>
          <rPr>
            <sz val="9"/>
            <color indexed="81"/>
            <rFont val="Tahoma"/>
            <family val="2"/>
          </rPr>
          <t>Funding Committed by Application Due Date?</t>
        </r>
      </text>
    </comment>
    <comment ref="D4" authorId="0" shapeId="0" xr:uid="{4A70BD7A-535A-44B0-A4D1-EF21AC8258E9}">
      <text>
        <r>
          <rPr>
            <sz val="9"/>
            <color indexed="81"/>
            <rFont val="Tahoma"/>
            <family val="2"/>
          </rPr>
          <t>1)  Do not show deferred costs as a source. 
2) Include any locality fee waivers as a source and show that
    there are no repayment requirements by entering "None"
    in the "Required Payment" column.</t>
        </r>
      </text>
    </comment>
    <comment ref="F4" authorId="0" shapeId="0" xr:uid="{5F4098F9-A42D-4FB0-812C-39B6F3FC2135}">
      <text>
        <r>
          <rPr>
            <sz val="9"/>
            <color indexed="81"/>
            <rFont val="Tahoma"/>
            <family val="2"/>
          </rPr>
          <t>If no lien position, type
 "N/A".</t>
        </r>
      </text>
    </comment>
    <comment ref="J4" authorId="0" shapeId="0" xr:uid="{6193C427-8CE6-4F03-AF45-2FD3F1485D87}">
      <text>
        <r>
          <rPr>
            <sz val="9"/>
            <color indexed="81"/>
            <rFont val="Tahoma"/>
            <family val="2"/>
          </rPr>
          <t>Actual or projected rate during construction period.</t>
        </r>
      </text>
    </comment>
    <comment ref="N4" authorId="0" shapeId="0" xr:uid="{0AB29F09-827D-467E-AE65-46C05332EE9F}">
      <text>
        <r>
          <rPr>
            <sz val="9"/>
            <color indexed="81"/>
            <rFont val="Tahoma"/>
            <family val="2"/>
          </rPr>
          <t>Select the amortization period that the interest rate is based
on; i.e.., fixed, variable, fixed with reset, etc.</t>
        </r>
      </text>
    </comment>
    <comment ref="P4" authorId="0" shapeId="0" xr:uid="{3AA2D9AC-2E8F-49D1-9412-6B0DCD05A977}">
      <text>
        <r>
          <rPr>
            <sz val="9"/>
            <color indexed="81"/>
            <rFont val="Tahoma"/>
            <family val="2"/>
          </rPr>
          <t>FAM = Fully Amortized; AWC = Amortized with Call;
RR = Residual Receipts; DEF= Deferred;
IO = Interest Only;
F2FL = Fixed to Float;
MHP = Partial Interest Only</t>
        </r>
      </text>
    </comment>
    <comment ref="R4" authorId="0" shapeId="0" xr:uid="{9C20E72B-EF99-4735-9854-707EE08A184C}">
      <text>
        <r>
          <rPr>
            <sz val="9"/>
            <color indexed="81"/>
            <rFont val="Tahoma"/>
            <family val="2"/>
          </rPr>
          <t>Do not include residual receipts payments. 
Show only "must pay" residential debt service.</t>
        </r>
      </text>
    </comment>
    <comment ref="S4" authorId="0" shapeId="0" xr:uid="{ADD4DAF9-53D0-4160-BFDF-40EBB0601F01}">
      <text>
        <r>
          <rPr>
            <sz val="9"/>
            <color indexed="81"/>
            <rFont val="Tahoma"/>
            <family val="2"/>
          </rPr>
          <t>Do not include residual receipts payments.
Show only "must pay" commercial debt service.</t>
        </r>
      </text>
    </comment>
    <comment ref="T4" authorId="1" shapeId="0" xr:uid="{2229A8EC-9F4C-4F65-96DD-B9F22A3156D1}">
      <text>
        <r>
          <rPr>
            <sz val="8"/>
            <color indexed="81"/>
            <rFont val="Tahoma"/>
            <family val="2"/>
          </rPr>
          <t>Amount of tax-exempt bond proceeds.</t>
        </r>
        <r>
          <rPr>
            <sz val="8"/>
            <color indexed="81"/>
            <rFont val="Tahoma"/>
            <family val="2"/>
          </rPr>
          <t xml:space="preserve">
</t>
        </r>
      </text>
    </comment>
    <comment ref="D32" authorId="0" shapeId="0" xr:uid="{50374AA1-00D5-49E3-B395-963628A9783F}">
      <text>
        <r>
          <rPr>
            <sz val="9"/>
            <color indexed="81"/>
            <rFont val="Tahoma"/>
            <family val="2"/>
          </rPr>
          <t>Overwrite only if Investor
or syndicator name is known.</t>
        </r>
      </text>
    </comment>
    <comment ref="B33" authorId="0" shapeId="0" xr:uid="{3E73E624-6D64-48F2-B04F-EBB4243DD9EF}">
      <text>
        <r>
          <rPr>
            <sz val="9"/>
            <color indexed="81"/>
            <rFont val="Tahoma"/>
            <family val="2"/>
          </rPr>
          <t>HCD programs must take second position
on lien priority. See UMR section 8315
for subordination exemptions.</t>
        </r>
      </text>
    </comment>
    <comment ref="D61" authorId="0" shapeId="0" xr:uid="{919FD48B-6E82-4F3F-99EE-CC18A7316B0B}">
      <text>
        <r>
          <rPr>
            <sz val="9"/>
            <color indexed="81"/>
            <rFont val="Tahoma"/>
            <family val="2"/>
          </rPr>
          <t>Overwrite only if Investor
or syndicator name is known.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George Rodine</author>
    <author>Gutierrez, Alfredo@HCD</author>
    <author>fhl4a</author>
  </authors>
  <commentList>
    <comment ref="F4" authorId="0" shapeId="0" xr:uid="{00000000-0006-0000-1100-000001000000}">
      <text>
        <r>
          <rPr>
            <sz val="9"/>
            <color indexed="81"/>
            <rFont val="Tahoma"/>
            <family val="2"/>
          </rPr>
          <t xml:space="preserve">PVC - Present Value Credit 
</t>
        </r>
      </text>
    </comment>
    <comment ref="G4" authorId="0" shapeId="0" xr:uid="{00000000-0006-0000-1100-000002000000}">
      <text>
        <r>
          <rPr>
            <sz val="9"/>
            <color indexed="81"/>
            <rFont val="Tahoma"/>
            <family val="2"/>
          </rPr>
          <t xml:space="preserve">PVC - Present Value Credit 
</t>
        </r>
      </text>
    </comment>
    <comment ref="B115" authorId="1" shapeId="0" xr:uid="{A266DF6B-7D1D-4B7A-9F8C-CEA3F0DDFD21}">
      <text>
        <r>
          <rPr>
            <sz val="9"/>
            <color indexed="81"/>
            <rFont val="Tahoma"/>
            <family val="2"/>
          </rPr>
          <t>Total Site Acquisition (not parking)</t>
        </r>
      </text>
    </comment>
    <comment ref="B162" authorId="2" shapeId="0" xr:uid="{475DCC18-237A-469E-AC1B-9F7751683EC3}">
      <text>
        <r>
          <rPr>
            <sz val="9"/>
            <color indexed="81"/>
            <rFont val="Tahoma"/>
            <family val="2"/>
          </rPr>
          <t xml:space="preserve">§304(a)(4)(A) Structured Parking spaces that are required replacement
of Transit Station parking spaces, or public Structured Parking required
as a condition of approval for the QIP within one-half mile of a Major
Transit Stop or Transit Station, not to exceed $50,000 per space.
</t>
        </r>
      </text>
    </comment>
    <comment ref="B169" authorId="2" shapeId="0" xr:uid="{5CB9752D-3A96-4BB4-8747-BF9BE84C812E}">
      <text>
        <r>
          <rPr>
            <sz val="9"/>
            <color indexed="81"/>
            <rFont val="Tahoma"/>
            <family val="2"/>
          </rPr>
          <t xml:space="preserve">§304(a)(4)(B) Residential Structured Parking and mechanical parking lifts.
The minimum residential per unit parking spaces in Structured Parking,
as required by local land-use entitlement approval, not to exceed one
parking space per residential unit, and not to exceed $50,000 per permitted space.
</t>
        </r>
      </text>
    </comment>
    <comment ref="C184" authorId="0" shapeId="0" xr:uid="{FD269B9D-A8A6-4C88-898E-FC75D368D859}">
      <text>
        <r>
          <rPr>
            <sz val="9"/>
            <color indexed="81"/>
            <rFont val="Tahoma"/>
            <family val="2"/>
          </rPr>
          <t>Impact fees required by local ordinance are eligible for funding only if used for the identified eligible Capital Project not to exceed 5% of the CIP Program award.</t>
        </r>
      </text>
    </comment>
    <comment ref="C185" authorId="0" shapeId="0" xr:uid="{01B37D64-0831-402D-8EB1-8FCAD4DC7C41}">
      <text>
        <r>
          <rPr>
            <sz val="9"/>
            <color indexed="81"/>
            <rFont val="Tahoma"/>
            <family val="2"/>
          </rPr>
          <t>Impact fees required by local ordinance are eligible for funding only if used for the identified eligible Capital Project not to exceed 5% of the CIP Program award.</t>
        </r>
      </text>
    </comment>
    <comment ref="C186" authorId="0" shapeId="0" xr:uid="{BD2ECD02-5BF3-4A90-A4A6-C40331BAAB80}">
      <text>
        <r>
          <rPr>
            <sz val="9"/>
            <color indexed="81"/>
            <rFont val="Tahoma"/>
            <family val="2"/>
          </rPr>
          <t>Impact fees required by local ordinance are eligible for funding only if used for the identified eligible Capital Project not to exceed 5% of the CIP Program award.</t>
        </r>
      </text>
    </comment>
    <comment ref="C187" authorId="0" shapeId="0" xr:uid="{4C330C5E-E08B-48B2-86D5-FB99F3F39DBD}">
      <text>
        <r>
          <rPr>
            <sz val="9"/>
            <color indexed="81"/>
            <rFont val="Tahoma"/>
            <family val="2"/>
          </rPr>
          <t>Impact fees required by local ordinance are eligible for funding only if used for the identified eligible Capital Project not to exceed 5% of the CIP Program award.</t>
        </r>
      </text>
    </comment>
    <comment ref="C188" authorId="0" shapeId="0" xr:uid="{746623B4-3500-40DC-9827-B2E179E0F628}">
      <text>
        <r>
          <rPr>
            <sz val="9"/>
            <color indexed="81"/>
            <rFont val="Tahoma"/>
            <family val="2"/>
          </rPr>
          <t>Impact fees required by local ordinance are eligible for funding only if used for the identified eligible Capital Project not to exceed 5% of the CIP Program award.</t>
        </r>
      </text>
    </comment>
    <comment ref="C189" authorId="0" shapeId="0" xr:uid="{95282A2E-BCFA-4A4B-8C1F-3F526A27A43E}">
      <text>
        <r>
          <rPr>
            <sz val="9"/>
            <color indexed="81"/>
            <rFont val="Tahoma"/>
            <family val="2"/>
          </rPr>
          <t>Impact fees required by local ordinance are eligible for funding only if used for the identified eligible Capital Project not to exceed 5% of the CIP Program award.</t>
        </r>
      </text>
    </comment>
    <comment ref="B198" authorId="1" shapeId="0" xr:uid="{11D112BE-8F84-485F-B5CD-01A408EEE0BE}">
      <text>
        <r>
          <rPr>
            <sz val="9"/>
            <color indexed="81"/>
            <rFont val="Tahoma"/>
            <family val="2"/>
          </rPr>
          <t>Total Other Asset Costs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grodine</author>
    <author>tc={4C914BDB-70CF-4A0A-BA50-69E902D6A4E6}</author>
  </authors>
  <commentList>
    <comment ref="AF7" authorId="0" shapeId="0" xr:uid="{00000000-0006-0000-1600-000001000000}">
      <text>
        <r>
          <rPr>
            <sz val="9"/>
            <color indexed="81"/>
            <rFont val="Tahoma"/>
            <family val="2"/>
          </rPr>
          <t>For new construction or conversion Projects, the initial amount
of annual deposits to the replacement reserve account shall be
equal to at least the lesser of 0.6% of estimated construction
costs associated with structures in the Project, excluding
construction contingency and general contractor profit,
overhead and general requirements.</t>
        </r>
      </text>
    </comment>
    <comment ref="AN41" authorId="1" shapeId="0" xr:uid="{4C914BDB-70CF-4A0A-BA50-69E902D6A4E6}">
      <text>
        <r>
          <rPr>
            <sz val="10"/>
            <rFont val="Arial"/>
            <family val="2"/>
          </rPr>
          <t>[Threaded comment]
Your version of Excel allows you to read this threaded comment; however, any edits to it will get removed if the file is opened in a newer version of Excel. Learn more: https://go.microsoft.com/fwlink/?linkid=870924
Comment:
    Verify cells per comments. from here down.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Gutierrez, Alfredo@HCD</author>
    <author>Russ Schmunk</author>
    <author>rschmunk</author>
  </authors>
  <commentList>
    <comment ref="X1" authorId="0" shapeId="0" xr:uid="{E438C06F-0332-491A-980F-EAFF148B9048}">
      <text>
        <r>
          <rPr>
            <sz val="9"/>
            <color indexed="81"/>
            <rFont val="Tahoma"/>
            <family val="2"/>
          </rPr>
          <t>Serna
New Construction
High(est) Resource Area</t>
        </r>
      </text>
    </comment>
    <comment ref="BI1" authorId="0" shapeId="0" xr:uid="{C4FBF60F-C82B-4B8A-B8A4-1297B25A0092}">
      <text>
        <r>
          <rPr>
            <sz val="9"/>
            <color indexed="81"/>
            <rFont val="Tahoma"/>
            <family val="2"/>
          </rPr>
          <t>Multifamily Housing Program (MHP) 2021
Per Unit Loan Limits Projects without 9%
Tax Credits - other Restricted units</t>
        </r>
      </text>
    </comment>
    <comment ref="BN1" authorId="0" shapeId="0" xr:uid="{06C029B2-4521-47D6-A538-87C83CAA0BEF}">
      <text>
        <r>
          <rPr>
            <sz val="9"/>
            <color indexed="81"/>
            <rFont val="Tahoma"/>
            <family val="2"/>
          </rPr>
          <t>Multifamily Housing Program (MHP) 2021 Per Unit
Loan Limits - Projects without 9% Tax Credits
(Supportive Housing units &amp; Restricted units in a
Large Family new construction project located in a
“High Resource” or “Highest Resource” area on the
TCAC/HCD Opportunity Map) Opportunity Map</t>
        </r>
      </text>
    </comment>
    <comment ref="CD1" authorId="0" shapeId="0" xr:uid="{DD19C3BD-5B79-4E68-B1D2-5E6825574326}">
      <text>
        <r>
          <rPr>
            <sz val="9"/>
            <color indexed="81"/>
            <rFont val="Tahoma"/>
            <family val="2"/>
          </rPr>
          <t>Multifamily Housing Program
(MHP) 2021 Per Unit Loan Limits</t>
        </r>
      </text>
    </comment>
    <comment ref="CE1" authorId="0" shapeId="0" xr:uid="{0C331AC9-63A2-4CB9-917D-0EDC62201689}">
      <text>
        <r>
          <rPr>
            <sz val="9"/>
            <color indexed="81"/>
            <rFont val="Tahoma"/>
            <family val="2"/>
          </rPr>
          <t>Unit Loan Limits Projects with
9% Tax Credits - other Restricted
unit</t>
        </r>
      </text>
    </comment>
    <comment ref="CJ1" authorId="0" shapeId="0" xr:uid="{07C3EBFA-19F8-404B-96F8-67E2E12E23A4}">
      <text>
        <r>
          <rPr>
            <sz val="9"/>
            <color indexed="81"/>
            <rFont val="Tahoma"/>
            <family val="2"/>
          </rPr>
          <t>Multifamily Housing Program (MHP) 2021 Per Unit
Loan Limits - Projects with 9% Tax Credits
(Supportive Housing units &amp; Restricted units in a
Large Family new construction project located in a
“High Resource” or “Highest Resource” area on the
TCAC/HCD Opportunity Map)</t>
        </r>
      </text>
    </comment>
    <comment ref="K3" authorId="0" shapeId="0" xr:uid="{ABF44CCF-485F-49F2-9920-53B558D42A28}">
      <text>
        <r>
          <rPr>
            <sz val="9"/>
            <color indexed="81"/>
            <rFont val="Tahoma"/>
            <family val="2"/>
          </rPr>
          <t xml:space="preserve">Large Family Project Requirements,
7302(e)(1). Restricted Units at least
25% have 3 or more bedrooms and
at least an additional 25% have 2 or
more bedrooms. </t>
        </r>
      </text>
    </comment>
    <comment ref="R3" authorId="0" shapeId="0" xr:uid="{A52ABD33-3F9C-43E6-AE95-0061EEB8CF4F}">
      <text>
        <r>
          <rPr>
            <sz val="9"/>
            <color indexed="81"/>
            <rFont val="Tahoma"/>
            <family val="2"/>
          </rPr>
          <t>Large Family in a High(est)
Resource Area.</t>
        </r>
      </text>
    </comment>
    <comment ref="AH3" authorId="0" shapeId="0" xr:uid="{7FC50A41-6E55-4AAB-BEA0-91690B04E419}">
      <text>
        <r>
          <rPr>
            <sz val="9"/>
            <color indexed="81"/>
            <rFont val="Tahoma"/>
            <family val="2"/>
          </rPr>
          <t>Tax Credit Income Limits per Hud Notice 04/01/2020
CTCAC, CDLAC, MHP, and CalHFA rent limits are calculated
based on the below income limits, and are automatically
shown below.</t>
        </r>
      </text>
    </comment>
    <comment ref="AP5" authorId="0" shapeId="0" xr:uid="{5E06CF28-97BD-4DA9-ABD4-7D4B8D08B268}">
      <text>
        <r>
          <rPr>
            <sz val="9"/>
            <color indexed="81"/>
            <rFont val="Tahoma"/>
            <family val="2"/>
          </rPr>
          <t xml:space="preserve">Incremental Income from Rent/Operating Subsidies
Based on Contract Rents
The chart below estimates incremental income from rent
subsidy contracts, such as Section 8, above and beyond
either 1) maximum restricted rents or 2) proposed rents.
Complete this part only if the Project will have a rent
subsidy based on contract rents. </t>
        </r>
      </text>
    </comment>
    <comment ref="E6" authorId="0" shapeId="0" xr:uid="{E062AE19-7C70-4620-8349-B40871851134}">
      <text>
        <r>
          <rPr>
            <sz val="9"/>
            <color indexed="81"/>
            <rFont val="Tahoma"/>
            <family val="2"/>
          </rPr>
          <t>Program(s) Assisted Units</t>
        </r>
      </text>
    </comment>
    <comment ref="AF6" authorId="0" shapeId="0" xr:uid="{8EEE0E40-03EE-4796-AD78-D7A548F9BD58}">
      <text>
        <r>
          <rPr>
            <sz val="9"/>
            <color indexed="81"/>
            <rFont val="Tahoma"/>
            <family val="2"/>
          </rPr>
          <t>A Manager's Unit will be considered
to be a Restricted Unit in qualifying
for a loan amount up to the 60%
AMI level.</t>
        </r>
      </text>
    </comment>
    <comment ref="AB8" authorId="0" shapeId="0" xr:uid="{5CA8BFA3-9175-40EA-95F5-CBB8DFEBB9B0}">
      <text>
        <r>
          <rPr>
            <sz val="9"/>
            <color indexed="81"/>
            <rFont val="Tahoma"/>
            <family val="2"/>
          </rPr>
          <t>Base Grant Limit</t>
        </r>
      </text>
    </comment>
    <comment ref="K9" authorId="0" shapeId="0" xr:uid="{52FA02DC-B7FB-490F-A9D3-61D23615DA64}">
      <text>
        <r>
          <rPr>
            <sz val="9"/>
            <color indexed="81"/>
            <rFont val="Tahoma"/>
            <family val="2"/>
          </rPr>
          <t xml:space="preserve">“Special Needs Population(s)" means:
(1) individuals living with physical or sensory disabilities and transitioning from hospitals, nursing homes, development
     centers, or other care facilities;
(2) individuals living with intellectual disabilities, as defined in section 7301(y), or developmental disabilities;
(3) individuals living with serious mental illness;
(4) individuals with substance abuse disorders;
(5) individuals who are fleeing domestic violence, sexual assault, and human trafficking;
(6) individuals who are experiencing Homelessness, including Chronically Homeless;
(7) individuals with chronic illness, including HIV;
(8) homeless youth as defined in Government Code (GC) Section (§) 12957(e)(2);
(9) families in the child welfare system for whom the absence of housing is a barrier to family reunification, as
     certified by a county;
(10) Frail Elderly persons; or
(11) other specific groups with unique housing needs as determined by the Department.
“Special Needs Populations” do not include seniors or veterans unless they otherwise qualify as a Special Needs Population.
</t>
        </r>
      </text>
    </comment>
    <comment ref="L9" authorId="0" shapeId="0" xr:uid="{14FA6BE1-EEFF-418D-AD1E-B4853D67B398}">
      <text>
        <r>
          <rPr>
            <sz val="9"/>
            <color indexed="81"/>
            <rFont val="Tahoma"/>
            <family val="2"/>
          </rPr>
          <t>“Chronic Homelessness” means the condition
experienced by people defined as “Chronically
Homeless” under the federal Continuum of Care
Program, at 24 Code of Federal Regulations (CFR)
578.3.</t>
        </r>
      </text>
    </comment>
    <comment ref="N9" authorId="0" shapeId="0" xr:uid="{03A86BCB-4F12-4E4F-8D4C-44832EACD495}">
      <text>
        <r>
          <rPr>
            <sz val="9"/>
            <color indexed="81"/>
            <rFont val="Tahoma"/>
            <family val="2"/>
          </rPr>
          <t xml:space="preserve">“Homelessness” means the condition
of individuals and households who meet
the definition of “homeless” in 24 CFR
Section 578.3. “Homelessness” includes
“Chronic Homelessness”. </t>
        </r>
      </text>
    </comment>
    <comment ref="O9" authorId="0" shapeId="0" xr:uid="{55205393-B4B0-4844-9E88-81C95C4328DA}">
      <text>
        <r>
          <rPr>
            <sz val="9"/>
            <color indexed="81"/>
            <rFont val="Tahoma"/>
            <family val="2"/>
          </rPr>
          <t>“Chronic Homelessness” means the condition
experienced by people defined as “Chronically
Homeless” under the federal Continuum of Care
Program, at 24 Code of Federal Regulations (CFR)
578.3.</t>
        </r>
      </text>
    </comment>
    <comment ref="Q9" authorId="0" shapeId="0" xr:uid="{43114533-0958-4355-9187-5114C807C66F}">
      <text>
        <r>
          <rPr>
            <sz val="9"/>
            <color indexed="81"/>
            <rFont val="Tahoma"/>
            <family val="2"/>
          </rPr>
          <t xml:space="preserve">“Homelessness” means the condition
of individuals and households who meet
the definition of “homeless” in 24 CFR
Section 578.3. “Homelessness” includes
“Chronic Homelessness”. </t>
        </r>
      </text>
    </comment>
    <comment ref="R9" authorId="0" shapeId="0" xr:uid="{5E4BED09-D293-4229-9A9E-D5871BB144B6}">
      <text>
        <r>
          <rPr>
            <sz val="9"/>
            <color indexed="81"/>
            <rFont val="Tahoma"/>
            <family val="2"/>
          </rPr>
          <t>Section 7301(h) “At Risk of Homelessness” means the condition
of individuals or households who meet the definition of at risk of
homelessness in 24 CFR 578.3, except that the individual or
household annual income is below 40 percent of median family
income for the area.</t>
        </r>
      </text>
    </comment>
    <comment ref="U9" authorId="0" shapeId="0" xr:uid="{81AAE32F-BD4E-4E6D-8F21-B933E8ADB941}">
      <text>
        <r>
          <rPr>
            <sz val="9"/>
            <color indexed="81"/>
            <rFont val="Tahoma"/>
            <family val="2"/>
          </rPr>
          <t>UMR Section 8304 (q) 
“Restricted Unit” means any Assisted Unit and any Unit that is 
subject to Rent and occupancy restrictions that are comparable to 
those applicable to Assisted Units. Restricted Units include Units 
subject to a TCAC regulatory agreement, and all Units subject to 
similar long-term, low-income or occupancy restrictions imposed by 
other public agencies.</t>
        </r>
      </text>
    </comment>
    <comment ref="AA9" authorId="0" shapeId="0" xr:uid="{9D5D494C-F8F3-4B56-948D-F703CF7B39A6}">
      <text>
        <r>
          <rPr>
            <sz val="9"/>
            <color indexed="81"/>
            <rFont val="Tahoma"/>
            <family val="2"/>
          </rPr>
          <t xml:space="preserve">Section 7307 (e)
Joint ventures between an experienced
Sponsor and an Emerging Developer,
Community-Based Developer, or New
Community-Based Developer will have 
increased maximum loan limits by
$25,000 per unit. </t>
        </r>
      </text>
    </comment>
    <comment ref="AD9" authorId="0" shapeId="0" xr:uid="{B0BD8746-0D09-4953-934C-02B25F93970D}">
      <text>
        <r>
          <rPr>
            <sz val="9"/>
            <color indexed="81"/>
            <rFont val="Tahoma"/>
            <family val="2"/>
          </rPr>
          <t>NC = New Construction
RA = Resource Area</t>
        </r>
      </text>
    </comment>
    <comment ref="AG9" authorId="0" shapeId="0" xr:uid="{00000000-0006-0000-0C00-000002000000}">
      <text>
        <r>
          <rPr>
            <sz val="9"/>
            <color indexed="81"/>
            <rFont val="Tahoma"/>
            <family val="2"/>
          </rPr>
          <t>LF = Large Family
NC = New Construction
RA = Resource Area</t>
        </r>
      </text>
    </comment>
    <comment ref="AM9" authorId="0" shapeId="0" xr:uid="{00000000-0006-0000-0C00-000003000000}">
      <text>
        <r>
          <rPr>
            <sz val="9"/>
            <color indexed="81"/>
            <rFont val="Tahoma"/>
            <family val="2"/>
          </rPr>
          <t>HCD and CDLAC cash flow analysis will be based on restricted rents, not proposed lower levels.</t>
        </r>
      </text>
    </comment>
    <comment ref="AR61" authorId="1" shapeId="0" xr:uid="{00000000-0006-0000-0C00-000004000000}">
      <text>
        <r>
          <rPr>
            <sz val="8"/>
            <color rgb="FF000000"/>
            <rFont val="Tahoma"/>
            <family val="2"/>
          </rPr>
          <t>E.g. Shelter Plus Care, Section 8</t>
        </r>
      </text>
    </comment>
    <comment ref="AT61" authorId="1" shapeId="0" xr:uid="{00000000-0006-0000-0C00-000005000000}">
      <text>
        <r>
          <rPr>
            <sz val="8"/>
            <color rgb="FF000000"/>
            <rFont val="Tahoma"/>
            <family val="2"/>
          </rPr>
          <t>E.g. Shelter Plus Care, Section 8</t>
        </r>
      </text>
    </comment>
    <comment ref="AV61" authorId="1" shapeId="0" xr:uid="{00000000-0006-0000-0C00-000006000000}">
      <text>
        <r>
          <rPr>
            <sz val="8"/>
            <color rgb="FF000000"/>
            <rFont val="Tahoma"/>
            <family val="2"/>
          </rPr>
          <t>E.g. Shelter Plus Care, Section 8</t>
        </r>
      </text>
    </comment>
    <comment ref="AR62" authorId="2" shapeId="0" xr:uid="{00000000-0006-0000-0C00-000007000000}">
      <text>
        <r>
          <rPr>
            <sz val="8"/>
            <color rgb="FF000000"/>
            <rFont val="Tahoma"/>
            <family val="2"/>
          </rPr>
          <t>e.g. Project Based Vouchers, Sponsor Based Rental Assistance</t>
        </r>
      </text>
    </comment>
    <comment ref="AT62" authorId="2" shapeId="0" xr:uid="{00000000-0006-0000-0C00-000008000000}">
      <text>
        <r>
          <rPr>
            <sz val="8"/>
            <color rgb="FF000000"/>
            <rFont val="Tahoma"/>
            <family val="2"/>
          </rPr>
          <t>e.g. Project Based Vouchers, Sponsor Based Rental Assistance</t>
        </r>
      </text>
    </comment>
    <comment ref="AV62" authorId="2" shapeId="0" xr:uid="{00000000-0006-0000-0C00-000009000000}">
      <text>
        <r>
          <rPr>
            <sz val="8"/>
            <color rgb="FF000000"/>
            <rFont val="Tahoma"/>
            <family val="2"/>
          </rPr>
          <t>e.g. Project Based Vouchers, Sponsor Based Rental Assistance</t>
        </r>
      </text>
    </comment>
    <comment ref="AR71" authorId="2" shapeId="0" xr:uid="{00000000-0006-0000-0C00-00000A000000}">
      <text>
        <r>
          <rPr>
            <sz val="8"/>
            <color indexed="81"/>
            <rFont val="Tahoma"/>
            <family val="2"/>
          </rPr>
          <t>If existing contract, remaining term.  If new contract, initial term.</t>
        </r>
      </text>
    </comment>
    <comment ref="AT71" authorId="2" shapeId="0" xr:uid="{00000000-0006-0000-0C00-00000B000000}">
      <text>
        <r>
          <rPr>
            <sz val="8"/>
            <color indexed="81"/>
            <rFont val="Tahoma"/>
            <family val="2"/>
          </rPr>
          <t>If existing contract, remaining term.  If new contract, initial term.</t>
        </r>
      </text>
    </comment>
    <comment ref="AV71" authorId="2" shapeId="0" xr:uid="{00000000-0006-0000-0C00-00000C000000}">
      <text>
        <r>
          <rPr>
            <sz val="8"/>
            <color indexed="81"/>
            <rFont val="Tahoma"/>
            <family val="2"/>
          </rPr>
          <t>If existing contract, remaining term.  If new contract, initial term.</t>
        </r>
      </text>
    </comment>
    <comment ref="BT82" authorId="0" shapeId="0" xr:uid="{DF5BB1AC-4089-490C-85F9-FBE36940ADC0}">
      <text>
        <r>
          <rPr>
            <sz val="9"/>
            <color indexed="81"/>
            <rFont val="Tahoma"/>
            <family val="2"/>
          </rPr>
          <t>Included at 60% above for purposes only.</t>
        </r>
      </text>
    </comment>
    <comment ref="BT83" authorId="0" shapeId="0" xr:uid="{EA337840-3D5B-4A4C-9320-44447AB7B41B}">
      <text>
        <r>
          <rPr>
            <sz val="9"/>
            <color indexed="81"/>
            <rFont val="Tahoma"/>
            <family val="2"/>
          </rPr>
          <t>100% for Scoring purposes only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Gutierrez, Alfredo@HCD</author>
    <author>tc={A84E9FC3-6AEB-48E6-8FEB-62E1473C78A1}</author>
  </authors>
  <commentList>
    <comment ref="B9" authorId="0" shapeId="0" xr:uid="{B15921A7-94A0-48DA-9AAF-EA2E892E8153}">
      <text>
        <r>
          <rPr>
            <sz val="9"/>
            <color indexed="81"/>
            <rFont val="Tahoma"/>
            <family val="2"/>
          </rPr>
          <t>Section 7302(e)(1)
Large Family, where of the Restricted
Units at least 25 percent have three
or more bedrooms, and at least an
additional 25 percent have two or
more bedrooms.</t>
        </r>
      </text>
    </comment>
    <comment ref="G9" authorId="0" shapeId="0" xr:uid="{307E319A-06D6-4DB2-A883-3129C65D6315}">
      <text>
        <r>
          <rPr>
            <sz val="9"/>
            <color indexed="81"/>
            <rFont val="Tahoma"/>
            <family val="2"/>
          </rPr>
          <t>as designated in the most recently updated
TCAC/HCD Opportunity Area Maps or such
other map as federal designations may issue
that has been approved by the Department
for this purpose.</t>
        </r>
      </text>
    </comment>
    <comment ref="N9" authorId="0" shapeId="0" xr:uid="{B5E9EEF0-7D63-4B4D-9F78-A6CED4F3FF98}">
      <text>
        <r>
          <rPr>
            <sz val="9"/>
            <color indexed="81"/>
            <rFont val="Tahoma"/>
            <family val="2"/>
          </rPr>
          <t>“Rural Area” has the meaning set
forth in Health and Safety Code
section 50199.21.</t>
        </r>
      </text>
    </comment>
    <comment ref="W13" authorId="0" shapeId="0" xr:uid="{92718284-70BB-4E83-A56B-85A6B0C01112}">
      <text>
        <r>
          <rPr>
            <sz val="9"/>
            <color indexed="81"/>
            <rFont val="Tahoma"/>
            <family val="2"/>
          </rPr>
          <t>TDC = Total Development Cost</t>
        </r>
      </text>
    </comment>
    <comment ref="B18" authorId="0" shapeId="0" xr:uid="{94D9F6FE-A7DD-4A88-BC97-E37F7BF2DAAE}">
      <text>
        <r>
          <rPr>
            <sz val="9"/>
            <color indexed="81"/>
            <rFont val="Tahoma"/>
            <family val="2"/>
          </rPr>
          <t>MHP maximum Allowable
Loan Amount, complete
table below.</t>
        </r>
      </text>
    </comment>
    <comment ref="B19" authorId="0" shapeId="0" xr:uid="{D798A556-D96F-4254-A289-949623E71E39}">
      <text>
        <r>
          <rPr>
            <sz val="9"/>
            <color indexed="81"/>
            <rFont val="Tahoma"/>
            <family val="2"/>
          </rPr>
          <t>MHP maximum Allowable
Loan Amount, complete
table below.</t>
        </r>
      </text>
    </comment>
    <comment ref="B20" authorId="0" shapeId="0" xr:uid="{E8943803-0B62-445F-8982-DCFE73FF0BF9}">
      <text>
        <r>
          <rPr>
            <sz val="9"/>
            <color indexed="81"/>
            <rFont val="Tahoma"/>
            <family val="2"/>
          </rPr>
          <t>VHHP maximum Allowable
Loan Amount, complete
table below.</t>
        </r>
      </text>
    </comment>
    <comment ref="B21" authorId="0" shapeId="0" xr:uid="{B822EC25-41F5-425B-93A2-354B6EA2B96C}">
      <text>
        <r>
          <rPr>
            <sz val="9"/>
            <color indexed="81"/>
            <rFont val="Tahoma"/>
            <family val="2"/>
          </rPr>
          <t xml:space="preserve">Section 7307 (e)
Joint ventures between an experienced
Sponsor and an Emerging Developer,
Community-Based Developer, or New
Community-Based Developer will have 
increased maximum loan limits by
$25,000 per unit. </t>
        </r>
      </text>
    </comment>
    <comment ref="Q28" authorId="0" shapeId="0" xr:uid="{140E9107-F9FF-4B72-8CBA-ED9BD8AF8E33}">
      <text>
        <r>
          <rPr>
            <sz val="9"/>
            <color indexed="81"/>
            <rFont val="Tahoma"/>
            <family val="2"/>
          </rPr>
          <t>TDC = Total Development Cost</t>
        </r>
      </text>
    </comment>
    <comment ref="X28" authorId="0" shapeId="0" xr:uid="{21FBD273-39E3-4B24-B94C-8E2472969855}">
      <text>
        <r>
          <rPr>
            <sz val="9"/>
            <color indexed="81"/>
            <rFont val="Tahoma"/>
            <family val="2"/>
          </rPr>
          <t xml:space="preserve">Net Syndication Proceeds/Investor Equity </t>
        </r>
      </text>
    </comment>
    <comment ref="AC28" authorId="0" shapeId="0" xr:uid="{F651E558-79C2-465A-974D-5A6D21B50F77}">
      <text>
        <r>
          <rPr>
            <sz val="9"/>
            <color indexed="81"/>
            <rFont val="Tahoma"/>
            <family val="2"/>
          </rPr>
          <t>Additional Owner/General Partner Equity
(Including Deferred Developer Fee)</t>
        </r>
      </text>
    </comment>
    <comment ref="AH28" authorId="0" shapeId="0" xr:uid="{B244AE70-38F7-4EB1-AC50-D66D56A5AAF8}">
      <text>
        <r>
          <rPr>
            <sz val="9"/>
            <color indexed="81"/>
            <rFont val="Tahoma"/>
            <family val="2"/>
          </rPr>
          <t>Estimated
Financing Needed</t>
        </r>
      </text>
    </comment>
    <comment ref="X29" authorId="0" shapeId="0" xr:uid="{54AF236F-1EE3-4192-B7F2-EE486FDF45B9}">
      <text>
        <r>
          <rPr>
            <sz val="9"/>
            <color indexed="81"/>
            <rFont val="Tahoma"/>
            <family val="2"/>
          </rPr>
          <t xml:space="preserve">Supportable Conventional
or Bond Debt Financing </t>
        </r>
      </text>
    </comment>
    <comment ref="AC29" authorId="0" shapeId="0" xr:uid="{89FCC283-967B-4E27-8BB7-6C05A09C0BD6}">
      <text>
        <r>
          <rPr>
            <sz val="9"/>
            <color indexed="81"/>
            <rFont val="Tahoma"/>
            <family val="2"/>
          </rPr>
          <t>"</t>
        </r>
        <r>
          <rPr>
            <sz val="9"/>
            <color indexed="10"/>
            <rFont val="Tahoma"/>
            <family val="2"/>
          </rPr>
          <t>Soft</t>
        </r>
        <r>
          <rPr>
            <sz val="9"/>
            <color indexed="81"/>
            <rFont val="Tahoma"/>
            <family val="2"/>
          </rPr>
          <t>" Financing and Grants</t>
        </r>
      </text>
    </comment>
    <comment ref="AH29" authorId="0" shapeId="0" xr:uid="{2B73D6E8-DEC6-4FD1-B190-7E0B5E9C2293}">
      <text>
        <r>
          <rPr>
            <sz val="9"/>
            <color indexed="81"/>
            <rFont val="Tahoma"/>
            <family val="2"/>
          </rPr>
          <t>Permanent Financing
Funding Gap Amount</t>
        </r>
      </text>
    </comment>
    <comment ref="Q30" authorId="0" shapeId="0" xr:uid="{A7666BB4-F8BC-461A-BD13-E2CF0C59D5BE}">
      <text>
        <r>
          <rPr>
            <sz val="9"/>
            <color indexed="81"/>
            <rFont val="Tahoma"/>
            <family val="2"/>
          </rPr>
          <t>Average gross square
footage of Restricted Units</t>
        </r>
      </text>
    </comment>
    <comment ref="X30" authorId="0" shapeId="0" xr:uid="{A07B5057-AF0E-40CA-80BD-BE7FD682EE56}">
      <text>
        <r>
          <rPr>
            <sz val="9"/>
            <color indexed="81"/>
            <rFont val="Tahoma"/>
            <family val="2"/>
          </rPr>
          <t>Average gross square footage
of all residential Units</t>
        </r>
      </text>
    </comment>
    <comment ref="AL30" authorId="0" shapeId="0" xr:uid="{2F5C55AF-0421-46F9-85F9-5C434A851B69}">
      <text>
        <r>
          <rPr>
            <sz val="9"/>
            <color indexed="81"/>
            <rFont val="Tahoma"/>
            <family val="2"/>
          </rPr>
          <t>Restricted Units average gross
square footage as a % of total
residential units average gross
square footage:</t>
        </r>
      </text>
    </comment>
    <comment ref="AN33" authorId="1" shapeId="0" xr:uid="{A84E9FC3-6AEB-48E6-8FEB-62E1473C78A1}">
      <text>
        <r>
          <rPr>
            <sz val="10"/>
            <rFont val="Arial"/>
            <family val="2"/>
          </rPr>
          <t>[Threaded comment]
Your version of Excel allows you to read this threaded comment; however, any edits to it will get removed if the file is opened in a newer version of Excel. Learn more: https://go.microsoft.com/fwlink/?linkid=870924
Comment:
    are the max loan amounts per project remain as last round?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Information Technology</author>
    <author>rschmunk</author>
    <author>Gutierrez, Alfredo@HCD</author>
    <author>eabdala</author>
    <author>Debra Starbuck</author>
    <author>Agutierrez</author>
    <author>grodine</author>
  </authors>
  <commentList>
    <comment ref="B5" authorId="0" shapeId="0" xr:uid="{00000000-0006-0000-1700-000001000000}">
      <text>
        <r>
          <rPr>
            <sz val="9"/>
            <color indexed="8"/>
            <rFont val="Tahoma"/>
            <family val="2"/>
          </rPr>
          <t>This should represent income from all
regulated and income restricted rental units.</t>
        </r>
      </text>
    </comment>
    <comment ref="B6" authorId="0" shapeId="0" xr:uid="{00000000-0006-0000-1700-000002000000}">
      <text>
        <r>
          <rPr>
            <sz val="9"/>
            <color indexed="8"/>
            <rFont val="Tahoma"/>
            <family val="2"/>
          </rPr>
          <t>This may include manager's units that aren't
regulated by income restrictions - or market rate units</t>
        </r>
        <r>
          <rPr>
            <sz val="8"/>
            <color indexed="8"/>
            <rFont val="Tahoma"/>
            <family val="2"/>
          </rPr>
          <t>.</t>
        </r>
      </text>
    </comment>
    <comment ref="B7" authorId="1" shapeId="0" xr:uid="{00000000-0006-0000-1700-000003000000}">
      <text>
        <r>
          <rPr>
            <sz val="9"/>
            <color indexed="81"/>
            <rFont val="Tahoma"/>
            <family val="2"/>
          </rPr>
          <t xml:space="preserve">Aka rent subsidies. Calculated as the contract
rent amount </t>
        </r>
        <r>
          <rPr>
            <sz val="9"/>
            <color indexed="10"/>
            <rFont val="Tahoma"/>
            <family val="2"/>
          </rPr>
          <t>minus</t>
        </r>
        <r>
          <rPr>
            <sz val="9"/>
            <color indexed="81"/>
            <rFont val="Tahoma"/>
            <family val="2"/>
          </rPr>
          <t xml:space="preserve"> the restricted amount.
actual subsidies will likely be greater</t>
        </r>
      </text>
    </comment>
    <comment ref="B8" authorId="2" shapeId="0" xr:uid="{517C7F66-058C-4975-A3CE-37D7451E4375}">
      <text>
        <r>
          <rPr>
            <sz val="9"/>
            <color indexed="81"/>
            <rFont val="Tahoma"/>
            <family val="2"/>
          </rPr>
          <t>Subsidy Program Name 1
From "Unit Mix" tab.</t>
        </r>
      </text>
    </comment>
    <comment ref="B9" authorId="2" shapeId="0" xr:uid="{AE4829B7-A81A-47D2-9392-9FFB2A24A3E7}">
      <text>
        <r>
          <rPr>
            <sz val="9"/>
            <color indexed="81"/>
            <rFont val="Tahoma"/>
            <family val="2"/>
          </rPr>
          <t>Subsidy Program Name 2
From "Unit Mix" tab.</t>
        </r>
      </text>
    </comment>
    <comment ref="B16" authorId="3" shapeId="0" xr:uid="{00000000-0006-0000-1700-000005000000}">
      <text>
        <r>
          <rPr>
            <sz val="9"/>
            <color indexed="81"/>
            <rFont val="Tahoma"/>
            <family val="2"/>
          </rPr>
          <t>Garage &amp; Parking Spaces and
Other Miscellaneous Rent Revenue</t>
        </r>
      </text>
    </comment>
    <comment ref="J27" authorId="4" shapeId="0" xr:uid="{00000000-0006-0000-1700-000006000000}">
      <text>
        <r>
          <rPr>
            <sz val="9"/>
            <color indexed="8"/>
            <rFont val="Tahoma"/>
            <family val="2"/>
          </rPr>
          <t>CalHFA does not consider Commercial income
for purposes of establishing debt service
coverage ratios.  Change this number to
100% for CalHFA loan requests.</t>
        </r>
      </text>
    </comment>
    <comment ref="B44" authorId="5" shapeId="0" xr:uid="{00000000-0006-0000-1700-000007000000}">
      <text>
        <r>
          <rPr>
            <sz val="9"/>
            <color indexed="81"/>
            <rFont val="Tahoma"/>
            <family val="2"/>
          </rPr>
          <t xml:space="preserve">Bridge Loan - This figure
is excluded from Total Debt Service </t>
        </r>
      </text>
    </comment>
    <comment ref="L74" authorId="6" shapeId="0" xr:uid="{00000000-0006-0000-1700-000008000000}">
      <text>
        <r>
          <rPr>
            <sz val="9"/>
            <color indexed="81"/>
            <rFont val="Tahoma"/>
            <family val="2"/>
          </rPr>
          <t>Rolls from "Operating Budget" which
is below the Cash Flow line on the
Operating Budget sheet.</t>
        </r>
      </text>
    </comment>
    <comment ref="L77" authorId="6" shapeId="0" xr:uid="{00000000-0006-0000-1700-000009000000}">
      <text>
        <r>
          <rPr>
            <sz val="9"/>
            <color indexed="81"/>
            <rFont val="Tahoma"/>
            <family val="2"/>
          </rPr>
          <t>Deferred Developer Fee budgeted for payment
from cash flow prior to Distributions and residual
receipts loan payments. See Dev Sources worksheet.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grodine</author>
    <author>Agutierrez</author>
  </authors>
  <commentList>
    <comment ref="B16" authorId="0" shapeId="0" xr:uid="{00000000-0006-0000-1F00-000002000000}">
      <text>
        <r>
          <rPr>
            <sz val="9"/>
            <color indexed="81"/>
            <rFont val="Tahoma"/>
            <family val="2"/>
          </rPr>
          <t>If this analysis is being done at construction or loan closing,
check your conclusions against the TCAC Staff Report -
the Basis Limit amount should be very close to the
TCAC amount.</t>
        </r>
      </text>
    </comment>
    <comment ref="AF22" authorId="1" shapeId="0" xr:uid="{00000000-0006-0000-1F00-000003000000}">
      <text>
        <r>
          <rPr>
            <sz val="9"/>
            <color indexed="81"/>
            <rFont val="Tahoma"/>
            <family val="2"/>
          </rPr>
          <t>If yes, please answer yes
or no to 1-9. no blanks.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George Rodine</author>
    <author>William Leach</author>
  </authors>
  <commentList>
    <comment ref="B6" authorId="0" shapeId="0" xr:uid="{24D99A21-3CCA-4FE5-BFE2-DA78D92169F3}">
      <text>
        <r>
          <rPr>
            <b/>
            <sz val="9"/>
            <color indexed="81"/>
            <rFont val="Tahoma"/>
            <family val="2"/>
          </rPr>
          <t>Tax Credit Project:</t>
        </r>
        <r>
          <rPr>
            <sz val="9"/>
            <color indexed="81"/>
            <rFont val="Tahoma"/>
            <family val="2"/>
          </rPr>
          <t xml:space="preserve"> Aggregate of Developer
Fee paid from funding sources and paid as
priority cash flow may not exceed $3.5M.</t>
        </r>
      </text>
    </comment>
    <comment ref="AI7" authorId="0" shapeId="0" xr:uid="{A9323EA1-1A36-4BD4-AAC0-C3E7B60CCDAE}">
      <text>
        <r>
          <rPr>
            <sz val="9"/>
            <color indexed="81"/>
            <rFont val="Tahoma"/>
            <family val="2"/>
          </rPr>
          <t>Red indicates developer fee payments in excess
of the HCD Maximum Total Developer Fee
Limit - must be paid from Sponsor distributions.</t>
        </r>
      </text>
    </comment>
    <comment ref="AI8" authorId="0" shapeId="0" xr:uid="{3C53786F-733F-4A00-8B6F-B2CE5B678CCF}">
      <text>
        <r>
          <rPr>
            <sz val="9"/>
            <color indexed="81"/>
            <rFont val="Tahoma"/>
            <family val="2"/>
          </rPr>
          <t>Red indicates the developer is not deferring
enough fee to comply with the regulations
(increase deferred developer fee by this
amount).</t>
        </r>
      </text>
    </comment>
    <comment ref="AE9" authorId="0" shapeId="0" xr:uid="{C41243F0-3E27-44DA-8763-C8461788A57A}">
      <text>
        <r>
          <rPr>
            <b/>
            <sz val="9"/>
            <color indexed="81"/>
            <rFont val="Tahoma"/>
            <family val="2"/>
          </rPr>
          <t>Tax Credit Project:</t>
        </r>
        <r>
          <rPr>
            <sz val="9"/>
            <color indexed="81"/>
            <rFont val="Tahoma"/>
            <family val="2"/>
          </rPr>
          <t xml:space="preserve"> Lesser of - HCD developer fee limit and
actual developer fee in project budget minus developer fee
contributed as capital; and $3.5M limit; minus fee paid from
development funding sources.
</t>
        </r>
        <r>
          <rPr>
            <b/>
            <sz val="9"/>
            <color indexed="81"/>
            <rFont val="Tahoma"/>
            <family val="2"/>
          </rPr>
          <t>Non-Tax Credit Project:</t>
        </r>
        <r>
          <rPr>
            <sz val="9"/>
            <color indexed="81"/>
            <rFont val="Tahoma"/>
            <family val="2"/>
          </rPr>
          <t xml:space="preserve"> Lesser of - HCD developer fee limit
and actual developer fee in project budget minus developer
fee contributed as capital; minus fee paid from development
funding sources.</t>
        </r>
      </text>
    </comment>
    <comment ref="Y12" authorId="0" shapeId="0" xr:uid="{0F7106BA-D381-486D-9BAF-E4450BC5C1EA}">
      <text>
        <r>
          <rPr>
            <b/>
            <sz val="9"/>
            <color indexed="81"/>
            <rFont val="Tahoma"/>
            <family val="2"/>
          </rPr>
          <t xml:space="preserve">Sponsor or sponsor affiliate contributions of developer
fee as equity or deferred sponsor loan.
</t>
        </r>
        <r>
          <rPr>
            <sz val="9"/>
            <color indexed="81"/>
            <rFont val="Tahoma"/>
            <family val="2"/>
          </rPr>
          <t>Counts as collected developer fee but does not count against
HCD limits from development sources or priority cash flow.
Examples: GP equity, cash contribution, deferred sponsor loans
paid from owner distributions.</t>
        </r>
      </text>
    </comment>
    <comment ref="AI12" authorId="0" shapeId="0" xr:uid="{DE5C47A1-7557-4463-B789-251710478936}">
      <text>
        <r>
          <rPr>
            <sz val="9"/>
            <color indexed="81"/>
            <rFont val="Tahoma"/>
            <family val="2"/>
          </rPr>
          <t>The portion of Developer Fee currently
estimated to be paid from cash flow
rather than from development funding
sources.</t>
        </r>
      </text>
    </comment>
    <comment ref="B14" authorId="0" shapeId="0" xr:uid="{4122E7E1-3EFB-4BF6-A75A-D8B7C2AA1415}">
      <text>
        <r>
          <rPr>
            <sz val="9"/>
            <color indexed="81"/>
            <rFont val="Tahoma"/>
            <family val="2"/>
          </rPr>
          <t>Section 1 calculates the fee allowable under the
9% tax credit program, which under the UMRs
limits the fee paid from development sources,
even if the project is using 4% credits.</t>
        </r>
      </text>
    </comment>
    <comment ref="AH23" authorId="1" shapeId="0" xr:uid="{DE4DF7D8-73C3-4E5A-9A39-6BEF65D46186}">
      <text>
        <r>
          <rPr>
            <sz val="9"/>
            <color indexed="81"/>
            <rFont val="Tahoma"/>
            <family val="2"/>
          </rPr>
          <t>TCAC regulation §10327(c)(2)(E) "Black Indigenous
People of Color Projects" authorizes projects which
qualify for general partner experience per
CDLAC §5230(f)(1)(B) a larger developer fee in
eligible basis (20%).</t>
        </r>
      </text>
    </comment>
    <comment ref="AG26" authorId="1" shapeId="0" xr:uid="{9060CA22-0AE2-4BFD-B878-E8A9AA47766E}">
      <text>
        <r>
          <rPr>
            <sz val="9"/>
            <color indexed="81"/>
            <rFont val="Tahoma"/>
            <family val="2"/>
          </rPr>
          <t>TCAC §10327(c)(2)(B)(ii) does not allow
resyndication projects to utilize a 15%
factor based on the magnitude of hard
construction cost per unit.</t>
        </r>
      </text>
    </comment>
    <comment ref="AG27" authorId="1" shapeId="0" xr:uid="{5BA59159-5092-4BDC-897F-99D9206373B3}">
      <text>
        <r>
          <rPr>
            <sz val="9"/>
            <color indexed="81"/>
            <rFont val="Tahoma"/>
            <family val="2"/>
          </rPr>
          <t>TCAC §10327(c)(2)(B)(ii) does not allow
resyndication projects to utilize a 15%
factor based on serving 50% AMI
households.</t>
        </r>
      </text>
    </comment>
    <comment ref="AF30" authorId="0" shapeId="0" xr:uid="{86299A88-AF47-4E0F-8DA5-E7ECCE883C00}">
      <text>
        <r>
          <rPr>
            <sz val="9"/>
            <color indexed="81"/>
            <rFont val="Tahoma"/>
            <family val="2"/>
          </rPr>
          <t>If cell shaded red, budgeted amount
exceeds DF limit above in row 29.</t>
        </r>
      </text>
    </comment>
    <comment ref="AJ30" authorId="0" shapeId="0" xr:uid="{945D7DB3-3D59-4748-A62B-B60CC24E6E37}">
      <text>
        <r>
          <rPr>
            <sz val="9"/>
            <color indexed="81"/>
            <rFont val="Tahoma"/>
            <family val="2"/>
          </rPr>
          <t>Excess Developer Fee amount must
be paid from Sponsor Distributions.</t>
        </r>
      </text>
    </comment>
    <comment ref="AF32" authorId="1" shapeId="0" xr:uid="{29D89312-1784-4AF0-891B-0C9CF56ADC8F}">
      <text>
        <r>
          <rPr>
            <sz val="9"/>
            <color indexed="81"/>
            <rFont val="Tahoma"/>
            <family val="2"/>
          </rPr>
          <t>The HCD memo published May 6, 2019 caps the
payment of developer fee and deferred developer
fee as a priority cash flow to no greater than $3.5 million</t>
        </r>
      </text>
    </comment>
    <comment ref="B34" authorId="0" shapeId="0" xr:uid="{EAFF49CB-7BF3-4573-95E5-01A41653540D}">
      <text>
        <r>
          <rPr>
            <sz val="9"/>
            <color indexed="81"/>
            <rFont val="Tahoma"/>
            <family val="2"/>
          </rPr>
          <t>Section 3 only shows when "No Tax Credits"
is selected for Proposed Project Type. This
section calculates the developer fee for
projects that do not use tax credits.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Gutierrez, Alfredo@HCD</author>
    <author>Rodine, George@HCD</author>
    <author>George Rodine</author>
  </authors>
  <commentList>
    <comment ref="AI10" authorId="0" shapeId="0" xr:uid="{00000000-0006-0000-1800-000001000000}">
      <text>
        <r>
          <rPr>
            <sz val="9"/>
            <color indexed="81"/>
            <rFont val="Tahoma"/>
            <family val="2"/>
          </rPr>
          <t>Enter the total number of SH/SNP units</t>
        </r>
      </text>
    </comment>
    <comment ref="AK10" authorId="0" shapeId="0" xr:uid="{00000000-0006-0000-1800-000002000000}">
      <text>
        <r>
          <rPr>
            <sz val="9"/>
            <color indexed="81"/>
            <rFont val="Tahoma"/>
            <family val="2"/>
          </rPr>
          <t>Enter the total number of MHP assisted SH/SNP units</t>
        </r>
      </text>
    </comment>
    <comment ref="B114" authorId="1" shapeId="0" xr:uid="{00000000-0006-0000-1800-000003000000}">
      <text>
        <r>
          <rPr>
            <sz val="9"/>
            <color indexed="81"/>
            <rFont val="Tahoma"/>
            <family val="2"/>
          </rPr>
          <t xml:space="preserve">Include any formal third party training programs utilized, such as, college or continuing education courses such as: children and single parent households, PTSD, victims of domestic violence, LGBTQ, and any other
</t>
        </r>
      </text>
    </comment>
    <comment ref="N307" authorId="2" shapeId="0" xr:uid="{00000000-0006-0000-1800-000004000000}">
      <text>
        <r>
          <rPr>
            <sz val="9"/>
            <color indexed="81"/>
            <rFont val="Tahoma"/>
            <family val="2"/>
          </rPr>
          <t>Tenants will maintain affordable housing with needed services.</t>
        </r>
      </text>
    </comment>
    <comment ref="AA307" authorId="2" shapeId="0" xr:uid="{00000000-0006-0000-1800-000005000000}">
      <text>
        <r>
          <rPr>
            <sz val="9"/>
            <color indexed="81"/>
            <rFont val="Tahoma"/>
            <family val="2"/>
          </rPr>
          <t xml:space="preserve">xx# (representing xx%) of tenants will maintain housing w/ needed services for three months, six months or one year etc. with the assistance of case management and community outreach and access to supportive services.
</t>
        </r>
      </text>
    </comment>
    <comment ref="N308" authorId="2" shapeId="0" xr:uid="{00000000-0006-0000-1800-000006000000}">
      <text>
        <r>
          <rPr>
            <sz val="9"/>
            <color indexed="81"/>
            <rFont val="Tahoma"/>
            <family val="2"/>
          </rPr>
          <t xml:space="preserve">Tenants will gain employment.
Tenants will improve their ability to be self supportive.
</t>
        </r>
      </text>
    </comment>
    <comment ref="AA308" authorId="2" shapeId="0" xr:uid="{00000000-0006-0000-1800-000007000000}">
      <text>
        <r>
          <rPr>
            <sz val="9"/>
            <color indexed="81"/>
            <rFont val="Tahoma"/>
            <family val="2"/>
          </rPr>
          <t xml:space="preserve">xx# (representing xx%) of tenants will improve their ability to maintain housing. This may include applying for and receiving eligible benefits, participating in employment opportunities or enrolling in education courses.
xx# of tenants will gain some form of employment within xx months of becoming housed.
</t>
        </r>
      </text>
    </comment>
    <comment ref="N309" authorId="2" shapeId="0" xr:uid="{00000000-0006-0000-1800-000008000000}">
      <text>
        <r>
          <rPr>
            <sz val="9"/>
            <color indexed="81"/>
            <rFont val="Tahoma"/>
            <family val="2"/>
          </rPr>
          <t>Tenants will exercise more control over their lives. Tenants will improve their quality of life and ability to live independently.</t>
        </r>
      </text>
    </comment>
    <comment ref="AA309" authorId="2" shapeId="0" xr:uid="{00000000-0006-0000-1800-000009000000}">
      <text>
        <r>
          <rPr>
            <sz val="9"/>
            <color indexed="81"/>
            <rFont val="Tahoma"/>
            <family val="2"/>
          </rPr>
          <t>xx# (representing xx%) of tenants will report increased confidence and enhanced skills in advocating for their own needs, improving self care, socialization and independent living skills.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Christina DiFrancesco</author>
    <author>Hodge, Tarci@HCD</author>
  </authors>
  <commentList>
    <comment ref="B9" authorId="0" shapeId="0" xr:uid="{00000000-0006-0000-1900-000001000000}">
      <text>
        <r>
          <rPr>
            <sz val="9"/>
            <color indexed="81"/>
            <rFont val="Tahoma"/>
            <family val="2"/>
          </rPr>
          <t xml:space="preserve">This includes NPLH units targeted to Homeless or At Risk of Chronic Homelessness
</t>
        </r>
      </text>
    </comment>
    <comment ref="AD12" authorId="1" shapeId="0" xr:uid="{00000000-0006-0000-1900-000002000000}">
      <text>
        <r>
          <rPr>
            <sz val="9"/>
            <color indexed="81"/>
            <rFont val="Tahoma"/>
            <family val="2"/>
          </rPr>
          <t>If shaded red, units entered
exceed total number of units.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George, Ryan@HCD</author>
  </authors>
  <commentList>
    <comment ref="AL12" authorId="0" shapeId="0" xr:uid="{00000000-0006-0000-1A00-000001000000}">
      <text>
        <r>
          <rPr>
            <sz val="9"/>
            <color indexed="81"/>
            <rFont val="Tahoma"/>
            <family val="2"/>
          </rPr>
          <t>If cell is shaded red critical threshold item was not met, see explanations section below.</t>
        </r>
      </text>
    </comment>
    <comment ref="AI20" authorId="0" shapeId="0" xr:uid="{00000000-0006-0000-1A00-000002000000}">
      <text>
        <r>
          <rPr>
            <sz val="9"/>
            <color indexed="81"/>
            <rFont val="Tahoma"/>
            <family val="2"/>
          </rPr>
          <t xml:space="preserve">If cell shaded red, applicant has failed to server the min.# of households for experience to qualify.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George, Ryan@HCD</author>
  </authors>
  <commentList>
    <comment ref="B15" authorId="0" shapeId="0" xr:uid="{00000000-0006-0000-1E00-000001000000}">
      <text>
        <r>
          <rPr>
            <sz val="9"/>
            <color indexed="81"/>
            <rFont val="Tahoma"/>
            <family val="2"/>
          </rPr>
          <t xml:space="preserve">A “nondiscretionary local approval process” is one that includes little or no subjective judgement by the public official and is limited to ensuring that the proposed development meets a set of objective zoning, design review and/or subdivision standards in effect at the time the application is submitted to the local government. A “nondiscretionary local approval process” includes Streamlined Ministerial Approval Processing under to Chapter 366, Statutes of 2017 (SB 35), By-Right Processing for Permanent Supportive Housing under Chapter 753, Statutes of 2018 (AB 2162)), housing element law (Government Code Section 65583.2(i), or other local process that meets the definition of non-discretionary approval process.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kweber</author>
  </authors>
  <commentList>
    <comment ref="B8" authorId="0" shapeId="0" xr:uid="{00000000-0006-0000-2100-000001000000}">
      <text>
        <r>
          <rPr>
            <sz val="8"/>
            <color indexed="81"/>
            <rFont val="Tahoma"/>
            <family val="2"/>
          </rPr>
          <t>List All Disclosures Here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Gutierrez, Alfredo@HCD</author>
  </authors>
  <commentList>
    <comment ref="B91" authorId="0" shapeId="0" xr:uid="{F0588531-7283-44BE-AD07-AB14DDB4A948}">
      <text>
        <r>
          <rPr>
            <sz val="9"/>
            <color indexed="81"/>
            <rFont val="Tahoma"/>
            <family val="2"/>
          </rPr>
          <t>Please arrange projects by
earliest completion date.</t>
        </r>
      </text>
    </comment>
    <comment ref="X91" authorId="0" shapeId="0" xr:uid="{ADB4C132-33B0-4BAE-A681-7C5B8AC68D3F}">
      <text>
        <r>
          <rPr>
            <sz val="9"/>
            <color indexed="81"/>
            <rFont val="Tahoma"/>
            <family val="2"/>
          </rPr>
          <t>Do not leave blank,
must answer True or
False.</t>
        </r>
      </text>
    </comment>
    <comment ref="AH91" authorId="0" shapeId="0" xr:uid="{E319BC9A-1AB2-44A0-8CC4-A0592D70731B}">
      <text>
        <r>
          <rPr>
            <sz val="9"/>
            <color indexed="81"/>
            <rFont val="Tahoma"/>
            <family val="2"/>
          </rPr>
          <t>To obtain points for projects previously
owned, the ending date of ownership or
participation must be no more than 10
years</t>
        </r>
      </text>
    </comment>
    <comment ref="AK91" authorId="0" shapeId="0" xr:uid="{DF9A41B1-ADC4-40E8-B00A-8A20BAEAFBC2}">
      <text>
        <r>
          <rPr>
            <sz val="9"/>
            <color indexed="81"/>
            <rFont val="Tahoma"/>
            <family val="2"/>
          </rPr>
          <t>Do not type a date</t>
        </r>
        <r>
          <rPr>
            <b/>
            <sz val="9"/>
            <color indexed="81"/>
            <rFont val="Tahoma"/>
            <family val="2"/>
          </rPr>
          <t xml:space="preserve"> </t>
        </r>
        <r>
          <rPr>
            <b/>
            <sz val="9"/>
            <color indexed="10"/>
            <rFont val="Tahoma"/>
            <family val="2"/>
          </rPr>
          <t xml:space="preserve">if
</t>
        </r>
        <r>
          <rPr>
            <sz val="9"/>
            <color indexed="81"/>
            <rFont val="Tahoma"/>
            <family val="2"/>
          </rPr>
          <t>ownership remains in
place.</t>
        </r>
      </text>
    </comment>
    <comment ref="B126" authorId="0" shapeId="0" xr:uid="{CB292682-8A63-42DA-AAB6-C4447F2661CE}">
      <text>
        <r>
          <rPr>
            <sz val="9"/>
            <color indexed="81"/>
            <rFont val="Tahoma"/>
            <family val="2"/>
          </rPr>
          <t>Please arrange projects by
earliest completion date.</t>
        </r>
      </text>
    </comment>
    <comment ref="X126" authorId="0" shapeId="0" xr:uid="{062D7EBB-8DE8-424B-AE40-F4D28F1CBFDC}">
      <text>
        <r>
          <rPr>
            <sz val="9"/>
            <color indexed="81"/>
            <rFont val="Tahoma"/>
            <family val="2"/>
          </rPr>
          <t>Do not leave blank,
must answer True or
False.</t>
        </r>
      </text>
    </comment>
    <comment ref="AA126" authorId="0" shapeId="0" xr:uid="{5E6145C7-3999-417F-B708-209E20C3B256}">
      <text>
        <r>
          <rPr>
            <sz val="9"/>
            <color indexed="81"/>
            <rFont val="Tahoma"/>
            <family val="2"/>
          </rPr>
          <t>Do not leave blank,
please type Project's
Construction Completion
Date</t>
        </r>
      </text>
    </comment>
    <comment ref="AC126" authorId="0" shapeId="0" xr:uid="{04774978-EC2E-41A3-9D12-4B99048DABE0}">
      <text>
        <r>
          <rPr>
            <sz val="9"/>
            <color indexed="81"/>
            <rFont val="Tahoma"/>
            <family val="2"/>
          </rPr>
          <t>The property management
experience with a project shall not
pre-date the project’s construction
completion date.</t>
        </r>
      </text>
    </comment>
    <comment ref="AH126" authorId="0" shapeId="0" xr:uid="{22F7E4AE-C9D6-4710-B6DE-CF9DCD95EEC4}">
      <text>
        <r>
          <rPr>
            <sz val="9"/>
            <color indexed="81"/>
            <rFont val="Tahoma"/>
            <family val="2"/>
          </rPr>
          <t>To obtain points for projects previously
managed, the ending date of property
management managed role must be no
more than 10 years</t>
        </r>
      </text>
    </comment>
    <comment ref="AK126" authorId="0" shapeId="0" xr:uid="{387D0C63-BD90-4099-99C9-9538ECBD7995}">
      <text>
        <r>
          <rPr>
            <sz val="9"/>
            <color indexed="81"/>
            <rFont val="Tahoma"/>
            <family val="2"/>
          </rPr>
          <t>Do not type a date</t>
        </r>
        <r>
          <rPr>
            <b/>
            <sz val="9"/>
            <color indexed="81"/>
            <rFont val="Tahoma"/>
            <family val="2"/>
          </rPr>
          <t xml:space="preserve"> </t>
        </r>
        <r>
          <rPr>
            <b/>
            <sz val="9"/>
            <color indexed="10"/>
            <rFont val="Tahoma"/>
            <family val="2"/>
          </rPr>
          <t xml:space="preserve">if
</t>
        </r>
        <r>
          <rPr>
            <sz val="9"/>
            <color indexed="81"/>
            <rFont val="Tahoma"/>
            <family val="2"/>
          </rPr>
          <t>property management
remains in place.</t>
        </r>
      </text>
    </comment>
    <comment ref="AL189" authorId="0" shapeId="0" xr:uid="{BB16AE9E-C759-4FDF-9DFE-ECB88C5BEF22}">
      <text>
        <r>
          <rPr>
            <sz val="9"/>
            <color indexed="81"/>
            <rFont val="Tahoma"/>
            <family val="2"/>
          </rPr>
          <t>Applies only if project is within
or outside a Fema Major
Disaster Declaration as
drescribed above.</t>
        </r>
      </text>
    </comment>
    <comment ref="D192" authorId="0" shapeId="0" xr:uid="{6AA9F2F3-83C6-4E69-88B3-0731AAFC0F0F}">
      <text>
        <r>
          <rPr>
            <sz val="9"/>
            <color indexed="81"/>
            <rFont val="Tahoma"/>
            <family val="2"/>
          </rPr>
          <t>These documents are listed at
the "Project Overview" tab.</t>
        </r>
      </text>
    </comment>
    <comment ref="B211" authorId="0" shapeId="0" xr:uid="{DD26DD86-0BE6-423B-A99E-2BDB2E8BD383}">
      <text>
        <r>
          <rPr>
            <sz val="9"/>
            <color indexed="81"/>
            <rFont val="Tahoma"/>
            <family val="2"/>
          </rPr>
          <t xml:space="preserve">Non-qualified site deductions: utility easements,
setbacks, private drives/walkways, general landscaping,
common areas and facilities, off street parking,
Traditional drainage facilities exclusive to a development
project. Mitigations required for development will not
be included in the allowed deductible areas. </t>
        </r>
      </text>
    </comment>
    <comment ref="E295" authorId="0" shapeId="0" xr:uid="{F15992B7-EB03-48E0-8148-6EAD5D779DA8}">
      <text>
        <r>
          <rPr>
            <sz val="9"/>
            <color indexed="81"/>
            <rFont val="Tahoma"/>
            <family val="2"/>
          </rPr>
          <t>Make sure to fully complete the
"S1 - Supportive Services Plan"
tab as HCD will review for 
completeness and assign final score.</t>
        </r>
      </text>
    </comment>
    <comment ref="AI298" authorId="0" shapeId="0" xr:uid="{0F79B0A6-DFD7-4CE3-833F-A2ABCFF517EE}">
      <text>
        <r>
          <rPr>
            <sz val="9"/>
            <color indexed="81"/>
            <rFont val="Tahoma"/>
            <family val="2"/>
          </rPr>
          <t>Sponsor may self-score,
but HCD will determine
the final point score.</t>
        </r>
      </text>
    </comment>
    <comment ref="AL298" authorId="0" shapeId="0" xr:uid="{97CFD691-1C08-43D8-92A9-B5BDC8EE129F}">
      <text>
        <r>
          <rPr>
            <sz val="9"/>
            <color indexed="81"/>
            <rFont val="Tahoma"/>
            <family val="2"/>
          </rPr>
          <t>Reserved for HCD final score.</t>
        </r>
      </text>
    </comment>
    <comment ref="AI329" authorId="0" shapeId="0" xr:uid="{90726109-59EB-47D2-B854-32695CCD3B5C}">
      <text>
        <r>
          <rPr>
            <sz val="9"/>
            <color indexed="81"/>
            <rFont val="Tahoma"/>
            <family val="2"/>
          </rPr>
          <t>Sponsor may self-score,
but HCD will determine
the final point score.</t>
        </r>
      </text>
    </comment>
    <comment ref="AL329" authorId="0" shapeId="0" xr:uid="{8BF2DCEC-32C9-431A-86B6-4B148864DF4A}">
      <text>
        <r>
          <rPr>
            <sz val="9"/>
            <color indexed="81"/>
            <rFont val="Tahoma"/>
            <family val="2"/>
          </rPr>
          <t>Reserved for HCD final score.</t>
        </r>
      </text>
    </comment>
    <comment ref="D370" authorId="0" shapeId="0" xr:uid="{7059C257-D891-4AD2-B832-DC08947F58AE}">
      <text>
        <r>
          <rPr>
            <sz val="9"/>
            <color indexed="81"/>
            <rFont val="Tahoma"/>
            <family val="2"/>
          </rPr>
          <t>See Guidelines for a full list.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<sst xmlns="http://schemas.openxmlformats.org/spreadsheetml/2006/main" count="6954" uniqueCount="4223">
  <si>
    <t xml:space="preserve">PROJECT OVERVIEW </t>
  </si>
  <si>
    <t>CONTACT LIST</t>
  </si>
  <si>
    <t>DEV SOURCES</t>
  </si>
  <si>
    <t>DEV BUDGET</t>
  </si>
  <si>
    <t>MAX LOAN &amp; UNIT MIX</t>
  </si>
  <si>
    <t>SUBDIDIES</t>
  </si>
  <si>
    <t>OPERATING BUDGET</t>
  </si>
  <si>
    <t>RESERVES</t>
  </si>
  <si>
    <t>CASH FLOW</t>
  </si>
  <si>
    <t>SCORING</t>
  </si>
  <si>
    <t>S1 SUPPORTIVE SERVICES PLAN</t>
  </si>
  <si>
    <t>S2 SUPPORTIVE SERVICES COSTS</t>
  </si>
  <si>
    <t>HIGH COST VERIFICATION</t>
  </si>
  <si>
    <t>DEVELOPER FEE CALCULATOR</t>
  </si>
  <si>
    <t>FAAST#</t>
  </si>
  <si>
    <t>FUNDS REQUESTED</t>
  </si>
  <si>
    <t>SUPP ASSISTANCE Non Tax Credit</t>
  </si>
  <si>
    <t>SPONSOR APPLIED?</t>
  </si>
  <si>
    <t>HYBRID</t>
  </si>
  <si>
    <t>Project Name</t>
  </si>
  <si>
    <t>Project DEV Type</t>
  </si>
  <si>
    <t>Project Address</t>
  </si>
  <si>
    <t>Project City</t>
  </si>
  <si>
    <t>Project Zip</t>
  </si>
  <si>
    <t>Geographic</t>
  </si>
  <si>
    <t>COUNTY</t>
  </si>
  <si>
    <t>APN 1</t>
  </si>
  <si>
    <t>APN 2</t>
  </si>
  <si>
    <t>APN 3</t>
  </si>
  <si>
    <t>APN 4</t>
  </si>
  <si>
    <t>APN 5</t>
  </si>
  <si>
    <t>APN 6</t>
  </si>
  <si>
    <t>APN 7</t>
  </si>
  <si>
    <t>APN 8</t>
  </si>
  <si>
    <t>APN 9</t>
  </si>
  <si>
    <t>Census Tract 1</t>
  </si>
  <si>
    <t>Census  Tract 2</t>
  </si>
  <si>
    <t>Census Tract 3</t>
  </si>
  <si>
    <t>Census Tract 4</t>
  </si>
  <si>
    <t>Census  Tract 5</t>
  </si>
  <si>
    <t>Census Tract 6</t>
  </si>
  <si>
    <t>Census Tract 7</t>
  </si>
  <si>
    <t>Census Tract 8</t>
  </si>
  <si>
    <t>Census Tract 9</t>
  </si>
  <si>
    <t>Project site area</t>
  </si>
  <si>
    <t>Units Per acre</t>
  </si>
  <si>
    <t>Age Restrictions</t>
  </si>
  <si>
    <t>Special Facility Type</t>
  </si>
  <si>
    <t>Tenure Type</t>
  </si>
  <si>
    <t>Relocation Required</t>
  </si>
  <si>
    <t>Commercial Space</t>
  </si>
  <si>
    <t>Rental Subsidy</t>
  </si>
  <si>
    <t>Operating Subsidy</t>
  </si>
  <si>
    <t>HUD-811 Project</t>
  </si>
  <si>
    <t>Demolition Required</t>
  </si>
  <si>
    <t>Type of Tax Credit</t>
  </si>
  <si>
    <t>Is the Project a scattered site housing project?</t>
  </si>
  <si>
    <t>Project Type 1</t>
  </si>
  <si>
    <t>Project Type 2</t>
  </si>
  <si>
    <t>Project Type 3</t>
  </si>
  <si>
    <t>Project Type 4</t>
  </si>
  <si>
    <t>Project Type 5</t>
  </si>
  <si>
    <t>Is Project in a Rural Area?</t>
  </si>
  <si>
    <t>If Rural / Method</t>
  </si>
  <si>
    <t>TCAC Opportunity Area</t>
  </si>
  <si>
    <t>Is Project located in a High or Highest Resource Area</t>
  </si>
  <si>
    <t>Opportunity Area Map Tract ID #:</t>
  </si>
  <si>
    <t xml:space="preserve">Opportunity Area Map Category: </t>
  </si>
  <si>
    <t>Sponsor cert BIPOC or BIPOC project?</t>
  </si>
  <si>
    <t>Sponsor cert Structural Inequities</t>
  </si>
  <si>
    <t>Sponsor or allfilate site control</t>
  </si>
  <si>
    <t>Type of Site Control</t>
  </si>
  <si>
    <t>Date of Site Control</t>
  </si>
  <si>
    <t>Ground Lease Planned</t>
  </si>
  <si>
    <t>Ground Lease annual payment</t>
  </si>
  <si>
    <t>Total # of units Existing</t>
  </si>
  <si>
    <t>Total # of units Proposed</t>
  </si>
  <si>
    <t>Total # of buildings existing</t>
  </si>
  <si>
    <t>Total # of Buildings proposed</t>
  </si>
  <si>
    <t>SQ FT residential units</t>
  </si>
  <si>
    <t>SQ FT Community Room</t>
  </si>
  <si>
    <t>SQ FT Leasing Office</t>
  </si>
  <si>
    <t>SQ FT Additoinal Storage</t>
  </si>
  <si>
    <t>SQ FT Maintenance SHOP</t>
  </si>
  <si>
    <t>SQ FT Childcare center</t>
  </si>
  <si>
    <t>SQ FT Service Area</t>
  </si>
  <si>
    <t>SQ FT Service Office</t>
  </si>
  <si>
    <t>SQ FT (Other)</t>
  </si>
  <si>
    <t>Total Residential SF</t>
  </si>
  <si>
    <t>Grand Total Parking Spaces</t>
  </si>
  <si>
    <t>Comm SQ FT Commerical area</t>
  </si>
  <si>
    <t>Comm SQ FT Offices</t>
  </si>
  <si>
    <t>Comm SQ FT Childcare center</t>
  </si>
  <si>
    <t>Comm SQ FT Storage space</t>
  </si>
  <si>
    <t>Comm SQ FT (Other)</t>
  </si>
  <si>
    <t>Total Comm SQ FT</t>
  </si>
  <si>
    <t>Annual Laundry income</t>
  </si>
  <si>
    <t>Annual Parking Income</t>
  </si>
  <si>
    <t>Annual Comm Parking income</t>
  </si>
  <si>
    <t>Total income other leased spaces</t>
  </si>
  <si>
    <t>Trigger State relocation</t>
  </si>
  <si>
    <t>Congress person #1</t>
  </si>
  <si>
    <t>Congress Person #1 Dist #</t>
  </si>
  <si>
    <t>Congress Person #2</t>
  </si>
  <si>
    <t>Congress Person #2 Dist #</t>
  </si>
  <si>
    <t>Congress Person #3</t>
  </si>
  <si>
    <t>Congress Person #3 District #</t>
  </si>
  <si>
    <t>Congress Person #4</t>
  </si>
  <si>
    <t>Congress Peson #4 Distrcit #</t>
  </si>
  <si>
    <t>State Senator #1</t>
  </si>
  <si>
    <t>State Senator  #1 Dist #</t>
  </si>
  <si>
    <t>State Senator #2</t>
  </si>
  <si>
    <t>State Senator #2 Dist #</t>
  </si>
  <si>
    <t>State Senator #3</t>
  </si>
  <si>
    <t>State Senator #3 Dist #</t>
  </si>
  <si>
    <t>State Senator #4</t>
  </si>
  <si>
    <t>State Senator #4 Dist #</t>
  </si>
  <si>
    <t>State Assembly #1</t>
  </si>
  <si>
    <t>State Assembly #1 Dist #</t>
  </si>
  <si>
    <t>State Assembly #2</t>
  </si>
  <si>
    <t>State Assembly #2 Dist #</t>
  </si>
  <si>
    <t>State Assembly #3</t>
  </si>
  <si>
    <t>State Assembly #3 Dist #</t>
  </si>
  <si>
    <t>State Assembly #4</t>
  </si>
  <si>
    <t>State Assembly #4 Dist #</t>
  </si>
  <si>
    <t>Sponsor #1 Entity Name</t>
  </si>
  <si>
    <t>Eligible Sponsor Type</t>
  </si>
  <si>
    <t>Organization Type</t>
  </si>
  <si>
    <t>(Sponsor #1) Address</t>
  </si>
  <si>
    <t xml:space="preserve">(Sponsor #1)City </t>
  </si>
  <si>
    <t xml:space="preserve">(Sponsor #1)State </t>
  </si>
  <si>
    <t>(Sponsor #1)Zip</t>
  </si>
  <si>
    <t>(Sponsor #1)Auth_Rep_Name</t>
  </si>
  <si>
    <t>(Sponsor#1)Auth_Rep_Title</t>
  </si>
  <si>
    <t>(Sponsor #1)Auth_Rep_Email</t>
  </si>
  <si>
    <t xml:space="preserve">(Sponsor #1)Auth_Rep_Phone </t>
  </si>
  <si>
    <t>(SPonsor #1)Contact Name</t>
  </si>
  <si>
    <t>(Sponsor #1)Contact_Title</t>
  </si>
  <si>
    <t>(SPonsor #1)Contact_Email</t>
  </si>
  <si>
    <t>(Sponsor #1)Contact_Phone</t>
  </si>
  <si>
    <t>(SPonsor #1)Contact_Address</t>
  </si>
  <si>
    <t>(SPonsor #1)Contact_City</t>
  </si>
  <si>
    <t xml:space="preserve">(SPonsor #1)Contact_State </t>
  </si>
  <si>
    <t>(Sponsor #1)Contact_Zip</t>
  </si>
  <si>
    <t>Sponsor #2 Entity Name</t>
  </si>
  <si>
    <t>Eligibe Sponsor #2 Type</t>
  </si>
  <si>
    <t>Organization #2 Type</t>
  </si>
  <si>
    <t>(Sponsor #2) Address</t>
  </si>
  <si>
    <t xml:space="preserve">(Sponsor #2)City </t>
  </si>
  <si>
    <t xml:space="preserve">(Sponsor #2)State </t>
  </si>
  <si>
    <t>(Sponsor #2)Zip</t>
  </si>
  <si>
    <t>(Sponsor #2)Auth_Rep_Name</t>
  </si>
  <si>
    <t>(Sponsor#2)Auth_Rep_Title</t>
  </si>
  <si>
    <t>(Sponsor #2)Auth_Rep_Email</t>
  </si>
  <si>
    <t xml:space="preserve">(Sponsor #2)Auth_Rep_Phone </t>
  </si>
  <si>
    <t>(SPonsor #2)Contact Name</t>
  </si>
  <si>
    <t>(Sponsor #2)Contact_Title</t>
  </si>
  <si>
    <t>(SPonsor #2)Contact_Email</t>
  </si>
  <si>
    <t>(Sponsor #2)Contact_Phone</t>
  </si>
  <si>
    <t>(SPonsor #2)Contact_Address</t>
  </si>
  <si>
    <t>(SPonsor #2)Contact_City</t>
  </si>
  <si>
    <t xml:space="preserve">(SPonsor #2)Contact_State </t>
  </si>
  <si>
    <t>(Sponsor #2)Contact_Zip</t>
  </si>
  <si>
    <t>JV # 1 Entity Name</t>
  </si>
  <si>
    <t>(JV #1) Address</t>
  </si>
  <si>
    <t xml:space="preserve">(JV #1)City </t>
  </si>
  <si>
    <t xml:space="preserve">(JV #1)State </t>
  </si>
  <si>
    <t>(JV #1)Zip</t>
  </si>
  <si>
    <t>(JV #1)Auth_Rep_Name</t>
  </si>
  <si>
    <t>(JV #1)Auth_Rep_Title</t>
  </si>
  <si>
    <t>(JV #1)Auth_Rep_Email</t>
  </si>
  <si>
    <t xml:space="preserve">(JV #1)Auth_Rep_Phone </t>
  </si>
  <si>
    <t>(JV #1)Contact Name</t>
  </si>
  <si>
    <t>(JV#1)Contact_Title</t>
  </si>
  <si>
    <t>(JV #1)Contact_Email</t>
  </si>
  <si>
    <t>(JV #1)Contact_Phone</t>
  </si>
  <si>
    <t>(JV #1)Contact_Address</t>
  </si>
  <si>
    <t>(JV #1)Contact_City</t>
  </si>
  <si>
    <t xml:space="preserve">(JV #1)Contact_State </t>
  </si>
  <si>
    <t>(JV #1)Contact_Zip</t>
  </si>
  <si>
    <t>JV # 2Entity Name</t>
  </si>
  <si>
    <t>(JV #2) Address</t>
  </si>
  <si>
    <t xml:space="preserve">(JV #2)City </t>
  </si>
  <si>
    <t xml:space="preserve">(JV #2)State </t>
  </si>
  <si>
    <t>(JV #2)Zip</t>
  </si>
  <si>
    <t>(JV #2)Auth_Rep_Name</t>
  </si>
  <si>
    <t>(JV #2)Auth_Rep_Title</t>
  </si>
  <si>
    <t>(JV #2)Auth_Rep_Email</t>
  </si>
  <si>
    <t xml:space="preserve">(JV #2)Auth_Rep_Phone </t>
  </si>
  <si>
    <t>(JV #2)Contact Name</t>
  </si>
  <si>
    <t>(JV#2)Contact_Title</t>
  </si>
  <si>
    <t>(JV #2)Contact_Email</t>
  </si>
  <si>
    <t>(JV #2)Contact_Phone</t>
  </si>
  <si>
    <t>(JV #2)Contact_Address</t>
  </si>
  <si>
    <t>(JV #2)Contact_City</t>
  </si>
  <si>
    <t xml:space="preserve">(JV #2)Contact_State </t>
  </si>
  <si>
    <t>(JV #2)Contact_Zip</t>
  </si>
  <si>
    <t>Owner /Borrower Entity Name</t>
  </si>
  <si>
    <t>O/B  Address</t>
  </si>
  <si>
    <t xml:space="preserve">O/B City </t>
  </si>
  <si>
    <t xml:space="preserve">O/B State </t>
  </si>
  <si>
    <t>O/B Zip</t>
  </si>
  <si>
    <t>O/B Auth_Rep_Name</t>
  </si>
  <si>
    <t>O/B Auth_Rep_Title</t>
  </si>
  <si>
    <t>O/B Auth_Rep_Email</t>
  </si>
  <si>
    <t xml:space="preserve">O/B Auth_Rep_Phone </t>
  </si>
  <si>
    <t>O/B Contact Name</t>
  </si>
  <si>
    <t>O/B Contact_Title</t>
  </si>
  <si>
    <t>O/B Contact_Email</t>
  </si>
  <si>
    <t>O/B Contact_Phone</t>
  </si>
  <si>
    <t>O/B Contact_Address</t>
  </si>
  <si>
    <t>O/B Contact_City</t>
  </si>
  <si>
    <t xml:space="preserve">O/B Contact_State </t>
  </si>
  <si>
    <t>O/B Contact_Zip</t>
  </si>
  <si>
    <t>MGP #1 Entity Name</t>
  </si>
  <si>
    <t>MGP #1 Organization Type</t>
  </si>
  <si>
    <t>(MGP #1) Address</t>
  </si>
  <si>
    <t xml:space="preserve">(MGP #1)City </t>
  </si>
  <si>
    <t xml:space="preserve">(MGP #1)State </t>
  </si>
  <si>
    <t>(MGP #1)Zip</t>
  </si>
  <si>
    <t>(MGP #1)Auth_Rep_Name</t>
  </si>
  <si>
    <t>(MGP #1)Auth_Rep_Title</t>
  </si>
  <si>
    <t>(MGP #1)Auth_Rep_Email</t>
  </si>
  <si>
    <t xml:space="preserve">(MGP #1)Auth_Rep_Phone </t>
  </si>
  <si>
    <t>(MGP #1)Contact Name</t>
  </si>
  <si>
    <t>(MGP #1)Contact_Title</t>
  </si>
  <si>
    <t>(MGP #1)Contact_Email</t>
  </si>
  <si>
    <t>(MGP #1)Contact_Phone</t>
  </si>
  <si>
    <t>(MGP #1)Contact_Address</t>
  </si>
  <si>
    <t>(MGP #1)Contact_City</t>
  </si>
  <si>
    <t xml:space="preserve">(MGP #1)Contact_State </t>
  </si>
  <si>
    <t>(MGP #1)Contact_Zip</t>
  </si>
  <si>
    <t>AGP #1 LEGAL NAME</t>
  </si>
  <si>
    <t>AGP #1 Organization Type</t>
  </si>
  <si>
    <t>(AGP #1) Address</t>
  </si>
  <si>
    <t xml:space="preserve">(AGP #1)City </t>
  </si>
  <si>
    <t xml:space="preserve">(AGP #1)State </t>
  </si>
  <si>
    <t>(AGP #1)Zip</t>
  </si>
  <si>
    <t>(AGP #1)Auth_Rep_Name</t>
  </si>
  <si>
    <t>(AGP #1)Auth_Rep_Title</t>
  </si>
  <si>
    <t>(AGP #1)Auth_Rep_Email</t>
  </si>
  <si>
    <t xml:space="preserve">(AGP #1)Auth_Rep_Phone </t>
  </si>
  <si>
    <t>(AGP #1)Contact Name</t>
  </si>
  <si>
    <t>(AGP #1)Contact_Title</t>
  </si>
  <si>
    <t>(AGP #1)Contact_Email</t>
  </si>
  <si>
    <t>(AGP #1)Contact_Phone</t>
  </si>
  <si>
    <t>(AGP #1)Contact_Address</t>
  </si>
  <si>
    <t>(AGP #1)Contact_City</t>
  </si>
  <si>
    <t xml:space="preserve">(AGP #1)Contact_State </t>
  </si>
  <si>
    <t>(AGP #1)Contact_Zip</t>
  </si>
  <si>
    <t>(Administrative_General_Partner_#2)_Legal_Name</t>
  </si>
  <si>
    <t>(AGP#2)Organization_Type</t>
  </si>
  <si>
    <t>(AGP#2)Address</t>
  </si>
  <si>
    <t xml:space="preserve">(AGP#2)City </t>
  </si>
  <si>
    <t xml:space="preserve">(AGP#2)State </t>
  </si>
  <si>
    <t>(AGP#2)Zip</t>
  </si>
  <si>
    <t>(AGP#2) Auth_Rep_Name</t>
  </si>
  <si>
    <t>(AGP#2)Auth_Rep_Title</t>
  </si>
  <si>
    <t>(AGP#2)Authorized_Rep_Email</t>
  </si>
  <si>
    <t xml:space="preserve">(AGP#2)Auth_Rep_Phone </t>
  </si>
  <si>
    <t>(AGP#2)Auth_Rep_Contact Name</t>
  </si>
  <si>
    <t>(AGP#2)_Contact_Email</t>
  </si>
  <si>
    <t>(AGP#2)_Contact_Phone</t>
  </si>
  <si>
    <t>(AGP#2)_Contact_Address</t>
  </si>
  <si>
    <t>(AGP#2)_Contact_City</t>
  </si>
  <si>
    <t xml:space="preserve">(AGP#2)_Contact_Sate </t>
  </si>
  <si>
    <t>(AGP#2)_Contact_Zip</t>
  </si>
  <si>
    <t xml:space="preserve"> Perm Source #1</t>
  </si>
  <si>
    <t xml:space="preserve"> Perm Source #2</t>
  </si>
  <si>
    <t xml:space="preserve"> Perm Source #3</t>
  </si>
  <si>
    <t xml:space="preserve"> Perm Source #4</t>
  </si>
  <si>
    <t xml:space="preserve"> Perm Source #5</t>
  </si>
  <si>
    <t xml:space="preserve"> Perm Source #6</t>
  </si>
  <si>
    <t xml:space="preserve"> Perm Source #7</t>
  </si>
  <si>
    <t xml:space="preserve"> Perm Source #8</t>
  </si>
  <si>
    <t xml:space="preserve"> Perm Source #9</t>
  </si>
  <si>
    <t xml:space="preserve"> Perm Source #10</t>
  </si>
  <si>
    <t xml:space="preserve"> Perm Source #11</t>
  </si>
  <si>
    <t xml:space="preserve"> Perm Source #12</t>
  </si>
  <si>
    <t xml:space="preserve"> Perm Source #13</t>
  </si>
  <si>
    <t xml:space="preserve"> Perm Source #14</t>
  </si>
  <si>
    <t xml:space="preserve"> Perm Source #1 AMT</t>
  </si>
  <si>
    <t xml:space="preserve"> Perm Source #2 AMT</t>
  </si>
  <si>
    <t xml:space="preserve"> Perm Source #3 AMT</t>
  </si>
  <si>
    <t xml:space="preserve"> Perm Source #4 AMT</t>
  </si>
  <si>
    <t xml:space="preserve"> Perm Source #5 AMT</t>
  </si>
  <si>
    <t xml:space="preserve"> Perm Source #6 AMT</t>
  </si>
  <si>
    <t xml:space="preserve"> Perm Source #7 AMT</t>
  </si>
  <si>
    <t xml:space="preserve"> Perm Source #8 AMT</t>
  </si>
  <si>
    <t xml:space="preserve"> Perm Source #9 AMT</t>
  </si>
  <si>
    <t xml:space="preserve"> Perm Source #10 AMT</t>
  </si>
  <si>
    <t xml:space="preserve"> Perm Source #11 AMT</t>
  </si>
  <si>
    <t xml:space="preserve"> Perm Source #12 AMT</t>
  </si>
  <si>
    <t xml:space="preserve"> Perm Source #13 AMT</t>
  </si>
  <si>
    <t xml:space="preserve"> Perm Source #14 AMT</t>
  </si>
  <si>
    <t>Tax Credit Equity</t>
  </si>
  <si>
    <t>Perm Total Amt</t>
  </si>
  <si>
    <t>Tax Credit Equity based on $ amount</t>
  </si>
  <si>
    <t>Development Budget
TOTAL PROJECT COST</t>
  </si>
  <si>
    <t>Development Budget
TOTAL RESIDENTIAL COST</t>
  </si>
  <si>
    <t>Development Budget
TOTAL COMMERCIAL COST</t>
  </si>
  <si>
    <t>Rural Status</t>
  </si>
  <si>
    <t>C - Total Units</t>
  </si>
  <si>
    <t>D - Total MHP assisted Units</t>
  </si>
  <si>
    <t>E - Speical Needs</t>
  </si>
  <si>
    <t>F - Supp Housing</t>
  </si>
  <si>
    <t>G - Total Other Restricted</t>
  </si>
  <si>
    <t>H -  Other Special Needs</t>
  </si>
  <si>
    <t>I - Other Supportive  Housing</t>
  </si>
  <si>
    <t>K - # of other HCD assisted Units</t>
  </si>
  <si>
    <t>L - Total Restricted Units</t>
  </si>
  <si>
    <t>Q -  +3 Brrms</t>
  </si>
  <si>
    <t xml:space="preserve">Q - + 2 Bedrms </t>
  </si>
  <si>
    <t>MHP per Restricted Unit Loan AMT</t>
  </si>
  <si>
    <t>Perm Finance Fund Gap</t>
  </si>
  <si>
    <t>Are all Restrcited 60% AMI or less</t>
  </si>
  <si>
    <t>Shared Cost Calculator</t>
  </si>
  <si>
    <t>Sponsor Requested loan Amount</t>
  </si>
  <si>
    <t>Maximum allowable MHP loan</t>
  </si>
  <si>
    <t>Subsidy Program name #1</t>
  </si>
  <si>
    <t>Subsidy Program name #2</t>
  </si>
  <si>
    <t xml:space="preserve"> #1 Subsidy Progam Name</t>
  </si>
  <si>
    <t>#1 Subsidy Progam Component</t>
  </si>
  <si>
    <t>#1 Subsidy currently in place</t>
  </si>
  <si>
    <t>#1 Date Applicatoin submitted</t>
  </si>
  <si>
    <t>#1 Date Award expected</t>
  </si>
  <si>
    <t>#1 Contact Term</t>
  </si>
  <si>
    <t>#1 expected 1st year Amt</t>
  </si>
  <si>
    <t xml:space="preserve"> #2 Subsidy Progam Name</t>
  </si>
  <si>
    <t>#2 Subsidy Progam Component</t>
  </si>
  <si>
    <t>#2 Subsidy currently in place</t>
  </si>
  <si>
    <t>#2 Date Applicatoin submitted</t>
  </si>
  <si>
    <t>#2 Date Award expected</t>
  </si>
  <si>
    <t>#2 Contact Term</t>
  </si>
  <si>
    <t>#2 expected 1st year Amt</t>
  </si>
  <si>
    <t xml:space="preserve"> #3 Subsidy Progam Name</t>
  </si>
  <si>
    <t>#3 Subsidy Progam Component</t>
  </si>
  <si>
    <t>#3  Subsidy currently in place</t>
  </si>
  <si>
    <t>#3  Date Applicatoin submitted</t>
  </si>
  <si>
    <t>#3  Date Award expected</t>
  </si>
  <si>
    <t>#3  Contact Term</t>
  </si>
  <si>
    <t>#3   expected 1st year Amt</t>
  </si>
  <si>
    <t xml:space="preserve"> #4 Subsidy Progam Name</t>
  </si>
  <si>
    <t>#4 Subsidy Progam Component</t>
  </si>
  <si>
    <t>#4 Subsidy currently in place</t>
  </si>
  <si>
    <t>#4  Date Applicatoin submitted</t>
  </si>
  <si>
    <t>#4 Date Award expected</t>
  </si>
  <si>
    <t>#4  Contact Term</t>
  </si>
  <si>
    <t>#4  expected 1st year Amt</t>
  </si>
  <si>
    <t>Revenue - Income
Restricted Unit Rents</t>
  </si>
  <si>
    <t>Revenue - Income
Unrestricted Unit Rents</t>
  </si>
  <si>
    <t>Resdential acct #5121 - Subsidy - 1</t>
  </si>
  <si>
    <t>Resdential acct #5121 - Subsidy - 2</t>
  </si>
  <si>
    <t>Residential acct #5121 Op Subsidies</t>
  </si>
  <si>
    <t>Residential acct #5121  Other</t>
  </si>
  <si>
    <t xml:space="preserve">Residential acct #5910 Laundry vending  </t>
  </si>
  <si>
    <t>Residential acct 5170 Garage and Parking</t>
  </si>
  <si>
    <t>Residential acct 5990 Misc Rent Rev</t>
  </si>
  <si>
    <t>Gross Potential Income</t>
  </si>
  <si>
    <t>Gross Potential Income - Commencial</t>
  </si>
  <si>
    <t>Fin Exp RES 6800 - 1st mort debt ser</t>
  </si>
  <si>
    <t>Fin Exp RES 6800 - 2nd mort debt serv</t>
  </si>
  <si>
    <t>Fin Exp RES 6800 3rd mort debt serv</t>
  </si>
  <si>
    <t>Fin Exp RES 6800 - MHP .42%</t>
  </si>
  <si>
    <t xml:space="preserve">Fin Exp RES 6800 - Other HCD </t>
  </si>
  <si>
    <t>Fin Exp RES 6800 - Other HCD</t>
  </si>
  <si>
    <t>Fin Exp RES 6800 - Bond Issue</t>
  </si>
  <si>
    <t>Fin Exp RES 6800 - Misc Fincial EXP</t>
  </si>
  <si>
    <t>Total Financial Expenses</t>
  </si>
  <si>
    <t>Fin Exp COMM 6800 - 1st mort debt ser</t>
  </si>
  <si>
    <t>Fin Exp COMM 6800 - 2nd mort debt ser</t>
  </si>
  <si>
    <t>Fin Exp RES COMM - 3rd mort debt ser</t>
  </si>
  <si>
    <t>Total Financial Expenses - Commercial</t>
  </si>
  <si>
    <t>Acct 7190 Asset Management fees</t>
  </si>
  <si>
    <t>Replacement res new construction</t>
  </si>
  <si>
    <t>HCD required replacement reserves</t>
  </si>
  <si>
    <t>Operating Reseve cal #1</t>
  </si>
  <si>
    <t>Operating Reserve 3 Month cal #2</t>
  </si>
  <si>
    <t>Operating reserve 4 Month cal #3</t>
  </si>
  <si>
    <t>UMR Required ORA - 3 Month</t>
  </si>
  <si>
    <t>UMR Required ORA - 4 Month</t>
  </si>
  <si>
    <t>Transistion Res Min AMT cash flow</t>
  </si>
  <si>
    <t>Debt Service Coverage Ratio (Year 1)</t>
  </si>
  <si>
    <t>Total Score</t>
  </si>
  <si>
    <t>Serving Lowest Income Levels, §7320(b)(1) - 35 points max</t>
  </si>
  <si>
    <t xml:space="preserve">(A) Points will be awarded based on the “Lowest Income Point Table” below. 25 points max. </t>
  </si>
  <si>
    <t>Restricted Units</t>
  </si>
  <si>
    <t>Addressing Most Serious Local Housing Need, §7320(b)(2) - 10 points max</t>
  </si>
  <si>
    <t>(A) Meeting one of the following conditions: i &amp; ii</t>
  </si>
  <si>
    <t>(i) Location in a “High Resource” or “Highest Resource” area (Large Family new construction projects only)</t>
  </si>
  <si>
    <t>(ii) Large Family having at least 15 percent of the Restricted Units restricted under the Program regulatory agreement for occupancy by Special Needs Populations as defined at section 7301(z)</t>
  </si>
  <si>
    <t>(B) Qualifying as both Senior and Special needs project</t>
  </si>
  <si>
    <t>(C) Meeting both of the following conditions: (i) &amp; (ii)</t>
  </si>
  <si>
    <r>
      <rPr>
        <b/>
        <sz val="10"/>
        <rFont val="Arial"/>
        <family val="2"/>
      </rPr>
      <t>(i)</t>
    </r>
    <r>
      <rPr>
        <sz val="10"/>
        <rFont val="Arial"/>
        <family val="2"/>
      </rPr>
      <t xml:space="preserve">  Project will have at least 10 percent of the Restricted Units </t>
    </r>
    <r>
      <rPr>
        <b/>
        <sz val="10"/>
        <rFont val="Arial"/>
        <family val="2"/>
      </rPr>
      <t xml:space="preserve">(ii) </t>
    </r>
    <r>
      <rPr>
        <sz val="10"/>
        <rFont val="Arial"/>
        <family val="2"/>
      </rPr>
      <t>Vacancies will be filled by referrals from the local coordinated entry system</t>
    </r>
  </si>
  <si>
    <t>(D) meeting one of the following: (i), (ii), or (iii)</t>
  </si>
  <si>
    <r>
      <rPr>
        <b/>
        <sz val="10"/>
        <rFont val="Arial"/>
        <family val="2"/>
      </rPr>
      <t xml:space="preserve">(i) </t>
    </r>
    <r>
      <rPr>
        <sz val="10"/>
        <rFont val="Arial"/>
        <family val="2"/>
      </rPr>
      <t>consisting of the new const or acquisition</t>
    </r>
  </si>
  <si>
    <r>
      <rPr>
        <b/>
        <sz val="10"/>
        <rFont val="Arial"/>
        <family val="2"/>
      </rPr>
      <t>(ii)</t>
    </r>
    <r>
      <rPr>
        <sz val="10"/>
        <rFont val="Arial"/>
        <family val="2"/>
      </rPr>
      <t xml:space="preserve"> project qualifies as high risk</t>
    </r>
  </si>
  <si>
    <r>
      <rPr>
        <b/>
        <sz val="10"/>
        <rFont val="Arial"/>
        <family val="2"/>
      </rPr>
      <t xml:space="preserve">(iii) </t>
    </r>
    <r>
      <rPr>
        <sz val="10"/>
        <rFont val="Arial"/>
        <family val="2"/>
      </rPr>
      <t>program loan amount is limited to the amount necessary to reduce rents</t>
    </r>
  </si>
  <si>
    <t>Development and Ownership Experience, §7320(b)(3)(A) - (D) - 20 points max</t>
  </si>
  <si>
    <r>
      <t xml:space="preserve">Primary scoring method, </t>
    </r>
    <r>
      <rPr>
        <b/>
        <sz val="10"/>
        <rFont val="Arial"/>
        <family val="2"/>
      </rPr>
      <t>§7320(b)(3)(D)</t>
    </r>
  </si>
  <si>
    <t>Secondary Scoring Method_Development_Experience</t>
  </si>
  <si>
    <t>(F)Point Deductions Max (i), (ii), (iii), (IV), (V), and (VI)</t>
  </si>
  <si>
    <t>(i)</t>
  </si>
  <si>
    <t>(ii)</t>
  </si>
  <si>
    <t>(iii)</t>
  </si>
  <si>
    <t>(IV)</t>
  </si>
  <si>
    <t>(V)</t>
  </si>
  <si>
    <t>(VI)</t>
  </si>
  <si>
    <t xml:space="preserve"> Leverage_of_Other_Funds Max Points</t>
  </si>
  <si>
    <t>Points per full 5% increment over 50% for Supportive Housing Units</t>
  </si>
  <si>
    <t>§7320(b)(5) Project Readiness - 15 Points Max</t>
  </si>
  <si>
    <r>
      <rPr>
        <b/>
        <sz val="10"/>
        <rFont val="Arial"/>
        <family val="2"/>
      </rPr>
      <t>(A)</t>
    </r>
    <r>
      <rPr>
        <sz val="10"/>
        <rFont val="Arial"/>
        <family val="2"/>
      </rPr>
      <t xml:space="preserve"> Obtaining enforceable commitments</t>
    </r>
  </si>
  <si>
    <r>
      <rPr>
        <b/>
        <sz val="10"/>
        <rFont val="Arial"/>
        <family val="2"/>
      </rPr>
      <t xml:space="preserve">(B) </t>
    </r>
    <r>
      <rPr>
        <sz val="10"/>
        <rFont val="Arial"/>
        <family val="2"/>
      </rPr>
      <t>Adoption or certification of all necessary environmental reviews</t>
    </r>
  </si>
  <si>
    <r>
      <rPr>
        <b/>
        <sz val="10"/>
        <rFont val="Arial"/>
        <family val="2"/>
      </rPr>
      <t>(C)</t>
    </r>
    <r>
      <rPr>
        <sz val="10"/>
        <rFont val="Arial"/>
        <family val="2"/>
      </rPr>
      <t xml:space="preserve"> Land Use Approvals (i), (ii), and (iii).</t>
    </r>
  </si>
  <si>
    <r>
      <rPr>
        <b/>
        <sz val="10"/>
        <rFont val="Arial"/>
        <family val="2"/>
      </rPr>
      <t xml:space="preserve">(i) </t>
    </r>
    <r>
      <rPr>
        <sz val="10"/>
        <rFont val="Arial"/>
        <family val="2"/>
      </rPr>
      <t>Obtaining all necessary land use approvals or entitlements</t>
    </r>
  </si>
  <si>
    <r>
      <rPr>
        <b/>
        <sz val="10"/>
        <rFont val="Arial"/>
        <family val="2"/>
      </rPr>
      <t>(ii)</t>
    </r>
    <r>
      <rPr>
        <sz val="10"/>
        <rFont val="Arial"/>
        <family val="2"/>
      </rPr>
      <t xml:space="preserve"> Submission of a complete application to the relevant local authorities for land use approval</t>
    </r>
  </si>
  <si>
    <r>
      <rPr>
        <b/>
        <sz val="10"/>
        <rFont val="Arial"/>
        <family val="2"/>
      </rPr>
      <t xml:space="preserve">(iii) </t>
    </r>
    <r>
      <rPr>
        <sz val="10"/>
        <rFont val="Arial"/>
        <family val="2"/>
      </rPr>
      <t>Letter signed by a planner certified by the American Institute</t>
    </r>
  </si>
  <si>
    <r>
      <rPr>
        <b/>
        <sz val="10"/>
        <rFont val="Arial"/>
        <family val="2"/>
      </rPr>
      <t xml:space="preserve">(D) </t>
    </r>
    <r>
      <rPr>
        <sz val="10"/>
        <rFont val="Arial"/>
        <family val="2"/>
      </rPr>
      <t>Obtaining commitments for all deferred-payment financing, grants and operating subsidies</t>
    </r>
  </si>
  <si>
    <r>
      <rPr>
        <b/>
        <sz val="10"/>
        <rFont val="Arial"/>
        <family val="2"/>
      </rPr>
      <t>(E) 5 points will be subtracted</t>
    </r>
    <r>
      <rPr>
        <sz val="10"/>
        <rFont val="Arial"/>
        <family val="2"/>
      </rPr>
      <t xml:space="preserve"> if Project is utilizing 4 percent low-income housing tax credits</t>
    </r>
  </si>
  <si>
    <t>Adaptive Reuse / Infill / Proximity to Amenities, §7320(b)(6) - 15 Points Max</t>
  </si>
  <si>
    <r>
      <rPr>
        <b/>
        <sz val="10"/>
        <rFont val="Arial"/>
        <family val="2"/>
      </rPr>
      <t xml:space="preserve">(A) </t>
    </r>
    <r>
      <rPr>
        <sz val="10"/>
        <rFont val="Arial"/>
        <family val="2"/>
      </rPr>
      <t>Infill development.</t>
    </r>
  </si>
  <si>
    <r>
      <rPr>
        <b/>
        <sz val="10"/>
        <rFont val="Arial"/>
        <family val="2"/>
      </rPr>
      <t xml:space="preserve">(B) </t>
    </r>
    <r>
      <rPr>
        <sz val="10"/>
        <rFont val="Arial"/>
        <family val="2"/>
      </rPr>
      <t xml:space="preserve">Proximity to amenities.  </t>
    </r>
  </si>
  <si>
    <r>
      <rPr>
        <b/>
        <sz val="10"/>
        <rFont val="Arial"/>
        <family val="2"/>
      </rPr>
      <t xml:space="preserve">(C) </t>
    </r>
    <r>
      <rPr>
        <sz val="10"/>
        <rFont val="Arial"/>
        <family val="2"/>
      </rPr>
      <t>Sustainable building methods.</t>
    </r>
  </si>
  <si>
    <r>
      <rPr>
        <b/>
        <sz val="10"/>
        <rFont val="Arial"/>
        <family val="2"/>
      </rPr>
      <t xml:space="preserve">(D) </t>
    </r>
    <r>
      <rPr>
        <sz val="10"/>
        <rFont val="Arial"/>
        <family val="2"/>
      </rPr>
      <t>Large Family new construction projects located in “High Resource” or “Highest Resource”</t>
    </r>
  </si>
  <si>
    <t xml:space="preserve">Bonus Point Has Sponsor(s) submitted complete Borrower organizational documents </t>
  </si>
  <si>
    <t>BIPOC</t>
  </si>
  <si>
    <t xml:space="preserve">Tiebreaker Score </t>
  </si>
  <si>
    <t>Overall SH Total Chronic Homeless</t>
  </si>
  <si>
    <t>SH MHP Assisted Chronic Homeless</t>
  </si>
  <si>
    <t>1. Target Special Needs Population</t>
  </si>
  <si>
    <t>1. Overall Total Target SNP</t>
  </si>
  <si>
    <t>1. Target SNP MHP Assisted</t>
  </si>
  <si>
    <t>2. Target Special Needs Population</t>
  </si>
  <si>
    <t>2. Overall Total Target SNP</t>
  </si>
  <si>
    <t>2. Target SNP MHP Assisted</t>
  </si>
  <si>
    <t>3. Target Special Needs Population</t>
  </si>
  <si>
    <t>3. Overall Total Target SNP</t>
  </si>
  <si>
    <t>3.  Target SNP MHP Assisted</t>
  </si>
  <si>
    <t>4. Target Special Needs Population</t>
  </si>
  <si>
    <t>4. Overall Total Target SNP</t>
  </si>
  <si>
    <t>4. Target SNP MHP Assisted</t>
  </si>
  <si>
    <t>Housing First Practices?</t>
  </si>
  <si>
    <t>LSP Name</t>
  </si>
  <si>
    <t>FTE Staff All</t>
  </si>
  <si>
    <t>FTE Staff SH/SNP</t>
  </si>
  <si>
    <t>Total Project Units/No Mgr</t>
  </si>
  <si>
    <t xml:space="preserve">Total FTE Service Staff </t>
  </si>
  <si>
    <t>No. Units per FTE Staff Person</t>
  </si>
  <si>
    <t>Total units SH Chronic Homeless</t>
  </si>
  <si>
    <t>Total case mgr FTE devoted to tenants SH</t>
  </si>
  <si>
    <t>No. units per case manager SH</t>
  </si>
  <si>
    <t>Total units for SNP Homeles w/Disabililty</t>
  </si>
  <si>
    <t>Total case mgr FTE devoted to tenants SNP</t>
  </si>
  <si>
    <t>No. units per case manager FTE SNP</t>
  </si>
  <si>
    <t>Total units for SNP Other</t>
  </si>
  <si>
    <t>Total case manager FTE devoted tenants other</t>
  </si>
  <si>
    <t>No. units per case manager FTE other</t>
  </si>
  <si>
    <t>1. Income Source/Prog name</t>
  </si>
  <si>
    <t>1. Amount</t>
  </si>
  <si>
    <t>2. Income Source/Prog name</t>
  </si>
  <si>
    <t>2. Amount</t>
  </si>
  <si>
    <t>3. Income Source/Prog name</t>
  </si>
  <si>
    <t>3. Amount</t>
  </si>
  <si>
    <t>4. Income Source/Prog name</t>
  </si>
  <si>
    <t>4. Amount</t>
  </si>
  <si>
    <t>Total Revenue</t>
  </si>
  <si>
    <t>Total Staff Expense</t>
  </si>
  <si>
    <t>Total Expenses</t>
  </si>
  <si>
    <t>Total SH units</t>
  </si>
  <si>
    <t>Total SNP units</t>
  </si>
  <si>
    <t>Total overall SH &amp; SNP units</t>
  </si>
  <si>
    <t>Total Supp Serv expenses</t>
  </si>
  <si>
    <t>Total Supp Serv expenses per unit</t>
  </si>
  <si>
    <t>Total MHP Assisted SH units</t>
  </si>
  <si>
    <t>Total MHP Assisted SNP units</t>
  </si>
  <si>
    <t>Total MHP Assisted units</t>
  </si>
  <si>
    <t>Percentage of MHP SH/SNP assisted units</t>
  </si>
  <si>
    <t>Total estimated costs attributed MHP SH/SNP assisted</t>
  </si>
  <si>
    <r>
      <t xml:space="preserve">A. Supportive Services Units: </t>
    </r>
    <r>
      <rPr>
        <b/>
        <sz val="10"/>
        <rFont val="Arial"/>
        <family val="2"/>
      </rPr>
      <t>Total number of units:</t>
    </r>
  </si>
  <si>
    <r>
      <t xml:space="preserve">A. Supportive Services Units: </t>
    </r>
    <r>
      <rPr>
        <b/>
        <sz val="10"/>
        <rFont val="Arial"/>
        <family val="2"/>
      </rPr>
      <t>(1) UMR  §8314(e)(1):</t>
    </r>
  </si>
  <si>
    <r>
      <t xml:space="preserve">A. Supportive Services Units: </t>
    </r>
    <r>
      <rPr>
        <b/>
        <sz val="10"/>
        <rFont val="Arial"/>
        <family val="2"/>
      </rPr>
      <t xml:space="preserve">(2) UMR §8314(e)(2): </t>
    </r>
  </si>
  <si>
    <r>
      <t xml:space="preserve">A. Supportive Services Units: </t>
    </r>
    <r>
      <rPr>
        <b/>
        <sz val="10"/>
        <rFont val="Arial"/>
        <family val="2"/>
      </rPr>
      <t>(3) UMR §8314(e)(3):</t>
    </r>
  </si>
  <si>
    <r>
      <t xml:space="preserve">A. Supportive Services Units: </t>
    </r>
    <r>
      <rPr>
        <b/>
        <sz val="10"/>
        <rFont val="Arial"/>
        <family val="2"/>
      </rPr>
      <t>(4) UMR §8314(e)(4):</t>
    </r>
  </si>
  <si>
    <t>(5) Maximum Supportive Services Costs</t>
  </si>
  <si>
    <t>Adjusted Threshold Basis Limit multiplied by 160%</t>
  </si>
  <si>
    <t>HCD HIGH COST TEST RESULT FOR</t>
  </si>
  <si>
    <t xml:space="preserve">Total Eligible Basis </t>
  </si>
  <si>
    <t>Costs Reasonable?</t>
  </si>
  <si>
    <t>Total Budgeted or Actual Developer Fee</t>
  </si>
  <si>
    <t>Developer Fee Contributed as Capital</t>
  </si>
  <si>
    <t>Deferred Developer Fee</t>
  </si>
  <si>
    <t>Hide Based on Characteristic</t>
  </si>
  <si>
    <t>Hide / Unide Based program</t>
  </si>
  <si>
    <t>=COLUMN(Scoring!V1)</t>
  </si>
  <si>
    <t>ComponentVisibility</t>
  </si>
  <si>
    <t>Hide Row(s)</t>
  </si>
  <si>
    <t>Hide Colum(s)</t>
  </si>
  <si>
    <t>IsPrograms</t>
  </si>
  <si>
    <t>=ROW(Info!A16)</t>
  </si>
  <si>
    <t>SheetName</t>
  </si>
  <si>
    <t>StartRow</t>
  </si>
  <si>
    <t>EndRow</t>
  </si>
  <si>
    <t>StartCol</t>
  </si>
  <si>
    <t>EndCol</t>
  </si>
  <si>
    <t>Visible</t>
  </si>
  <si>
    <t>Description</t>
  </si>
  <si>
    <t>Force True</t>
  </si>
  <si>
    <t>Force False</t>
  </si>
  <si>
    <t>Program True</t>
  </si>
  <si>
    <t>IIG</t>
  </si>
  <si>
    <t>Serna</t>
  </si>
  <si>
    <t>MHP</t>
  </si>
  <si>
    <t>TOD</t>
  </si>
  <si>
    <t>VHHP</t>
  </si>
  <si>
    <t>HHC</t>
  </si>
  <si>
    <t>At High Risk Req</t>
  </si>
  <si>
    <t>Vissible sheet "At High Risk Req"</t>
  </si>
  <si>
    <t>S1 - Supportive Services Plan</t>
  </si>
  <si>
    <t>Vissible sheet "S1 - Supportive Services Plan"</t>
  </si>
  <si>
    <t>S2 - Supportive Services Costs</t>
  </si>
  <si>
    <t>Vissible sheet "S2 - Supportive Services Costs"</t>
  </si>
  <si>
    <t>S3 - Supportive Housig Exp</t>
  </si>
  <si>
    <t>Vissible sheet "S3 - Supportive Housig Exp"</t>
  </si>
  <si>
    <t>S4 - Special Needs Exp</t>
  </si>
  <si>
    <t>Vissible sheet "S4 -Special Needs Exp"</t>
  </si>
  <si>
    <t>S5 - Supportive Services Verif</t>
  </si>
  <si>
    <t>Vissible sheet "S5 - Supportive Services Verif"</t>
  </si>
  <si>
    <t>MHP Threshold Requirements</t>
  </si>
  <si>
    <t>Vissible sheet "MHP Threshold Requirements"</t>
  </si>
  <si>
    <t>Vissible Joint Venture</t>
  </si>
  <si>
    <t>IIG Threshold Requirements</t>
  </si>
  <si>
    <t>Vissible sheet "IIG Threshold Requirements"</t>
  </si>
  <si>
    <t>Vissible "vmTribalEntity"</t>
  </si>
  <si>
    <t>Vissible "vmSponDev"</t>
  </si>
  <si>
    <t>Vissible "vmDA"</t>
  </si>
  <si>
    <t>CashFlow</t>
  </si>
  <si>
    <t>Visible all IIG related</t>
  </si>
  <si>
    <t>Visible all FWHG related</t>
  </si>
  <si>
    <t>Visible all MHP related</t>
  </si>
  <si>
    <t>Visible all VHHP related</t>
  </si>
  <si>
    <t>Dev Budget SU</t>
  </si>
  <si>
    <t>Visible all HHC related</t>
  </si>
  <si>
    <t>Visible all TOD related</t>
  </si>
  <si>
    <t>Dev Sources</t>
  </si>
  <si>
    <t>Operating Budget</t>
  </si>
  <si>
    <t>Project Overview</t>
  </si>
  <si>
    <t>Visible vmAtHighRisk</t>
  </si>
  <si>
    <t>Visible vmCIP</t>
  </si>
  <si>
    <t>Visible vmUrban</t>
  </si>
  <si>
    <t>Visible vmLargeFamily</t>
  </si>
  <si>
    <t>Visible vmSenior</t>
  </si>
  <si>
    <t>Visible vmSpecialNeeds</t>
  </si>
  <si>
    <t>Visible vmFarmworker</t>
  </si>
  <si>
    <t>Visible vmTH</t>
  </si>
  <si>
    <t>Visible vmTribalEntity</t>
  </si>
  <si>
    <t>Visible vmIndianCountry</t>
  </si>
  <si>
    <t>Visible vmNCBD</t>
  </si>
  <si>
    <t>Visible vmCBD</t>
  </si>
  <si>
    <t>Visible vmED</t>
  </si>
  <si>
    <t>Visible vmED, NCBD, CBD, or TribalEntity</t>
  </si>
  <si>
    <t>Visible vmSponDev</t>
  </si>
  <si>
    <t>Visible vmEmergenyR</t>
  </si>
  <si>
    <t>Vissible OtherHCDfunds</t>
  </si>
  <si>
    <t>Vissible vmTaxResev</t>
  </si>
  <si>
    <t>Vissible Rows if Acquisition &amp; Rehabilitation</t>
  </si>
  <si>
    <t>Vissible Row if New Construction</t>
  </si>
  <si>
    <t>Vissible Row if vmScatteredSite</t>
  </si>
  <si>
    <t>Vissible vmRural "Yes"</t>
  </si>
  <si>
    <t>Vissible Indian Country site control</t>
  </si>
  <si>
    <t>Vissible Ground Lease</t>
  </si>
  <si>
    <t>Vissible vmSernasd</t>
  </si>
  <si>
    <t>Vissible vmSernagr</t>
  </si>
  <si>
    <t>Vissible Relocation Yes</t>
  </si>
  <si>
    <t>Vissible Relocation No</t>
  </si>
  <si>
    <t>Type of tax credit</t>
  </si>
  <si>
    <t>Visible MHP TCAC Hybrid</t>
  </si>
  <si>
    <t>Max Loan and Grant Amounts</t>
  </si>
  <si>
    <t>Reserves Calculator</t>
  </si>
  <si>
    <t>Unit Mix</t>
  </si>
  <si>
    <t>Visible IIG units column</t>
  </si>
  <si>
    <t>Visible IIG grant column</t>
  </si>
  <si>
    <t>Visible HHC units column</t>
  </si>
  <si>
    <t>Visible TOD units column</t>
  </si>
  <si>
    <t>Visible Serma units column</t>
  </si>
  <si>
    <t>Visible Serma MHP Agricultural column</t>
  </si>
  <si>
    <t>Visible MHP units column</t>
  </si>
  <si>
    <t>Visible MHP units columns</t>
  </si>
  <si>
    <t>Visible VHHP units column</t>
  </si>
  <si>
    <t>Visible TH VHHP columns</t>
  </si>
  <si>
    <t>Scoring</t>
  </si>
  <si>
    <t>Visible IsVHHP</t>
  </si>
  <si>
    <t>Vossible IsIIG</t>
  </si>
  <si>
    <t>Vossible IsSerna</t>
  </si>
  <si>
    <t>Vissible vmOOA</t>
  </si>
  <si>
    <t>Vissible vmCES</t>
  </si>
  <si>
    <t>Vissible Rehab only section</t>
  </si>
  <si>
    <t>Vissible vmBonaFide</t>
  </si>
  <si>
    <t>Vissible vmNER</t>
  </si>
  <si>
    <t>Vissible vmWCL or vmOCL</t>
  </si>
  <si>
    <t>Vissible vmOCL</t>
  </si>
  <si>
    <t>Vissible vmLUA</t>
  </si>
  <si>
    <t>Vissible vmWCL2 or vmOCL2</t>
  </si>
  <si>
    <t>Vissible vmOCL2</t>
  </si>
  <si>
    <t>Vissible vmCApplication</t>
  </si>
  <si>
    <t>Vissible vmAICP</t>
  </si>
  <si>
    <t>Vissible vmRural "No"</t>
  </si>
  <si>
    <t>Vissible vmExcessSurplus</t>
  </si>
  <si>
    <t>Vissible vmTAL</t>
  </si>
  <si>
    <t>Vissible vmBroadbandA</t>
  </si>
  <si>
    <t>Vissible vmSustainableCS</t>
  </si>
  <si>
    <t>Vissible vmRegionalPlan</t>
  </si>
  <si>
    <t>Vissible vmTPA</t>
  </si>
  <si>
    <t>Vissible vmGreenBuilding</t>
  </si>
  <si>
    <t>Vissible vmElectricDesign</t>
  </si>
  <si>
    <t>Vissible vmElectricPowered</t>
  </si>
  <si>
    <t>Vissible if (OR(IsVhhp,IsIig,IsSerna)</t>
  </si>
  <si>
    <t>Vissible VHHP Program Specific Section</t>
  </si>
  <si>
    <t>Vissible if (OR(isSH,isTC)</t>
  </si>
  <si>
    <t>Vissible FWHG Program Specific Section</t>
  </si>
  <si>
    <t>Vissible IIG Program Specific Section</t>
  </si>
  <si>
    <t>Vissible vmProhousing</t>
  </si>
  <si>
    <t>Vissible vmProhousing = "No"</t>
  </si>
  <si>
    <t>HCD Super NOFA (AB434)</t>
  </si>
  <si>
    <t>Application</t>
  </si>
  <si>
    <r>
      <rPr>
        <b/>
        <sz val="18"/>
        <rFont val="Arial"/>
        <family val="2"/>
      </rPr>
      <t xml:space="preserve">February 2022 </t>
    </r>
    <r>
      <rPr>
        <b/>
        <sz val="18"/>
        <color theme="1"/>
        <rFont val="Arial"/>
        <family val="2"/>
      </rPr>
      <t>Notice of Funding Availability</t>
    </r>
  </si>
  <si>
    <t>State of California</t>
  </si>
  <si>
    <t>Governor Gavin Newsom</t>
  </si>
  <si>
    <t>Lourdes Castro Ramírez, Secretary</t>
  </si>
  <si>
    <t>Business, Consumer Services and Housing Agency</t>
  </si>
  <si>
    <t>Gustavo Velasquez, Director</t>
  </si>
  <si>
    <t>Department of Housing and Community Development</t>
  </si>
  <si>
    <t>2020 West El Camino Avenue, Suite 150</t>
  </si>
  <si>
    <t>Sacramento, CA 95833</t>
  </si>
  <si>
    <t xml:space="preserve">Phone: (916) 263-2771  </t>
  </si>
  <si>
    <t>Email: MHP@hcd.ca.gov</t>
  </si>
  <si>
    <t>Website: http://www.hcd.ca.gov/grants-funding/active-funding/MHP.shtml</t>
  </si>
  <si>
    <t>website will change, need new link</t>
  </si>
  <si>
    <r>
      <t xml:space="preserve">SUPER NOFA DATE </t>
    </r>
    <r>
      <rPr>
        <b/>
        <strike/>
        <sz val="14"/>
        <rFont val="Arial"/>
        <family val="2"/>
      </rPr>
      <t>02/15/2022</t>
    </r>
  </si>
  <si>
    <t>Rev.</t>
  </si>
  <si>
    <t>End of Document</t>
  </si>
  <si>
    <t>Instructions</t>
  </si>
  <si>
    <r>
      <t>When opening this file, a yellow banner at the top may appear with a button that says "</t>
    </r>
    <r>
      <rPr>
        <sz val="11"/>
        <color rgb="FFC00000"/>
        <rFont val="Arial"/>
        <family val="2"/>
      </rPr>
      <t>Enable Editing</t>
    </r>
    <r>
      <rPr>
        <sz val="11"/>
        <color theme="1"/>
        <rFont val="Arial"/>
        <family val="2"/>
      </rPr>
      <t>". It is essential that you click this box so that the macros are enabled. Enabling macros is necessary for full worksheet functionality. Macros may not work with Microsoft's Excel version for Apple Mac.</t>
    </r>
  </si>
  <si>
    <r>
      <t>Application materials must be submitted electronically via the</t>
    </r>
    <r>
      <rPr>
        <b/>
        <sz val="11"/>
        <rFont val="Arial"/>
        <family val="2"/>
      </rPr>
      <t xml:space="preserve"> </t>
    </r>
    <r>
      <rPr>
        <b/>
        <strike/>
        <sz val="11"/>
        <color rgb="FFFF0000"/>
        <rFont val="Arial"/>
        <family val="2"/>
      </rPr>
      <t>FAAST</t>
    </r>
    <r>
      <rPr>
        <strike/>
        <sz val="11"/>
        <color rgb="FFFF0000"/>
        <rFont val="Arial"/>
        <family val="2"/>
      </rPr>
      <t xml:space="preserve"> system</t>
    </r>
    <r>
      <rPr>
        <sz val="11"/>
        <rFont val="Arial"/>
        <family val="2"/>
      </rPr>
      <t xml:space="preserve">. Requirements for uploading the Application Workbook and required supporting </t>
    </r>
  </si>
  <si>
    <t xml:space="preserve">documentation, including naming conventions, are described in the application instructions available at  </t>
  </si>
  <si>
    <r>
      <t xml:space="preserve">Sponsors must upload all application materials to the </t>
    </r>
    <r>
      <rPr>
        <strike/>
        <sz val="11"/>
        <color rgb="FFFF0000"/>
        <rFont val="Arial"/>
        <family val="2"/>
      </rPr>
      <t>FAAST system</t>
    </r>
    <r>
      <rPr>
        <sz val="11"/>
        <rFont val="Arial"/>
        <family val="2"/>
      </rPr>
      <t xml:space="preserve"> no later than </t>
    </r>
    <r>
      <rPr>
        <strike/>
        <sz val="11"/>
        <color rgb="FFFF0000"/>
        <rFont val="Arial"/>
        <family val="2"/>
      </rPr>
      <t>5:00 p.m. Pacific Daylight Time</t>
    </r>
    <r>
      <rPr>
        <sz val="11"/>
        <rFont val="Arial"/>
        <family val="2"/>
      </rPr>
      <t xml:space="preserve"> on</t>
    </r>
    <r>
      <rPr>
        <b/>
        <sz val="11"/>
        <rFont val="Arial"/>
        <family val="2"/>
      </rPr>
      <t xml:space="preserve"> </t>
    </r>
    <r>
      <rPr>
        <b/>
        <strike/>
        <sz val="11"/>
        <color rgb="FFFF0000"/>
        <rFont val="Arial"/>
        <family val="2"/>
      </rPr>
      <t>September 20, 2021</t>
    </r>
    <r>
      <rPr>
        <sz val="11"/>
        <rFont val="Arial"/>
        <family val="2"/>
      </rPr>
      <t>.</t>
    </r>
  </si>
  <si>
    <r>
      <t xml:space="preserve">Applications must be on the Department’s forms and cannot be altered or modified by the Sponsor. Excel forms must be in Excel format, not a .pdf document. Please complete the Application Support worksheet and email the entire workbook to </t>
    </r>
    <r>
      <rPr>
        <sz val="11"/>
        <color rgb="FF0000FF"/>
        <rFont val="Arial"/>
        <family val="2"/>
      </rPr>
      <t xml:space="preserve">AppSupport@hcd.ca.gov </t>
    </r>
    <r>
      <rPr>
        <sz val="11"/>
        <color theme="1"/>
        <rFont val="Arial"/>
        <family val="2"/>
      </rPr>
      <t>if you discover application errors.</t>
    </r>
  </si>
  <si>
    <r>
      <rPr>
        <sz val="11"/>
        <rFont val="Arial"/>
        <family val="2"/>
      </rPr>
      <t xml:space="preserve">Additional instructions and guidance are given throughout the Application in </t>
    </r>
    <r>
      <rPr>
        <sz val="11"/>
        <color rgb="FFC00000"/>
        <rFont val="Arial"/>
        <family val="2"/>
      </rPr>
      <t>"</t>
    </r>
    <r>
      <rPr>
        <b/>
        <sz val="11"/>
        <color rgb="FFC00000"/>
        <rFont val="Arial"/>
        <family val="2"/>
      </rPr>
      <t>red</t>
    </r>
    <r>
      <rPr>
        <sz val="11"/>
        <color rgb="FFC00000"/>
        <rFont val="Arial"/>
        <family val="2"/>
      </rPr>
      <t>"</t>
    </r>
    <r>
      <rPr>
        <sz val="11"/>
        <rFont val="Arial"/>
        <family val="2"/>
      </rPr>
      <t xml:space="preserve"> text and in cell comments.</t>
    </r>
  </si>
  <si>
    <t>"Yellow" cells are for Sponsor input. Failure to provide the information may disqualify your application from consideration or may negatively impact your point score.</t>
  </si>
  <si>
    <t>Required attachments are indicated in "Orange" throughout the Application. Failure to provide the required attachments and documentation may disqualify your application from consideration or may negatively impact your point score. Electronically attached files must use the naming convention in the Application.</t>
  </si>
  <si>
    <t xml:space="preserve">Self score points awarded are in "Blue" cells in the "Scoring" worksheet. These are automated calculations based on the inputs provided by the Sponsor. </t>
  </si>
  <si>
    <t xml:space="preserve">"Red" shaded cells indicate the Sponsor has failed to meet a requirement of the program. Point cells in "Scoring" worksheet shaded in "Red" indicate that the Sponsor has failed to meet the minimum points required. </t>
  </si>
  <si>
    <r>
      <rPr>
        <b/>
        <u/>
        <sz val="11"/>
        <rFont val="Arial"/>
        <family val="2"/>
      </rPr>
      <t>Disclosure of Application:</t>
    </r>
    <r>
      <rPr>
        <sz val="11"/>
        <rFont val="Arial"/>
        <family val="2"/>
      </rPr>
      <t xml:space="preserve"> Information provided in this application and attachments will become a public record available for review by the public pursuant to the Public Records Act. As such, any materials provided will be disclosable to any person making a public records request. Please use discretion in providing HCD with information that is not specifically requested, including but not limited to, bank account numbers, personal phone numbers and home addresses. By providing this information to HCD, the Sponsor is waiving any claim of confidentiality and consents to the disclosure of all submitted material upon request.</t>
    </r>
  </si>
  <si>
    <t>Gudinelie verification</t>
  </si>
  <si>
    <t xml:space="preserve">In order to implement goals and purposes of the Program, the Department may adopt measures to direct funding awards to designated Project types including, but not limited to, Rural Area Projects, Projects located in areas needing additional funding to achieve a reasonable geographic distribution of Program funds, Projects preserving </t>
  </si>
  <si>
    <t>IsSerna</t>
  </si>
  <si>
    <t>continued affordability, and Projects with specified funding characteristics.</t>
  </si>
  <si>
    <t>IsIig</t>
  </si>
  <si>
    <t>IsMhp</t>
  </si>
  <si>
    <t>After selecting HCD program(s) and Eligible Project Type(s) below, plase make sure you click on the "Force Update" on the right to make sure all fields required, per selections below, are displayed.</t>
  </si>
  <si>
    <t>FORCE UPDATE</t>
  </si>
  <si>
    <t>IsTod</t>
  </si>
  <si>
    <t>IsVhhp</t>
  </si>
  <si>
    <t>IsHHC</t>
  </si>
  <si>
    <r>
      <t xml:space="preserve">Select </t>
    </r>
    <r>
      <rPr>
        <b/>
        <sz val="11"/>
        <color rgb="FFC00000"/>
        <rFont val="Arial"/>
        <family val="2"/>
      </rPr>
      <t>HCD</t>
    </r>
    <r>
      <rPr>
        <b/>
        <sz val="11"/>
        <color rgb="FF0000FF"/>
        <rFont val="Arial"/>
        <family val="2"/>
      </rPr>
      <t xml:space="preserve"> program(s)</t>
    </r>
  </si>
  <si>
    <t>Yes</t>
  </si>
  <si>
    <r>
      <t>Multifamily Housing Program (</t>
    </r>
    <r>
      <rPr>
        <b/>
        <sz val="11"/>
        <color theme="1"/>
        <rFont val="Arial"/>
        <family val="2"/>
      </rPr>
      <t>MHP</t>
    </r>
    <r>
      <rPr>
        <sz val="11"/>
        <color theme="1"/>
        <rFont val="Arial"/>
        <family val="2"/>
      </rPr>
      <t>)</t>
    </r>
  </si>
  <si>
    <r>
      <t>Infill Infrastructure Grant Program (</t>
    </r>
    <r>
      <rPr>
        <b/>
        <sz val="11"/>
        <color theme="1"/>
        <rFont val="Arial"/>
        <family val="2"/>
      </rPr>
      <t>IIG</t>
    </r>
    <r>
      <rPr>
        <sz val="11"/>
        <color theme="1"/>
        <rFont val="Arial"/>
        <family val="2"/>
      </rPr>
      <t>)</t>
    </r>
  </si>
  <si>
    <r>
      <t>Transit-Oriented Development (</t>
    </r>
    <r>
      <rPr>
        <b/>
        <sz val="11"/>
        <color theme="1"/>
        <rFont val="Arial"/>
        <family val="2"/>
      </rPr>
      <t>TOD</t>
    </r>
    <r>
      <rPr>
        <sz val="11"/>
        <color theme="1"/>
        <rFont val="Arial"/>
        <family val="2"/>
      </rPr>
      <t>) Housing Program</t>
    </r>
  </si>
  <si>
    <r>
      <t>Housing for a Healthy California Program (</t>
    </r>
    <r>
      <rPr>
        <b/>
        <sz val="11"/>
        <color theme="1"/>
        <rFont val="Arial"/>
        <family val="2"/>
      </rPr>
      <t>HHC</t>
    </r>
    <r>
      <rPr>
        <sz val="11"/>
        <color theme="1"/>
        <rFont val="Arial"/>
        <family val="2"/>
      </rPr>
      <t>)</t>
    </r>
  </si>
  <si>
    <r>
      <t>Joe Serna, Jr. Farmworker Housing Grant (</t>
    </r>
    <r>
      <rPr>
        <b/>
        <sz val="11"/>
        <color theme="1"/>
        <rFont val="Arial"/>
        <family val="2"/>
      </rPr>
      <t>FWHG</t>
    </r>
    <r>
      <rPr>
        <sz val="11"/>
        <color theme="1"/>
        <rFont val="Arial"/>
        <family val="2"/>
      </rPr>
      <t>) Program</t>
    </r>
  </si>
  <si>
    <r>
      <t>Veterans Housing and Homelessness Prevention Program (</t>
    </r>
    <r>
      <rPr>
        <b/>
        <sz val="11"/>
        <color theme="1"/>
        <rFont val="Arial"/>
        <family val="2"/>
      </rPr>
      <t>VHHP</t>
    </r>
    <r>
      <rPr>
        <sz val="11"/>
        <color theme="1"/>
        <rFont val="Arial"/>
        <family val="2"/>
      </rPr>
      <t>)</t>
    </r>
  </si>
  <si>
    <t>Select Eligible Project Types</t>
  </si>
  <si>
    <t>Capital Improvement Project - with Qualifying Infill Project (IIG)</t>
  </si>
  <si>
    <t>IsCIP</t>
  </si>
  <si>
    <t xml:space="preserve">Sponsor certifies that the Project meets the requirements set forth at program guidelines? </t>
  </si>
  <si>
    <t>Is the CIP an integral part of, or necessary for the development of a QIP?</t>
  </si>
  <si>
    <t>File Name:</t>
  </si>
  <si>
    <t>Uploaded to HCD Portal?</t>
  </si>
  <si>
    <r>
      <t xml:space="preserve">Is QIP located in a Locality that has an adopted housing element in substantial compliance with </t>
    </r>
    <r>
      <rPr>
        <sz val="11"/>
        <color theme="9" tint="-0.249977111117893"/>
        <rFont val="Arial"/>
        <family val="2"/>
      </rPr>
      <t>Art. 10.6 (§65580) Ch. 3 Div. 1 of Title 7  (Gov. Code §65585)</t>
    </r>
    <r>
      <rPr>
        <sz val="11"/>
        <rFont val="Arial"/>
        <family val="2"/>
      </rPr>
      <t>?</t>
    </r>
  </si>
  <si>
    <t>A jurisdiction’s current housing element compliance status is obtainable thru HCD’s website.</t>
  </si>
  <si>
    <r>
      <t xml:space="preserve">Is QIP located in a Locality that has submitted its housing element annual progress reports (required by Gov. Code §65400) for the current </t>
    </r>
    <r>
      <rPr>
        <b/>
        <sz val="11"/>
        <color rgb="FFC00000"/>
        <rFont val="Arial"/>
        <family val="2"/>
      </rPr>
      <t>and</t>
    </r>
    <r>
      <rPr>
        <sz val="11"/>
        <rFont val="Arial"/>
        <family val="2"/>
      </rPr>
      <t xml:space="preserve"> prior year.</t>
    </r>
  </si>
  <si>
    <t>Is QIP located in an Urbanized Area?</t>
  </si>
  <si>
    <t>IsFarmworker</t>
  </si>
  <si>
    <t xml:space="preserve">Sponsor certifies that the Project meets the requirements set forth at </t>
  </si>
  <si>
    <t>Sponsor certifies that Project contains Assisted Units to be occupied by Agricultural Households?</t>
  </si>
  <si>
    <t>Sponsor certifies that Project's Assisted Units will, to the greatest extent possible, be occupied by lower-income Agricultural Households?</t>
  </si>
  <si>
    <t>Sponsor certifies that Project's non-Assisted Units will, to the greatest extent possible, be occupied by Agricultural Households?</t>
  </si>
  <si>
    <t>Sponsor acknowledge that Project Assisted Units are required to be made available to lower-income households pursuant to MHP §7209 at affordable rents as defined in Health and Safety Code §50053.</t>
  </si>
  <si>
    <t>At High Risk (MHP)</t>
  </si>
  <si>
    <t>IsAtHighRisk</t>
  </si>
  <si>
    <t>At High Risk Projects must complete the "At High Risk Req" Worksheet / tab.</t>
  </si>
  <si>
    <t>Large Family (MHP)</t>
  </si>
  <si>
    <t>IsLargeFamily</t>
  </si>
  <si>
    <t>Senior (MHP)</t>
  </si>
  <si>
    <t>IsSenior</t>
  </si>
  <si>
    <t>Special Needs (MHP)</t>
  </si>
  <si>
    <t>IsSpecialNeeds</t>
  </si>
  <si>
    <r>
      <t>Special Needs Projects must complete the "</t>
    </r>
    <r>
      <rPr>
        <sz val="11"/>
        <color rgb="FF0000FF"/>
        <rFont val="Arial"/>
        <family val="2"/>
      </rPr>
      <t>S1 - Supportive Services Plan</t>
    </r>
    <r>
      <rPr>
        <sz val="11"/>
        <rFont val="Arial"/>
        <family val="2"/>
      </rPr>
      <t>", "</t>
    </r>
    <r>
      <rPr>
        <sz val="11"/>
        <color rgb="FF0000FF"/>
        <rFont val="Arial"/>
        <family val="2"/>
      </rPr>
      <t>S2 - Supportive Services Costs</t>
    </r>
    <r>
      <rPr>
        <sz val="11"/>
        <rFont val="Arial"/>
        <family val="2"/>
      </rPr>
      <t>", "</t>
    </r>
    <r>
      <rPr>
        <sz val="11"/>
        <color rgb="FF0000FF"/>
        <rFont val="Arial"/>
        <family val="2"/>
      </rPr>
      <t>S4 - Special Needs Exp</t>
    </r>
    <r>
      <rPr>
        <sz val="11"/>
        <rFont val="Arial"/>
        <family val="2"/>
      </rPr>
      <t>", and  "</t>
    </r>
    <r>
      <rPr>
        <sz val="11"/>
        <color rgb="FF0000FF"/>
        <rFont val="Arial"/>
        <family val="2"/>
      </rPr>
      <t>S5 - Supportive Services Verif</t>
    </r>
    <r>
      <rPr>
        <sz val="11"/>
        <rFont val="Arial"/>
        <family val="2"/>
      </rPr>
      <t>"  Worksheet / tab.</t>
    </r>
  </si>
  <si>
    <t>Supportive Housing (VHHP)</t>
  </si>
  <si>
    <t>IsSH</t>
  </si>
  <si>
    <t>Need supportive housing sheet from VHHP</t>
  </si>
  <si>
    <t>Transitional Housing (VHHP)</t>
  </si>
  <si>
    <t>IsTH</t>
  </si>
  <si>
    <t xml:space="preserve">Is Project being proposed by a Tribal Entity? </t>
  </si>
  <si>
    <t>Sponsor certifies that occupancy will be legally limited to tribal households, except that up to 20% of Low-Income Units may serve non-tribal households if required by the HOME Program</t>
  </si>
  <si>
    <t>Is Project being proposed by a New Community-Based Developer?</t>
  </si>
  <si>
    <t>Is Project being proposed by an Community-Based Developer?</t>
  </si>
  <si>
    <t>Does the Community-Based Developer plan to qualify on its own as a Sponsor so long as the Community-Based Developer meets the experience requirements set forth in its §7301 definition, as well as satisfies the application requirements set forth in §7318 hereof?</t>
  </si>
  <si>
    <t>Is Project being proposed by an Emerging Developer?</t>
  </si>
  <si>
    <t>Does the Emerging Developer plan to apply on its own as a Sponsor so long as the Emerging Developer meets the experience requirements set forth at definitions §7301?</t>
  </si>
  <si>
    <r>
      <t xml:space="preserve">Is Sponsor or Applicant contracting with an experienced developer who will </t>
    </r>
    <r>
      <rPr>
        <b/>
        <sz val="11"/>
        <color rgb="FFC00000"/>
        <rFont val="Arial"/>
        <family val="2"/>
      </rPr>
      <t xml:space="preserve">not </t>
    </r>
    <r>
      <rPr>
        <sz val="11"/>
        <color theme="1"/>
        <rFont val="Arial"/>
        <family val="2"/>
      </rPr>
      <t xml:space="preserve">be a general partner to meet the requirements of </t>
    </r>
    <r>
      <rPr>
        <sz val="11"/>
        <color theme="9" tint="-0.249977111117893"/>
        <rFont val="Arial"/>
        <family val="2"/>
      </rPr>
      <t>MHP Scoring Appendix §7320 II (c)</t>
    </r>
    <r>
      <rPr>
        <sz val="11"/>
        <color theme="1"/>
        <rFont val="Arial"/>
        <family val="2"/>
      </rPr>
      <t xml:space="preserve"> provided that the contract is fully executed at time of application submission and shall be in effect at least until permanent loan closing and the issuance of 8609 tax forms, if applicable.</t>
    </r>
  </si>
  <si>
    <t>No</t>
  </si>
  <si>
    <r>
      <t xml:space="preserve">Funds shall only be used for capital asset related expenses as required by section 16727 of the Government Code. Eligible costs include the construction, rehabilitation, demolition, relocation, preservation, acquisition, or other physical improvements set forth in </t>
    </r>
    <r>
      <rPr>
        <sz val="11"/>
        <color theme="9" tint="-0.249977111117893"/>
        <rFont val="Arial"/>
        <family val="2"/>
      </rPr>
      <t>IIG §203</t>
    </r>
    <r>
      <rPr>
        <sz val="11"/>
        <rFont val="Arial"/>
        <family val="2"/>
      </rPr>
      <t>.</t>
    </r>
  </si>
  <si>
    <t>Sponsor certifies and agree to the use of Multiple Department Funding Sources?</t>
  </si>
  <si>
    <t>Does Project plan to or has completed any emergency repairs to existing structures required to eliminate hazards or threats to health and safety?</t>
  </si>
  <si>
    <t>IIG Capital Improvement Project - provide related CIP and scope or work.</t>
  </si>
  <si>
    <t>Project Information</t>
  </si>
  <si>
    <t>Project County</t>
  </si>
  <si>
    <t>Fresno</t>
  </si>
  <si>
    <t>Geographic Location</t>
  </si>
  <si>
    <t>Project Development Type</t>
  </si>
  <si>
    <t>Rehabilitation</t>
  </si>
  <si>
    <t>For Acq/Rehab and Rehab Projects ONLY: Provide a description of the current condition of the structure(s) and a general description of the overall scope of work. Include a discussion of any proposed modification to the unit configurations, unit mix, need for seismic retrofit, or modifications in use (e.g., commercial/tourist hotel to SRO or studio apartments). All Projects must submit a Physical Needs Assessment (PNA) or Capital Needs Assessment (CNA) prepared by a qualified independent third party contractor, which supports the proposed scope of work. All Projects must submit a current rent roll, which includes household income and household size for each unit.</t>
  </si>
  <si>
    <t>File Name</t>
  </si>
  <si>
    <t>(APNs):</t>
  </si>
  <si>
    <t>Census Tract(s)</t>
  </si>
  <si>
    <t>Has the Sponsor applied, plan to apply, or been awarded other HCD program funds for this Project?</t>
  </si>
  <si>
    <t>If applicable, provide other Project name(s) for which this Project has applied for HCD funds in the past.</t>
  </si>
  <si>
    <t>Other HCD program(s) name(s):</t>
  </si>
  <si>
    <t>Loan amount</t>
  </si>
  <si>
    <t>Grant amount</t>
  </si>
  <si>
    <t>Awarded?</t>
  </si>
  <si>
    <t>Award date or expected award date?</t>
  </si>
  <si>
    <t>Type of Tax Credits</t>
  </si>
  <si>
    <t>Tax Credit Equity based on</t>
  </si>
  <si>
    <t xml:space="preserve">per one dollar of tax credit. </t>
  </si>
  <si>
    <t>Federal</t>
  </si>
  <si>
    <t>Proposed equity investor contribution ($)</t>
  </si>
  <si>
    <t>Anticipated tax credit factor</t>
  </si>
  <si>
    <t>App rate</t>
  </si>
  <si>
    <t>State</t>
  </si>
  <si>
    <t>Timeframe for applying for 4%Tax Credits</t>
  </si>
  <si>
    <t>Proposed month</t>
  </si>
  <si>
    <t>Proposed year</t>
  </si>
  <si>
    <t>Tax Credit Reservation Awarded?</t>
  </si>
  <si>
    <t>Timeframe for applying for 9%Tax Credits</t>
  </si>
  <si>
    <t>Uploaded to HCD?</t>
  </si>
  <si>
    <t xml:space="preserve">UMR §8302 New Construction Project: is demolition of existing residential required? </t>
  </si>
  <si>
    <t>Is the Project a scattered site housing Project?</t>
  </si>
  <si>
    <t xml:space="preserve">If yes, will the proposed Project meet the UMR §8303(b) requirements? </t>
  </si>
  <si>
    <t>Scatter site addresses (complete address)</t>
  </si>
  <si>
    <t>Total Residential
Units</t>
  </si>
  <si>
    <t>LIHTC
Units</t>
  </si>
  <si>
    <t>Project Site Area</t>
  </si>
  <si>
    <t>Units per Acre</t>
  </si>
  <si>
    <t>Special Facility
Type</t>
  </si>
  <si>
    <t>Rental Subsidy?</t>
  </si>
  <si>
    <t>Commercial
Space?</t>
  </si>
  <si>
    <t>Relocation
Required?</t>
  </si>
  <si>
    <t>Acres</t>
  </si>
  <si>
    <t>Per Acre</t>
  </si>
  <si>
    <t>Operating Subsidy?</t>
  </si>
  <si>
    <t>HUD 811 Project?</t>
  </si>
  <si>
    <t>Any type of demolition required?</t>
  </si>
  <si>
    <t>Describe any demolition to be completed (including any structures, parking lots, signage or billboards to be demolished).</t>
  </si>
  <si>
    <t>Is Project in a Rural Area as defined by H&amp;S Code §50199.21?. Sponsors must use the TCAC Method for determining rural status.</t>
  </si>
  <si>
    <t>Documentation of rural status</t>
  </si>
  <si>
    <t>Which methodology is being used to demonstrate that the Project area is rural?</t>
  </si>
  <si>
    <t>Is Project located in a High or Highest Resource Area per TCAC/HCD Opportunity Area Map available at the time of application?</t>
  </si>
  <si>
    <t>https://www.treasurer.ca.gov/ctcac/opportunity.asp</t>
  </si>
  <si>
    <t>Enter the entire TCAC/HCD Opportunity Area Map Tract ID #:</t>
  </si>
  <si>
    <t>High Segregation &amp; Poverty</t>
  </si>
  <si>
    <t>Highest Resource</t>
  </si>
  <si>
    <t>Moderate Resource (Rapidly Changing)</t>
  </si>
  <si>
    <t>High Resource</t>
  </si>
  <si>
    <t>Moderate Resource</t>
  </si>
  <si>
    <t>Low Resource</t>
  </si>
  <si>
    <r>
      <t xml:space="preserve">Eligible Sponsor </t>
    </r>
    <r>
      <rPr>
        <b/>
        <sz val="11"/>
        <color theme="9" tint="-0.249977111117893"/>
        <rFont val="Arial"/>
        <family val="2"/>
      </rPr>
      <t>MHP §7303 and UMR § 8301(s)</t>
    </r>
  </si>
  <si>
    <r>
      <t>"</t>
    </r>
    <r>
      <rPr>
        <b/>
        <sz val="11"/>
        <color theme="1"/>
        <rFont val="Arial"/>
        <family val="2"/>
      </rPr>
      <t>Sponsor</t>
    </r>
    <r>
      <rPr>
        <sz val="11"/>
        <color theme="1"/>
        <rFont val="Arial"/>
        <family val="2"/>
      </rPr>
      <t xml:space="preserve"> " is defined as that entity having demonstrated prior experience in the development and ownership of affordable housing and having current capacity, including human and financial resources, which will have substantial and continuing control of the Rental Housing Development. Enter the name of the entity meeting this definition as Sponsor #1.  Additional entities partnering with Sponsor #1 (i.e. non-profit with for-profit or supportive housing partners) should be entered as Sponsor #2)</t>
    </r>
  </si>
  <si>
    <t>Missing / Insufficient Data</t>
  </si>
  <si>
    <t>FWHG Applicants: To be eligible to apply for funding, the applicant shall be a local public entity, nonprofit corporation, limited liability company, limited partnership or duly constituted governing body of an Iindian reservation or rancheria or a tribally designated housing entity.
In the case of a nonprofit corporation, limited liability company, or limited partnership, the applicant shall demonstrate to HCD's satisfaction that the applicant is independent from any direction of, or control by, a for-profit entity and shall meet the requirements of CCR §7205.1 and §7205.2.</t>
  </si>
  <si>
    <t>National &amp; State Park / Forest / Rec Area</t>
  </si>
  <si>
    <t>Sponsor #1</t>
  </si>
  <si>
    <t>Entity Name</t>
  </si>
  <si>
    <t>Corporation</t>
  </si>
  <si>
    <t>Sponsor shall demonstrate that it has successfully developed, operated, and owned at least four (4) affordable rental housing developments of equivalent size, scale, and occupancy.</t>
  </si>
  <si>
    <t>Sponsor certifies to employ experienced staff without reliance upon another entity or parent company?</t>
  </si>
  <si>
    <t>Sponsor certifies to have sufficient financial capacity to carry out its obligations pursuant to program requirements including, but not limited to providing financial guarantees without reliance upon another entity or parent company?</t>
  </si>
  <si>
    <t>Will the Sponsor be the recipient or co-recipient of the Department’s award of funds.</t>
  </si>
  <si>
    <t>Will the Sponsor be organized on a for-profit, limited profit, or nonprofit basis.</t>
  </si>
  <si>
    <t>Project Staffing Chart</t>
  </si>
  <si>
    <t>Staff type</t>
  </si>
  <si>
    <t>Employee / Consultant full name</t>
  </si>
  <si>
    <t>Position title</t>
  </si>
  <si>
    <t>Full time / Part time</t>
  </si>
  <si>
    <t>% of time dedicated to this Project</t>
  </si>
  <si>
    <t>Need web address</t>
  </si>
  <si>
    <t>Sponsor #2</t>
  </si>
  <si>
    <t>Eligible Sponsor Type:</t>
  </si>
  <si>
    <t>Organization Type:</t>
  </si>
  <si>
    <r>
      <rPr>
        <sz val="11"/>
        <color theme="9" tint="-0.249977111117893"/>
        <rFont val="Arial"/>
        <family val="2"/>
      </rPr>
      <t>MHP 7301 (u)</t>
    </r>
    <r>
      <rPr>
        <sz val="11"/>
        <color theme="1"/>
        <rFont val="Arial"/>
        <family val="2"/>
      </rPr>
      <t xml:space="preserve"> “</t>
    </r>
    <r>
      <rPr>
        <b/>
        <sz val="11"/>
        <color theme="1"/>
        <rFont val="Arial"/>
        <family val="2"/>
      </rPr>
      <t>Joint Venture</t>
    </r>
    <r>
      <rPr>
        <sz val="11"/>
        <color theme="1"/>
        <rFont val="Arial"/>
        <family val="2"/>
      </rPr>
      <t xml:space="preserve">” means an association of two or more persons, or entities who combine their property, skill or knowledge to carry out a single business enterprise for profit. A Sponsor formed as a joint venture in accordance with Section 7303(a) shall comply with the requirements of Section 7303(g). </t>
    </r>
    <r>
      <rPr>
        <sz val="11"/>
        <color rgb="FFC00000"/>
        <rFont val="Arial"/>
        <family val="2"/>
      </rPr>
      <t>The Borrower limited partnership</t>
    </r>
    <r>
      <rPr>
        <b/>
        <sz val="11"/>
        <color theme="1"/>
        <rFont val="Arial"/>
        <family val="2"/>
      </rPr>
      <t xml:space="preserve"> is not</t>
    </r>
    <r>
      <rPr>
        <sz val="11"/>
        <color theme="1"/>
        <rFont val="Arial"/>
        <family val="2"/>
      </rPr>
      <t xml:space="preserve"> a joint venture within the meaning of Section 7303(a).</t>
    </r>
  </si>
  <si>
    <t>Verify 7303(a) and 7303(g) once draft completion.</t>
  </si>
  <si>
    <t>Joint Venture Entity #1</t>
  </si>
  <si>
    <t>Entity Name:</t>
  </si>
  <si>
    <r>
      <t xml:space="preserve">Sponsor certifies that the partner with experience must document that experience in the application as required by the NOFA. </t>
    </r>
    <r>
      <rPr>
        <sz val="11"/>
        <color theme="9" tint="-0.249977111117893"/>
        <rFont val="Arial"/>
        <family val="2"/>
      </rPr>
      <t>§7303 (d)(4)(A)</t>
    </r>
  </si>
  <si>
    <r>
      <t xml:space="preserve">Sponsor certifies that the partner with experience must retain a controlling interest in the joint venture for at least seven (7) consecutive years from the date of full occupancy of the Rental Housing Development. Any transfer of this interest requires the Department’s advance written approval. </t>
    </r>
    <r>
      <rPr>
        <sz val="11"/>
        <color theme="9" tint="-0.249977111117893"/>
        <rFont val="Arial"/>
        <family val="2"/>
      </rPr>
      <t>§7303 (d)(4)(B)</t>
    </r>
  </si>
  <si>
    <r>
      <t xml:space="preserve">Sponsor certifies that the partner with experience must perform a substantial management role in the joint venture for at least seven (7) consecutive years from the date of full occupancy of the Rental Housing Development. </t>
    </r>
    <r>
      <rPr>
        <sz val="11"/>
        <color theme="9" tint="-0.249977111117893"/>
        <rFont val="Arial"/>
        <family val="2"/>
      </rPr>
      <t>§7303 (d)(4)(C)</t>
    </r>
    <r>
      <rPr>
        <sz val="11"/>
        <color theme="1"/>
        <rFont val="Arial"/>
        <family val="2"/>
      </rPr>
      <t xml:space="preserve"> Such role shall include the substantial management duties set forth at </t>
    </r>
    <r>
      <rPr>
        <sz val="11"/>
        <color theme="9" tint="-0.249977111117893"/>
        <rFont val="Arial"/>
        <family val="2"/>
      </rPr>
      <t>UMR §8313.2.</t>
    </r>
  </si>
  <si>
    <r>
      <t xml:space="preserve">Sponsor certifies that the partnership agreement must, for the duration of the joint venture Sponsor’s partnership, do the following: </t>
    </r>
    <r>
      <rPr>
        <sz val="11"/>
        <color theme="9" tint="-0.249977111117893"/>
        <rFont val="Arial"/>
        <family val="2"/>
      </rPr>
      <t>§7303 (d)(4)(D)</t>
    </r>
  </si>
  <si>
    <t>i.</t>
  </si>
  <si>
    <r>
      <t xml:space="preserve">The inexperienced partner must complete training pursuant to </t>
    </r>
    <r>
      <rPr>
        <sz val="11"/>
        <color theme="9" tint="-0.249977111117893"/>
        <rFont val="Arial"/>
        <family val="2"/>
      </rPr>
      <t>TCAC Regulations, Title 4 CCR, Division 17, Chapter 1, Section 10325(c)(1)</t>
    </r>
  </si>
  <si>
    <t>ii.</t>
  </si>
  <si>
    <t>Allocate a share of developer fee, Distributions, and net sales proceeds to the partner without experience that is no less than 50 percent of the total; and</t>
  </si>
  <si>
    <t>iii.</t>
  </si>
  <si>
    <t>Provide the partner without experience with an option to purchase the Rental Housing Development.</t>
  </si>
  <si>
    <t>Joint Venture Entity #2</t>
  </si>
  <si>
    <t>Owner/Borrower Entity</t>
  </si>
  <si>
    <t>Legal Name:</t>
  </si>
  <si>
    <t>Managing General Partner</t>
  </si>
  <si>
    <t>Administrative General Partner #1</t>
  </si>
  <si>
    <t>Administrative General Partner #2</t>
  </si>
  <si>
    <r>
      <t xml:space="preserve">Site Control </t>
    </r>
    <r>
      <rPr>
        <b/>
        <sz val="11"/>
        <color theme="9" tint="-0.249977111117893"/>
        <rFont val="Arial"/>
        <family val="2"/>
      </rPr>
      <t>UMR §8303</t>
    </r>
  </si>
  <si>
    <t>For Projects developed in Iindian Country, the following exceptions apply:</t>
  </si>
  <si>
    <t>Where site control is a ground lease, the lease agreement between the Tribal Entity and the Project owner is for a period not less than 50 years; and</t>
  </si>
  <si>
    <t>an attorney’s opinion regarding chain of title and current title status is acceptable in lieu of a title report.</t>
  </si>
  <si>
    <r>
      <t xml:space="preserve">At time of application, does Sponsor, or its wholly controlled affiliate have site control pursuant to </t>
    </r>
    <r>
      <rPr>
        <sz val="11"/>
        <color theme="9" tint="-0.249977111117893"/>
        <rFont val="Arial"/>
        <family val="2"/>
      </rPr>
      <t>UMR §8303</t>
    </r>
    <r>
      <rPr>
        <sz val="11"/>
        <rFont val="Arial"/>
        <family val="2"/>
      </rPr>
      <t>?</t>
    </r>
  </si>
  <si>
    <t>Type of site control:</t>
  </si>
  <si>
    <t>Date</t>
  </si>
  <si>
    <t>Expires</t>
  </si>
  <si>
    <t>Extensions Available</t>
  </si>
  <si>
    <t>Purchase Price</t>
  </si>
  <si>
    <t>Total Land Area</t>
  </si>
  <si>
    <t>acres</t>
  </si>
  <si>
    <t>Current owner</t>
  </si>
  <si>
    <t>Current owner street address</t>
  </si>
  <si>
    <t>City</t>
  </si>
  <si>
    <t>Zip code</t>
  </si>
  <si>
    <t>Below, provide details for unusual site control special circumstances:</t>
  </si>
  <si>
    <t xml:space="preserve">Planned and completed property transfer(s). </t>
  </si>
  <si>
    <t>Ground Lease planned?</t>
  </si>
  <si>
    <t>Lessor</t>
  </si>
  <si>
    <t>Term</t>
  </si>
  <si>
    <t>Annual Payment</t>
  </si>
  <si>
    <t>Below, describe property transfers occurring in connection with development of the Project.</t>
  </si>
  <si>
    <t>Uploaded to FAAST?</t>
  </si>
  <si>
    <t>Site and Unit Information</t>
  </si>
  <si>
    <t>Current Use</t>
  </si>
  <si>
    <t>Proposed Zoning (code and name)</t>
  </si>
  <si>
    <t>Is Site Improved?</t>
  </si>
  <si>
    <t>Year Improvements Built?</t>
  </si>
  <si>
    <t>Rent Control?</t>
  </si>
  <si>
    <t>Access Road Maintenance</t>
  </si>
  <si>
    <t>Sponsor Notes</t>
  </si>
  <si>
    <t>Site conditions and adjoining land uses</t>
  </si>
  <si>
    <t>Poor drainage</t>
  </si>
  <si>
    <t>Erosion problems</t>
  </si>
  <si>
    <t xml:space="preserve">Unstable soil </t>
  </si>
  <si>
    <t xml:space="preserve"> </t>
  </si>
  <si>
    <t>Underground storage tanks</t>
  </si>
  <si>
    <t>Possible lead paint</t>
  </si>
  <si>
    <t>Possible asbestos</t>
  </si>
  <si>
    <t>Wetlands area</t>
  </si>
  <si>
    <t>On-site stream/creek</t>
  </si>
  <si>
    <t>100-yr. flood plain</t>
  </si>
  <si>
    <t>Possible soil pollution</t>
  </si>
  <si>
    <t>Grade 5-10%</t>
  </si>
  <si>
    <t>Grade over 10%</t>
  </si>
  <si>
    <t>Airport within 2 miles</t>
  </si>
  <si>
    <t>Possible high noise levels</t>
  </si>
  <si>
    <t>Abandoned well(s)</t>
  </si>
  <si>
    <t>Railroad tracks w/i 100 yards</t>
  </si>
  <si>
    <t>Unusual ingress/egress</t>
  </si>
  <si>
    <t>High water table</t>
  </si>
  <si>
    <t>Retaining wall</t>
  </si>
  <si>
    <t>Ground water contamination</t>
  </si>
  <si>
    <t>Describe adjoining land uses within 300 feet of the Project</t>
  </si>
  <si>
    <t>West</t>
  </si>
  <si>
    <t>East</t>
  </si>
  <si>
    <t>North</t>
  </si>
  <si>
    <t>South</t>
  </si>
  <si>
    <t>Unique Features</t>
  </si>
  <si>
    <t>Existing versus proposed Units  (include manager's Units)</t>
  </si>
  <si>
    <t>Total # Units</t>
  </si>
  <si>
    <t>Total # Bedrooms</t>
  </si>
  <si>
    <t>Total # Buildings</t>
  </si>
  <si>
    <t>Total  # Mgr. Units</t>
  </si>
  <si>
    <t>Total # of Parking Spaces</t>
  </si>
  <si>
    <t>Beds</t>
  </si>
  <si>
    <t>0 Bdrm</t>
  </si>
  <si>
    <t>1 Bdrm</t>
  </si>
  <si>
    <t>2 Bdrm</t>
  </si>
  <si>
    <t>3 Bdrm</t>
  </si>
  <si>
    <t>4 Bdrm</t>
  </si>
  <si>
    <t>5 Bdrm</t>
  </si>
  <si>
    <t>Existing</t>
  </si>
  <si>
    <t>Proposed</t>
  </si>
  <si>
    <t>Building types</t>
  </si>
  <si>
    <t>New Construction</t>
  </si>
  <si>
    <t>Unit Size</t>
  </si>
  <si>
    <t>Baths</t>
  </si>
  <si>
    <t>Layout</t>
  </si>
  <si>
    <t>Ave. Sq. Ft.</t>
  </si>
  <si>
    <t>All Units</t>
  </si>
  <si>
    <t>Restricted</t>
  </si>
  <si>
    <t>Units</t>
  </si>
  <si>
    <t>Stories</t>
  </si>
  <si>
    <t>Bldgs.</t>
  </si>
  <si>
    <t>0 Bdrm.</t>
  </si>
  <si>
    <t>Townhouse/Row House</t>
  </si>
  <si>
    <t>1 Bdrm.</t>
  </si>
  <si>
    <t>One or Two Story Walk-Up</t>
  </si>
  <si>
    <t>2 Bdrm.</t>
  </si>
  <si>
    <t>Mid-Rise (3-5 stories)</t>
  </si>
  <si>
    <t>3 Bdrm.</t>
  </si>
  <si>
    <t>High-Rise (6+stories)</t>
  </si>
  <si>
    <t>4 Bdrm.</t>
  </si>
  <si>
    <t xml:space="preserve">Detached Single Family </t>
  </si>
  <si>
    <t>5 Bdrm.</t>
  </si>
  <si>
    <t>Duplex/4-Plex</t>
  </si>
  <si>
    <t>6 Bdrm.</t>
  </si>
  <si>
    <t>Non-Residential Bldg(s)</t>
  </si>
  <si>
    <t>7 Bdrm.</t>
  </si>
  <si>
    <t>Totals</t>
  </si>
  <si>
    <t>8 Bdrm.</t>
  </si>
  <si>
    <t>9 Bdrm.</t>
  </si>
  <si>
    <t>Total Units</t>
  </si>
  <si>
    <t>Amenities</t>
  </si>
  <si>
    <t>Unit Amenities/Features</t>
  </si>
  <si>
    <t>Air Conditioning</t>
  </si>
  <si>
    <t>Refrigerator</t>
  </si>
  <si>
    <t>Range</t>
  </si>
  <si>
    <t>Microwave</t>
  </si>
  <si>
    <t>Disposal</t>
  </si>
  <si>
    <t>Dishwasher</t>
  </si>
  <si>
    <t>Walk-In Closet</t>
  </si>
  <si>
    <t>Fenced Rear Yard</t>
  </si>
  <si>
    <t>Ceiling Fans</t>
  </si>
  <si>
    <t>Curtains/Blinds</t>
  </si>
  <si>
    <t>Fireplace</t>
  </si>
  <si>
    <t xml:space="preserve">Emergency Call </t>
  </si>
  <si>
    <t>Free Cable TV</t>
  </si>
  <si>
    <t>Storage Area</t>
  </si>
  <si>
    <t xml:space="preserve">Lofts </t>
  </si>
  <si>
    <t>Balcony</t>
  </si>
  <si>
    <t xml:space="preserve">Patio </t>
  </si>
  <si>
    <r>
      <t>(</t>
    </r>
    <r>
      <rPr>
        <sz val="11"/>
        <color rgb="FF0000FF"/>
        <rFont val="Arial"/>
        <family val="2"/>
      </rPr>
      <t>Other</t>
    </r>
    <r>
      <rPr>
        <sz val="11"/>
        <rFont val="Arial"/>
        <family val="2"/>
      </rPr>
      <t>)</t>
    </r>
  </si>
  <si>
    <t>Project Amenities</t>
  </si>
  <si>
    <t>Elevator(s)</t>
  </si>
  <si>
    <t>Laundry Rms.</t>
  </si>
  <si>
    <t>Washers</t>
  </si>
  <si>
    <t>Dryers</t>
  </si>
  <si>
    <t>Laundry Hookups or Appliances in Units</t>
  </si>
  <si>
    <t xml:space="preserve">Community Room </t>
  </si>
  <si>
    <t>Community Kitchen</t>
  </si>
  <si>
    <t>Computer Room</t>
  </si>
  <si>
    <t>High Speed Internet</t>
  </si>
  <si>
    <t xml:space="preserve">Fitness Room </t>
  </si>
  <si>
    <t>Picnic/BBQ Area(s)</t>
  </si>
  <si>
    <t>Tot Lot/Playground</t>
  </si>
  <si>
    <t>Sports Court</t>
  </si>
  <si>
    <t>Tennis Court</t>
  </si>
  <si>
    <t>Swimming Pool</t>
  </si>
  <si>
    <t>Jacuzzi/Sauna</t>
  </si>
  <si>
    <t>Bike Parking</t>
  </si>
  <si>
    <t>Security &amp; Other</t>
  </si>
  <si>
    <t>Gated Entry</t>
  </si>
  <si>
    <t>Bldg. Card Key</t>
  </si>
  <si>
    <t>Security Patrol</t>
  </si>
  <si>
    <t>Security Camaras</t>
  </si>
  <si>
    <t xml:space="preserve">Describe any mandatory charges to tenants beyond allowable rents.  </t>
  </si>
  <si>
    <t>Other On-Site Services?</t>
  </si>
  <si>
    <t>Blank</t>
  </si>
  <si>
    <t>Miscellaneous Information</t>
  </si>
  <si>
    <t>Residential Space</t>
  </si>
  <si>
    <t>Residential Units</t>
  </si>
  <si>
    <t>Community Room</t>
  </si>
  <si>
    <t>Leasing Office</t>
  </si>
  <si>
    <t>Additional Storage Space</t>
  </si>
  <si>
    <t>Subtotal Residential SF</t>
  </si>
  <si>
    <t>Maintenance Shop</t>
  </si>
  <si>
    <t>Childcare Center</t>
  </si>
  <si>
    <t>Service Area</t>
  </si>
  <si>
    <t>Service Office</t>
  </si>
  <si>
    <t>Residential Parking</t>
  </si>
  <si>
    <t>Free Residential Parking Spaces</t>
  </si>
  <si>
    <t>Uncovered Tenant Parking</t>
  </si>
  <si>
    <t>Covered Tenant Parking</t>
  </si>
  <si>
    <t xml:space="preserve">Enclosed Tenant Parking </t>
  </si>
  <si>
    <t>Tenant Guest Spaces</t>
  </si>
  <si>
    <t>Subtotal Parking Spaces</t>
  </si>
  <si>
    <t>Extra Spaces Tenants Can Rent</t>
  </si>
  <si>
    <t>Uncovered Parking</t>
  </si>
  <si>
    <t>Covered Parking</t>
  </si>
  <si>
    <t>Enclosed Parking</t>
  </si>
  <si>
    <t>Total Handicap Parking Spaces</t>
  </si>
  <si>
    <t>Commercial Square Footage</t>
  </si>
  <si>
    <t>Commercial Area</t>
  </si>
  <si>
    <t>Offices</t>
  </si>
  <si>
    <t>Storage Space</t>
  </si>
  <si>
    <t>Total Commercial SF</t>
  </si>
  <si>
    <t>Parking Spaces for Commercial Tenants</t>
  </si>
  <si>
    <t>Uncovered</t>
  </si>
  <si>
    <t>Covered Spaces</t>
  </si>
  <si>
    <t>Total Spaces</t>
  </si>
  <si>
    <t>Describe other available parking for commercial patrons</t>
  </si>
  <si>
    <t>Income from sources other than residential rents and subsidies</t>
  </si>
  <si>
    <t>Laundry</t>
  </si>
  <si>
    <t xml:space="preserve">Other Leased Spaces </t>
  </si>
  <si>
    <t>No. of Units Using Central Laundry</t>
  </si>
  <si>
    <t>Residential</t>
  </si>
  <si>
    <t>Lease Terms</t>
  </si>
  <si>
    <t>Sq. Feet</t>
  </si>
  <si>
    <t>Rent/SF/Mo.</t>
  </si>
  <si>
    <t>Annual Gross</t>
  </si>
  <si>
    <t>Weekly Assumed Income Per Unit</t>
  </si>
  <si>
    <t>Annual Total Laundry Income</t>
  </si>
  <si>
    <t>Tenant Rental Spaces</t>
  </si>
  <si>
    <t>Monthly  Income Per Space</t>
  </si>
  <si>
    <t>Commercial</t>
  </si>
  <si>
    <t>Annual Residential Parking Income</t>
  </si>
  <si>
    <t>Commercial Parking</t>
  </si>
  <si>
    <t>Number of Rental Spaces</t>
  </si>
  <si>
    <t>Annual Commercial Parking Income</t>
  </si>
  <si>
    <t>Total Income from Other Leased Spaces</t>
  </si>
  <si>
    <t>Monthly utility allowance</t>
  </si>
  <si>
    <t>Type of Utility</t>
  </si>
  <si>
    <t>Does the owner or tenant pay utilities?</t>
  </si>
  <si>
    <t>Enter Allowances for Tenant Paid Utilities by Bdrm. Size</t>
  </si>
  <si>
    <t>Utilities</t>
  </si>
  <si>
    <t>(Gas, Electric, etc.)</t>
  </si>
  <si>
    <t>0 bdrm</t>
  </si>
  <si>
    <t>1 bdrm</t>
  </si>
  <si>
    <t>2 bdrms</t>
  </si>
  <si>
    <t>3 bdrms</t>
  </si>
  <si>
    <t>4 bdrms</t>
  </si>
  <si>
    <t>≥5 bdrms</t>
  </si>
  <si>
    <t>Heating</t>
  </si>
  <si>
    <t>Cooking</t>
  </si>
  <si>
    <t>Other Electric</t>
  </si>
  <si>
    <t>Water Heating</t>
  </si>
  <si>
    <t>Water</t>
  </si>
  <si>
    <t>Sewer</t>
  </si>
  <si>
    <t>Trash</t>
  </si>
  <si>
    <t>Other</t>
  </si>
  <si>
    <t>Total Tenant Utility Allowance</t>
  </si>
  <si>
    <t>Source for utility allowances</t>
  </si>
  <si>
    <t>Local PHA</t>
  </si>
  <si>
    <t>Name:</t>
  </si>
  <si>
    <t>Effective date:</t>
  </si>
  <si>
    <t>HUD</t>
  </si>
  <si>
    <t>Utility Company (Actual Survey)</t>
  </si>
  <si>
    <t>Other (Specify)</t>
  </si>
  <si>
    <t>Sponsor Notes:</t>
  </si>
  <si>
    <r>
      <t xml:space="preserve">Coordination with Federal Agencies </t>
    </r>
    <r>
      <rPr>
        <b/>
        <sz val="11"/>
        <color rgb="FF0000FF"/>
        <rFont val="Calibri"/>
        <family val="2"/>
      </rPr>
      <t>§</t>
    </r>
    <r>
      <rPr>
        <b/>
        <sz val="11"/>
        <color rgb="FF0000FF"/>
        <rFont val="Arial"/>
        <family val="2"/>
      </rPr>
      <t>7224 (</t>
    </r>
    <r>
      <rPr>
        <b/>
        <sz val="11"/>
        <color rgb="FFC00000"/>
        <rFont val="Arial"/>
        <family val="2"/>
      </rPr>
      <t>FWHG</t>
    </r>
    <r>
      <rPr>
        <b/>
        <sz val="11"/>
        <color rgb="FF0000FF"/>
        <rFont val="Arial"/>
        <family val="2"/>
      </rPr>
      <t xml:space="preserve"> applicants)</t>
    </r>
  </si>
  <si>
    <t xml:space="preserve">In the event a conflict exists between federal and state regulations, the Department shall yield to the federal regulations insofar as not prohibited by State law or the legitimate interests of the State. </t>
  </si>
  <si>
    <t>Describe below any federal/state regulatory conflicts that Sponsor is aware of.</t>
  </si>
  <si>
    <r>
      <t xml:space="preserve">Site and Design Criteria </t>
    </r>
    <r>
      <rPr>
        <b/>
        <sz val="11"/>
        <color rgb="FF0000FF"/>
        <rFont val="Calibri"/>
        <family val="2"/>
      </rPr>
      <t>§</t>
    </r>
    <r>
      <rPr>
        <b/>
        <sz val="11"/>
        <color rgb="FF0000FF"/>
        <rFont val="Arial"/>
        <family val="2"/>
      </rPr>
      <t>7210 (</t>
    </r>
    <r>
      <rPr>
        <b/>
        <sz val="11"/>
        <color rgb="FFC00000"/>
        <rFont val="Arial"/>
        <family val="2"/>
      </rPr>
      <t>FWHG</t>
    </r>
    <r>
      <rPr>
        <b/>
        <sz val="11"/>
        <color rgb="FF0000FF"/>
        <rFont val="Arial"/>
        <family val="2"/>
      </rPr>
      <t xml:space="preserve"> applicants)</t>
    </r>
  </si>
  <si>
    <r>
      <t xml:space="preserve">Applicants acknowledge to observe </t>
    </r>
    <r>
      <rPr>
        <b/>
        <sz val="11"/>
        <color rgb="FFC00000"/>
        <rFont val="Arial"/>
        <family val="2"/>
      </rPr>
      <t>all</t>
    </r>
    <r>
      <rPr>
        <sz val="11"/>
        <color theme="1"/>
        <rFont val="Arial"/>
        <family val="2"/>
      </rPr>
      <t xml:space="preserve"> site and design criteria relative to the location and design of proposed Housing Developments per §7210, a major deficiency in meeting one or more of the listed site or design criteria may result in the Department's rejection of an application. Applicants meet </t>
    </r>
    <r>
      <rPr>
        <b/>
        <sz val="11"/>
        <color rgb="FFC00000"/>
        <rFont val="Arial"/>
        <family val="2"/>
      </rPr>
      <t>all</t>
    </r>
    <r>
      <rPr>
        <sz val="11"/>
        <color theme="1"/>
        <rFont val="Arial"/>
        <family val="2"/>
      </rPr>
      <t xml:space="preserve"> criteria?</t>
    </r>
  </si>
  <si>
    <t>If not, please describe the criteria not being met.</t>
  </si>
  <si>
    <r>
      <t xml:space="preserve">General Requirement </t>
    </r>
    <r>
      <rPr>
        <b/>
        <sz val="11"/>
        <color rgb="FF0000FF"/>
        <rFont val="Calibri"/>
        <family val="2"/>
      </rPr>
      <t>§</t>
    </r>
    <r>
      <rPr>
        <b/>
        <sz val="11"/>
        <color rgb="FF0000FF"/>
        <rFont val="Arial"/>
        <family val="2"/>
      </rPr>
      <t>7208 (</t>
    </r>
    <r>
      <rPr>
        <b/>
        <sz val="11"/>
        <color rgb="FFC00000"/>
        <rFont val="Arial"/>
        <family val="2"/>
      </rPr>
      <t>FWHG</t>
    </r>
    <r>
      <rPr>
        <b/>
        <sz val="11"/>
        <color rgb="FF0000FF"/>
        <rFont val="Arial"/>
        <family val="2"/>
      </rPr>
      <t xml:space="preserve"> applicants)</t>
    </r>
  </si>
  <si>
    <t>Architectural and Engineering Requirements. Housing Developments not involving a public lender or insurer of loans may be subject to a Departmental review of the architectural and engineering aspects of the Project.</t>
  </si>
  <si>
    <t>Does the proposed Project involve a public lender or insurer of loan?</t>
  </si>
  <si>
    <t>Describe the architectural and engineering requirements.</t>
  </si>
  <si>
    <r>
      <t xml:space="preserve">Relocation </t>
    </r>
    <r>
      <rPr>
        <b/>
        <sz val="11"/>
        <color theme="9" tint="-0.249977111117893"/>
        <rFont val="Arial"/>
        <family val="2"/>
      </rPr>
      <t xml:space="preserve">MHP </t>
    </r>
    <r>
      <rPr>
        <b/>
        <sz val="11"/>
        <color theme="9" tint="-0.249977111117893"/>
        <rFont val="Calibri"/>
        <family val="2"/>
      </rPr>
      <t>§</t>
    </r>
    <r>
      <rPr>
        <b/>
        <sz val="11"/>
        <color theme="9" tint="-0.249977111117893"/>
        <rFont val="Arial"/>
        <family val="2"/>
      </rPr>
      <t>7315</t>
    </r>
  </si>
  <si>
    <t>The Sponsor of a Project resulting in displacement of persons, businesses or farm operations shall be solely responsible for providing the assistance and benefits set forth in this section and in applicable state and federal law and shall agree to indemnify and hold harmless the Department from any liabilities or claims for relocation-related costs.</t>
  </si>
  <si>
    <t xml:space="preserve">Does Project trigger State Relocation Assistance Law (Title 1, GC, Division 7, Chapter 16, commencing at § 7260, and Title 25 CCR, Subchapter 1, Chapter 6, commencing at Section 6000.)? </t>
  </si>
  <si>
    <t>Are costs sufficient, pursuant to the relocation plan and included in the Project's Development Budget?</t>
  </si>
  <si>
    <r>
      <t xml:space="preserve">Provide a narrative explanation, in the box below, </t>
    </r>
    <r>
      <rPr>
        <b/>
        <sz val="11"/>
        <color rgb="FFC00000"/>
        <rFont val="Arial"/>
        <family val="2"/>
      </rPr>
      <t>supporting why relocation is not required</t>
    </r>
    <r>
      <rPr>
        <sz val="11"/>
        <color theme="1"/>
        <rFont val="Arial"/>
        <family val="2"/>
      </rPr>
      <t xml:space="preserve">. "N/A" or "Vacant Land" is not sufficient. </t>
    </r>
  </si>
  <si>
    <t>Environmental Requirements &amp; Reports</t>
  </si>
  <si>
    <t xml:space="preserve">Sponsor certifies that the Project site is free from severe adverse environmental conditions, such as the presence of toxic waste that is economically infeasible to remove or cannot be mitigated §7302.1 (g). </t>
  </si>
  <si>
    <t>If environmental mitigation is required, are costs sufficient, pursuant to the environmental reports and included in the Project's Development Budget?</t>
  </si>
  <si>
    <t>Article XXXIV</t>
  </si>
  <si>
    <t>"Article XXXIV” means Article XXXIV, section 1 of the California Constitution. This constitutional provision requires local voter approval before a state public body can develop, construct, or acquire a low-rent housing Project in any manner.</t>
  </si>
  <si>
    <t>VHHP - 102 (q) The Sponsor must demonstrate to the satisfaction of the Department that all applicable sources of public assistance to the Project comply with the requirements of Article XXXIV of the California Constitution. Although public assistance to the Project provided pursuant to the VHHP Program is exempt from Article XXXIV, pursuant to Health and Safety Code §37001.5(h) (the “VHHP Exception”), Sponsors must demonstrate that other public funding separately satisfies Article XXXIV. The Department will not regard the VHHP Exception as the basis for Article XXXIV compliance for other public funding sources provided to a VHHP Project, even where those sources are used along with VHHP funds toward the same Project related support, activities, or development components.</t>
  </si>
  <si>
    <t xml:space="preserve">Sponsor shall provide an Article XXXIV legal opinion or evidence of Article XXXIV authority allocated pursuant to the Notice of Funding Availability. </t>
  </si>
  <si>
    <r>
      <t xml:space="preserve">Tenant Selection, Recertification, and Rental Agreement and Grievance Procedures </t>
    </r>
    <r>
      <rPr>
        <b/>
        <sz val="11"/>
        <color theme="9" tint="-0.249977111117893"/>
        <rFont val="Arial"/>
        <family val="2"/>
      </rPr>
      <t xml:space="preserve">UMR §8305, §8306, </t>
    </r>
    <r>
      <rPr>
        <sz val="11"/>
        <color theme="9" tint="-0.249977111117893"/>
        <rFont val="Arial"/>
        <family val="2"/>
      </rPr>
      <t>and</t>
    </r>
    <r>
      <rPr>
        <b/>
        <sz val="11"/>
        <color theme="9" tint="-0.249977111117893"/>
        <rFont val="Arial"/>
        <family val="2"/>
      </rPr>
      <t xml:space="preserve"> §8307</t>
    </r>
  </si>
  <si>
    <r>
      <t>Sponsor certifies that the Project will comply with the requirements of</t>
    </r>
    <r>
      <rPr>
        <sz val="11"/>
        <color theme="9" tint="-0.249977111117893"/>
        <rFont val="Arial"/>
        <family val="2"/>
      </rPr>
      <t xml:space="preserve"> UMR §8305, §8306, and §8307</t>
    </r>
    <r>
      <rPr>
        <sz val="11"/>
        <color theme="1"/>
        <rFont val="Arial"/>
        <family val="2"/>
      </rPr>
      <t xml:space="preserve"> as applicable?</t>
    </r>
  </si>
  <si>
    <r>
      <t xml:space="preserve">Fair Housing Act </t>
    </r>
    <r>
      <rPr>
        <b/>
        <sz val="11"/>
        <color theme="9" tint="-0.249977111117893"/>
        <rFont val="Arial"/>
        <family val="2"/>
      </rPr>
      <t>MHP</t>
    </r>
    <r>
      <rPr>
        <b/>
        <sz val="11"/>
        <color rgb="FF0000FF"/>
        <rFont val="Arial"/>
        <family val="2"/>
      </rPr>
      <t xml:space="preserve"> </t>
    </r>
    <r>
      <rPr>
        <b/>
        <sz val="11"/>
        <color theme="9" tint="-0.249977111117893"/>
        <rFont val="Arial"/>
        <family val="2"/>
      </rPr>
      <t>§7315 (a)</t>
    </r>
  </si>
  <si>
    <r>
      <t xml:space="preserve">Sponsor certifies that the Project will comply with the requirements of </t>
    </r>
    <r>
      <rPr>
        <sz val="11"/>
        <color theme="9" tint="-0.249977111117893"/>
        <rFont val="Arial"/>
        <family val="2"/>
      </rPr>
      <t>MHP §7315 (a)</t>
    </r>
    <r>
      <rPr>
        <sz val="11"/>
        <color theme="1"/>
        <rFont val="Arial"/>
        <family val="2"/>
      </rPr>
      <t>. as applicable?</t>
    </r>
  </si>
  <si>
    <t>Does the Project propose to restrict occupancy based on gender or age? If yes, include in legal opinion how your Project satisfies fair housing laws (include supporting materials).</t>
  </si>
  <si>
    <t>For senior Projects and same-sex restriction, include a legal opinion which demonstrates that Units are lawfully restricted to senior households in compliance with state and federal fair housing laws.</t>
  </si>
  <si>
    <r>
      <t xml:space="preserve">Americans with Disabilities Act </t>
    </r>
    <r>
      <rPr>
        <b/>
        <sz val="11"/>
        <color theme="9" tint="-0.249977111117893"/>
        <rFont val="Arial"/>
        <family val="2"/>
      </rPr>
      <t>§504</t>
    </r>
  </si>
  <si>
    <r>
      <t xml:space="preserve">Sponsor certifies that the Project will comply with </t>
    </r>
    <r>
      <rPr>
        <sz val="11"/>
        <color theme="9" tint="-0.249977111117893"/>
        <rFont val="Arial"/>
        <family val="2"/>
      </rPr>
      <t>MHP §7315 (b)</t>
    </r>
    <r>
      <rPr>
        <sz val="11"/>
        <color theme="1"/>
        <rFont val="Arial"/>
        <family val="2"/>
      </rPr>
      <t xml:space="preserve"> Americans with Disabilities Act and Accessibility and its implementing regulations?</t>
    </r>
  </si>
  <si>
    <t>Sponsor certifies that the Project(s) meets the accessibility requirements specified in the TCAC regulations, as may be amended and renumbered from time to time, including those of CCR, title 4, section 10325(f)(7)(K) and, for senior Projects, those of Section 10325(g)(2)(B) and (C). Exemption requests, as provided for in the TCAC regulations, must be approved by the Department. Projects must also provide a preference for accessible Units to persons with disabilities requiring the accessibility features of those Units in accordance with CCR, title 4, section 10337(b)(2).</t>
  </si>
  <si>
    <r>
      <t>Violence Against Women Act 34</t>
    </r>
    <r>
      <rPr>
        <b/>
        <sz val="11"/>
        <color theme="9" tint="-0.249977111117893"/>
        <rFont val="Arial"/>
        <family val="2"/>
      </rPr>
      <t xml:space="preserve"> USC §12491</t>
    </r>
  </si>
  <si>
    <t>Sponsor certifies that the Project will comply with MHP §7315 (c) Violence Against Women Act?</t>
  </si>
  <si>
    <r>
      <t>Pet Friendly Housing Act of 2017 (</t>
    </r>
    <r>
      <rPr>
        <b/>
        <sz val="11"/>
        <color theme="9" tint="-0.249977111117893"/>
        <rFont val="Arial"/>
        <family val="2"/>
      </rPr>
      <t>California Health &amp; Safety Code, Section 50466</t>
    </r>
    <r>
      <rPr>
        <b/>
        <sz val="11"/>
        <color rgb="FF0000FF"/>
        <rFont val="Arial"/>
        <family val="2"/>
      </rPr>
      <t>)</t>
    </r>
  </si>
  <si>
    <r>
      <t xml:space="preserve">Sponsor certifies that residents of the housing development will be authorized, per </t>
    </r>
    <r>
      <rPr>
        <sz val="11"/>
        <color theme="9" tint="-0.249977111117893"/>
        <rFont val="Arial"/>
        <family val="2"/>
      </rPr>
      <t>MHP §7315 (d)</t>
    </r>
    <r>
      <rPr>
        <sz val="11"/>
        <color theme="1"/>
        <rFont val="Arial"/>
        <family val="2"/>
      </rPr>
      <t>, to own or otherwise maintain one or more common household pets?</t>
    </r>
  </si>
  <si>
    <r>
      <t>State Prevailing Wage Requirements (</t>
    </r>
    <r>
      <rPr>
        <b/>
        <sz val="11"/>
        <color theme="9" tint="-0.249977111117893"/>
        <rFont val="Arial"/>
        <family val="2"/>
      </rPr>
      <t>Lab. Code, §1720 et seq.</t>
    </r>
    <r>
      <rPr>
        <b/>
        <sz val="11"/>
        <color rgb="FF0000FF"/>
        <rFont val="Arial"/>
        <family val="2"/>
      </rPr>
      <t>)</t>
    </r>
  </si>
  <si>
    <r>
      <t>Sponsor certifies that the Project will comply with</t>
    </r>
    <r>
      <rPr>
        <sz val="11"/>
        <color theme="9" tint="-0.249977111117893"/>
        <rFont val="Arial"/>
        <family val="2"/>
      </rPr>
      <t xml:space="preserve"> MHP §7315 (e)</t>
    </r>
    <r>
      <rPr>
        <sz val="11"/>
        <color theme="1"/>
        <rFont val="Arial"/>
        <family val="2"/>
      </rPr>
      <t xml:space="preserve"> State prevailing wage law, as set forth at Health and Safety Code Part 2, Chapter 6.7, §50675.4.</t>
    </r>
  </si>
  <si>
    <t xml:space="preserve">Explanations </t>
  </si>
  <si>
    <r>
      <t>Submit a letter of explanation providing details for all "</t>
    </r>
    <r>
      <rPr>
        <b/>
        <sz val="11"/>
        <rFont val="Arial"/>
        <family val="2"/>
      </rPr>
      <t>No</t>
    </r>
    <r>
      <rPr>
        <sz val="11"/>
        <rFont val="Arial"/>
        <family val="2"/>
      </rPr>
      <t>" answers that are shaded red above.</t>
    </r>
  </si>
  <si>
    <t>Project Milestones</t>
  </si>
  <si>
    <t xml:space="preserve">Note:  It is acknowledged that some of the following milestones may have already been achieved.  For those milestones which have previously been met, please enter the date completed.  For milestones not yet completed, provide a approximate Projected completion date (MM/DD/YY) for each applicable item below. If not applicable to the Project, please indicate "NA". </t>
  </si>
  <si>
    <t>Project Milestone Schedule</t>
  </si>
  <si>
    <t>Completed</t>
  </si>
  <si>
    <t>Date (Expected / Completed)</t>
  </si>
  <si>
    <t>Executed binding agreement between the Sponsor and developer of the Project detailing the terms and conditions of the Project development.</t>
  </si>
  <si>
    <t>Ultimate Site Control of Project site(s).</t>
  </si>
  <si>
    <t>Completion of all necessary environmental clearances, including those required under CEQA and NEPA.</t>
  </si>
  <si>
    <t>Obtaining all necessary and discretionary public land use approvals.</t>
  </si>
  <si>
    <t>Obtaining all enforceable construction funding commitments.</t>
  </si>
  <si>
    <t>Obtaining all enforceable permanent funding commitments including substantially final permanent loan documents, and Tax Credit syndication documents.</t>
  </si>
  <si>
    <t>Submission of Final Construction Drawings and Specifications to the appropriate local building department or permitting authority.</t>
  </si>
  <si>
    <t>Commencement of construction.</t>
  </si>
  <si>
    <t>Construction complete and the filing of the Notice of Completion.</t>
  </si>
  <si>
    <t>Program funds fully disbursed.</t>
  </si>
  <si>
    <r>
      <t>Other (</t>
    </r>
    <r>
      <rPr>
        <b/>
        <sz val="11"/>
        <color theme="4"/>
        <rFont val="Arial"/>
        <family val="2"/>
      </rPr>
      <t>Specify</t>
    </r>
    <r>
      <rPr>
        <sz val="11"/>
        <color theme="1"/>
        <rFont val="Arial"/>
        <family val="2"/>
      </rPr>
      <t>)</t>
    </r>
  </si>
  <si>
    <t>Special comments to Project milestone.</t>
  </si>
  <si>
    <t>Application Document Checklist</t>
  </si>
  <si>
    <t>Instructions for application submission:</t>
  </si>
  <si>
    <r>
      <t>Use the electronic file name descriptions below for the electronic submission via HCD portal. Application materials, workbooks, and supporting documentation must be submitted no later than</t>
    </r>
    <r>
      <rPr>
        <strike/>
        <sz val="11"/>
        <color theme="1"/>
        <rFont val="Arial"/>
        <family val="2"/>
      </rPr>
      <t xml:space="preserve"> </t>
    </r>
    <r>
      <rPr>
        <strike/>
        <sz val="11"/>
        <color rgb="FFC00000"/>
        <rFont val="Arial"/>
        <family val="2"/>
      </rPr>
      <t xml:space="preserve">5:00 p.m. Pacific Daylight Time on </t>
    </r>
    <r>
      <rPr>
        <b/>
        <strike/>
        <sz val="11"/>
        <color rgb="FFC00000"/>
        <rFont val="Arial"/>
        <family val="2"/>
      </rPr>
      <t>September 20, 2021.</t>
    </r>
  </si>
  <si>
    <t>Threshold Required</t>
  </si>
  <si>
    <t>Electronic File Name</t>
  </si>
  <si>
    <t>Document Description</t>
  </si>
  <si>
    <t>Included?</t>
  </si>
  <si>
    <t>X</t>
  </si>
  <si>
    <t>1. Document Checklist</t>
  </si>
  <si>
    <t>Document Checklist.</t>
  </si>
  <si>
    <t>2. Application</t>
  </si>
  <si>
    <t>Application.</t>
  </si>
  <si>
    <t>3. Leg Letter</t>
  </si>
  <si>
    <r>
      <t>Per Health &amp; Safety Code</t>
    </r>
    <r>
      <rPr>
        <b/>
        <sz val="11"/>
        <color theme="1"/>
        <rFont val="Arial"/>
        <family val="2"/>
      </rPr>
      <t xml:space="preserve"> §50675.7(e)</t>
    </r>
    <r>
      <rPr>
        <sz val="11"/>
        <color theme="1"/>
        <rFont val="Arial"/>
        <family val="2"/>
      </rPr>
      <t xml:space="preserve"> Sponsor must notify the Tribal governing body or local legislative body (City Council or County Board of Supervisors) of the Sponsor’s loan application prior to application submission.</t>
    </r>
  </si>
  <si>
    <t>Sponsor 1 Organizational Documents</t>
  </si>
  <si>
    <t>4a. Spon1 Cert &amp; Legal Disclosure</t>
  </si>
  <si>
    <t>Reference Sponsor Certification Worksheet.</t>
  </si>
  <si>
    <t>4b. Spon1 Authorizing Resolution</t>
  </si>
  <si>
    <t xml:space="preserve">Reference: AB434 webpage for Sponsor Authorizing Resolution Document. </t>
  </si>
  <si>
    <t>4c. Spon1 OrgDoc1, OrgDoc2, etc.</t>
  </si>
  <si>
    <t>Reference Entity Org Docs worksheet.</t>
  </si>
  <si>
    <t>4d. Spon1 OrgChart</t>
  </si>
  <si>
    <t>Sponsor Organization Chart.</t>
  </si>
  <si>
    <t>4e. Spon1 Signature Block</t>
  </si>
  <si>
    <t>Signature Block - upload in Microsoft Word Document.</t>
  </si>
  <si>
    <t xml:space="preserve">4f. Spon1 Cert of Good Standing </t>
  </si>
  <si>
    <t>Certificate of Good Standing dated within 30 days of the application due date.</t>
  </si>
  <si>
    <t>4g. Spon1 Tax-Exempt Status</t>
  </si>
  <si>
    <r>
      <t>Evidence of tax-exempt status from</t>
    </r>
    <r>
      <rPr>
        <b/>
        <sz val="11"/>
        <color theme="1"/>
        <rFont val="Arial"/>
        <family val="2"/>
      </rPr>
      <t xml:space="preserve"> IRS</t>
    </r>
    <r>
      <rPr>
        <sz val="11"/>
        <color theme="1"/>
        <rFont val="Arial"/>
        <family val="2"/>
      </rPr>
      <t xml:space="preserve"> and </t>
    </r>
    <r>
      <rPr>
        <b/>
        <sz val="11"/>
        <color theme="1"/>
        <rFont val="Arial"/>
        <family val="2"/>
      </rPr>
      <t>FTB</t>
    </r>
    <r>
      <rPr>
        <sz val="11"/>
        <color theme="1"/>
        <rFont val="Arial"/>
        <family val="2"/>
      </rPr>
      <t xml:space="preserve"> for Corporations. (Non-Profits Only)</t>
    </r>
  </si>
  <si>
    <t>Sponsor 2 Organizational Documents</t>
  </si>
  <si>
    <t>5a. Spon2 Cert &amp; Legal Disclosure</t>
  </si>
  <si>
    <t>5b. Spon2 Authorizing  Resolution</t>
  </si>
  <si>
    <t>5c. Spon2 OrgDoc1, OrgDoc2, etc.</t>
  </si>
  <si>
    <t>5d. Spon2 OrgChart</t>
  </si>
  <si>
    <t>5e. Spon2 Signature Block</t>
  </si>
  <si>
    <t xml:space="preserve">5f. Spon2 Cert of Good Standing </t>
  </si>
  <si>
    <t>Certificate of Good Standing must be dated 30 days or less from the application due date.</t>
  </si>
  <si>
    <t>5g. Spon2 Tax-Exempt Status</t>
  </si>
  <si>
    <r>
      <t xml:space="preserve">Evidence of tax-exempt status from </t>
    </r>
    <r>
      <rPr>
        <b/>
        <sz val="11"/>
        <color theme="1"/>
        <rFont val="Arial"/>
        <family val="2"/>
      </rPr>
      <t>IRS</t>
    </r>
    <r>
      <rPr>
        <sz val="11"/>
        <color theme="1"/>
        <rFont val="Arial"/>
        <family val="2"/>
      </rPr>
      <t xml:space="preserve"> and </t>
    </r>
    <r>
      <rPr>
        <b/>
        <sz val="11"/>
        <color theme="1"/>
        <rFont val="Arial"/>
        <family val="2"/>
      </rPr>
      <t>FTB</t>
    </r>
    <r>
      <rPr>
        <sz val="11"/>
        <color theme="1"/>
        <rFont val="Arial"/>
        <family val="2"/>
      </rPr>
      <t xml:space="preserve"> for Corporations. (Non-Profits Only)</t>
    </r>
  </si>
  <si>
    <t>Joint Venture 1 Organizational Documents</t>
  </si>
  <si>
    <t>6a. Joint Venture Agreement</t>
  </si>
  <si>
    <t>Provide an executed copy stating the terms of your joint venture agreement.</t>
  </si>
  <si>
    <t>6b. JV1 Cert &amp; Legal Disclosure</t>
  </si>
  <si>
    <t>6c. JV1 Authorizing Resolution</t>
  </si>
  <si>
    <t>6d. JV1 OrgDoc1, OrgDoc2, etc.</t>
  </si>
  <si>
    <t>6e. JV1 OrgChart</t>
  </si>
  <si>
    <t>6f. JV1 Signature Block</t>
  </si>
  <si>
    <t xml:space="preserve">6g. JV1 Cert of Good Standing </t>
  </si>
  <si>
    <t>6h. JV1 Tax-Exempt Status</t>
  </si>
  <si>
    <t>Joint Venture 2 Organizational Documents</t>
  </si>
  <si>
    <t>7a. JV2 Cert &amp; Legal Disclosure</t>
  </si>
  <si>
    <t xml:space="preserve">7b. JV2 Authorizing Resolution </t>
  </si>
  <si>
    <t>7c. JV2 OrgDoc1, OrgDoc2, etc.</t>
  </si>
  <si>
    <t>7d. JV2 OrgChart</t>
  </si>
  <si>
    <t>7e. JV2 Signature Block</t>
  </si>
  <si>
    <t xml:space="preserve">7f. JV2 Cert of Good Standing </t>
  </si>
  <si>
    <t>7g. JV2 Tax-Exempt Status</t>
  </si>
  <si>
    <t>Tribal Entities</t>
  </si>
  <si>
    <t>8a. Indian Country Verification</t>
  </si>
  <si>
    <t>Documentation verifying land is located in Indian Country as defined by 18 USC 1151</t>
  </si>
  <si>
    <t>8b. Fee Land Verification</t>
  </si>
  <si>
    <t>Documentation verifying land is located on Fee Land.</t>
  </si>
  <si>
    <r>
      <t xml:space="preserve">Borrower Organizational Documents - </t>
    </r>
    <r>
      <rPr>
        <sz val="12"/>
        <rFont val="Arial"/>
        <family val="2"/>
      </rPr>
      <t>(</t>
    </r>
    <r>
      <rPr>
        <sz val="12"/>
        <color rgb="FFC00000"/>
        <rFont val="Arial"/>
        <family val="2"/>
      </rPr>
      <t>Bonus Requirement</t>
    </r>
    <r>
      <rPr>
        <sz val="12"/>
        <rFont val="Arial"/>
        <family val="2"/>
      </rPr>
      <t>)</t>
    </r>
  </si>
  <si>
    <t>9a. Bwr Cert &amp; Legal Disclosure</t>
  </si>
  <si>
    <t>9b. Bwr OrgDoc1, OrgDoc2, etc.</t>
  </si>
  <si>
    <t>9c. Bwr OrgChart</t>
  </si>
  <si>
    <r>
      <t>Must demonstrate Sponsor control of the Borrower consistent with UMR</t>
    </r>
    <r>
      <rPr>
        <b/>
        <sz val="11"/>
        <color theme="1"/>
        <rFont val="Arial"/>
        <family val="2"/>
      </rPr>
      <t xml:space="preserve"> §8313.2</t>
    </r>
    <r>
      <rPr>
        <sz val="11"/>
        <color theme="1"/>
        <rFont val="Arial"/>
        <family val="2"/>
      </rPr>
      <t>.</t>
    </r>
  </si>
  <si>
    <t>9d. Bwr Signature Block</t>
  </si>
  <si>
    <t>9e. Bwr STD 204 Payee Data
      Record</t>
  </si>
  <si>
    <t>Reference Payee Data Record STD-204 on the AB434 webpage.</t>
  </si>
  <si>
    <t>9f. Bwr Fi$CAL TIN Form</t>
  </si>
  <si>
    <t>Reference Taxpayer Identification Number (TIN) (public entities ONLY) on the AB434 webpage.</t>
  </si>
  <si>
    <t>9g. EIN Verification</t>
  </si>
  <si>
    <t>IRS Form SS4.</t>
  </si>
  <si>
    <t xml:space="preserve">9h. Bwr Cert of Good Standing </t>
  </si>
  <si>
    <t>9i. Bwr Tax-Exempt Status</t>
  </si>
  <si>
    <t>Evidence of tax-exempt status from IRS and evidence of tax-exempt status from FTB for Corporations. (if applicable)</t>
  </si>
  <si>
    <r>
      <t xml:space="preserve">MGP Org documents (if different from Sponsor) - </t>
    </r>
    <r>
      <rPr>
        <sz val="12"/>
        <rFont val="Arial"/>
        <family val="2"/>
      </rPr>
      <t>(</t>
    </r>
    <r>
      <rPr>
        <sz val="12"/>
        <color rgb="FFC00000"/>
        <rFont val="Arial"/>
        <family val="2"/>
      </rPr>
      <t>Bonus Requirement</t>
    </r>
    <r>
      <rPr>
        <sz val="12"/>
        <rFont val="Arial"/>
        <family val="2"/>
      </rPr>
      <t>)</t>
    </r>
  </si>
  <si>
    <t>10a. MGP Cert &amp; Legal Disclosure</t>
  </si>
  <si>
    <t>10b. MGP OrgDoc1, OrgDoc2, etc.</t>
  </si>
  <si>
    <t>10c. MGP OrgChart</t>
  </si>
  <si>
    <t>MGP Organization Chart.</t>
  </si>
  <si>
    <t>10d. MGP Signature Block</t>
  </si>
  <si>
    <t xml:space="preserve">10e. MGP Cert of Good Standing </t>
  </si>
  <si>
    <t>10f. MGP Tax-Exempt Status</t>
  </si>
  <si>
    <r>
      <t xml:space="preserve">AGP #1 Org documents (if different from Sponsor) - </t>
    </r>
    <r>
      <rPr>
        <sz val="12"/>
        <rFont val="Arial"/>
        <family val="2"/>
      </rPr>
      <t>(</t>
    </r>
    <r>
      <rPr>
        <sz val="12"/>
        <color rgb="FFC00000"/>
        <rFont val="Arial"/>
        <family val="2"/>
      </rPr>
      <t>Bonus Requirement</t>
    </r>
    <r>
      <rPr>
        <sz val="12"/>
        <rFont val="Arial"/>
        <family val="2"/>
      </rPr>
      <t>)</t>
    </r>
  </si>
  <si>
    <t>11a. AGP1 Cert &amp; Legal Disclosure</t>
  </si>
  <si>
    <t>11b. AGP1 OrgDoc1, OrgDoc2, etc.</t>
  </si>
  <si>
    <t>11c. AGP1 OrgChart</t>
  </si>
  <si>
    <t>AGP Organization Chart.</t>
  </si>
  <si>
    <t>11d. AGP1 Signature Block</t>
  </si>
  <si>
    <t xml:space="preserve">11e. AGP1 Cert of Good Standing </t>
  </si>
  <si>
    <t>11f. AGP1 Tax-Exempt Status</t>
  </si>
  <si>
    <r>
      <t xml:space="preserve">AGP #2 Org documents (if different from Sponsor) - </t>
    </r>
    <r>
      <rPr>
        <sz val="12"/>
        <rFont val="Arial"/>
        <family val="2"/>
      </rPr>
      <t>(</t>
    </r>
    <r>
      <rPr>
        <sz val="12"/>
        <color rgb="FFC00000"/>
        <rFont val="Arial"/>
        <family val="2"/>
      </rPr>
      <t>Bonus Requirement</t>
    </r>
    <r>
      <rPr>
        <sz val="12"/>
        <rFont val="Arial"/>
        <family val="2"/>
      </rPr>
      <t>)</t>
    </r>
  </si>
  <si>
    <t>12a. AGP2 Cert &amp; Legal Disclosure</t>
  </si>
  <si>
    <t>12b. AGP2 OrgDoc1, OrgDoc2, etc.</t>
  </si>
  <si>
    <t>12c. AGP2 OrgChart</t>
  </si>
  <si>
    <t>12d. AGP2 Signature Block</t>
  </si>
  <si>
    <t xml:space="preserve">12e. AGP2 Cert of Good Standing </t>
  </si>
  <si>
    <t>12f. AGP2 Tax-Exempt Status</t>
  </si>
  <si>
    <t>Site Control</t>
  </si>
  <si>
    <t>13. Site Control</t>
  </si>
  <si>
    <r>
      <t xml:space="preserve">Provide documentation of site control in accordance with UMR </t>
    </r>
    <r>
      <rPr>
        <b/>
        <sz val="11"/>
        <color theme="1"/>
        <rFont val="Arial"/>
        <family val="2"/>
      </rPr>
      <t>§8303</t>
    </r>
    <r>
      <rPr>
        <sz val="11"/>
        <color theme="1"/>
        <rFont val="Arial"/>
        <family val="2"/>
      </rPr>
      <t>.</t>
    </r>
  </si>
  <si>
    <t>14. Preliminary Title Report</t>
  </si>
  <si>
    <t>Provide a preliminary report. (dated within 30 days of application due date)</t>
  </si>
  <si>
    <t>Legal Opinion Letters</t>
  </si>
  <si>
    <t>15. Article XXXIV Legal Opinion</t>
  </si>
  <si>
    <t>Legal opinion regarding Article XXXIV, prepared in accordance with NOFA Section IV.</t>
  </si>
  <si>
    <t>16. Article XXXIV Authority</t>
  </si>
  <si>
    <t>Documentation of Article XXXIV Authority prepared in accordance with NOFA Section IV.</t>
  </si>
  <si>
    <t>Senior Only</t>
  </si>
  <si>
    <t>17. Fair Housing Legal Opinion</t>
  </si>
  <si>
    <t xml:space="preserve">Attach a Project-specific legal opinion labeled "Fair Housing Legal Opinion" with supporting materials describing how the Project complies with fair housing laws. </t>
  </si>
  <si>
    <t>18. Relocation</t>
  </si>
  <si>
    <t>Relocation Plan.</t>
  </si>
  <si>
    <t>19. Op Exp Compare</t>
  </si>
  <si>
    <t>Submit at least 3 operating expense comparables for similar projects located in the same market area. Projects should be affordable housing projects similar in size, type, amenities and population to the proposed project. One comparable may be submitted for a 100% market rate project if unable to locate affordable housing comparables. The most recent two years audited statements for each comparable is preferred, if available. Additional information may be required.</t>
  </si>
  <si>
    <t>Supportive Housing</t>
  </si>
  <si>
    <t>20. Integration Plan</t>
  </si>
  <si>
    <r>
      <t xml:space="preserve">For Special Needs Projects provide an Integration Plan that demonstrates how Sponsor will meet </t>
    </r>
    <r>
      <rPr>
        <sz val="11"/>
        <color theme="9" tint="-0.249977111117893"/>
        <rFont val="Arial"/>
        <family val="2"/>
      </rPr>
      <t>§7302(G)</t>
    </r>
    <r>
      <rPr>
        <sz val="11"/>
        <color theme="1"/>
        <rFont val="Arial"/>
        <family val="2"/>
      </rPr>
      <t xml:space="preserve"> requirements.</t>
    </r>
  </si>
  <si>
    <t>SH Only</t>
  </si>
  <si>
    <t>21. Sponsor SOQ</t>
  </si>
  <si>
    <t>Statement of Qualifications regarding owning and managing Supportive Housing Projects include list of projects.</t>
  </si>
  <si>
    <t>22. Property Management SOQ</t>
  </si>
  <si>
    <t>Property Management Statement of Qualifications regarding owing and managing Supportive Housing Projects include list of projects.</t>
  </si>
  <si>
    <t>23. LSP SOQ</t>
  </si>
  <si>
    <t>Statement of Qualifications of LSP Company &amp; Resumes of Principals.</t>
  </si>
  <si>
    <t>24. LSP Exp Contracts</t>
  </si>
  <si>
    <t>Executed contracts must be attached for experience to count.  Attach only these pages of the contract:  page(s) identifying the Project name, scope of work; term of the contract or agreement; and execution page(s) showing all signatures of all parties to the contracts.</t>
  </si>
  <si>
    <t>25. LSP NonSpon Contract Basic</t>
  </si>
  <si>
    <t>Lead Service Provider Contract, Agreement or Letter of Intent (non Sponsor provider).</t>
  </si>
  <si>
    <t>26. NonSpon SS Contract Enhanced</t>
  </si>
  <si>
    <t>Contract, Agreement or Letter of Intent to Provide Services (other non Sponsor providers).</t>
  </si>
  <si>
    <t>27. Duty Stmt1, Duty Stmt2, Duty
      Stmt3, Duty Stmt4</t>
  </si>
  <si>
    <t>Staff Duty Statements (all providers).</t>
  </si>
  <si>
    <t>28. Supportive Service Plan</t>
  </si>
  <si>
    <t>Supportive Service Plan (tab S1) (PDF Version)</t>
  </si>
  <si>
    <t>29. Supportive Service Verification</t>
  </si>
  <si>
    <t>Supportive Service Verification (tab S5) (PDF Version)</t>
  </si>
  <si>
    <t>30. SS Fund Ltr1, SS Fund Ltr2, SS
      Fund Ltr3, etc.</t>
  </si>
  <si>
    <t xml:space="preserve">Services funding commitment letters; Include: Project name; description of services; dollar value of funds or in-kind services; if cash is provided, state funding source; funding term; description &amp; history of agency/org. providing funding or services. </t>
  </si>
  <si>
    <t>Project Selection</t>
  </si>
  <si>
    <t xml:space="preserve">31. Opportunity Area </t>
  </si>
  <si>
    <t>Documentation of TCAC/HCD Opportunity Area status at time of application.</t>
  </si>
  <si>
    <t>32. Utility Allowance</t>
  </si>
  <si>
    <t>Schedule of Utility Allowances.</t>
  </si>
  <si>
    <t>33. Operating Subsidy Commitment</t>
  </si>
  <si>
    <t>Documentation evidencing commitment of Operating Subsidies including source, term (in years), total subsidy amount and estimated first year allocation.</t>
  </si>
  <si>
    <t>34. Current Contract Rents</t>
  </si>
  <si>
    <t>Projects proposing project-based rental assistance: Provide documentation of current contract rents for HAP, Shelter Plus or other source, as applicable.</t>
  </si>
  <si>
    <t>35. Rural Status Determination</t>
  </si>
  <si>
    <t>TCAC Method for determining rural status.</t>
  </si>
  <si>
    <t>Experience of the Principal</t>
  </si>
  <si>
    <t>Principal only</t>
  </si>
  <si>
    <t>36. Resume Principal</t>
  </si>
  <si>
    <t>Resume of Principal.</t>
  </si>
  <si>
    <t>37. SOQ Principal</t>
  </si>
  <si>
    <t>Statement of Qualifications of Principal</t>
  </si>
  <si>
    <t>38. Cert of Employment</t>
  </si>
  <si>
    <t>Certification of Prior Employment.</t>
  </si>
  <si>
    <t>Acquisition &amp; Rehabilitation Projects</t>
  </si>
  <si>
    <t>Rehab Only</t>
  </si>
  <si>
    <t>42. Rehab Description</t>
  </si>
  <si>
    <t xml:space="preserve">Narrative description of current condition of structure(s) and overall scope of work. </t>
  </si>
  <si>
    <t>43. PNA or CNA</t>
  </si>
  <si>
    <t>PNA or CNA prepared by a qualified independent third party contractor.</t>
  </si>
  <si>
    <t>44. Rent Roll</t>
  </si>
  <si>
    <t xml:space="preserve">Current rent roll, including household income &amp; size for each unit. </t>
  </si>
  <si>
    <t>Reports</t>
  </si>
  <si>
    <t>45. Appraisal</t>
  </si>
  <si>
    <t xml:space="preserve">If land cost or value is included in the development budget, an appraisal report supporting the cost or value is required. </t>
  </si>
  <si>
    <t>46. Market Study</t>
  </si>
  <si>
    <t>Market Study (prepared in accordance with TCAC 2019 &amp; 2020 Market Study Guideline requirements prepared or updated no earlier than 12 months prior to the application due date).</t>
  </si>
  <si>
    <t>47. Env. Report 1</t>
  </si>
  <si>
    <t>Phase I (prepared or updated no earlier than 12 months prior to the application due date).</t>
  </si>
  <si>
    <t>48. Env. Report 2</t>
  </si>
  <si>
    <t>Phase II (prepared or updated no earlier than 12 months prior to the application due date).</t>
  </si>
  <si>
    <t>Rehab only</t>
  </si>
  <si>
    <t>49. Env. Report 3</t>
  </si>
  <si>
    <r>
      <t>Lead Based Paint Report (for structures built prior to 1978) (</t>
    </r>
    <r>
      <rPr>
        <sz val="11"/>
        <rFont val="Arial"/>
        <family val="2"/>
      </rPr>
      <t>rehab only</t>
    </r>
    <r>
      <rPr>
        <sz val="11"/>
        <color theme="1"/>
        <rFont val="Arial"/>
        <family val="2"/>
      </rPr>
      <t>).</t>
    </r>
  </si>
  <si>
    <t>50. Env. Report 4</t>
  </si>
  <si>
    <r>
      <t>Mold Report (</t>
    </r>
    <r>
      <rPr>
        <sz val="11"/>
        <rFont val="Arial"/>
        <family val="2"/>
      </rPr>
      <t>rehab only</t>
    </r>
    <r>
      <rPr>
        <sz val="11"/>
        <color theme="1"/>
        <rFont val="Arial"/>
        <family val="2"/>
      </rPr>
      <t>).</t>
    </r>
  </si>
  <si>
    <t>51. Env. Report 5</t>
  </si>
  <si>
    <r>
      <t>Asbestos Report (for structures built prior to 1978) (</t>
    </r>
    <r>
      <rPr>
        <sz val="11"/>
        <rFont val="Arial"/>
        <family val="2"/>
      </rPr>
      <t>rehab only</t>
    </r>
    <r>
      <rPr>
        <sz val="11"/>
        <color theme="1"/>
        <rFont val="Arial"/>
        <family val="2"/>
      </rPr>
      <t>).</t>
    </r>
  </si>
  <si>
    <t>52. Env. Report 6</t>
  </si>
  <si>
    <t>Other Environmental Report.</t>
  </si>
  <si>
    <t>53. Local Approvals</t>
  </si>
  <si>
    <t>Local Approvals and Environmental Review Verification form(s) completed and signed by local authority or Responsible Entity, if different from jurisdiction).</t>
  </si>
  <si>
    <t>54. NEPA</t>
  </si>
  <si>
    <r>
      <t>Copy of Authority to Use Grant Funds (</t>
    </r>
    <r>
      <rPr>
        <sz val="11"/>
        <rFont val="Arial"/>
        <family val="2"/>
      </rPr>
      <t>NHTF</t>
    </r>
    <r>
      <rPr>
        <sz val="11"/>
        <color theme="1"/>
        <rFont val="Arial"/>
        <family val="2"/>
      </rPr>
      <t xml:space="preserve"> Verification from Responsible Entity).</t>
    </r>
  </si>
  <si>
    <t>55. CEQA</t>
  </si>
  <si>
    <t>Copy of CEQA Determination Documents.</t>
  </si>
  <si>
    <t>56. Const EFC #1, #2, etc.</t>
  </si>
  <si>
    <t>Commitment letter or other evidence documenting construction financing commitments.</t>
  </si>
  <si>
    <t>57. Perm EFC #1, #2, etc.</t>
  </si>
  <si>
    <t>Commitment letter or other evidence documenting deferred payment permanent financing commitments.</t>
  </si>
  <si>
    <t>58. Adaptive Reuse Narrative</t>
  </si>
  <si>
    <t>Narrative describing Project and area in which Project will be built; must confirm Project will consist of the rehab of a vacant or underused commercial or industrial building(s). Structures such as residential hotels that are currently used for housing will not be considered to be eligible in meeting the adaptive reuse criteria. Narrative must confirm Project site is located within a developed area served with public infrastructure.</t>
  </si>
  <si>
    <t>59. Infill-Aerial Photos</t>
  </si>
  <si>
    <t>Aerial Photographs of Proposed Project Site.</t>
  </si>
  <si>
    <t>59. Site Plan</t>
  </si>
  <si>
    <t>§308(a)(1) Provide documentation of compliance with §302(bb) certified by a California State-licensed professional such as an engineer, surveyor, or landscape architect.</t>
  </si>
  <si>
    <t>60. Amenities-Scaled Distance Map</t>
  </si>
  <si>
    <t>Provide a project area map showing the location(s) of amenity(ies) and the distance from the project site as selected above.</t>
  </si>
  <si>
    <t>61. Amenities List</t>
  </si>
  <si>
    <t xml:space="preserve">List of amenities qualifying for TCAC points identified in the "Scoring" worksheet. Include amenity name, address, distance from the project and amount of TCAC points earned. </t>
  </si>
  <si>
    <t>62. Sponsor Certification LOE</t>
  </si>
  <si>
    <t>Letter of Explanation(s) for Certification &amp; Legal "Yes" answers, or as clarification deemed necessary by the Sponsor for information included in this application.</t>
  </si>
  <si>
    <t>64. CIP Integral to QIP</t>
  </si>
  <si>
    <t>Applicant narrative and documentation evidencing the Locality requiring the CIP.</t>
  </si>
  <si>
    <t>65. Urban Area</t>
  </si>
  <si>
    <t>Provide documentation of location in an Urbanized Area.</t>
  </si>
  <si>
    <t>66. Transitional Housing Project</t>
  </si>
  <si>
    <t xml:space="preserve">Attach documents describing how housing will accommodate ready conversion to permanent housing at minimum cost. </t>
  </si>
  <si>
    <t>NCBD</t>
  </si>
  <si>
    <t>67. NCBD Experience</t>
  </si>
  <si>
    <t>CBD</t>
  </si>
  <si>
    <t>68. CBD Experience</t>
  </si>
  <si>
    <t>ED</t>
  </si>
  <si>
    <t>69. ED Experience</t>
  </si>
  <si>
    <t>Tribal,NCBD,CBD,ED</t>
  </si>
  <si>
    <t>70. SponDev Cont. Agreement</t>
  </si>
  <si>
    <t>Attached contract agreement between Sponsor and Experience Developer</t>
  </si>
  <si>
    <t>vmEmergenyR</t>
  </si>
  <si>
    <t>71. Project Timeline</t>
  </si>
  <si>
    <t>Attach explanation how the project meet the exceptions specified in program guidelines.</t>
  </si>
  <si>
    <t>vmTaxResev</t>
  </si>
  <si>
    <t>72. Tax Credit Reservation</t>
  </si>
  <si>
    <t>If the Project has already received a tax credit reservation, upload documentation.</t>
  </si>
  <si>
    <t>73. AHDs Cash Flow</t>
  </si>
  <si>
    <t>Certification for completed and previously owned projects with positive cash flow ratio and "Debt Service Coverage Ratio of at least 1.05".</t>
  </si>
  <si>
    <t>74. Enforceable MA</t>
  </si>
  <si>
    <t xml:space="preserve">An enforceable management agreement executed by both parties for the subject application must be submitted at the time of application. </t>
  </si>
  <si>
    <t>vmBonaFide</t>
  </si>
  <si>
    <t>75. Bona-fide MA</t>
  </si>
  <si>
    <t>76. AICP Letter</t>
  </si>
  <si>
    <t>Letter signed by a planner certified by the American Institute of Certified Planners.</t>
  </si>
  <si>
    <t>77. Excess or Surplus Land</t>
  </si>
  <si>
    <t>Provide a letter from DGS or Local Agency Governing Body identifying the project site as such.</t>
  </si>
  <si>
    <t>78. Walkability location map</t>
  </si>
  <si>
    <t>Location efficiency of the Project site to Transit Stop or Major Transit Stop as determined by the US EPA Walkability Index using the project address.</t>
  </si>
  <si>
    <t>79. Sustainable Strategy</t>
  </si>
  <si>
    <t>Provide a letter or resolution executed by an officer or an equivalent representative from the metropolitan planning organization, regional transportation agency, planning, or local transportation commission.</t>
  </si>
  <si>
    <t>80. Regional Plan</t>
  </si>
  <si>
    <t>Provide a letter or resolution executed by an officer of, or an equivalent representative from, the metropolitan planning organization or regional transportation planning agency or local transportation commission.</t>
  </si>
  <si>
    <t>81. Green Building Status</t>
  </si>
  <si>
    <t>Provide signed letter from a certified LEED Green rater, certified Green Point rater, or licensed engineer stating the green building status.</t>
  </si>
  <si>
    <t>82. Near Electrification</t>
  </si>
  <si>
    <t>Document that the AHD or Mixed Use Development will contain the level of electricity stated above.</t>
  </si>
  <si>
    <t>83. Electric Design</t>
  </si>
  <si>
    <t>84. Net Density Verification</t>
  </si>
  <si>
    <t>Provide a minimum density ordinance, recorded binding covenant or date stamped map and letter certified by a California State-licensed professional such as an engineer, surveyor or landscape architect confirming the Net Density.</t>
  </si>
  <si>
    <t>IIG only</t>
  </si>
  <si>
    <t>85. Development Agreement</t>
  </si>
  <si>
    <t>Agreement executed prior to August 24, 2007 that contains affordability covenants.</t>
  </si>
  <si>
    <t>86. Relevant Development Plan</t>
  </si>
  <si>
    <t>Provide, label and attach a copy of the relevant plan showing area designation.</t>
  </si>
  <si>
    <t>87. Scoring Oportunity Area Map</t>
  </si>
  <si>
    <t>Documentation of TCAC/HCD Opportunity Area status prior to initial site control (pursuant to UMR section 8303(a))</t>
  </si>
  <si>
    <t>88. CES Agreement</t>
  </si>
  <si>
    <t>Excecuted Agreement by both parties for proposed project and must be submitted at time of application.</t>
  </si>
  <si>
    <t>Scoring vmWCL or vmWCL2</t>
  </si>
  <si>
    <t>89. FEMA DD</t>
  </si>
  <si>
    <t>At time of application, provide FEMA Major Disaster Delaration documentation.</t>
  </si>
  <si>
    <t>Scoring vmOCL or vmOCL2</t>
  </si>
  <si>
    <t>90. Disaster Housing Plan</t>
  </si>
  <si>
    <t>At time of application, provide documentation or a plan on how the project will contribute to providing housing for disaster-impacted housholds.</t>
  </si>
  <si>
    <t>91. Land use app submission</t>
  </si>
  <si>
    <t>Provide evidence for submission of a complete application to the relevant local authorities</t>
  </si>
  <si>
    <t>92. Reducing barriers plan</t>
  </si>
  <si>
    <t>The plan should be tailored to the needs of the tenant population.</t>
  </si>
  <si>
    <t>93. Transit Priority Area</t>
  </si>
  <si>
    <t>Supportive S Plan</t>
  </si>
  <si>
    <t>94. LSP List of projects or contracts</t>
  </si>
  <si>
    <t>Provide list of current and completed Projects or contracts when submitting application</t>
  </si>
  <si>
    <t>Scoring, if IsSerna</t>
  </si>
  <si>
    <t>95. Farmworker Need</t>
  </si>
  <si>
    <t>Provide documentation from the USDA on how you arrived to the percentage on the presence of farmworkers in the County in which the project is located.</t>
  </si>
  <si>
    <t>96. Prohousing Designation</t>
  </si>
  <si>
    <t>Provide documentation for adoption of prohousing local policies pursuant to the Department’s Prohousing Designation Program.</t>
  </si>
  <si>
    <t>97. Prohousing Application</t>
  </si>
  <si>
    <t>Please provide evidence of Prohousing Application, pursuant to the Department’s Prohousing Designation Program.</t>
  </si>
  <si>
    <t>All</t>
  </si>
  <si>
    <t>63. LOE</t>
  </si>
  <si>
    <t>Letter of Explanation(s).</t>
  </si>
  <si>
    <t>Threshold Requirements</t>
  </si>
  <si>
    <r>
      <t xml:space="preserve">The following is to help and guide the applicant with threshold requirements, it is the sole responsibility of the applicant to </t>
    </r>
    <r>
      <rPr>
        <b/>
        <sz val="11"/>
        <rFont val="Arial"/>
        <family val="2"/>
      </rPr>
      <t>verify</t>
    </r>
    <r>
      <rPr>
        <sz val="11"/>
        <rFont val="Arial"/>
        <family val="2"/>
      </rPr>
      <t xml:space="preserve"> and meet all of the threshold requirements per program guidelines. The Department shall have a </t>
    </r>
    <r>
      <rPr>
        <b/>
        <u/>
        <sz val="11"/>
        <color rgb="FFC00000"/>
        <rFont val="Arial"/>
        <family val="2"/>
      </rPr>
      <t>final</t>
    </r>
    <r>
      <rPr>
        <sz val="11"/>
        <rFont val="Arial"/>
        <family val="2"/>
      </rPr>
      <t xml:space="preserve"> threshold determination after review of, but not limited to, information provided at application and file uploads.</t>
    </r>
  </si>
  <si>
    <t>MHP §7302.1</t>
  </si>
  <si>
    <t>Projects shall be eligible for an award of funds as long as the application demonstrates that all the following threshold requirements have been met.</t>
  </si>
  <si>
    <t>(a)</t>
  </si>
  <si>
    <r>
      <t xml:space="preserve">The applicant is an </t>
    </r>
    <r>
      <rPr>
        <sz val="11"/>
        <color rgb="FF0000FF"/>
        <rFont val="Arial"/>
        <family val="2"/>
      </rPr>
      <t>eligible Sponsor</t>
    </r>
    <r>
      <rPr>
        <sz val="11"/>
        <rFont val="Arial"/>
        <family val="2"/>
      </rPr>
      <t xml:space="preserve"> pursuant to </t>
    </r>
    <r>
      <rPr>
        <sz val="11"/>
        <color theme="9" tint="-0.249977111117893"/>
        <rFont val="Arial"/>
        <family val="2"/>
      </rPr>
      <t>§7303</t>
    </r>
  </si>
  <si>
    <t>(b)</t>
  </si>
  <si>
    <t>(c)</t>
  </si>
  <si>
    <t>(d)</t>
  </si>
  <si>
    <t>(1)</t>
  </si>
  <si>
    <t>(2)</t>
  </si>
  <si>
    <t>(3)</t>
  </si>
  <si>
    <t>JV</t>
  </si>
  <si>
    <t>(4)</t>
  </si>
  <si>
    <t>If a joint venture Sponsor relies upon the experience of one of the members to meet the Sponsor eligibility requirements, the joint venture Sponsor must meet the following requirements.</t>
  </si>
  <si>
    <t>(A)</t>
  </si>
  <si>
    <t>(B)</t>
  </si>
  <si>
    <t>(C)</t>
  </si>
  <si>
    <t>(D)</t>
  </si>
  <si>
    <t>(e)</t>
  </si>
  <si>
    <t>Sponsor shall demonstrate capacity to acquire, develop, and own affordable rental housing. For purposes of this subdivision, an entity has “capacity” if it has adequate staff, capital, assets, and other resources to efficiently meet the operational needs of the Rental Housing Development; to maintain the Fiscal Integrity of the Rental Housing Development; and to satisfy all legal requirements and obligations in connection with the Rental Housing Development. Evidence of capacity must be reasonably acceptable to the Department in form and substance. Sponsor shall satisfactorily demonstrate capacity at the time of its application for the funds.</t>
  </si>
  <si>
    <t>Sponsor certifies to demonstrate capacity to acquire, develop, and own affordable rental housing as described at above paragraph?</t>
  </si>
  <si>
    <t>(f)</t>
  </si>
  <si>
    <t>Sponsor shall maintain direct and continuing control of the Rental Housing Development. Alternatively, if the Department’s funding disbursement is structured with or through a special purpose entity, the Sponsor shall exercise direct and continuing control over such special purpose entity in accordance with UMR Section 8313.2 and throughout the full term of the Department’s use restriction on the Rental Housing Development. Sponsor shall certify that it will abide by this control requirement at the time of its application for the funds.</t>
  </si>
  <si>
    <t>Sponsor certifies to maintain direct and continuing control of the Rental Housing Development as described at above paragraph?</t>
  </si>
  <si>
    <t>Sponsor Comments:</t>
  </si>
  <si>
    <r>
      <t xml:space="preserve">The application involves an </t>
    </r>
    <r>
      <rPr>
        <sz val="11"/>
        <color rgb="FF0000FF"/>
        <rFont val="Arial"/>
        <family val="2"/>
      </rPr>
      <t>Eligible Project</t>
    </r>
    <r>
      <rPr>
        <sz val="11"/>
        <rFont val="Arial"/>
        <family val="2"/>
      </rPr>
      <t xml:space="preserve"> pursuant to </t>
    </r>
    <r>
      <rPr>
        <sz val="11"/>
        <color theme="9" tint="-0.249977111117893"/>
        <rFont val="Arial"/>
        <family val="2"/>
      </rPr>
      <t>§7302</t>
    </r>
  </si>
  <si>
    <t>The Project qualifies as one or more of the following project types:</t>
  </si>
  <si>
    <t>Projects utilizing federal funds under programs that have differing definitions for senior projects, or that have the Rehabilitation of occupied developments restricted to residents 55 or older, or that have Supportive Housing or Special Needs Projects also restricting occupancy to residents who are 55 years of age or older are exempt from (3) above.</t>
  </si>
  <si>
    <t>(5)</t>
  </si>
  <si>
    <r>
      <t xml:space="preserve">At high risk, meaning Projects that meet the requirements for at-risk projects set forth in </t>
    </r>
    <r>
      <rPr>
        <sz val="11"/>
        <color theme="9" tint="-0.249977111117893"/>
        <rFont val="Arial"/>
        <family val="2"/>
      </rPr>
      <t>TCAC Regulations, Title 4 CCR, Division 17, Chapter 1, Section 10325</t>
    </r>
    <r>
      <rPr>
        <sz val="11"/>
        <rFont val="Arial"/>
        <family val="2"/>
      </rPr>
      <t xml:space="preserve"> and that meet all of the following additional characteristics:</t>
    </r>
  </si>
  <si>
    <t>(E)</t>
  </si>
  <si>
    <t>(F)</t>
  </si>
  <si>
    <t>Projects qualifying as Special Needs projects, where one or more of the Restricted Units are limited under Department Regulatory Agreements to occupancy by Chronically Homeless, have the following additional requirements:</t>
  </si>
  <si>
    <t>Does the Projects qualify as Special Needs projects, where one or more of the Restricted Units are limited under Department Regulatory Agreements to occupancy by Chronically Homeless?</t>
  </si>
  <si>
    <t>To be Determine</t>
  </si>
  <si>
    <r>
      <t>Sponsor certifies to be an Eligible Sponsor (</t>
    </r>
    <r>
      <rPr>
        <sz val="11"/>
        <color theme="9" tint="-0.249977111117893"/>
        <rFont val="Arial"/>
        <family val="2"/>
      </rPr>
      <t>as specified in §7303</t>
    </r>
    <r>
      <rPr>
        <sz val="11"/>
        <rFont val="Arial"/>
        <family val="2"/>
      </rPr>
      <t>) with at least two years’ experience during the past five years owning or operating (under a long-term master lease or similar arrangement) a rental housing development that includes at least 10 units occupied by people experiencing Homelessness, and that provides on-site Comprehensive Case Management services. Occupancy by persons experiencing Homelessness may be evidenced either by public agency restrictions requiring this occupancy or by documentation conclusively demonstrating occupancy for at least two years by people experiencing Homelessness upon initial move-in.</t>
    </r>
  </si>
  <si>
    <t>(G)</t>
  </si>
  <si>
    <t>(H)</t>
  </si>
  <si>
    <t>(I)</t>
  </si>
  <si>
    <t>(J)</t>
  </si>
  <si>
    <t>(6)</t>
  </si>
  <si>
    <t>(7)</t>
  </si>
  <si>
    <t>(8)</t>
  </si>
  <si>
    <t>(9)</t>
  </si>
  <si>
    <t>(g)</t>
  </si>
  <si>
    <t>(h)</t>
  </si>
  <si>
    <t>Assisted Unit Requirements</t>
  </si>
  <si>
    <t>Sponsor aknowledge that where multiple Department programs assist the Project and the jurisdiction does not have Article XXXIV authority, the Department’s total non-VHHP regulatory authority shall not exceed 49 percent of the Project’s total units, unless the project otherwise has an exemption.</t>
  </si>
  <si>
    <t>Sponsor aknowlege that in jurisdictions having Article XXXIV authority, the Department’s total regulatory authority shall not exceed the allocation of authority, up to 100 percent of the Project’s total units.</t>
  </si>
  <si>
    <t>Sponsor aknowledge that the units regulated by the Department, including MHP Assisted Units, shall include those with the lowest income limits.</t>
  </si>
  <si>
    <t>Projects proposed by Tribal Entities must meet the following requirements:</t>
  </si>
  <si>
    <t>Projects satisfy all the following (A and B below):</t>
  </si>
  <si>
    <t>Occupancy will be legally limited to tribal households, except that up to 20% of Low-Income Units may serve non-tribal households if required by the HOME Program.</t>
  </si>
  <si>
    <t>The applicant meets the following conditions of award funding (which conditions are not,however, conditions to engaging in the competitive award process) as and to the extent applicable and set forth in a Standard Agreement:</t>
  </si>
  <si>
    <t>The Sponsor or Applicants meet, or will meet, the conditions there in Section 7302 (i)(2)(A-D)?</t>
  </si>
  <si>
    <t>(j)</t>
  </si>
  <si>
    <t>Multiple Department Funding Sources</t>
  </si>
  <si>
    <t>Use of multiple Department funding sources on the same Assisted Units is permitted, subject to the following limitation:</t>
  </si>
  <si>
    <t>No more than $35,000,000 in Department funding sources may be used on a single Project.</t>
  </si>
  <si>
    <t>Other potential Department funding sources, aside from this application?</t>
  </si>
  <si>
    <t>Total other Potential HCD award(s)</t>
  </si>
  <si>
    <t>Total Department funding, including MHP, shall not exceed 75% of the total development cost.</t>
  </si>
  <si>
    <t>This application:</t>
  </si>
  <si>
    <t xml:space="preserve">Sponsor aknowledges that in a SuperNOFA, each Sponsor is limited to no more than $70,000,000, excluding any applications awarded where the Sponsor is part of a joint venture with an Emerging Developer, Community Based Developer, New Community Based Developer, or Tribal Entity. </t>
  </si>
  <si>
    <t>Sponsor aknowledges that funding limits set forth in subsection (1) shall not include Department funds awarded for purposes other than capital improvements, such as loans or grants for non-housing relatedinfrastructure, transit amenities, programs, or rental and operating subsidies</t>
  </si>
  <si>
    <r>
      <t xml:space="preserve">Sponsor aknowledges that “Department funding sources" shall mean loan or grant funds awarded for permanent funding of multifamily development costs (which shall not include funds specifically designated for capitalized operating or operating subsidy reserves) under </t>
    </r>
    <r>
      <rPr>
        <sz val="11"/>
        <color theme="9" tint="-0.249977111117893"/>
        <rFont val="Arial"/>
        <family val="2"/>
      </rPr>
      <t>§7302.1 (b)(j)(3)</t>
    </r>
    <r>
      <rPr>
        <sz val="11"/>
        <rFont val="Arial"/>
        <family val="2"/>
      </rPr>
      <t>.</t>
    </r>
  </si>
  <si>
    <t>(k)</t>
  </si>
  <si>
    <r>
      <t xml:space="preserve">All proposed uses of Program funds are eligible pursuant to </t>
    </r>
    <r>
      <rPr>
        <sz val="11"/>
        <color theme="9" tint="-0.249977111117893"/>
        <rFont val="Arial"/>
        <family val="2"/>
      </rPr>
      <t>§7304</t>
    </r>
    <r>
      <rPr>
        <sz val="11"/>
        <rFont val="Arial"/>
        <family val="2"/>
      </rPr>
      <t>;</t>
    </r>
  </si>
  <si>
    <t>Sponsor aknowledges that funds shall only be used for capital asset related expenses as required by section 16727 of the Government Code.</t>
  </si>
  <si>
    <r>
      <t xml:space="preserve">Sponsor aknowledges that eligible costs include all those stated at </t>
    </r>
    <r>
      <rPr>
        <sz val="11"/>
        <color theme="9" tint="-0.249977111117893"/>
        <rFont val="Arial"/>
        <family val="2"/>
      </rPr>
      <t>§7302.1 (c)(b)(1-18)</t>
    </r>
    <r>
      <rPr>
        <sz val="11"/>
        <rFont val="Arial"/>
        <family val="2"/>
      </rPr>
      <t>:</t>
    </r>
  </si>
  <si>
    <r>
      <t xml:space="preserve">Sponsor aknowledges that except as provided in subsection (b)(8) above, no Program funds shall be used for costs associated exclusively with non-Restricted Units or Commercial Space. A Manager’s Unit maybe considered a Restricted Unit for the purpose of allocating development costs. If only a portion of the Rental Housing Development consists of Restricted Units, the Program loan amount shall not exceed the sum of the following: </t>
    </r>
    <r>
      <rPr>
        <sz val="11"/>
        <color theme="9" tint="-0.249977111117893"/>
        <rFont val="Arial"/>
        <family val="2"/>
      </rPr>
      <t>§7302.1 (c)(c)(1-3)</t>
    </r>
    <r>
      <rPr>
        <sz val="11"/>
        <rFont val="Arial"/>
        <family val="2"/>
      </rPr>
      <t>.</t>
    </r>
  </si>
  <si>
    <r>
      <t xml:space="preserve">The application is complete pursuant to </t>
    </r>
    <r>
      <rPr>
        <sz val="11"/>
        <color theme="9" tint="-0.249977111117893"/>
        <rFont val="Arial"/>
        <family val="2"/>
      </rPr>
      <t>MHP</t>
    </r>
    <r>
      <rPr>
        <sz val="11"/>
        <rFont val="Arial"/>
        <family val="2"/>
      </rPr>
      <t xml:space="preserve"> </t>
    </r>
    <r>
      <rPr>
        <sz val="11"/>
        <color theme="9" tint="-0.249977111117893"/>
        <rFont val="Arial"/>
        <family val="2"/>
      </rPr>
      <t>§7317 &amp; §7318</t>
    </r>
  </si>
  <si>
    <r>
      <t xml:space="preserve">Sponsor aknowledges  </t>
    </r>
    <r>
      <rPr>
        <sz val="11"/>
        <color theme="9" tint="-0.249977111117893"/>
        <rFont val="Arial"/>
        <family val="2"/>
      </rPr>
      <t>§7317 (a-d)</t>
    </r>
  </si>
  <si>
    <r>
      <t xml:space="preserve">Sponsor acknowledge to comply with  </t>
    </r>
    <r>
      <rPr>
        <sz val="11"/>
        <color theme="9" tint="-0.249977111117893"/>
        <rFont val="Arial"/>
        <family val="2"/>
      </rPr>
      <t>MHP §7318 (a)</t>
    </r>
  </si>
  <si>
    <t>Sponsor certifies that the application meets all threshold requirements, as set forth in §7302.1, the NOFA and the application.</t>
  </si>
  <si>
    <t>Sponsor certifies that the application includes authorizing resolutions of the governing boards of both the Sponsor and a co-Sponsor, except where the Sponsor(s) are individuals.</t>
  </si>
  <si>
    <t>Sponsor certifies that pursuant to UMR Section 8310 and information provided in the application and uploaded files, the Department should be able to review the application and assess the proposed project’s feasibility.</t>
  </si>
  <si>
    <r>
      <t xml:space="preserve">Sponsor acknowledge Pursuant to Section 7320, applications shall be evaluated based solely upon the contents of the application. If documents required for scoring are not included, the application will not be deemed incomplete; however, failure to submit necessary documents, as set forth in the NOFA or application, may adversely affect the score of the application. </t>
    </r>
    <r>
      <rPr>
        <sz val="11"/>
        <color rgb="FFC00000"/>
        <rFont val="Arial"/>
        <family val="2"/>
      </rPr>
      <t>Information or documents received after the application submission deadline will not be considered</t>
    </r>
    <r>
      <rPr>
        <sz val="11"/>
        <rFont val="Arial"/>
        <family val="2"/>
      </rPr>
      <t>.</t>
    </r>
  </si>
  <si>
    <r>
      <t>Sponsor acknowledges that applications shall be evaluated for compliance with the threshold and eligibility requirements of program Guidelines, and applicable statutes, and scored based on the application selection criteria listed in</t>
    </r>
    <r>
      <rPr>
        <sz val="11"/>
        <color theme="9" tint="-0.249977111117893"/>
        <rFont val="Arial"/>
        <family val="2"/>
      </rPr>
      <t xml:space="preserve"> MHP §7320</t>
    </r>
    <r>
      <rPr>
        <sz val="11"/>
        <rFont val="Arial"/>
        <family val="2"/>
      </rPr>
      <t xml:space="preserve"> of program Guidelines. The applications with the highest number of points shall be selected for funding, provided that they meet all threshold and eligibility requirements and achieve specified minimum scores as identified in the NOFA.  </t>
    </r>
  </si>
  <si>
    <t>Is proposed project a TCAC Hybrid project?</t>
  </si>
  <si>
    <t>Sponsor acknowledges that this election is irrevocable. Once awarded, the Department will not break up or combine project awards to accommodate a conversion to or from a hybrid project.</t>
  </si>
  <si>
    <t>N/A</t>
  </si>
  <si>
    <t>Sponsor certifies that the Project, as proposed in the application, is financially feasible as evidenced by documentation such as, but not limited to, Enforceable Funding Commitments, market study, project proforma, sources and uses statement, or other feasibility documentation that is standard industry practice for the type of proposed housing development.</t>
  </si>
  <si>
    <r>
      <t xml:space="preserve">Sponsor certifies that the Project will maintain Fiscal Integrity consistent with proposed Rents in the Assisted Units and is feasible pursuant to the underwriting standards in </t>
    </r>
    <r>
      <rPr>
        <sz val="11"/>
        <color theme="9" tint="-0.249977111117893"/>
        <rFont val="Arial"/>
        <family val="2"/>
      </rPr>
      <t>UMR §8310</t>
    </r>
    <r>
      <rPr>
        <sz val="11"/>
        <rFont val="Arial"/>
        <family val="2"/>
      </rPr>
      <t>.</t>
    </r>
  </si>
  <si>
    <t>Sponsor certifies that the Project site is reasonably accessible to public transportation, shopping, medical services, recreation, schools, and employment in relation to the needs of the Project tenants.</t>
  </si>
  <si>
    <t>Do we want to collect documentation? Is yes, what sort of documentation?</t>
  </si>
  <si>
    <r>
      <t xml:space="preserve">Sponsor certifies that Projects with Special Needs Units shall provide services suitable to the needs of the Special Needs Population; and the application shall demonstrate a specific, feasible plan for delivery and funding of those services, including identification of the Lead Service Provider, service delivery partners and funding sources, pursuant to Section </t>
    </r>
    <r>
      <rPr>
        <sz val="11"/>
        <color theme="9" tint="-0.249977111117893"/>
        <rFont val="Arial"/>
        <family val="2"/>
      </rPr>
      <t>MHP §7310</t>
    </r>
  </si>
  <si>
    <t>(l)</t>
  </si>
  <si>
    <r>
      <t xml:space="preserve">Sponsor certifies that projects that do not include Special Needs Units, shall provide service amenities sufficient to achieve a minimum score of 7 points pursuant to </t>
    </r>
    <r>
      <rPr>
        <sz val="11"/>
        <color theme="9" tint="-0.249977111117893"/>
        <rFont val="Arial"/>
        <family val="2"/>
      </rPr>
      <t>CDLAC Regulations, Section 5230(i)</t>
    </r>
    <r>
      <rPr>
        <sz val="11"/>
        <rFont val="Arial"/>
        <family val="2"/>
      </rPr>
      <t>.</t>
    </r>
  </si>
  <si>
    <t>how to get at least seven points?. See scoring section.</t>
  </si>
  <si>
    <t>(m)</t>
  </si>
  <si>
    <r>
      <t xml:space="preserve">Sponsor certifies that the project complies with the restrictions on demolition as set forth in </t>
    </r>
    <r>
      <rPr>
        <sz val="11"/>
        <color theme="9" tint="-0.249977111117893"/>
        <rFont val="Arial"/>
        <family val="2"/>
      </rPr>
      <t>UMR §8302.</t>
    </r>
  </si>
  <si>
    <t>(n)</t>
  </si>
  <si>
    <r>
      <t xml:space="preserve">Sponsor certifies that the project complies with the site control requirements as set forth in </t>
    </r>
    <r>
      <rPr>
        <sz val="11"/>
        <color theme="9" tint="-0.249977111117893"/>
        <rFont val="Arial"/>
        <family val="2"/>
      </rPr>
      <t>UMR §8303</t>
    </r>
    <r>
      <rPr>
        <sz val="11"/>
        <rFont val="Arial"/>
        <family val="2"/>
      </rPr>
      <t xml:space="preserve">. with the exception that the Sponsor shall maintain site control through the term of the proposed award, as stated in the NOFA, and with the option to extend. Where site control is in the name of another entity, the Sponsor shall provide documentation, in form and substance reasonably satisfactory to the Department, which clearly demonstrates that the Sponsor has some form of right to acquire or lease the project property (e.g, the entity’s organizational documents). </t>
    </r>
  </si>
  <si>
    <t>For projects developed in Indian country, the following exceptions apply:</t>
  </si>
  <si>
    <t>Where site control is a ground lease, the lease agreement between the Tribal Entity and the project owner is for a period not less than 50 years; and</t>
  </si>
  <si>
    <t>An attorney’s opinion regarding chain of title and current title status is acceptable in lieu of a title report.</t>
  </si>
  <si>
    <t>In addition to threshold requirements above, Sponsor acknowledge, understand, and agree to comply with the following sections of the MHP guidelines.</t>
  </si>
  <si>
    <r>
      <rPr>
        <sz val="11"/>
        <color theme="9" tint="-0.249977111117893"/>
        <rFont val="Arial"/>
        <family val="2"/>
      </rPr>
      <t>§7305</t>
    </r>
    <r>
      <rPr>
        <sz val="11"/>
        <rFont val="Arial"/>
        <family val="2"/>
      </rPr>
      <t xml:space="preserve"> Cost Limitations.</t>
    </r>
  </si>
  <si>
    <r>
      <rPr>
        <sz val="11"/>
        <color theme="9" tint="-0.249977111117893"/>
        <rFont val="Arial"/>
        <family val="2"/>
      </rPr>
      <t>§7306</t>
    </r>
    <r>
      <rPr>
        <sz val="11"/>
        <rFont val="Arial"/>
        <family val="2"/>
      </rPr>
      <t xml:space="preserve"> Type and Term of Loan.</t>
    </r>
  </si>
  <si>
    <r>
      <rPr>
        <sz val="11"/>
        <color theme="9" tint="-0.249977111117893"/>
        <rFont val="Arial"/>
        <family val="2"/>
      </rPr>
      <t>§7307</t>
    </r>
    <r>
      <rPr>
        <sz val="11"/>
        <rFont val="Arial"/>
        <family val="2"/>
      </rPr>
      <t xml:space="preserve"> Maximum Loan Amounts.</t>
    </r>
  </si>
  <si>
    <r>
      <rPr>
        <sz val="11"/>
        <color theme="9" tint="-0.249977111117893"/>
        <rFont val="Arial"/>
        <family val="2"/>
      </rPr>
      <t>§7308</t>
    </r>
    <r>
      <rPr>
        <sz val="11"/>
        <rFont val="Arial"/>
        <family val="2"/>
      </rPr>
      <t xml:space="preserve"> Interest Rate and Loan Repayments.</t>
    </r>
  </si>
  <si>
    <r>
      <rPr>
        <sz val="11"/>
        <color theme="9" tint="-0.249977111117893"/>
        <rFont val="Arial"/>
        <family val="2"/>
      </rPr>
      <t>§7309</t>
    </r>
    <r>
      <rPr>
        <sz val="11"/>
        <rFont val="Arial"/>
        <family val="2"/>
      </rPr>
      <t xml:space="preserve"> Appraisal and Market Study Requirements.</t>
    </r>
  </si>
  <si>
    <r>
      <rPr>
        <sz val="11"/>
        <color theme="9" tint="-0.249977111117893"/>
        <rFont val="Arial"/>
        <family val="2"/>
      </rPr>
      <t>§7310</t>
    </r>
    <r>
      <rPr>
        <sz val="11"/>
        <rFont val="Arial"/>
        <family val="2"/>
      </rPr>
      <t xml:space="preserve"> MHP Supportive Service Plan Requirements.</t>
    </r>
  </si>
  <si>
    <r>
      <rPr>
        <sz val="11"/>
        <color theme="9" tint="-0.249977111117893"/>
        <rFont val="Arial"/>
        <family val="2"/>
      </rPr>
      <t>§7311</t>
    </r>
    <r>
      <rPr>
        <sz val="11"/>
        <rFont val="Arial"/>
        <family val="2"/>
      </rPr>
      <t xml:space="preserve"> MHP Rent and Unit Designation Adjustment.</t>
    </r>
  </si>
  <si>
    <r>
      <rPr>
        <sz val="11"/>
        <color theme="9" tint="-0.249977111117893"/>
        <rFont val="Arial"/>
        <family val="2"/>
      </rPr>
      <t>§7312</t>
    </r>
    <r>
      <rPr>
        <sz val="11"/>
        <rFont val="Arial"/>
        <family val="2"/>
      </rPr>
      <t xml:space="preserve"> Rent Standards.</t>
    </r>
  </si>
  <si>
    <r>
      <rPr>
        <sz val="11"/>
        <color theme="9" tint="-0.249977111117893"/>
        <rFont val="Arial"/>
        <family val="2"/>
      </rPr>
      <t>§7313</t>
    </r>
    <r>
      <rPr>
        <sz val="11"/>
        <rFont val="Arial"/>
        <family val="2"/>
      </rPr>
      <t xml:space="preserve"> Use of Operating Income.</t>
    </r>
  </si>
  <si>
    <r>
      <rPr>
        <sz val="11"/>
        <color theme="9" tint="-0.249977111117893"/>
        <rFont val="Arial"/>
        <family val="2"/>
      </rPr>
      <t>§7314</t>
    </r>
    <r>
      <rPr>
        <sz val="11"/>
        <rFont val="Arial"/>
        <family val="2"/>
      </rPr>
      <t xml:space="preserve"> State and Federal Laws, Rules, Guidelines and Regulations.</t>
    </r>
  </si>
  <si>
    <r>
      <rPr>
        <sz val="11"/>
        <color theme="9" tint="-0.249977111117893"/>
        <rFont val="Arial"/>
        <family val="2"/>
      </rPr>
      <t>§7315</t>
    </r>
    <r>
      <rPr>
        <sz val="11"/>
        <rFont val="Arial"/>
        <family val="2"/>
      </rPr>
      <t xml:space="preserve"> Relocation Requirements.</t>
    </r>
  </si>
  <si>
    <r>
      <rPr>
        <sz val="11"/>
        <color theme="9" tint="-0.249977111117893"/>
        <rFont val="Arial"/>
        <family val="2"/>
      </rPr>
      <t>§7316</t>
    </r>
    <r>
      <rPr>
        <sz val="11"/>
        <rFont val="Arial"/>
        <family val="2"/>
      </rPr>
      <t xml:space="preserve"> Construction Requirements.</t>
    </r>
  </si>
  <si>
    <r>
      <rPr>
        <sz val="11"/>
        <color theme="9" tint="-0.249977111117893"/>
        <rFont val="Arial"/>
        <family val="2"/>
      </rPr>
      <t>§7317</t>
    </r>
    <r>
      <rPr>
        <sz val="11"/>
        <rFont val="Arial"/>
        <family val="2"/>
      </rPr>
      <t xml:space="preserve"> Application Process.</t>
    </r>
  </si>
  <si>
    <r>
      <rPr>
        <sz val="11"/>
        <color theme="9" tint="-0.249977111117893"/>
        <rFont val="Arial"/>
        <family val="2"/>
      </rPr>
      <t>§7318</t>
    </r>
    <r>
      <rPr>
        <sz val="11"/>
        <rFont val="Arial"/>
        <family val="2"/>
      </rPr>
      <t xml:space="preserve"> Application Content and Application Eligibility Requirements.</t>
    </r>
  </si>
  <si>
    <r>
      <rPr>
        <sz val="11"/>
        <color theme="9" tint="-0.249977111117893"/>
        <rFont val="Arial"/>
        <family val="2"/>
      </rPr>
      <t>§7321</t>
    </r>
    <r>
      <rPr>
        <sz val="11"/>
        <rFont val="Arial"/>
        <family val="2"/>
      </rPr>
      <t xml:space="preserve"> Performance Deadlines.</t>
    </r>
  </si>
  <si>
    <r>
      <rPr>
        <sz val="11"/>
        <color theme="9" tint="-0.249977111117893"/>
        <rFont val="Arial"/>
        <family val="2"/>
      </rPr>
      <t>§7322</t>
    </r>
    <r>
      <rPr>
        <sz val="11"/>
        <rFont val="Arial"/>
        <family val="2"/>
      </rPr>
      <t xml:space="preserve"> Legal Documents.</t>
    </r>
  </si>
  <si>
    <r>
      <rPr>
        <sz val="11"/>
        <color theme="9" tint="-0.249977111117893"/>
        <rFont val="Arial"/>
        <family val="2"/>
      </rPr>
      <t>§7323</t>
    </r>
    <r>
      <rPr>
        <sz val="11"/>
        <rFont val="Arial"/>
        <family val="2"/>
      </rPr>
      <t xml:space="preserve"> Sales, Transfers, Encumbrances, and Loan Payoff.</t>
    </r>
  </si>
  <si>
    <r>
      <rPr>
        <sz val="11"/>
        <color theme="9" tint="-0.249977111117893"/>
        <rFont val="Arial"/>
        <family val="2"/>
      </rPr>
      <t>§7324</t>
    </r>
    <r>
      <rPr>
        <sz val="11"/>
        <rFont val="Arial"/>
        <family val="2"/>
      </rPr>
      <t xml:space="preserve"> Defaults and Loan Cancellations.</t>
    </r>
  </si>
  <si>
    <r>
      <rPr>
        <sz val="11"/>
        <color theme="9" tint="-0.249977111117893"/>
        <rFont val="Arial"/>
        <family val="2"/>
      </rPr>
      <t>§7325</t>
    </r>
    <r>
      <rPr>
        <sz val="11"/>
        <rFont val="Arial"/>
        <family val="2"/>
      </rPr>
      <t xml:space="preserve"> Management and Maintenance.</t>
    </r>
  </si>
  <si>
    <r>
      <rPr>
        <sz val="11"/>
        <color theme="9" tint="-0.249977111117893"/>
        <rFont val="Arial"/>
        <family val="2"/>
      </rPr>
      <t>§7326</t>
    </r>
    <r>
      <rPr>
        <sz val="11"/>
        <rFont val="Arial"/>
        <family val="2"/>
      </rPr>
      <t xml:space="preserve"> Reporting Requirements.</t>
    </r>
  </si>
  <si>
    <r>
      <rPr>
        <sz val="11"/>
        <color theme="9" tint="-0.249977111117893"/>
        <rFont val="Arial"/>
        <family val="2"/>
      </rPr>
      <t>§7327</t>
    </r>
    <r>
      <rPr>
        <sz val="11"/>
        <rFont val="Arial"/>
        <family val="2"/>
      </rPr>
      <t xml:space="preserve"> Annual Operating Budget and Schedule of Rental Income.</t>
    </r>
  </si>
  <si>
    <t>Sponsor comments:</t>
  </si>
  <si>
    <r>
      <t xml:space="preserve">The following is to help and guide the applicant with threshold requirements, it is the sole responsibility of the applicant to verify and meet all of the threshold requirements per program guidelines. The Department will have a </t>
    </r>
    <r>
      <rPr>
        <b/>
        <u/>
        <sz val="11"/>
        <color rgb="FFC00000"/>
        <rFont val="Arial"/>
        <family val="2"/>
      </rPr>
      <t>final</t>
    </r>
    <r>
      <rPr>
        <sz val="11"/>
        <rFont val="Arial"/>
        <family val="2"/>
      </rPr>
      <t xml:space="preserve"> threshold determination after review of, but not limited to, information provided at application and file uploads.</t>
    </r>
  </si>
  <si>
    <t>IIG
§202</t>
  </si>
  <si>
    <r>
      <t>Is the Sponsor is an eligible Applicant pursuant to</t>
    </r>
    <r>
      <rPr>
        <sz val="11"/>
        <color rgb="FFFFCC99"/>
        <rFont val="Arial"/>
        <family val="2"/>
      </rPr>
      <t xml:space="preserve"> </t>
    </r>
    <r>
      <rPr>
        <sz val="11"/>
        <color theme="9" tint="-0.249977111117893"/>
        <rFont val="Arial"/>
        <family val="2"/>
      </rPr>
      <t>§201</t>
    </r>
    <r>
      <rPr>
        <sz val="11"/>
        <rFont val="Arial"/>
        <family val="2"/>
      </rPr>
      <t>?</t>
    </r>
  </si>
  <si>
    <t>Is applicant a nonprofit or for-profit developer of a Qualifying Infill Project?</t>
  </si>
  <si>
    <t>Is applicant a city, county, city and county, public housing authority, or redevelopment agency and/or successor agencies that have jurisdiction over a Qualifying Infill Area?</t>
  </si>
  <si>
    <t>Is applicant a Tribally Designated Housing Entity that is the Sponsor of a Qualifying Infill Project?</t>
  </si>
  <si>
    <r>
      <t xml:space="preserve">Applicant certifies to meet, or will meet upon project award, the conditions set forth the at </t>
    </r>
    <r>
      <rPr>
        <sz val="11"/>
        <color theme="9" tint="-0.249977111117893"/>
        <rFont val="Arial"/>
        <family val="2"/>
      </rPr>
      <t>§201 (c)(1)(B)</t>
    </r>
    <r>
      <rPr>
        <sz val="11"/>
        <rFont val="Arial"/>
        <family val="2"/>
      </rPr>
      <t xml:space="preserve"> </t>
    </r>
  </si>
  <si>
    <t>Second Paragraph</t>
  </si>
  <si>
    <t>The partnership agreement must:</t>
  </si>
  <si>
    <t>Sponsor certifies to allocate a share of developer fee, cash flow, and net sales proceeds to the less experienced partner that is no less than 50% of the total; and</t>
  </si>
  <si>
    <t>Applicant certifies to provide the less experienced partner with an option to purchase the development.</t>
  </si>
  <si>
    <t>Applicant certifies that the inexperienced partner must complete training pursuant to TCAC Regulations, Title 4 CCR, Division 17, Chapter 1, Section 10325(c)(1)</t>
  </si>
  <si>
    <t>Applicant aknowledge and certifies that in all such Joint Ventures, the experienced Sponsor must share the Qualifying Infill Project’s total developer Fee in equal portion with and to all other members of the Joint Venture. This requirement will be included as a special condition in the project’s respective Standard Agreement, as well as in its Regulatory Agreement (or Covenant where applicable).</t>
  </si>
  <si>
    <r>
      <t xml:space="preserve">The application involves an Eligible Capital Improvement Project pursuant to </t>
    </r>
    <r>
      <rPr>
        <sz val="11"/>
        <color theme="9" tint="-0.249977111117893"/>
        <rFont val="Arial"/>
        <family val="2"/>
      </rPr>
      <t>§200</t>
    </r>
  </si>
  <si>
    <r>
      <t>The Qualifying Infill Project for which a Capital Improvement Project grant may be awarded</t>
    </r>
    <r>
      <rPr>
        <sz val="11"/>
        <color rgb="FFA6A6A6"/>
        <rFont val="Arial"/>
        <family val="2"/>
      </rPr>
      <t xml:space="preserve"> </t>
    </r>
    <r>
      <rPr>
        <sz val="11"/>
        <rFont val="Arial"/>
        <family val="2"/>
      </rPr>
      <t>must meet all of the following conditions:</t>
    </r>
  </si>
  <si>
    <t>If using the 120 day option, enter the locality's housing element due date.</t>
  </si>
  <si>
    <t>If using the 120 day option, Sponsor certifies that the current cycle housing element must be in substantial compliance before disbursement of any awarded funds.</t>
  </si>
  <si>
    <t>Include not less than 15 percent of affordable units to be developed in the Qualifying Infill Project as Affordable Units, as follows.</t>
  </si>
  <si>
    <t>Does the QIP contain ownership units?</t>
  </si>
  <si>
    <t>if yes, how many?</t>
  </si>
  <si>
    <t>Sponsor aknowledge that to the extent included in a Capital Improvement Project grant application, for the purpose of calculating the percentage of Affordable Units, the Department may consider the entire master development in which the development seeking grant funding is included.</t>
  </si>
  <si>
    <t>Does QIP have a disposition and development agreement or other project or area-specific agreement between the Sponsor and the local agency having jurisdiction over the project has been executed on or before August 24, 2007, shall be deemed to meet the affordability requirement of this paragraph if the agreement includes affordability covenants that subject the Qualifying Infill Project to the production of Affordable Units for Very Low-, Lower- or Moderate-Income households.</t>
  </si>
  <si>
    <t>(A) A general plan adopted pursuant to Government Code section 65300.</t>
  </si>
  <si>
    <t>(B) A regional sustainable communities strategy or alternative planning strategy approved pursuant to Government Code section 65080.</t>
  </si>
  <si>
    <t>Be located in an area designated for mixed-use or residential development pursuant to one of the following adopted plans:</t>
  </si>
  <si>
    <t>(C) A project area redevelopment plan adopted pursuant to the Health and Safety Code section 33330.</t>
  </si>
  <si>
    <t>(D) A regional blueprint plan as defined in the California Regional Blueprint Planning Program administered by the Business, Transportation and Housing Agency, or a regional plan as defined in the Government Code section 65060.7.</t>
  </si>
  <si>
    <t xml:space="preserve">Sponsor certifies that Eligible Applicants shall designate the proposed residential units in the Qualifying Infill Project that the Eligible Applicant intends to utilize for the purpose of establishing the maximum Program grant amount pursuant to Section 305, and for the purpose of rating applications pursuant to Sections 402. Any such designated units must be utilized for both purposes. </t>
  </si>
  <si>
    <t>Sponcor certifies that the application must demonstrate that the percentage of Affordable Units, and units restricted to other income limits and rents as designated for the purpose of determining the maximum Program grant amount in Section 305 and for rating purposes pursuant to Section 402, shall be maintained or exceeded through the completion of each residential development proposed in the application. The Department may modify the requirement set forth in the previous sentence to conform to a similar local public agency requirement, provided that the Department determines that the local requirement will reliably result in completion of the required Affordable Units as set forth in Section 403.</t>
  </si>
  <si>
    <t>Apps due date:</t>
  </si>
  <si>
    <t>TBD</t>
  </si>
  <si>
    <t>Total Universal Project Score:</t>
  </si>
  <si>
    <r>
      <t xml:space="preserve">Designated </t>
    </r>
    <r>
      <rPr>
        <sz val="11"/>
        <color rgb="FFC00000"/>
        <rFont val="Arial"/>
        <family val="2"/>
      </rPr>
      <t>VHHP</t>
    </r>
    <r>
      <rPr>
        <sz val="11"/>
        <rFont val="Arial"/>
        <family val="2"/>
      </rPr>
      <t xml:space="preserve"> Program Project Score:</t>
    </r>
  </si>
  <si>
    <r>
      <t xml:space="preserve">Designated </t>
    </r>
    <r>
      <rPr>
        <sz val="11"/>
        <color rgb="FFC00000"/>
        <rFont val="Arial"/>
        <family val="2"/>
      </rPr>
      <t>IIG</t>
    </r>
    <r>
      <rPr>
        <sz val="11"/>
        <rFont val="Arial"/>
        <family val="2"/>
      </rPr>
      <t xml:space="preserve"> Program Project Score:</t>
    </r>
  </si>
  <si>
    <r>
      <t xml:space="preserve">Designated </t>
    </r>
    <r>
      <rPr>
        <sz val="11"/>
        <color rgb="FFC00000"/>
        <rFont val="Arial"/>
        <family val="2"/>
      </rPr>
      <t>FWHG</t>
    </r>
    <r>
      <rPr>
        <sz val="11"/>
        <rFont val="Arial"/>
        <family val="2"/>
      </rPr>
      <t xml:space="preserve"> Program Project Score:</t>
    </r>
  </si>
  <si>
    <t>Total Universal and Designated Program(s) Project Score:</t>
  </si>
  <si>
    <t>Total Possible Score:</t>
  </si>
  <si>
    <t>Normalized Score Calculation:</t>
  </si>
  <si>
    <r>
      <rPr>
        <sz val="11"/>
        <color rgb="FF0000FF"/>
        <rFont val="Arial"/>
        <family val="2"/>
      </rPr>
      <t>§7318(b)(5)</t>
    </r>
    <r>
      <rPr>
        <sz val="11"/>
        <rFont val="Arial"/>
        <family val="2"/>
      </rPr>
      <t xml:space="preserve"> Pursuant to </t>
    </r>
    <r>
      <rPr>
        <sz val="11"/>
        <color rgb="FF0000FF"/>
        <rFont val="Arial"/>
        <family val="2"/>
      </rPr>
      <t>§7320</t>
    </r>
    <r>
      <rPr>
        <sz val="11"/>
        <rFont val="Arial"/>
        <family val="2"/>
      </rPr>
      <t xml:space="preserve">, applications shall be evaluated based solely upon the contents of the application. If documents required for scoring are not included, the application will not be deemed incomplete; however, failure to submit necessary documents, as set forth in the NOFA or application, may adversely affect the score of the application. Information or documents </t>
    </r>
    <r>
      <rPr>
        <sz val="11"/>
        <color rgb="FFC00000"/>
        <rFont val="Arial"/>
        <family val="2"/>
      </rPr>
      <t>received after the application submission deadline will not be considered</t>
    </r>
    <r>
      <rPr>
        <sz val="11"/>
        <rFont val="Arial"/>
        <family val="2"/>
      </rPr>
      <t>.</t>
    </r>
  </si>
  <si>
    <t>I</t>
  </si>
  <si>
    <t>General</t>
  </si>
  <si>
    <t>Rating and Ranking Process Overview</t>
  </si>
  <si>
    <t>Please read and understand the language for "Rating and Ranking Process Overview" section of the Consolidated Scoring Appendix.</t>
  </si>
  <si>
    <t>Point Criteria Overview</t>
  </si>
  <si>
    <t>Please read and understand the maximum allowable points described therin the Consolidated Scoring Appendix, "Point Criteria Overview" section.</t>
  </si>
  <si>
    <t>II</t>
  </si>
  <si>
    <r>
      <t>Universal Scoring Criteria (</t>
    </r>
    <r>
      <rPr>
        <b/>
        <sz val="11"/>
        <color rgb="FFC00000"/>
        <rFont val="Arial"/>
        <family val="2"/>
      </rPr>
      <t>115 Maximum Points Possible</t>
    </r>
    <r>
      <rPr>
        <b/>
        <sz val="11"/>
        <color rgb="FF0000FF"/>
        <rFont val="Arial"/>
        <family val="2"/>
      </rPr>
      <t>)</t>
    </r>
  </si>
  <si>
    <r>
      <t>Extent to which the Project serves households at the lowest income levels (</t>
    </r>
    <r>
      <rPr>
        <b/>
        <sz val="11"/>
        <color rgb="FFC00000"/>
        <rFont val="Arial"/>
        <family val="2"/>
      </rPr>
      <t>30 points maximum</t>
    </r>
    <r>
      <rPr>
        <b/>
        <sz val="11"/>
        <rFont val="Arial"/>
        <family val="2"/>
      </rPr>
      <t xml:space="preserve">) </t>
    </r>
  </si>
  <si>
    <t>Applications will be scored based on the percentage of Restricted Units limited to various percentages of AMI adjusted by household size and as follows:</t>
  </si>
  <si>
    <r>
      <rPr>
        <sz val="11"/>
        <color rgb="FFC00000"/>
        <rFont val="Arial"/>
        <family val="2"/>
      </rPr>
      <t>A maximum of 30 points</t>
    </r>
    <r>
      <rPr>
        <sz val="11"/>
        <color theme="1"/>
        <rFont val="Arial"/>
        <family val="2"/>
      </rPr>
      <t xml:space="preserve"> will be awarded based on the Lowest Income Points Table below. AND</t>
    </r>
  </si>
  <si>
    <t>To receive any points in this category, at least 20 percent of the  Restricted Units must be restricted as follows:</t>
  </si>
  <si>
    <r>
      <rPr>
        <sz val="11"/>
        <color rgb="FF0000FF"/>
        <rFont val="Arial"/>
        <family val="2"/>
      </rPr>
      <t>(A)</t>
    </r>
  </si>
  <si>
    <t>To households with incomes not exceeding 25 percent of AMI, in counties where AMI exceeds 150 percent of median family income for California, as reported by HUD (currently San Francisco, Santa Clara, San Mateo and Marin counties); or</t>
  </si>
  <si>
    <t>To households with incomes not exceeding 30 percent of AMI, in other counties.</t>
  </si>
  <si>
    <t>Deeply affordable units under this paragraph (2) - those units with 25 percent or 30 percent AMI targeting - cannot be concentrated among a project’s smaller units. They must be distributed proportionately across all unit sizes, or, alternately, more heavily represented among larger units. To ensure a proportional spread of deeply affordable units, at least 20% of the larger units in the project must be provided at 25 percent or 30 percent of area median income, as applicable. So long as the applicant meets the 20% standard project-wide, the 20% standard need not be met among all of the smaller units.</t>
  </si>
  <si>
    <t>20%
units
Req.</t>
  </si>
  <si>
    <t>Cum.
Req.</t>
  </si>
  <si>
    <t>Extra / Over</t>
  </si>
  <si>
    <t>Cum.
Prov.</t>
  </si>
  <si>
    <r>
      <rPr>
        <sz val="11"/>
        <color rgb="FF0000FF"/>
        <rFont val="Arial"/>
        <family val="2"/>
      </rPr>
      <t>9</t>
    </r>
    <r>
      <rPr>
        <sz val="11"/>
        <color theme="1"/>
        <rFont val="Arial"/>
        <family val="2"/>
      </rPr>
      <t xml:space="preserve"> Bedroom Restricted units</t>
    </r>
  </si>
  <si>
    <r>
      <rPr>
        <sz val="11"/>
        <color rgb="FF0000FF"/>
        <rFont val="Arial"/>
        <family val="2"/>
      </rPr>
      <t>8</t>
    </r>
    <r>
      <rPr>
        <sz val="11"/>
        <color theme="1"/>
        <rFont val="Arial"/>
        <family val="2"/>
      </rPr>
      <t xml:space="preserve"> Bedroom Restricted units</t>
    </r>
  </si>
  <si>
    <r>
      <rPr>
        <sz val="11"/>
        <color rgb="FF0000FF"/>
        <rFont val="Arial"/>
        <family val="2"/>
      </rPr>
      <t>7</t>
    </r>
    <r>
      <rPr>
        <sz val="11"/>
        <color theme="1"/>
        <rFont val="Arial"/>
        <family val="2"/>
      </rPr>
      <t xml:space="preserve"> Bedroom Restricted units</t>
    </r>
  </si>
  <si>
    <r>
      <rPr>
        <sz val="11"/>
        <color rgb="FF0000FF"/>
        <rFont val="Arial"/>
        <family val="2"/>
      </rPr>
      <t>6</t>
    </r>
    <r>
      <rPr>
        <sz val="11"/>
        <color theme="1"/>
        <rFont val="Arial"/>
        <family val="2"/>
      </rPr>
      <t xml:space="preserve"> Bedroom Restricted units</t>
    </r>
  </si>
  <si>
    <r>
      <rPr>
        <sz val="11"/>
        <color rgb="FF0000FF"/>
        <rFont val="Arial"/>
        <family val="2"/>
      </rPr>
      <t>5</t>
    </r>
    <r>
      <rPr>
        <sz val="11"/>
        <color theme="1"/>
        <rFont val="Arial"/>
        <family val="2"/>
      </rPr>
      <t xml:space="preserve"> Bedroom Restricted units</t>
    </r>
  </si>
  <si>
    <r>
      <rPr>
        <sz val="11"/>
        <color rgb="FF0000FF"/>
        <rFont val="Arial"/>
        <family val="2"/>
      </rPr>
      <t>4</t>
    </r>
    <r>
      <rPr>
        <sz val="11"/>
        <color theme="1"/>
        <rFont val="Arial"/>
        <family val="2"/>
      </rPr>
      <t xml:space="preserve"> Bedroom Restricted units</t>
    </r>
  </si>
  <si>
    <r>
      <rPr>
        <sz val="11"/>
        <color rgb="FF0000FF"/>
        <rFont val="Arial"/>
        <family val="2"/>
      </rPr>
      <t>3</t>
    </r>
    <r>
      <rPr>
        <sz val="11"/>
        <color theme="1"/>
        <rFont val="Arial"/>
        <family val="2"/>
      </rPr>
      <t xml:space="preserve"> Bedroom Restricted units</t>
    </r>
  </si>
  <si>
    <r>
      <rPr>
        <sz val="11"/>
        <color rgb="FF0000FF"/>
        <rFont val="Arial"/>
        <family val="2"/>
      </rPr>
      <t>2</t>
    </r>
    <r>
      <rPr>
        <sz val="11"/>
        <color theme="1"/>
        <rFont val="Arial"/>
        <family val="2"/>
      </rPr>
      <t xml:space="preserve"> Bedroom Restricted units</t>
    </r>
  </si>
  <si>
    <r>
      <rPr>
        <sz val="11"/>
        <color rgb="FF0000FF"/>
        <rFont val="Arial"/>
        <family val="2"/>
      </rPr>
      <t>1</t>
    </r>
    <r>
      <rPr>
        <sz val="11"/>
        <color theme="1"/>
        <rFont val="Arial"/>
        <family val="2"/>
      </rPr>
      <t xml:space="preserve"> Bedroom Restricted units</t>
    </r>
  </si>
  <si>
    <r>
      <rPr>
        <sz val="11"/>
        <color rgb="FF0000FF"/>
        <rFont val="Arial"/>
        <family val="2"/>
      </rPr>
      <t>0</t>
    </r>
    <r>
      <rPr>
        <sz val="11"/>
        <color theme="1"/>
        <rFont val="Arial"/>
        <family val="2"/>
      </rPr>
      <t xml:space="preserve"> Bedroom Restricted units</t>
    </r>
  </si>
  <si>
    <t>Restricted Units:</t>
  </si>
  <si>
    <t>Comply</t>
  </si>
  <si>
    <t>Points Available to Rural Area projects only</t>
  </si>
  <si>
    <t>% AMI</t>
  </si>
  <si>
    <t>20% and below</t>
  </si>
  <si>
    <t>Total Points</t>
  </si>
  <si>
    <t>% of Units</t>
  </si>
  <si>
    <t xml:space="preserve">Points Available </t>
  </si>
  <si>
    <t xml:space="preserve">Points Awarded </t>
  </si>
  <si>
    <r>
      <t>Extent to which the Project addresses State Policy Priorities (</t>
    </r>
    <r>
      <rPr>
        <b/>
        <sz val="11"/>
        <color rgb="FFC00000"/>
        <rFont val="Arial"/>
        <family val="2"/>
      </rPr>
      <t>15 points maximum</t>
    </r>
    <r>
      <rPr>
        <b/>
        <sz val="11"/>
        <rFont val="Arial"/>
        <family val="2"/>
      </rPr>
      <t>)</t>
    </r>
  </si>
  <si>
    <r>
      <rPr>
        <sz val="11"/>
        <color rgb="FFC00000"/>
        <rFont val="Arial"/>
        <family val="2"/>
      </rPr>
      <t>Fifteen (15) points</t>
    </r>
    <r>
      <rPr>
        <sz val="11"/>
        <color theme="1"/>
        <rFont val="Arial"/>
        <family val="2"/>
      </rPr>
      <t xml:space="preserve"> will be awarded for Projects located in a “High Resource” or “Highest Resource” area as shown on the TCAC/HCD Opportunity Area Map.  </t>
    </r>
  </si>
  <si>
    <t xml:space="preserve">Sponsor or Applicant aknowledge that once projects receiving 15 points pursuant to this paragraph have been recommended for award in the amount of 50% of all program funds available in a NOFA, all remaining projects shall receive ten (10) points for meeting the requirements of this paragraph. </t>
  </si>
  <si>
    <t>An Applicant may choose to utilize the applicable census tract, or census block group, or resource designation from the TCAC/HCD Opportunity Area Maps in effect when the initial site control (pursuant to UMR section 8303(a)) was obtained up to seven (7) calendar years prior to the application.</t>
  </si>
  <si>
    <t xml:space="preserve">Is the Sponor or Applicant utilizing an older census tract or census block group resource designation from the TCAC/HCD Opportunity Maps? </t>
  </si>
  <si>
    <r>
      <rPr>
        <sz val="11"/>
        <color rgb="FFC00000"/>
        <rFont val="Arial"/>
        <family val="2"/>
      </rPr>
      <t xml:space="preserve">Ten (10) points </t>
    </r>
    <r>
      <rPr>
        <sz val="11"/>
        <rFont val="Arial"/>
        <family val="2"/>
      </rPr>
      <t>will be awarded for Projects having one of the following:</t>
    </r>
  </si>
  <si>
    <t>Will the Sponsor or Applicant use the local CES , when and where this system is actively referring households to housing?</t>
  </si>
  <si>
    <r>
      <t xml:space="preserve">At least 15 percent of the units restricted under a Department Regulatory Agreement are limited to occupancy by Homeless households, with vacancies filled by referrals from the local CES, when and where this system is actively referring households to housing; </t>
    </r>
    <r>
      <rPr>
        <b/>
        <sz val="11"/>
        <color theme="1"/>
        <rFont val="Arial"/>
        <family val="2"/>
      </rPr>
      <t>or</t>
    </r>
  </si>
  <si>
    <t>At least 30 percent of the units restricted under a Department Regulatory Agreement with rent and income limits no greater than 30 percent of area median income.</t>
  </si>
  <si>
    <r>
      <rPr>
        <sz val="11"/>
        <color rgb="FFC00000"/>
        <rFont val="Arial"/>
        <family val="2"/>
      </rPr>
      <t>Ten (10) points</t>
    </r>
    <r>
      <rPr>
        <sz val="11"/>
        <color theme="1"/>
        <rFont val="Arial"/>
        <family val="2"/>
      </rPr>
      <t xml:space="preserve"> will be awarded for Rehabilitation projects where the contract for the rehabilitation work equals or exceeds $40,000 per Unit, that do not commit to the requirements of paragraph (2) above, and that meet one of the following conditions (A) or (B) below: </t>
    </r>
  </si>
  <si>
    <t>Is proposed projet a Rehabilitation project?</t>
  </si>
  <si>
    <t>Does the contract for the rehabilitation work equal or exceeds $40,000 per Unit?</t>
  </si>
  <si>
    <r>
      <t xml:space="preserve">The Project involves the acquisition and Rehabilitation of units not subject to income and rent restrictions at the time of application, unless the restrictions are associated with acquisition financing closed less than five (5) years prior to the application date.; </t>
    </r>
    <r>
      <rPr>
        <b/>
        <sz val="11"/>
        <color theme="1"/>
        <rFont val="Arial"/>
        <family val="2"/>
      </rPr>
      <t>or</t>
    </r>
  </si>
  <si>
    <r>
      <t xml:space="preserve">The Project qualifies as At High Risk </t>
    </r>
    <r>
      <rPr>
        <b/>
        <sz val="11"/>
        <color theme="1"/>
        <rFont val="Arial"/>
        <family val="2"/>
      </rPr>
      <t>or</t>
    </r>
    <r>
      <rPr>
        <sz val="11"/>
        <color theme="1"/>
        <rFont val="Arial"/>
        <family val="2"/>
      </rPr>
      <t xml:space="preserve"> involves the conversion of single occupancy units without kitchens and bathrooms to units with kitchens and bathrooms?</t>
    </r>
  </si>
  <si>
    <r>
      <t>Project Sponsor and Property Management Experience  (</t>
    </r>
    <r>
      <rPr>
        <b/>
        <sz val="11"/>
        <color rgb="FFC00000"/>
        <rFont val="Arial"/>
        <family val="2"/>
      </rPr>
      <t>20 Points maximum</t>
    </r>
    <r>
      <rPr>
        <b/>
        <sz val="11"/>
        <rFont val="Arial"/>
        <family val="2"/>
      </rPr>
      <t>)</t>
    </r>
  </si>
  <si>
    <t>Sponsor</t>
  </si>
  <si>
    <t>Enter the name of the entity qualifying for experience</t>
  </si>
  <si>
    <t>Sponsor affiliated entity</t>
  </si>
  <si>
    <t>Description of the entity qualifying for experience</t>
  </si>
  <si>
    <t>Sponsor principal</t>
  </si>
  <si>
    <r>
      <t>Is the Sponsor or Applicant a "Community-Based Developer"?</t>
    </r>
    <r>
      <rPr>
        <sz val="11"/>
        <color theme="9" tint="-0.249977111117893"/>
        <rFont val="Arial"/>
        <family val="2"/>
      </rPr>
      <t xml:space="preserve"> §7301(i)</t>
    </r>
  </si>
  <si>
    <t>Sponsor employee responsible for managing development activities</t>
  </si>
  <si>
    <t xml:space="preserve">By applying for and receiving points in these categories, Applicants certify that the property shall be owned and managed by entities with equivalent experience scores for the entire Regulatory Agreement period. </t>
  </si>
  <si>
    <t>Sponsor partner who has a controlling interest in the partnership and a substantial and continued role in the Project's ongoing operations per partnership documents.</t>
  </si>
  <si>
    <r>
      <rPr>
        <u/>
        <sz val="11"/>
        <rFont val="Arial"/>
        <family val="2"/>
      </rPr>
      <t>Development and ownership experience</t>
    </r>
    <r>
      <rPr>
        <sz val="11"/>
        <rFont val="Arial"/>
        <family val="2"/>
      </rPr>
      <t>. Applications will be scored based on the number of subsidized rental housing projects (including tax credit projects) that the Sponsor has completed and operated and whether the Sponsor is subject to penalties pursuant to paragraph (3) below.</t>
    </r>
  </si>
  <si>
    <t>For completed projects, a Sponsor may include the experience of its controlled affiliated entities or its principals (e.g. employed by, and under the control of the Sponsor and responsible for managing development activities), but not the experience of non-management board members. A Sponsor may include the experience of a partner (e.g. Joint Venture partners pursuant to Section 7301 of the MHP Guidelines) to gain experience points; however, the experienced partner must have a controlling interest in the project’s ownership and a substantial and continued role in the project’s ongoing operations, as evidenced in the organizational documents for the owner. Experience among partners shall not be aggregated. Any change in the ownership that reduces the Sponsor’s role shall require prior written approval and recordation by the Department. 
If a Sponsor relies upon the experience of its principal for scoring, documentation of the principal’s experience is required as set forth in the NOFA and application.</t>
  </si>
  <si>
    <t>To receive points under this paragrap the following conditions must be met:</t>
  </si>
  <si>
    <t xml:space="preserve">(A) </t>
  </si>
  <si>
    <r>
      <t xml:space="preserve">Submit a certification that the projects for which points are requested have maintained Fiscal Integrity for the year in which each Rental Housing Development’s last financial statement has been prepared, </t>
    </r>
    <r>
      <rPr>
        <sz val="11"/>
        <color rgb="FFC00000"/>
        <rFont val="Arial"/>
        <family val="2"/>
      </rPr>
      <t>a Debt Service Coverage Ratio of at least 1.05</t>
    </r>
    <r>
      <rPr>
        <sz val="11"/>
        <color theme="1"/>
        <rFont val="Arial"/>
        <family val="2"/>
      </rPr>
      <t xml:space="preserve">, and have funded reserves in accordance with the partnership agreement and any applicable loan documents.  </t>
    </r>
  </si>
  <si>
    <t>To obtain points for projects previously owned, a certification must be submitted with respect to the last full year of ownership by the Sponsor, along with verification of the number of years that the project was owned by that Sponsor. To obtain points for projects previously owned, the ending date of ownership or participation must be no more than 10 years from the application deadline. </t>
  </si>
  <si>
    <r>
      <t>Sponsor or Applicants certifies that all projects for which points are requested have maintained Fiscal Integrity for the year in which each Rental Housing Development’s last financial statement has been prepared and these have a "</t>
    </r>
    <r>
      <rPr>
        <sz val="11"/>
        <color rgb="FFC00000"/>
        <rFont val="Arial"/>
        <family val="2"/>
      </rPr>
      <t xml:space="preserve">Debt Service Coverage Ratio of at least 1.05 </t>
    </r>
    <r>
      <rPr>
        <sz val="11"/>
        <rFont val="Arial"/>
        <family val="2"/>
      </rPr>
      <t>and have funded reserves in accordance with the partnership agreement and any applicable loan documents</t>
    </r>
    <r>
      <rPr>
        <sz val="11"/>
        <color theme="1"/>
        <rFont val="Arial"/>
        <family val="2"/>
      </rPr>
      <t>?</t>
    </r>
  </si>
  <si>
    <t xml:space="preserve">(B) </t>
  </si>
  <si>
    <t>Points are available as follows:</t>
  </si>
  <si>
    <r>
      <rPr>
        <sz val="11"/>
        <color rgb="FFC00000"/>
        <rFont val="Arial"/>
        <family val="2"/>
      </rPr>
      <t>Three (3) to Four (4) projects</t>
    </r>
    <r>
      <rPr>
        <sz val="11"/>
        <color theme="1"/>
        <rFont val="Arial"/>
        <family val="2"/>
      </rPr>
      <t xml:space="preserve"> in service more than three (3) years, of which one (1) shall be in service more than five (5) years and two (2) shall be Department-regulated or projects utilizing low-income housing tax credits allocated by TCAC - </t>
    </r>
    <r>
      <rPr>
        <sz val="11"/>
        <color rgb="FFC00000"/>
        <rFont val="Arial"/>
        <family val="2"/>
      </rPr>
      <t>10 Points</t>
    </r>
    <r>
      <rPr>
        <sz val="11"/>
        <color theme="1"/>
        <rFont val="Arial"/>
        <family val="2"/>
      </rPr>
      <t>.</t>
    </r>
  </si>
  <si>
    <r>
      <rPr>
        <sz val="11"/>
        <color rgb="FFC00000"/>
        <rFont val="Arial"/>
        <family val="2"/>
      </rPr>
      <t>Five (5) or more projects</t>
    </r>
    <r>
      <rPr>
        <sz val="11"/>
        <color theme="1"/>
        <rFont val="Arial"/>
        <family val="2"/>
      </rPr>
      <t xml:space="preserve"> in service more than three (3) years, of which one (1) shall be in service more than five (5) years and two (2) shall be Department-regulated or projects utilizing low-income housing tax credits allocated by TCAC - </t>
    </r>
    <r>
      <rPr>
        <sz val="11"/>
        <color rgb="FFC00000"/>
        <rFont val="Arial"/>
        <family val="2"/>
      </rPr>
      <t>15 Points</t>
    </r>
    <r>
      <rPr>
        <sz val="11"/>
        <color theme="1"/>
        <rFont val="Arial"/>
        <family val="2"/>
      </rPr>
      <t>.</t>
    </r>
  </si>
  <si>
    <r>
      <t xml:space="preserve">For Special Needs projects </t>
    </r>
    <r>
      <rPr>
        <b/>
        <sz val="11"/>
        <color rgb="FF0000FF"/>
        <rFont val="Arial"/>
        <family val="2"/>
      </rPr>
      <t>or</t>
    </r>
    <r>
      <rPr>
        <sz val="11"/>
        <color rgb="FF0000FF"/>
        <rFont val="Arial"/>
        <family val="2"/>
      </rPr>
      <t xml:space="preserve"> Community-Based Developers </t>
    </r>
    <r>
      <rPr>
        <b/>
        <sz val="11"/>
        <color rgb="FF0000FF"/>
        <rFont val="Arial"/>
        <family val="2"/>
      </rPr>
      <t>only</t>
    </r>
    <r>
      <rPr>
        <sz val="11"/>
        <color rgb="FF0000FF"/>
        <rFont val="Arial"/>
        <family val="2"/>
      </rPr>
      <t>, points are available as described above or as follows:</t>
    </r>
  </si>
  <si>
    <t>For Special Needs Projects:</t>
  </si>
  <si>
    <r>
      <rPr>
        <sz val="11"/>
        <color rgb="FFC00000"/>
        <rFont val="Arial"/>
        <family val="2"/>
      </rPr>
      <t>Four (4) or more</t>
    </r>
    <r>
      <rPr>
        <sz val="11"/>
        <color theme="1"/>
        <rFont val="Arial"/>
        <family val="2"/>
      </rPr>
      <t xml:space="preserve"> special needs projects in service more than three (3) years, of which one (1) shall be Department-regulated or a project utilizing low-income housing tax credits allocated by TCAC. - </t>
    </r>
    <r>
      <rPr>
        <sz val="11"/>
        <color rgb="FFC00000"/>
        <rFont val="Arial"/>
        <family val="2"/>
      </rPr>
      <t>15 Points</t>
    </r>
    <r>
      <rPr>
        <sz val="11"/>
        <color theme="1"/>
        <rFont val="Arial"/>
        <family val="2"/>
      </rPr>
      <t>.</t>
    </r>
  </si>
  <si>
    <t>For Community-Based Developers:</t>
  </si>
  <si>
    <r>
      <rPr>
        <sz val="11"/>
        <color rgb="FFC00000"/>
        <rFont val="Arial"/>
        <family val="2"/>
      </rPr>
      <t>Four (4) or more</t>
    </r>
    <r>
      <rPr>
        <sz val="11"/>
        <color theme="1"/>
        <rFont val="Arial"/>
        <family val="2"/>
      </rPr>
      <t xml:space="preserve"> projects in service more than three (3) years, of which one (1) shall be Department-regulated or a project utilizing low-income housing tax credits allocated by TCAC. - </t>
    </r>
    <r>
      <rPr>
        <sz val="11"/>
        <color rgb="FFC00000"/>
        <rFont val="Arial"/>
        <family val="2"/>
      </rPr>
      <t>15 Points</t>
    </r>
    <r>
      <rPr>
        <sz val="11"/>
        <color theme="1"/>
        <rFont val="Arial"/>
        <family val="2"/>
      </rPr>
      <t>.</t>
    </r>
  </si>
  <si>
    <t>Name of Subsidized Rental Housing Dev. (including tax credit Projects)</t>
  </si>
  <si>
    <t>Complete project Address</t>
  </si>
  <si>
    <t>Housing Type</t>
  </si>
  <si>
    <t>Project regulated by?</t>
  </si>
  <si>
    <t>&gt; than 10 affordable Units?</t>
  </si>
  <si>
    <t>Date Ownership began</t>
  </si>
  <si>
    <t>&gt;3 Years in service</t>
  </si>
  <si>
    <t>&gt;5 Years in service</t>
  </si>
  <si>
    <t>Ownership or Participation within 10 years</t>
  </si>
  <si>
    <t>Date ownership ended</t>
  </si>
  <si>
    <t>Regulated</t>
  </si>
  <si>
    <t>3yearsold</t>
  </si>
  <si>
    <t>5yearsold</t>
  </si>
  <si>
    <t>isregulated</t>
  </si>
  <si>
    <t>IsSN and is 3 years</t>
  </si>
  <si>
    <t>Is CBD and is 3 years</t>
  </si>
  <si>
    <t>…and regulated</t>
  </si>
  <si>
    <t>Special Needs</t>
  </si>
  <si>
    <t>Principal</t>
  </si>
  <si>
    <t>Pursuant to Section 7303 of the MHP guidelines, Applicants with fewer than 4 active Rental Housing Developments in service more than three years shall contract with a bona-fide management company which itself earns a minimum total of 5 Property Management Experience points at the time of application. </t>
  </si>
  <si>
    <t>Tribal Entities may contract with a Developer who will not be the Project owner and may receive points commensurate with the Developer’s experience pursuant to (B) above. The contract shall be in effect at least until the Project’s stabilized occupancy (90% occupancy for single room occupancy (SRO) and Special Needs projects and 95% for all other projects), completion of all permanent loan closings, and achievement of all stabilization milestones of the Project’s ownership agreement. Tribal Entities exercising the options, including the option under this subparagraph (C), shall also contract for asset management for at least the term of the 15-year federal compliance period with an entity that has provided three (3) years of asset managed for at least two Department-regulated projects for at least three years.</t>
  </si>
  <si>
    <t>For purposes of this subparagraph only, a Developer is defined to include an entity pre-approved by the Department that has developed but not owned the requisite number of projects described in (B) above and that provides the certification described in (A) above for the projects for which experience points are requested. If the projects for which the entity requests experience points do not include two Department-regulated projects in service more than three years, the applicant shall contract with a bona-fide management company which itself earns a minimum total of 5 Property Management Experience points at the time of application. For this purpose only, “develop” shall mean developing the project scope and timeline, securing financing, hiring or performing the services of a general contractor, and overseeing completion of construction and placement in service as well as asset managing the project for at least three years after construction completion. When seeking the Department's pre-approval the entity shall provide fully executed copies of contracts demonstrating the Department's criteria for "develop" as specified above have been met.</t>
  </si>
  <si>
    <r>
      <rPr>
        <u/>
        <sz val="11"/>
        <rFont val="Arial"/>
        <family val="2"/>
      </rPr>
      <t>Property Management Company experience</t>
    </r>
    <r>
      <rPr>
        <sz val="11"/>
        <rFont val="Arial"/>
        <family val="2"/>
      </rPr>
      <t>. To receive points under this paragraph, the property management company must meet the following conditions.</t>
    </r>
  </si>
  <si>
    <r>
      <t>Enter the Name of the "</t>
    </r>
    <r>
      <rPr>
        <b/>
        <sz val="11"/>
        <rFont val="Arial"/>
        <family val="2"/>
      </rPr>
      <t>Property Management Company</t>
    </r>
    <r>
      <rPr>
        <sz val="11"/>
        <rFont val="Arial"/>
        <family val="2"/>
      </rPr>
      <t>"  Qualifying for Experience:</t>
    </r>
  </si>
  <si>
    <t xml:space="preserve">To obtain points for projects previously managed, the ending date of the property management role must be no more than 10 years from the application deadline. In addition, the property management experience with a project shall not pre-date the project’s construction completion date. </t>
  </si>
  <si>
    <r>
      <rPr>
        <sz val="11"/>
        <color rgb="FFC00000"/>
        <rFont val="Arial"/>
        <family val="2"/>
      </rPr>
      <t>Six (6) to ten (10) projects</t>
    </r>
    <r>
      <rPr>
        <sz val="11"/>
        <color theme="1"/>
        <rFont val="Arial"/>
        <family val="2"/>
      </rPr>
      <t xml:space="preserve"> managed over three (3) years, of which two (2) shall be Department-regulated or projects utilizing low-income housing tax credits allocated by TCAC - </t>
    </r>
    <r>
      <rPr>
        <sz val="11"/>
        <color rgb="FFC00000"/>
        <rFont val="Arial"/>
        <family val="2"/>
      </rPr>
      <t>3 points</t>
    </r>
    <r>
      <rPr>
        <sz val="11"/>
        <rFont val="Arial"/>
        <family val="2"/>
      </rPr>
      <t>.</t>
    </r>
  </si>
  <si>
    <r>
      <rPr>
        <sz val="11"/>
        <color rgb="FFC00000"/>
        <rFont val="Arial"/>
        <family val="2"/>
      </rPr>
      <t>Eleven (11) or more projects</t>
    </r>
    <r>
      <rPr>
        <sz val="11"/>
        <color theme="1"/>
        <rFont val="Arial"/>
        <family val="2"/>
      </rPr>
      <t xml:space="preserve"> managed over three (3) years, of which two (2) shall be Department-regulated or projects utilizing California low-income housing tax credits - </t>
    </r>
    <r>
      <rPr>
        <sz val="11"/>
        <color rgb="FFC00000"/>
        <rFont val="Arial"/>
        <family val="2"/>
      </rPr>
      <t>5</t>
    </r>
    <r>
      <rPr>
        <sz val="11"/>
        <color theme="1"/>
        <rFont val="Arial"/>
        <family val="2"/>
      </rPr>
      <t xml:space="preserve"> </t>
    </r>
    <r>
      <rPr>
        <sz val="11"/>
        <color rgb="FFC00000"/>
        <rFont val="Arial"/>
        <family val="2"/>
      </rPr>
      <t>points</t>
    </r>
    <r>
      <rPr>
        <sz val="11"/>
        <rFont val="Arial"/>
        <family val="2"/>
      </rPr>
      <t>.</t>
    </r>
  </si>
  <si>
    <r>
      <t xml:space="preserve">For Special Needs projects and for Community-Based Developers, points are available as described above </t>
    </r>
    <r>
      <rPr>
        <b/>
        <sz val="11"/>
        <color rgb="FF0000FF"/>
        <rFont val="Arial"/>
        <family val="2"/>
      </rPr>
      <t>or</t>
    </r>
    <r>
      <rPr>
        <sz val="11"/>
        <color rgb="FF0000FF"/>
        <rFont val="Arial"/>
        <family val="2"/>
      </rPr>
      <t xml:space="preserve"> as follows:</t>
    </r>
  </si>
  <si>
    <r>
      <rPr>
        <sz val="11"/>
        <color rgb="FFC00000"/>
        <rFont val="Arial"/>
        <family val="2"/>
      </rPr>
      <t>Four (4) or more</t>
    </r>
    <r>
      <rPr>
        <sz val="11"/>
        <color theme="1"/>
        <rFont val="Arial"/>
        <family val="2"/>
      </rPr>
      <t xml:space="preserve"> special needs projects in service more than three (3) years, of which one (1) shall be Department-regulated or a project utilizing low-income housing tax credits allocated by TCAC. - </t>
    </r>
    <r>
      <rPr>
        <sz val="11"/>
        <color rgb="FFC00000"/>
        <rFont val="Arial"/>
        <family val="2"/>
      </rPr>
      <t>5 Points</t>
    </r>
    <r>
      <rPr>
        <sz val="11"/>
        <color theme="1"/>
        <rFont val="Arial"/>
        <family val="2"/>
      </rPr>
      <t>.</t>
    </r>
  </si>
  <si>
    <r>
      <rPr>
        <sz val="11"/>
        <color rgb="FFC00000"/>
        <rFont val="Arial"/>
        <family val="2"/>
      </rPr>
      <t>Four (4) or more</t>
    </r>
    <r>
      <rPr>
        <sz val="11"/>
        <color theme="1"/>
        <rFont val="Arial"/>
        <family val="2"/>
      </rPr>
      <t xml:space="preserve"> projects in service more than three (3) years, of which one (1) shall be Department-regulated or a project utilizing low-income housing tax credits allocated by TCAC. - </t>
    </r>
    <r>
      <rPr>
        <sz val="11"/>
        <color rgb="FFC00000"/>
        <rFont val="Arial"/>
        <family val="2"/>
      </rPr>
      <t>5 Points</t>
    </r>
    <r>
      <rPr>
        <sz val="11"/>
        <color theme="1"/>
        <rFont val="Arial"/>
        <family val="2"/>
      </rPr>
      <t>.</t>
    </r>
  </si>
  <si>
    <t>Name of bona-fide management company?</t>
  </si>
  <si>
    <t>When contracting with an experienced property management company under the terms of paragraphs (1) or (2) above, the Sponsor or property co-management entity must obtain training in: project operations, on-site certification training in federal fair housing law, and manager certification in Internal Revenue Code (IRC) Section 42 Low Income Housing Credit Program requirements from a CTCAC-approved, nationally recognized entity. Additionally, the experienced property management agent or an equally experienced substitute, must remain for a period of at least 3 years from the construction completion date (or, for ownership transfers, 3 years from the sale or transfer date) to allow for at least one HCD monitoring visit to ensure the project is in compliance with HCD requirements for inspection and monitoring contained in the regulatory agreement. Thereafter, the experienced property manager may transfer responsibilities to the remaining general partner or property management firm following formal written approval from HCD.</t>
  </si>
  <si>
    <t>Managed Project regulated by?</t>
  </si>
  <si>
    <t>Project's Completion Date</t>
  </si>
  <si>
    <t>Date Management began</t>
  </si>
  <si>
    <t>Manage or Participation within 10 years</t>
  </si>
  <si>
    <t>Date Management ended</t>
  </si>
  <si>
    <t>Bonafide count</t>
  </si>
  <si>
    <t xml:space="preserve">Performance penalties shall be assessed pursuant to the Department’s Negative Point Policy (forthcoming) as may be amended from time to time.  Negative points will be assessed as a reduction to the score earned under paragraphs (1) and (2) above and will serve as the final score for this criterion.  For example if a project earns 15 points under paragraphs (1) – Development and ownership experience and 10 points under s paragraphs (2) – project management company experience but is assessed 3 negative points, the final score for this criterion would be 22 (15 + 10 - 3). </t>
  </si>
  <si>
    <t xml:space="preserve">(F) 5 points will be deducted for each occurrence or event in the following categories, which has not been corrected prior to the application due date. Deductions are limited to 10 points per category with a maximum total deduction of 50 points. Select number of occurrences. </t>
  </si>
  <si>
    <t>(Select One)</t>
  </si>
  <si>
    <r>
      <rPr>
        <b/>
        <sz val="11"/>
        <color theme="1"/>
        <rFont val="Arial"/>
        <family val="2"/>
      </rPr>
      <t>(i)</t>
    </r>
    <r>
      <rPr>
        <sz val="11"/>
        <color theme="1"/>
        <rFont val="Arial"/>
        <family val="2"/>
      </rPr>
      <t xml:space="preserve"> removal or withdrawal under threat of removal as general partner as a consequence of failing to comply with contractual obligations;</t>
    </r>
  </si>
  <si>
    <t xml:space="preserve">One Occurrence </t>
  </si>
  <si>
    <r>
      <rPr>
        <b/>
        <sz val="11"/>
        <color theme="1"/>
        <rFont val="Arial"/>
        <family val="2"/>
      </rPr>
      <t>(ii)</t>
    </r>
    <r>
      <rPr>
        <sz val="11"/>
        <color theme="1"/>
        <rFont val="Arial"/>
        <family val="2"/>
      </rPr>
      <t xml:space="preserve"> failure to submit, when due, compliance documentation required under the Department program;</t>
    </r>
  </si>
  <si>
    <t xml:space="preserve">Two or More Occurrences </t>
  </si>
  <si>
    <r>
      <rPr>
        <b/>
        <sz val="11"/>
        <color theme="1"/>
        <rFont val="Arial"/>
        <family val="2"/>
      </rPr>
      <t>(iii)</t>
    </r>
    <r>
      <rPr>
        <sz val="11"/>
        <color theme="1"/>
        <rFont val="Arial"/>
        <family val="2"/>
      </rPr>
      <t xml:space="preserve"> use of reserve funds for Department-assisted projects in a manner contrary to program requirements, or failure to deposit reserve funds as required by the Department;</t>
    </r>
  </si>
  <si>
    <t>No Occurrence</t>
  </si>
  <si>
    <r>
      <rPr>
        <b/>
        <sz val="11"/>
        <color theme="1"/>
        <rFont val="Arial"/>
        <family val="2"/>
      </rPr>
      <t>(iv)</t>
    </r>
    <r>
      <rPr>
        <sz val="11"/>
        <color theme="1"/>
        <rFont val="Arial"/>
        <family val="2"/>
      </rPr>
      <t xml:space="preserve"> failure to provide promised supportive services to a Special Needs Population or other tenants of a publicly funded project without just cause;</t>
    </r>
  </si>
  <si>
    <t xml:space="preserve">Not Applicable </t>
  </si>
  <si>
    <r>
      <rPr>
        <b/>
        <sz val="11"/>
        <color theme="1"/>
        <rFont val="Arial"/>
        <family val="2"/>
      </rPr>
      <t>(v)</t>
    </r>
    <r>
      <rPr>
        <sz val="11"/>
        <color theme="1"/>
        <rFont val="Arial"/>
        <family val="2"/>
      </rPr>
      <t xml:space="preserve"> failure to restrict occupancy of units to a Special Needs population or other target population as required by a Department program or regulatory agreement for any publicly-assisted project;</t>
    </r>
  </si>
  <si>
    <r>
      <rPr>
        <b/>
        <sz val="11"/>
        <color theme="1"/>
        <rFont val="Arial"/>
        <family val="2"/>
      </rPr>
      <t>(vi)</t>
    </r>
    <r>
      <rPr>
        <sz val="11"/>
        <color theme="1"/>
        <rFont val="Arial"/>
        <family val="2"/>
      </rPr>
      <t xml:space="preserve"> other significant violations of the requirements of Department programs or of the programs of other public agencies, such as the failure to adequately maintain a project or the books and records thereof.</t>
    </r>
  </si>
  <si>
    <t xml:space="preserve">(d) </t>
  </si>
  <si>
    <r>
      <t>Project Readiness (</t>
    </r>
    <r>
      <rPr>
        <b/>
        <sz val="12"/>
        <color rgb="FFC00000"/>
        <rFont val="Arial"/>
        <family val="2"/>
      </rPr>
      <t>20 points maximum</t>
    </r>
    <r>
      <rPr>
        <b/>
        <sz val="12"/>
        <rFont val="Arial"/>
        <family val="2"/>
      </rPr>
      <t>, </t>
    </r>
    <r>
      <rPr>
        <b/>
        <sz val="12"/>
        <color rgb="FF0000FF"/>
        <rFont val="Arial"/>
        <family val="2"/>
      </rPr>
      <t>negative 5 points maximum</t>
    </r>
    <r>
      <rPr>
        <b/>
        <sz val="12"/>
        <rFont val="Arial"/>
        <family val="2"/>
      </rPr>
      <t>)</t>
    </r>
  </si>
  <si>
    <t>Points will be awarded to projects for each of the following circumstances as documented in the application and as indicated below. If a particular category is not applicable, full points shall be awarded in that category.</t>
  </si>
  <si>
    <r>
      <rPr>
        <sz val="11"/>
        <color rgb="FFC00000"/>
        <rFont val="Arial"/>
        <family val="2"/>
      </rPr>
      <t>Four points</t>
    </r>
    <r>
      <rPr>
        <sz val="11"/>
        <rFont val="Arial"/>
        <family val="2"/>
      </rPr>
      <t xml:space="preserve"> will be awarded for obtaining evidencing Enforceable Funding Commitments for </t>
    </r>
    <r>
      <rPr>
        <b/>
        <sz val="11"/>
        <color rgb="FFC00000"/>
        <rFont val="Arial"/>
        <family val="2"/>
      </rPr>
      <t>all</t>
    </r>
    <r>
      <rPr>
        <sz val="11"/>
        <color rgb="FFC00000"/>
        <rFont val="Arial"/>
        <family val="2"/>
      </rPr>
      <t xml:space="preserve"> </t>
    </r>
    <r>
      <rPr>
        <u/>
        <sz val="11"/>
        <rFont val="Arial"/>
        <family val="2"/>
      </rPr>
      <t>construction financing</t>
    </r>
    <r>
      <rPr>
        <sz val="11"/>
        <rFont val="Arial"/>
        <family val="2"/>
      </rPr>
      <t>, not including concurrent Department Program funds applied for under a single NOFA, tax exempt bonds, or tax credits. To be awarded these points, funding to be provided by a Department program through a separate, concurrent application must be awarded prior to final rating and ranking for the application.</t>
    </r>
  </si>
  <si>
    <r>
      <t xml:space="preserve">Applications for the Veteran’s Housing and Homelessness Prevention Program and Joe Serna, Jr. Farmworker Housing Grant Program </t>
    </r>
    <r>
      <rPr>
        <b/>
        <sz val="11"/>
        <rFont val="Arial"/>
        <family val="2"/>
      </rPr>
      <t>must score a minimum of 10 points</t>
    </r>
    <r>
      <rPr>
        <sz val="11"/>
        <rFont val="Arial"/>
        <family val="2"/>
      </rPr>
      <t xml:space="preserve"> in this Project Readiness category.</t>
    </r>
  </si>
  <si>
    <t>Sponsor or Applicants certifies to meet the requirements stated at paragraph (1) above?</t>
  </si>
  <si>
    <t>Please explain why this section is "N/A" to the proposed project:</t>
  </si>
  <si>
    <r>
      <rPr>
        <sz val="11"/>
        <color rgb="FFC00000"/>
        <rFont val="Arial"/>
        <family val="2"/>
      </rPr>
      <t>Four points</t>
    </r>
    <r>
      <rPr>
        <sz val="11"/>
        <rFont val="Arial"/>
        <family val="2"/>
      </rPr>
      <t xml:space="preserve"> will be awarded for obtaining Enforceable Funding Commitments for all </t>
    </r>
    <r>
      <rPr>
        <sz val="11"/>
        <color rgb="FFC00000"/>
        <rFont val="Arial"/>
        <family val="2"/>
      </rPr>
      <t>permanent financing</t>
    </r>
    <r>
      <rPr>
        <sz val="11"/>
        <rFont val="Arial"/>
        <family val="2"/>
      </rPr>
      <t xml:space="preserve">, grants and operating subsidies, excluding tax credits.  Deferred-payment financing, grant funds and operating subsidies from other Department programs proposed for Project financing must be awarded prior to the final rating and ranking for the application. This paragraph is not applicable to the program funds of an application for multiple Department Program funds available under a single NOFA. </t>
    </r>
  </si>
  <si>
    <t>For new construction projects proposing project-based rental assistance, commitments are preferred but not required although commitments will not be counted as an Enforceable Funding Commitment.  For Rehabilitation projects with existing project-based rental assistance subsidies, a copy of the commitment must be submitted at time of application.  For all projects, a fully executed subsidy contract, however, will be required prior to loan closing.</t>
  </si>
  <si>
    <r>
      <t xml:space="preserve">Sponsor or Applicants certifies to obtaining commitments for </t>
    </r>
    <r>
      <rPr>
        <b/>
        <sz val="11"/>
        <color rgb="FFC00000"/>
        <rFont val="Arial"/>
        <family val="2"/>
      </rPr>
      <t>all</t>
    </r>
    <r>
      <rPr>
        <sz val="11"/>
        <color theme="1"/>
        <rFont val="Arial"/>
        <family val="2"/>
      </rPr>
      <t xml:space="preserve"> permanent financing, grants and operating subsidies, excluding tax credits.</t>
    </r>
  </si>
  <si>
    <t>Sponsor or Applicants aknowledge that "Deferred-payment financing, grant funds and operating subsidies from other Department programs proposed for Project financing must be awarded prior to the final rating and ranking for the application.</t>
  </si>
  <si>
    <t>Land Use Approvals</t>
  </si>
  <si>
    <r>
      <rPr>
        <sz val="11"/>
        <color rgb="FFC00000"/>
        <rFont val="Arial"/>
        <family val="2"/>
      </rPr>
      <t>Three points</t>
    </r>
    <r>
      <rPr>
        <sz val="11"/>
        <rFont val="Arial"/>
        <family val="2"/>
      </rPr>
      <t xml:space="preserve"> will be awarded for obtaining all necessary land use approvals or entitlements necessary prior to issuance of a building permit, including any required discretionary approvals, such as site plan review or design review.  Project sites where the planning department confirms </t>
    </r>
    <r>
      <rPr>
        <sz val="11"/>
        <color rgb="FFC00000"/>
        <rFont val="Arial"/>
        <family val="2"/>
      </rPr>
      <t>eligibility for streamlined ministerial approval</t>
    </r>
    <r>
      <rPr>
        <sz val="11"/>
        <rFont val="Arial"/>
        <family val="2"/>
      </rPr>
      <t xml:space="preserve"> are eligible for these points. </t>
    </r>
  </si>
  <si>
    <t>Sponsor or Applicants certifies to meet the requirements stated at paragraph (A) above?</t>
  </si>
  <si>
    <t>Project eligible for ministerial approval?</t>
  </si>
  <si>
    <r>
      <t xml:space="preserve">For projects located within city limits where a FEMA Major Disaster Declaration has been made up to three years preceding the application due date, </t>
    </r>
    <r>
      <rPr>
        <sz val="11"/>
        <color rgb="FFC00000"/>
        <rFont val="Arial"/>
        <family val="2"/>
      </rPr>
      <t>three points</t>
    </r>
    <r>
      <rPr>
        <sz val="11"/>
        <rFont val="Arial"/>
        <family val="2"/>
      </rPr>
      <t xml:space="preserve"> will be awarded for certification that all necessary land use approvals or entitlements necessary prior to issuance of a building permit will be completed within 90 days of award. For projects located outside of city limits where a FEMA Major Disaster Declaration has been made and the local government responsible for land use approvals or entitlement review is not a city, the applicant must, in addition to providing this certification, demonstrate to the Department’s satisfaction that the project contributes to providing housing for disaster-impacted households; </t>
    </r>
    <r>
      <rPr>
        <b/>
        <sz val="11"/>
        <rFont val="Arial"/>
        <family val="2"/>
      </rPr>
      <t>or </t>
    </r>
    <r>
      <rPr>
        <sz val="11"/>
        <rFont val="Arial"/>
        <family val="2"/>
      </rPr>
      <t>(B) below.</t>
    </r>
  </si>
  <si>
    <r>
      <t xml:space="preserve">Is project located </t>
    </r>
    <r>
      <rPr>
        <b/>
        <sz val="11"/>
        <color rgb="FFC00000"/>
        <rFont val="Arial"/>
        <family val="2"/>
      </rPr>
      <t>within</t>
    </r>
    <r>
      <rPr>
        <sz val="11"/>
        <color theme="1"/>
        <rFont val="Arial"/>
        <family val="2"/>
      </rPr>
      <t xml:space="preserve"> city limits where a FEMA Major Disaster Declaration has been made up to three years preceding the application due date?</t>
    </r>
  </si>
  <si>
    <r>
      <t xml:space="preserve">Is project located </t>
    </r>
    <r>
      <rPr>
        <b/>
        <sz val="11"/>
        <color rgb="FFC00000"/>
        <rFont val="Arial"/>
        <family val="2"/>
      </rPr>
      <t>outside</t>
    </r>
    <r>
      <rPr>
        <sz val="11"/>
        <color theme="1"/>
        <rFont val="Arial"/>
        <family val="2"/>
      </rPr>
      <t xml:space="preserve"> city limits where a FEMA Major Disaster Declaration has been made and the local government responsible for environmental review is not a city?</t>
    </r>
  </si>
  <si>
    <r>
      <rPr>
        <sz val="11"/>
        <color rgb="FFC00000"/>
        <rFont val="Arial"/>
        <family val="2"/>
      </rPr>
      <t>Three points</t>
    </r>
    <r>
      <rPr>
        <sz val="11"/>
        <color theme="1"/>
        <rFont val="Arial"/>
        <family val="2"/>
      </rPr>
      <t xml:space="preserve"> will be awarded for certification that all necessary land use approvals or entitlements necessary prior to issuance of a building permit will be completed within 90 days of award.</t>
    </r>
  </si>
  <si>
    <t>vmWCL2</t>
  </si>
  <si>
    <t>vmOCL2</t>
  </si>
  <si>
    <r>
      <t>A “</t>
    </r>
    <r>
      <rPr>
        <sz val="11"/>
        <color rgb="FF0000FF"/>
        <rFont val="Arial"/>
        <family val="2"/>
      </rPr>
      <t>nondiscretionary local approval process</t>
    </r>
    <r>
      <rPr>
        <sz val="11"/>
        <color theme="1"/>
        <rFont val="Arial"/>
        <family val="2"/>
      </rPr>
      <t xml:space="preserve">” is one that includes little or no subjective judgement by the public official and is limited to ensuring that the 
proposed development meets a set of objective zoning, design review and/or subdivision standards in effect at the time the application is submitted to the local government. A “nondiscretionary local approval process” includes Streamlined Ministerial Approval Processing pursuant to SB 35 (Chapter 366, Statutes of 2017), By-Right Processing for Permanent Supportive Housing under Chapter 753, Statutes of 2018 (AB 2162), “use by right” pursuant housing element law (GC § 65583.2(i), or other local process that meets the definition of non-discretionary approval process.  </t>
    </r>
  </si>
  <si>
    <r>
      <rPr>
        <sz val="11"/>
        <color rgb="FFC00000"/>
        <rFont val="Arial"/>
        <family val="2"/>
      </rPr>
      <t>Two points</t>
    </r>
    <r>
      <rPr>
        <sz val="11"/>
        <rFont val="Arial"/>
        <family val="2"/>
      </rPr>
      <t xml:space="preserve"> will be awarded for submission of a complete application to the relevant local authorities for land use approval under a </t>
    </r>
    <r>
      <rPr>
        <sz val="11"/>
        <color rgb="FF0000FF"/>
        <rFont val="Arial"/>
        <family val="2"/>
      </rPr>
      <t>nondiscretionary l</t>
    </r>
    <r>
      <rPr>
        <sz val="11"/>
        <rFont val="Arial"/>
        <family val="2"/>
      </rPr>
      <t xml:space="preserve">ocal approval process, where the application has been neither approved or disapproved; </t>
    </r>
    <r>
      <rPr>
        <b/>
        <sz val="11"/>
        <rFont val="Arial"/>
        <family val="2"/>
      </rPr>
      <t>or</t>
    </r>
    <r>
      <rPr>
        <sz val="11"/>
        <rFont val="Arial"/>
        <family val="2"/>
      </rPr>
      <t xml:space="preserve"> (C) below.</t>
    </r>
  </si>
  <si>
    <r>
      <t xml:space="preserve">Sponsor or Applicants certifies to have succesfully submitten a complete application to the relevant local authorities for land use approval under a </t>
    </r>
    <r>
      <rPr>
        <sz val="11"/>
        <color rgb="FF0000FF"/>
        <rFont val="Arial"/>
        <family val="2"/>
      </rPr>
      <t>nondiscretionary</t>
    </r>
    <r>
      <rPr>
        <sz val="11"/>
        <color theme="1"/>
        <rFont val="Arial"/>
        <family val="2"/>
      </rPr>
      <t xml:space="preserve"> local approval process, where the application has been neither approved or disapproved</t>
    </r>
  </si>
  <si>
    <t>vmCApplication</t>
  </si>
  <si>
    <t xml:space="preserve">(C) </t>
  </si>
  <si>
    <r>
      <rPr>
        <sz val="11"/>
        <color rgb="FFC00000"/>
        <rFont val="Arial"/>
        <family val="2"/>
      </rPr>
      <t>One point</t>
    </r>
    <r>
      <rPr>
        <sz val="11"/>
        <rFont val="Arial"/>
        <family val="2"/>
      </rPr>
      <t xml:space="preserve"> will be awarded for a letter signed by a planner certified by the American Institute of Certified Planners indicating that, in their opinion, the project meets all of the requirements for approval under a </t>
    </r>
    <r>
      <rPr>
        <sz val="11"/>
        <color rgb="FF0000FF"/>
        <rFont val="Arial"/>
        <family val="2"/>
      </rPr>
      <t>nondiscretionary</t>
    </r>
    <r>
      <rPr>
        <sz val="11"/>
        <rFont val="Arial"/>
        <family val="2"/>
      </rPr>
      <t xml:space="preserve"> local approval process, where an application has not been approved or disapproved by the local authorities. </t>
    </r>
  </si>
  <si>
    <r>
      <t xml:space="preserve">Sponsor or Applicants certifies that the American Institute of Certified Planners indicate that, in their opinion, the project meets all of the requirements for approval under a </t>
    </r>
    <r>
      <rPr>
        <sz val="11"/>
        <color rgb="FF0000FF"/>
        <rFont val="Arial"/>
        <family val="2"/>
      </rPr>
      <t>nondiscretionary</t>
    </r>
    <r>
      <rPr>
        <sz val="11"/>
        <color theme="1"/>
        <rFont val="Arial"/>
        <family val="2"/>
      </rPr>
      <t xml:space="preserve"> local approval process, where an application has not been approved or disapproved by the local authorities.</t>
    </r>
  </si>
  <si>
    <r>
      <rPr>
        <sz val="11"/>
        <color rgb="FFC00000"/>
        <rFont val="Arial"/>
        <family val="2"/>
      </rPr>
      <t>Four points</t>
    </r>
    <r>
      <rPr>
        <sz val="11"/>
        <rFont val="Arial"/>
        <family val="2"/>
      </rPr>
      <t xml:space="preserve"> will be awarded for adoption or certification of all necessary environmental reviews (California Environmental Quality Act and National Environmental Policy Act).  Where NEPA is required solely for rental assistance provided under HUD’s Housing Assistance Program (HAP) with no federal funding capital improvements, completion of the NEPA review prior to application is not required.  </t>
    </r>
  </si>
  <si>
    <t>Sponsor or Applicants certifies to meet the requirements stated at subparagraph (2) above?</t>
  </si>
  <si>
    <t>For projects located within city limits where a FEMA Major Disaster Declaration has been made up to three years preceding the application due date, four points will be awarded for certification that all necessary environmental reviews will be completed prior to the completion of a standard agreement.  For projects located outside of city limits where a FEMA Major Disaster Declaration has been made and the local government responsible for environmental review is not a city, the applicant must, in addition to providing this certification, demonstrate to the Department’s satisfaction that the project contributes to providing housing for disaster-impacted households.</t>
  </si>
  <si>
    <r>
      <rPr>
        <sz val="11"/>
        <color rgb="FFC00000"/>
        <rFont val="Arial"/>
        <family val="2"/>
      </rPr>
      <t>Four points</t>
    </r>
    <r>
      <rPr>
        <sz val="11"/>
        <color theme="1"/>
        <rFont val="Arial"/>
        <family val="2"/>
      </rPr>
      <t xml:space="preserve"> will be awarded for certification that all necessary environmental reviews will be completed prior to the completion of a standard agreement.</t>
    </r>
  </si>
  <si>
    <t>vmWCL</t>
  </si>
  <si>
    <t>vmOCL</t>
  </si>
  <si>
    <r>
      <rPr>
        <sz val="11"/>
        <color rgb="FFC00000"/>
        <rFont val="Arial"/>
        <family val="2"/>
      </rPr>
      <t xml:space="preserve">Five points </t>
    </r>
    <r>
      <rPr>
        <sz val="11"/>
        <rFont val="Arial"/>
        <family val="2"/>
      </rPr>
      <t xml:space="preserve">will be awarded when the Borrower, including all affiliated entities, </t>
    </r>
    <r>
      <rPr>
        <sz val="11"/>
        <color rgb="FFC00000"/>
        <rFont val="Arial"/>
        <family val="2"/>
      </rPr>
      <t>is fully formed</t>
    </r>
    <r>
      <rPr>
        <sz val="11"/>
        <rFont val="Arial"/>
        <family val="2"/>
      </rPr>
      <t xml:space="preserve"> and </t>
    </r>
    <r>
      <rPr>
        <sz val="11"/>
        <color rgb="FFC00000"/>
        <rFont val="Arial"/>
        <family val="2"/>
      </rPr>
      <t>all</t>
    </r>
    <r>
      <rPr>
        <sz val="11"/>
        <rFont val="Arial"/>
        <family val="2"/>
      </rPr>
      <t xml:space="preserve"> required organizational documents are submitted with the application.</t>
    </r>
  </si>
  <si>
    <t>Sponsor or Applicants certifies that the Borrower, including all affiliated entities, is fully formed and all required organizational documents are submitted with the application?</t>
  </si>
  <si>
    <r>
      <rPr>
        <sz val="11"/>
        <color rgb="FFC00000"/>
        <rFont val="Arial"/>
        <family val="2"/>
      </rPr>
      <t xml:space="preserve">Five points </t>
    </r>
    <r>
      <rPr>
        <sz val="11"/>
        <rFont val="Arial"/>
        <family val="2"/>
      </rPr>
      <t xml:space="preserve">will be </t>
    </r>
    <r>
      <rPr>
        <sz val="11"/>
        <color rgb="FF0000FF"/>
        <rFont val="Arial"/>
        <family val="2"/>
      </rPr>
      <t>subtracted</t>
    </r>
    <r>
      <rPr>
        <sz val="11"/>
        <rFont val="Arial"/>
        <family val="2"/>
      </rPr>
      <t xml:space="preserve"> for a Project utilizing low-income housing tax credits that will be part of an application to TCAC seeking hybrid tiebreaker incentives. </t>
    </r>
  </si>
  <si>
    <t>Is Project utilizing low-income housing tax credits that will be part of an application to TCAC seeking hybrid tiebreaker incentives.</t>
  </si>
  <si>
    <r>
      <rPr>
        <sz val="11"/>
        <color rgb="FFFF0000"/>
        <rFont val="Arial"/>
        <family val="2"/>
      </rPr>
      <t>For Operating Subsidies</t>
    </r>
    <r>
      <rPr>
        <sz val="11"/>
        <color theme="1"/>
        <rFont val="Arial"/>
        <family val="2"/>
      </rPr>
      <t xml:space="preserve">: attach evidence of commitment status (e.g. letters of intent, commitment letters, grant awards or subsidy contracts). If commitments are not available, attach other documentation such as a reservation or third-party letter stating the following: total subsidy and estimated first year allocation, date or expected date of award, and term (in years).
</t>
    </r>
    <r>
      <rPr>
        <sz val="11"/>
        <color rgb="FFFF0000"/>
        <rFont val="Arial"/>
        <family val="2"/>
      </rPr>
      <t>For Project-Based Rental Assistance</t>
    </r>
    <r>
      <rPr>
        <sz val="11"/>
        <color theme="1"/>
        <rFont val="Arial"/>
        <family val="2"/>
      </rPr>
      <t xml:space="preserve">: Projects having, or proposing project-based rental assistance must provide documentation of current contract rents.  A fully executed subsidy contract shall be required prior loan closing. Projects having, or proposing project-based rental assistance shall fund a Transition Reserve in accordance with </t>
    </r>
    <r>
      <rPr>
        <sz val="11"/>
        <color theme="9" tint="-0.249977111117893"/>
        <rFont val="Arial"/>
        <family val="2"/>
      </rPr>
      <t>§7312(f)(2)</t>
    </r>
    <r>
      <rPr>
        <sz val="11"/>
        <color theme="1"/>
        <rFont val="Arial"/>
        <family val="2"/>
      </rPr>
      <t>.</t>
    </r>
  </si>
  <si>
    <r>
      <t>(e) Adaptive Reuse / Infill / Proximity to Amenities / Sustainable Building Methods (</t>
    </r>
    <r>
      <rPr>
        <b/>
        <sz val="11"/>
        <color rgb="FFC00000"/>
        <rFont val="Arial"/>
        <family val="2"/>
      </rPr>
      <t>20 points maximum</t>
    </r>
    <r>
      <rPr>
        <b/>
        <sz val="11"/>
        <rFont val="Arial"/>
        <family val="2"/>
      </rPr>
      <t>)</t>
    </r>
  </si>
  <si>
    <r>
      <t xml:space="preserve">Applications will receive </t>
    </r>
    <r>
      <rPr>
        <sz val="11"/>
        <color rgb="FFC00000"/>
        <rFont val="Arial"/>
        <family val="2"/>
      </rPr>
      <t>five points</t>
    </r>
    <r>
      <rPr>
        <sz val="11"/>
        <rFont val="Arial"/>
        <family val="2"/>
      </rPr>
      <t xml:space="preserve"> for each of the following </t>
    </r>
    <r>
      <rPr>
        <sz val="11"/>
        <color rgb="FF0000FF"/>
        <rFont val="Arial"/>
        <family val="2"/>
      </rPr>
      <t>four</t>
    </r>
    <r>
      <rPr>
        <sz val="11"/>
        <rFont val="Arial"/>
        <family val="2"/>
      </rPr>
      <t xml:space="preserve"> conditions.</t>
    </r>
  </si>
  <si>
    <r>
      <rPr>
        <sz val="11"/>
        <color rgb="FF0000FF"/>
        <rFont val="Arial"/>
        <family val="2"/>
      </rPr>
      <t>Infill development</t>
    </r>
    <r>
      <rPr>
        <sz val="11"/>
        <color theme="1"/>
        <rFont val="Arial"/>
        <family val="2"/>
      </rPr>
      <t xml:space="preserve">. </t>
    </r>
    <r>
      <rPr>
        <sz val="11"/>
        <color rgb="FFC00000"/>
        <rFont val="Arial"/>
        <family val="2"/>
      </rPr>
      <t>Five points</t>
    </r>
    <r>
      <rPr>
        <sz val="11"/>
        <color theme="1"/>
        <rFont val="Arial"/>
        <family val="2"/>
      </rPr>
      <t xml:space="preserve"> will be awarded for infill development, including adaptive reuse of a vacant and underutilized commercial or industrial building located in a developed area served with public infrastructure. The Project must be located on  a site where: (select from below, if applicable)</t>
    </r>
  </si>
  <si>
    <r>
      <t>Located on a site where (</t>
    </r>
    <r>
      <rPr>
        <sz val="11"/>
        <color rgb="FFC00000"/>
        <rFont val="Arial"/>
        <family val="2"/>
      </rPr>
      <t>Select from below menu</t>
    </r>
    <r>
      <rPr>
        <sz val="11"/>
        <rFont val="Arial"/>
        <family val="2"/>
      </rPr>
      <t>)</t>
    </r>
  </si>
  <si>
    <t>i. At least 75 percent of the site was previously improved (including areas where improvements have been demolished) or used for any use other than Open Space, agriculture, forestry, or mining waste storage</t>
  </si>
  <si>
    <t>ii. At least 75 percent of the perimeter of the site’s adjoining parcels that are developed with Urban Uses (residential, commercial, industrial, public institutional, transit or transportation passenger facility use, or retail use, or any combination of those uses) but not including lands used for agricultural uses or parcels in excess of 15,000 square feet in size and containing only one single family residence, or is separated from parcels that are developed with Urban Uses only by an improved public right-of-way. In calculating this percentage, perimeters bordering navigable bodies of water and improved parks shall not be included.</t>
  </si>
  <si>
    <t>Average Net Density (dwelling units per acre)</t>
  </si>
  <si>
    <t xml:space="preserve">iii. The combination of at least 50 percent of site area as previously improved (including areas where improvements have been demolished) or used for any use other than Open Space, agriculture, forestry or mining waste storage, and at least 50 percent of the perimeter of the site adjoining parcels that are developed with Urban Uses, or is separated from parcels that are developed with Urban Uses only by an improved public right-of-way. In calculating this percentage,perimeters bordering navigable bodies of water and improved parks shall not be included. </t>
  </si>
  <si>
    <r>
      <rPr>
        <b/>
        <sz val="11"/>
        <color rgb="FFC00000"/>
        <rFont val="Arial"/>
        <family val="2"/>
      </rPr>
      <t>Rural project</t>
    </r>
    <r>
      <rPr>
        <sz val="11"/>
        <rFont val="Arial"/>
        <family val="2"/>
      </rPr>
      <t xml:space="preserve">, parcels to be developed </t>
    </r>
    <r>
      <rPr>
        <sz val="11"/>
        <color rgb="FF0000FF"/>
        <rFont val="Arial"/>
        <family val="2"/>
      </rPr>
      <t>must have a Net Density of 10 units per acre</t>
    </r>
    <r>
      <rPr>
        <sz val="11"/>
        <rFont val="Arial"/>
        <family val="2"/>
      </rPr>
      <t>.</t>
    </r>
  </si>
  <si>
    <r>
      <rPr>
        <b/>
        <sz val="11"/>
        <color rgb="FFC00000"/>
        <rFont val="Arial"/>
        <family val="2"/>
      </rPr>
      <t>Non-Rural project</t>
    </r>
    <r>
      <rPr>
        <sz val="11"/>
        <rFont val="Arial"/>
        <family val="2"/>
      </rPr>
      <t>, enter minimum Net Density for parcels to be developed per Locality (see Appendix 1) at the following link.</t>
    </r>
  </si>
  <si>
    <t>Appendix 1</t>
  </si>
  <si>
    <t>Net Density: housing units per acre</t>
  </si>
  <si>
    <t>Is Net Density equal to or greater than required?</t>
  </si>
  <si>
    <t>Total site area in square feet</t>
  </si>
  <si>
    <r>
      <rPr>
        <b/>
        <sz val="11"/>
        <color rgb="FFC00000"/>
        <rFont val="Arial"/>
        <family val="2"/>
      </rPr>
      <t>If</t>
    </r>
    <r>
      <rPr>
        <sz val="11"/>
        <rFont val="Arial"/>
        <family val="2"/>
      </rPr>
      <t xml:space="preserve"> project contains </t>
    </r>
    <r>
      <rPr>
        <sz val="11"/>
        <color rgb="FF0000FF"/>
        <rFont val="Arial"/>
        <family val="2"/>
      </rPr>
      <t>commercial space</t>
    </r>
    <r>
      <rPr>
        <sz val="11"/>
        <rFont val="Arial"/>
        <family val="2"/>
      </rPr>
      <t xml:space="preserve">, answer </t>
    </r>
    <r>
      <rPr>
        <sz val="11"/>
        <color theme="1"/>
        <rFont val="Arial"/>
        <family val="2"/>
      </rPr>
      <t>Cells X188-X189</t>
    </r>
  </si>
  <si>
    <t>0 bedroom Net Density calculation</t>
  </si>
  <si>
    <r>
      <rPr>
        <b/>
        <sz val="11"/>
        <color rgb="FFC00000"/>
        <rFont val="Arial"/>
        <family val="2"/>
      </rPr>
      <t>Less qualified site deductions</t>
    </r>
    <r>
      <rPr>
        <sz val="11"/>
        <color theme="1"/>
        <rFont val="Arial"/>
        <family val="2"/>
      </rPr>
      <t xml:space="preserve"> in square feet</t>
    </r>
  </si>
  <si>
    <t>1 bedroom Net Density calculation</t>
  </si>
  <si>
    <t xml:space="preserve">Public streets </t>
  </si>
  <si>
    <t>Square ft. of largest residential unit</t>
  </si>
  <si>
    <t>2 bedroom Net Density calculation</t>
  </si>
  <si>
    <t>Public sidewalks</t>
  </si>
  <si>
    <t># of bedrooms in largest unit</t>
  </si>
  <si>
    <t>3 bedroom Net Density calculation</t>
  </si>
  <si>
    <t>Public Open Space</t>
  </si>
  <si>
    <t>4+ bedroom Net Density calculation</t>
  </si>
  <si>
    <t>Public drainage facilities</t>
  </si>
  <si>
    <t>Commercial square feet</t>
  </si>
  <si>
    <t>Commercial Net Density calculation</t>
  </si>
  <si>
    <r>
      <t xml:space="preserve">Net site area in acres </t>
    </r>
    <r>
      <rPr>
        <i/>
        <sz val="11"/>
        <color indexed="8"/>
        <rFont val="Arial"/>
        <family val="2"/>
      </rPr>
      <t>(43,560 square feet per acre)</t>
    </r>
  </si>
  <si>
    <t>Net Density Adjustment Factor</t>
  </si>
  <si>
    <t>Adjusted Net Density as a percentage of required density</t>
  </si>
  <si>
    <r>
      <t>Is project</t>
    </r>
    <r>
      <rPr>
        <sz val="11"/>
        <color rgb="FF0000FF"/>
        <rFont val="Arial"/>
        <family val="2"/>
      </rPr>
      <t xml:space="preserve"> </t>
    </r>
    <r>
      <rPr>
        <sz val="11"/>
        <rFont val="Arial"/>
        <family val="2"/>
      </rPr>
      <t xml:space="preserve">located on a site: (i) identified as excess state land by Department of General Services; </t>
    </r>
    <r>
      <rPr>
        <b/>
        <sz val="11"/>
        <rFont val="Arial"/>
        <family val="2"/>
      </rPr>
      <t>or</t>
    </r>
    <r>
      <rPr>
        <sz val="11"/>
        <rFont val="Arial"/>
        <family val="2"/>
      </rPr>
      <t xml:space="preserve"> (ii) identified as surplus land by the local agency’s governing body? </t>
    </r>
  </si>
  <si>
    <t>vmExcessSurplus</t>
  </si>
  <si>
    <r>
      <rPr>
        <sz val="11"/>
        <color rgb="FF0000FF"/>
        <rFont val="Arial"/>
        <family val="2"/>
      </rPr>
      <t>Proximity to amenities</t>
    </r>
    <r>
      <rPr>
        <sz val="11"/>
        <rFont val="Arial"/>
        <family val="2"/>
      </rPr>
      <t xml:space="preserve">.  </t>
    </r>
    <r>
      <rPr>
        <sz val="11"/>
        <color rgb="FFC00000"/>
        <rFont val="Arial"/>
        <family val="2"/>
      </rPr>
      <t>Five points</t>
    </r>
    <r>
      <rPr>
        <sz val="11"/>
        <rFont val="Arial"/>
        <family val="2"/>
      </rPr>
      <t xml:space="preserve"> will be awarded for projects achieving the maximum point score available for site amenities consistent with </t>
    </r>
    <r>
      <rPr>
        <sz val="11"/>
        <color theme="9" tint="-0.249977111117893"/>
        <rFont val="Arial"/>
        <family val="2"/>
      </rPr>
      <t>TCAC Regulations, Title 4 CCR, Division 17, Chapter 1,  or successor regulation. In TCAC regulations</t>
    </r>
    <r>
      <rPr>
        <sz val="11"/>
        <rFont val="Arial"/>
        <family val="2"/>
      </rPr>
      <t>, this is a 15 point category, however, achieving all 15 points under TCAC translates to 5 points under this category.</t>
    </r>
  </si>
  <si>
    <r>
      <t xml:space="preserve">Is Project expected to receive the maximum point score available for site amenities under </t>
    </r>
    <r>
      <rPr>
        <sz val="11"/>
        <color theme="9" tint="-0.249977111117893"/>
        <rFont val="Arial"/>
        <family val="2"/>
      </rPr>
      <t>TCAC Regulations, Title 4 CCR, Division 17, Chapter 1,  or successor regulation</t>
    </r>
    <r>
      <rPr>
        <sz val="11"/>
        <rFont val="Arial"/>
        <family val="2"/>
      </rPr>
      <t>?</t>
    </r>
  </si>
  <si>
    <t>vmTAL</t>
  </si>
  <si>
    <t>Transit points must be for a Transit Stop or Major Transit Stop and distance must be measured by a Walkable Route. </t>
  </si>
  <si>
    <r>
      <t xml:space="preserve">While this point category uses TCAC site amenity categories as a base, the following additional options are added to that existing menu of options listed in </t>
    </r>
    <r>
      <rPr>
        <sz val="11"/>
        <color theme="9" tint="-0.249977111117893"/>
        <rFont val="Arial"/>
        <family val="2"/>
      </rPr>
      <t>TCAC Regulations, Title 4 CCR, Division 17, Chapter 1, Section 10325(c)(4)(A)</t>
    </r>
    <r>
      <rPr>
        <sz val="11"/>
        <rFont val="Arial"/>
        <family val="2"/>
      </rPr>
      <t>. For alignment and ease of calculation, points for the below additional options are offered as fractions of 15 points or 5 points.  To convert the relevant TCAC score to points under this paragraph (2), the TCAC score is divided by 3. Rounding up is not permitted in fractions of 5 points</t>
    </r>
  </si>
  <si>
    <r>
      <rPr>
        <sz val="11"/>
        <color rgb="FFC00000"/>
        <rFont val="Arial"/>
        <family val="2"/>
      </rPr>
      <t>Up to</t>
    </r>
    <r>
      <rPr>
        <sz val="11"/>
        <rFont val="Arial"/>
        <family val="2"/>
      </rPr>
      <t xml:space="preserve"> </t>
    </r>
    <r>
      <rPr>
        <sz val="11"/>
        <color rgb="FFC00000"/>
        <rFont val="Arial"/>
        <family val="2"/>
      </rPr>
      <t>three points [Equivalent to 1 out of 5 points]</t>
    </r>
    <r>
      <rPr>
        <sz val="11"/>
        <rFont val="Arial"/>
        <family val="2"/>
      </rPr>
      <t xml:space="preserve"> will be given for the location efficiency of the Project site as determined by the US EPA Walkability Index using the address of the Project site. If the Project is a corridor and does not have a specific address, use the centermost point of the Project for the calculation. The methodology for the Walkability Index can be found at</t>
    </r>
  </si>
  <si>
    <t>i. Most Walkable (Dark Green; 15.25-20) (three points [Equivalent to 1 out of 5 points])</t>
  </si>
  <si>
    <t xml:space="preserve">www.epa.gov/smartgrowth/smart-location-mapping#walkability. </t>
  </si>
  <si>
    <t>ii. Above Average Walkable (Light Green; 10.51-15.25) (two points [Equivalent to 0.67 out of 5 points])</t>
  </si>
  <si>
    <t>Project location efficiency is</t>
  </si>
  <si>
    <t>iii. Below Average Walkable (Yellow; 5.76-10.5) (one point [Equivalent to 0.33 out of 5 points])</t>
  </si>
  <si>
    <t>iv. Least Walkable (Orange; 1-5.75) (zero points)</t>
  </si>
  <si>
    <r>
      <t xml:space="preserve">A Project site located within one-quarter mile of a </t>
    </r>
    <r>
      <rPr>
        <sz val="11"/>
        <color rgb="FF0000FF"/>
        <rFont val="Arial"/>
        <family val="2"/>
      </rPr>
      <t>community college</t>
    </r>
    <r>
      <rPr>
        <sz val="11"/>
        <rFont val="Arial"/>
        <family val="2"/>
      </rPr>
      <t xml:space="preserve"> that residents of the Project may attend (one-half mile for Rural Area projects), </t>
    </r>
    <r>
      <rPr>
        <sz val="11"/>
        <color rgb="FFC00000"/>
        <rFont val="Arial"/>
        <family val="2"/>
      </rPr>
      <t>shall receive 5 points [Equivalent to 1.67 out of 5 points]</t>
    </r>
    <r>
      <rPr>
        <sz val="11"/>
        <rFont val="Arial"/>
        <family val="2"/>
      </rPr>
      <t xml:space="preserve">, or if within one-half mile (one mile for Rural Area projects), </t>
    </r>
    <r>
      <rPr>
        <sz val="11"/>
        <color rgb="FFC00000"/>
        <rFont val="Arial"/>
        <family val="2"/>
      </rPr>
      <t>3 points [Equivalent to 1 out of 5 points]</t>
    </r>
    <r>
      <rPr>
        <sz val="11"/>
        <rFont val="Arial"/>
        <family val="2"/>
      </rPr>
      <t xml:space="preserve">. </t>
    </r>
  </si>
  <si>
    <t>one-quarter mile of a community college that residents of the Project may attend</t>
  </si>
  <si>
    <r>
      <t xml:space="preserve">Name of </t>
    </r>
    <r>
      <rPr>
        <sz val="11"/>
        <color rgb="FF0000FF"/>
        <rFont val="Arial"/>
        <family val="2"/>
      </rPr>
      <t>community</t>
    </r>
    <r>
      <rPr>
        <sz val="11"/>
        <rFont val="Arial"/>
        <family val="2"/>
      </rPr>
      <t xml:space="preserve"> </t>
    </r>
    <r>
      <rPr>
        <sz val="11"/>
        <color rgb="FF0000FF"/>
        <rFont val="Arial"/>
        <family val="2"/>
      </rPr>
      <t>College</t>
    </r>
    <r>
      <rPr>
        <sz val="11"/>
        <rFont val="Arial"/>
        <family val="2"/>
      </rPr>
      <t>:</t>
    </r>
  </si>
  <si>
    <t>one-half mile (Rural Area project) of a community college that residents of the Project may attend</t>
  </si>
  <si>
    <r>
      <t xml:space="preserve">Project is located </t>
    </r>
    <r>
      <rPr>
        <sz val="11"/>
        <color rgb="FFC00000"/>
        <rFont val="Arial"/>
        <family val="2"/>
      </rPr>
      <t xml:space="preserve">within </t>
    </r>
  </si>
  <si>
    <t>one-half mile of a community college that residents of the Project may attend</t>
  </si>
  <si>
    <r>
      <t xml:space="preserve">A Project site located within one mile of a locally recognized </t>
    </r>
    <r>
      <rPr>
        <sz val="11"/>
        <color rgb="FF0000FF"/>
        <rFont val="Arial"/>
        <family val="2"/>
      </rPr>
      <t>Employment Center</t>
    </r>
    <r>
      <rPr>
        <sz val="11"/>
        <rFont val="Arial"/>
        <family val="2"/>
      </rPr>
      <t xml:space="preserve"> with a minimum of 50 full-time employees (two miles for Rural Area projects), </t>
    </r>
    <r>
      <rPr>
        <sz val="11"/>
        <color rgb="FFC00000"/>
        <rFont val="Arial"/>
        <family val="2"/>
      </rPr>
      <t>shall receive 5 points [Equivalent to 1.67 out of 5 points</t>
    </r>
    <r>
      <rPr>
        <sz val="11"/>
        <rFont val="Arial"/>
        <family val="2"/>
      </rPr>
      <t xml:space="preserve">], or if within two miles (four miles for Rural Area projects) </t>
    </r>
    <r>
      <rPr>
        <sz val="11"/>
        <color rgb="FFC00000"/>
        <rFont val="Arial"/>
        <family val="2"/>
      </rPr>
      <t>3 points [Equivalent to 1 out of 5 points]</t>
    </r>
    <r>
      <rPr>
        <sz val="11"/>
        <rFont val="Arial"/>
        <family val="2"/>
      </rPr>
      <t>.</t>
    </r>
  </si>
  <si>
    <t>one mile (Rural Area project) of a community college that residents of the Project may attend</t>
  </si>
  <si>
    <t>Name of locally recognized Employment Center:</t>
  </si>
  <si>
    <r>
      <t xml:space="preserve">Sponsor or Applicants certify that (at time of application) </t>
    </r>
    <r>
      <rPr>
        <sz val="11"/>
        <color rgb="FF0000FF"/>
        <rFont val="Arial"/>
        <family val="2"/>
      </rPr>
      <t>locally recognized Employment Center</t>
    </r>
    <r>
      <rPr>
        <sz val="11"/>
        <rFont val="Arial"/>
        <family val="2"/>
      </rPr>
      <t xml:space="preserve"> has a minimum of 50 full-time employees?</t>
    </r>
  </si>
  <si>
    <t>one mile of a locally recognized Employment Center with a minimum of 50 full-time employees</t>
  </si>
  <si>
    <t>two miles (Rural Area Project) of a locally recognized Employment Center with a minimum of 50 full-time employees</t>
  </si>
  <si>
    <r>
      <t xml:space="preserve">A Project site located within one mile of a locally </t>
    </r>
    <r>
      <rPr>
        <sz val="11"/>
        <color rgb="FF0000FF"/>
        <rFont val="Arial"/>
        <family val="2"/>
      </rPr>
      <t>recognized Retail Center</t>
    </r>
    <r>
      <rPr>
        <sz val="11"/>
        <rFont val="Arial"/>
        <family val="2"/>
      </rPr>
      <t xml:space="preserve"> with a minimum of 50 full-time employees (two miles for Rural Area projects), </t>
    </r>
    <r>
      <rPr>
        <sz val="11"/>
        <color rgb="FFC00000"/>
        <rFont val="Arial"/>
        <family val="2"/>
      </rPr>
      <t>shall receive 5 points [Equivalent to 1.67 out of 5 points]</t>
    </r>
    <r>
      <rPr>
        <sz val="11"/>
        <rFont val="Arial"/>
        <family val="2"/>
      </rPr>
      <t xml:space="preserve">, or if within two miles (four miles for Rural Area projects), </t>
    </r>
    <r>
      <rPr>
        <sz val="11"/>
        <color rgb="FFC00000"/>
        <rFont val="Arial"/>
        <family val="2"/>
      </rPr>
      <t>3 points [Equivalent to 1 out of 5 points]</t>
    </r>
    <r>
      <rPr>
        <sz val="11"/>
        <rFont val="Arial"/>
        <family val="2"/>
      </rPr>
      <t>. </t>
    </r>
  </si>
  <si>
    <t>two miles of a locally recognized Employment Center with a minimum of 50 full-time employees</t>
  </si>
  <si>
    <t>Name of locally recognized Retail Center:</t>
  </si>
  <si>
    <t>four miles (Rural Area Project) of a locally recognized Employment Center with a minimum of 50 full-time employees</t>
  </si>
  <si>
    <r>
      <t xml:space="preserve">Sponsor certify that (at time of application) </t>
    </r>
    <r>
      <rPr>
        <sz val="11"/>
        <color rgb="FF0000FF"/>
        <rFont val="Arial"/>
        <family val="2"/>
      </rPr>
      <t>locally recognized Retail Center</t>
    </r>
    <r>
      <rPr>
        <sz val="11"/>
        <rFont val="Arial"/>
        <family val="2"/>
      </rPr>
      <t xml:space="preserve"> has a minimum of 50 full-time employees?</t>
    </r>
  </si>
  <si>
    <r>
      <t xml:space="preserve">Project is located </t>
    </r>
    <r>
      <rPr>
        <sz val="11"/>
        <color rgb="FFC00000"/>
        <rFont val="Arial"/>
        <family val="2"/>
      </rPr>
      <t>within</t>
    </r>
    <r>
      <rPr>
        <sz val="11"/>
        <rFont val="Arial"/>
        <family val="2"/>
      </rPr>
      <t xml:space="preserve"> </t>
    </r>
  </si>
  <si>
    <t>two miles (Rural Area project) of a locally recognized Retail Center with a minimum of 50 full-time employees</t>
  </si>
  <si>
    <t>one mile of a locally recognized Retail Center with a minimum of 50 full-time employees</t>
  </si>
  <si>
    <r>
      <t xml:space="preserve">Broadband access. </t>
    </r>
    <r>
      <rPr>
        <sz val="11"/>
        <color rgb="FFC00000"/>
        <rFont val="Arial"/>
        <family val="2"/>
      </rPr>
      <t>Five points</t>
    </r>
    <r>
      <rPr>
        <sz val="11"/>
        <rFont val="Arial"/>
        <family val="2"/>
      </rPr>
      <t xml:space="preserve"> will be awarded for projects meeting the following requirements:</t>
    </r>
  </si>
  <si>
    <t>two miles of a locally recognized Retail Center with a minimum of 50 full-time employees</t>
  </si>
  <si>
    <r>
      <t xml:space="preserve">Sponsor or Applicants certify that residential dwelling units are capable of accommodating broadband service with at least a speed of 100 megabits per second for downloading and 20 megabits per second for uploading. Internet service and its ongoing fee is not required; </t>
    </r>
    <r>
      <rPr>
        <b/>
        <sz val="11"/>
        <color theme="1"/>
        <rFont val="Arial"/>
        <family val="2"/>
      </rPr>
      <t>and</t>
    </r>
  </si>
  <si>
    <t>four miles (Rural Area project) of a locally recognized Retail Center with a minimum of 50 full-time employees</t>
  </si>
  <si>
    <t>Sponsor ot Applicants certify that the application includes a plan for reducing barriers to access for project residents. The plan should be tailored to the needs of the tenant population and may include programs providing free or reduce internet prices; reasonable access to project facilities, computers, and shared Wi-Fi; and computer and Wi-Fi literacy training and technical assistance.</t>
  </si>
  <si>
    <t>Sustainable building methods. Points will be awarded based on the following:</t>
  </si>
  <si>
    <r>
      <rPr>
        <sz val="11"/>
        <color rgb="FFC00000"/>
        <rFont val="Arial"/>
        <family val="2"/>
      </rPr>
      <t>2.5 points</t>
    </r>
    <r>
      <rPr>
        <sz val="11"/>
        <rFont val="Arial"/>
        <family val="2"/>
      </rPr>
      <t xml:space="preserve"> will be awarded if the Project supports the implementation of a sustainable community’s strategy or alternative planning strategy that has been determined by the California Air Resources Board to achieve the region's greenhouse gas emissions target. Consistency with such plans must be demonstrated by a letter or resolution executed by an officer or an equivalent representative from the metropolitan planning organization, regional transportation agency, planning, or local transportation commission. </t>
    </r>
  </si>
  <si>
    <t>Sponsor or Applicants certifies that the Project supports the implementation of a sustainable community’s strategy or alternative planning strategy that has been determined by the California Air Resources Board to achieve the region's greenhouse gas emissions target?</t>
  </si>
  <si>
    <r>
      <t xml:space="preserve">If a sustainable community’s strategy is not required for a region by law, </t>
    </r>
    <r>
      <rPr>
        <sz val="11"/>
        <color rgb="FFC00000"/>
        <rFont val="Arial"/>
        <family val="2"/>
      </rPr>
      <t>2.5 points</t>
    </r>
    <r>
      <rPr>
        <sz val="11"/>
        <rFont val="Arial"/>
        <family val="2"/>
      </rPr>
      <t xml:space="preserve"> will be awarded if the Project supports a regional plan that includes policies and programs to reduce greenhouse gas emissions. Evidence of consistency with such plans must be demonstrated by a letter or resolution executed by an officer of, or an equivalent representative from, the metropolitan planning organization or regional transportation planning agency or local transportation commission. </t>
    </r>
  </si>
  <si>
    <t>Sponsor or Applicants certifies that the Project supports a regional plan that includes policies and programs to reduce greenhouse gas emissions?</t>
  </si>
  <si>
    <r>
      <t xml:space="preserve">A Project in which not less than 50 percent of the land area is within a Transit Priority Area shall receive </t>
    </r>
    <r>
      <rPr>
        <sz val="11"/>
        <color rgb="FFC00000"/>
        <rFont val="Arial"/>
        <family val="2"/>
      </rPr>
      <t>2.5 points</t>
    </r>
    <r>
      <rPr>
        <sz val="11"/>
        <rFont val="Arial"/>
        <family val="2"/>
      </rPr>
      <t>. Evidence of Project location within, or partially within, a Transit Priority Area must be demonstrated by a letter or resolution executed by an officer of, or an equivalent representative from, the metropolitan planning organization, regional transportation planning agency, or local transportation commission.</t>
    </r>
  </si>
  <si>
    <t>Sponsor or Applicants certifies that the Project in which not less than 50 percent of the land area is within a Transit Priority Area?</t>
  </si>
  <si>
    <r>
      <rPr>
        <sz val="11"/>
        <color rgb="FFC00000"/>
        <rFont val="Arial"/>
        <family val="2"/>
      </rPr>
      <t>Five points</t>
    </r>
    <r>
      <rPr>
        <sz val="11"/>
        <rFont val="Arial"/>
        <family val="2"/>
      </rPr>
      <t xml:space="preserve"> will be awarded for a Project that is designed to achieve green building status beyond State mandatory building code requirements as verified upon construction completion by a certified LEED Green rater, certified Green Point rater, or licensed engineer. Applicants may select from the following green building certification programs:  </t>
    </r>
  </si>
  <si>
    <t>Sponsor or Applicants certifies that the Project meets Green building status beyond State mandatory building code requirements as verified?</t>
  </si>
  <si>
    <t>Program (CalGreen) - Tier (Tier 2)</t>
  </si>
  <si>
    <r>
      <rPr>
        <sz val="11"/>
        <color rgb="FFC00000"/>
        <rFont val="Arial"/>
        <family val="2"/>
      </rPr>
      <t>Three points</t>
    </r>
    <r>
      <rPr>
        <sz val="11"/>
        <rFont val="Arial"/>
        <family val="2"/>
      </rPr>
      <t xml:space="preserve"> for Projects that achieve near electrification – projects where two out of three of the major energy appliances (cook stoves, space heating, water heating) are electric. Projects must be wired to be electric ready, defined as having 240 volts outlets near each gas appliance. </t>
    </r>
  </si>
  <si>
    <t>Sponsor or Applicants certifies that the Project will achieve near electrification as described above?</t>
  </si>
  <si>
    <r>
      <rPr>
        <sz val="11"/>
        <color rgb="FFC00000"/>
        <rFont val="Arial"/>
        <family val="2"/>
      </rPr>
      <t>Five points</t>
    </r>
    <r>
      <rPr>
        <sz val="11"/>
        <rFont val="Arial"/>
        <family val="2"/>
      </rPr>
      <t xml:space="preserve"> will be awarded for Projects that are powered entirely through electricity with no connections to natural gas infrastructure. </t>
    </r>
  </si>
  <si>
    <t>Sponsor or Applicants certifies that the Project will be powered entirely through electricity with no connections to natural gas infrastructure as described above?</t>
  </si>
  <si>
    <t>III</t>
  </si>
  <si>
    <t>AB 434 Designated Program Specific Scoring</t>
  </si>
  <si>
    <r>
      <rPr>
        <sz val="11"/>
        <color rgb="FFC00000"/>
        <rFont val="Arial"/>
        <family val="2"/>
      </rPr>
      <t>A project will not receive any points</t>
    </r>
    <r>
      <rPr>
        <sz val="11"/>
        <rFont val="Arial"/>
        <family val="2"/>
      </rPr>
      <t xml:space="preserve"> in this AB 434 Designated Program Specific Scoring section </t>
    </r>
    <r>
      <rPr>
        <b/>
        <sz val="11"/>
        <color rgb="FF0000FF"/>
        <rFont val="Arial"/>
        <family val="2"/>
      </rPr>
      <t>unless</t>
    </r>
    <r>
      <rPr>
        <sz val="11"/>
        <rFont val="Arial"/>
        <family val="2"/>
      </rPr>
      <t xml:space="preserve"> the project applies for and the Department verifies eligibility of at least 110 of the 115 Universal Points pursuant to Section II, paragraphs (a) through (f) above.</t>
    </r>
  </si>
  <si>
    <r>
      <t>Veterans Housing and Homelessness Prevention (VHHP) Program-  (</t>
    </r>
    <r>
      <rPr>
        <b/>
        <sz val="11"/>
        <color rgb="FFC00000"/>
        <rFont val="Arial"/>
        <family val="2"/>
      </rPr>
      <t>40 maximum additional points possible</t>
    </r>
    <r>
      <rPr>
        <b/>
        <sz val="11"/>
        <rFont val="Arial"/>
        <family val="2"/>
      </rPr>
      <t>)</t>
    </r>
  </si>
  <si>
    <r>
      <t xml:space="preserve">For VHHP Program Applicants meeting the minimum threshold requirements of </t>
    </r>
    <r>
      <rPr>
        <sz val="11"/>
        <color theme="9" tint="-0.249977111117893"/>
        <rFont val="Arial"/>
        <family val="2"/>
      </rPr>
      <t>VHHP Guidelines section 203</t>
    </r>
    <r>
      <rPr>
        <sz val="11"/>
        <rFont val="Arial"/>
        <family val="2"/>
      </rPr>
      <t xml:space="preserve">, applications will be scored based on the following criteria, for a maximum of 40 points (10 points maximum for Projects </t>
    </r>
    <r>
      <rPr>
        <u/>
        <sz val="11"/>
        <rFont val="Arial"/>
        <family val="2"/>
      </rPr>
      <t>not</t>
    </r>
    <r>
      <rPr>
        <sz val="11"/>
        <rFont val="Arial"/>
        <family val="2"/>
      </rPr>
      <t xml:space="preserve"> including Supportive Housing or Transitional Housing). </t>
    </r>
  </si>
  <si>
    <r>
      <t>Lead Service Provider Experience (</t>
    </r>
    <r>
      <rPr>
        <sz val="11"/>
        <color rgb="FFC00000"/>
        <rFont val="Arial"/>
        <family val="2"/>
      </rPr>
      <t>18 points maximum</t>
    </r>
    <r>
      <rPr>
        <sz val="11"/>
        <rFont val="Arial"/>
        <family val="2"/>
      </rPr>
      <t>) applies only to Projects with Supportive Housing or Transitional Housing.</t>
    </r>
  </si>
  <si>
    <t>Does the Project include Supportive Housing or Transitional Housing?</t>
  </si>
  <si>
    <r>
      <t>Meeting the two-year threshold experience in permanent Supportive Housing instead of Transitional Housing (</t>
    </r>
    <r>
      <rPr>
        <sz val="11"/>
        <color rgb="FFC00000"/>
        <rFont val="Arial"/>
        <family val="2"/>
      </rPr>
      <t>two points</t>
    </r>
    <r>
      <rPr>
        <sz val="11"/>
        <rFont val="Arial"/>
        <family val="2"/>
      </rPr>
      <t>)</t>
    </r>
  </si>
  <si>
    <t>Does the LSP meet the two-year threshold experience in permanent Supportive Housing?</t>
  </si>
  <si>
    <r>
      <t>Years of experience in permanent Supportive Housing or Transitional Housing (</t>
    </r>
    <r>
      <rPr>
        <sz val="11"/>
        <color rgb="FFC00000"/>
        <rFont val="Arial"/>
        <family val="2"/>
      </rPr>
      <t>three points maximum</t>
    </r>
    <r>
      <rPr>
        <sz val="11"/>
        <rFont val="Arial"/>
        <family val="2"/>
      </rPr>
      <t xml:space="preserve">) </t>
    </r>
  </si>
  <si>
    <r>
      <t xml:space="preserve">· </t>
    </r>
    <r>
      <rPr>
        <sz val="11"/>
        <rFont val="Arial"/>
        <family val="2"/>
      </rPr>
      <t>Three years to four years (</t>
    </r>
    <r>
      <rPr>
        <sz val="11"/>
        <color rgb="FFC00000"/>
        <rFont val="Arial"/>
        <family val="2"/>
      </rPr>
      <t>one point</t>
    </r>
    <r>
      <rPr>
        <sz val="11"/>
        <rFont val="Arial"/>
        <family val="2"/>
      </rPr>
      <t>) </t>
    </r>
  </si>
  <si>
    <r>
      <t xml:space="preserve">· </t>
    </r>
    <r>
      <rPr>
        <sz val="11"/>
        <rFont val="Arial"/>
        <family val="2"/>
      </rPr>
      <t>Over four years but less than five years (</t>
    </r>
    <r>
      <rPr>
        <sz val="11"/>
        <color rgb="FFC00000"/>
        <rFont val="Arial"/>
        <family val="2"/>
      </rPr>
      <t>two points</t>
    </r>
    <r>
      <rPr>
        <sz val="11"/>
        <rFont val="Arial"/>
        <family val="2"/>
      </rPr>
      <t>) </t>
    </r>
  </si>
  <si>
    <r>
      <t xml:space="preserve">· </t>
    </r>
    <r>
      <rPr>
        <sz val="11"/>
        <rFont val="Arial"/>
        <family val="2"/>
      </rPr>
      <t>Five years or more (</t>
    </r>
    <r>
      <rPr>
        <sz val="11"/>
        <color rgb="FFC00000"/>
        <rFont val="Arial"/>
        <family val="2"/>
      </rPr>
      <t>three points</t>
    </r>
    <r>
      <rPr>
        <sz val="11"/>
        <rFont val="Arial"/>
        <family val="2"/>
      </rPr>
      <t>) </t>
    </r>
  </si>
  <si>
    <r>
      <t>Number of Projects or contracts in permanent Supportive or Transitional Housing (</t>
    </r>
    <r>
      <rPr>
        <sz val="11"/>
        <color rgb="FFC00000"/>
        <rFont val="Arial"/>
        <family val="2"/>
      </rPr>
      <t>three points maximum</t>
    </r>
    <r>
      <rPr>
        <sz val="11"/>
        <rFont val="Arial"/>
        <family val="2"/>
      </rPr>
      <t xml:space="preserve">) </t>
    </r>
  </si>
  <si>
    <r>
      <t xml:space="preserve">· </t>
    </r>
    <r>
      <rPr>
        <sz val="11"/>
        <rFont val="Arial"/>
        <family val="2"/>
      </rPr>
      <t>Two Projects (</t>
    </r>
    <r>
      <rPr>
        <sz val="11"/>
        <color rgb="FFC00000"/>
        <rFont val="Arial"/>
        <family val="2"/>
      </rPr>
      <t>one point</t>
    </r>
    <r>
      <rPr>
        <sz val="11"/>
        <rFont val="Arial"/>
        <family val="2"/>
      </rPr>
      <t>)</t>
    </r>
  </si>
  <si>
    <r>
      <t xml:space="preserve">· </t>
    </r>
    <r>
      <rPr>
        <sz val="11"/>
        <rFont val="Arial"/>
        <family val="2"/>
      </rPr>
      <t>Three Projects (</t>
    </r>
    <r>
      <rPr>
        <sz val="11"/>
        <color rgb="FFC00000"/>
        <rFont val="Arial"/>
        <family val="2"/>
      </rPr>
      <t>two points</t>
    </r>
    <r>
      <rPr>
        <sz val="11"/>
        <rFont val="Arial"/>
        <family val="2"/>
      </rPr>
      <t>)</t>
    </r>
  </si>
  <si>
    <r>
      <t xml:space="preserve">· </t>
    </r>
    <r>
      <rPr>
        <sz val="11"/>
        <rFont val="Arial"/>
        <family val="2"/>
      </rPr>
      <t>Four Projects or more (</t>
    </r>
    <r>
      <rPr>
        <sz val="11"/>
        <color rgb="FFC00000"/>
        <rFont val="Arial"/>
        <family val="2"/>
      </rPr>
      <t>three points</t>
    </r>
    <r>
      <rPr>
        <sz val="11"/>
        <rFont val="Arial"/>
        <family val="2"/>
      </rPr>
      <t xml:space="preserve">) </t>
    </r>
  </si>
  <si>
    <r>
      <t>Years of experience serving Veterans experiencing Homelessness in permanent Supportive or Transitional Housing (</t>
    </r>
    <r>
      <rPr>
        <sz val="11"/>
        <color rgb="FFC00000"/>
        <rFont val="Arial"/>
        <family val="2"/>
      </rPr>
      <t>six points maximum</t>
    </r>
    <r>
      <rPr>
        <sz val="11"/>
        <rFont val="Arial"/>
        <family val="2"/>
      </rPr>
      <t xml:space="preserve">) </t>
    </r>
  </si>
  <si>
    <r>
      <t xml:space="preserve">· </t>
    </r>
    <r>
      <rPr>
        <sz val="11"/>
        <rFont val="Arial"/>
        <family val="2"/>
      </rPr>
      <t>Two years to three years (</t>
    </r>
    <r>
      <rPr>
        <sz val="11"/>
        <color rgb="FFC00000"/>
        <rFont val="Arial"/>
        <family val="2"/>
      </rPr>
      <t>two points</t>
    </r>
    <r>
      <rPr>
        <sz val="11"/>
        <rFont val="Arial"/>
        <family val="2"/>
      </rPr>
      <t xml:space="preserve">) </t>
    </r>
  </si>
  <si>
    <r>
      <t xml:space="preserve">· </t>
    </r>
    <r>
      <rPr>
        <sz val="11"/>
        <rFont val="Arial"/>
        <family val="2"/>
      </rPr>
      <t>More than three years but less than four years (</t>
    </r>
    <r>
      <rPr>
        <sz val="11"/>
        <color rgb="FFC00000"/>
        <rFont val="Arial"/>
        <family val="2"/>
      </rPr>
      <t>four points</t>
    </r>
    <r>
      <rPr>
        <sz val="11"/>
        <rFont val="Arial"/>
        <family val="2"/>
      </rPr>
      <t xml:space="preserve">) </t>
    </r>
  </si>
  <si>
    <r>
      <t xml:space="preserve">· </t>
    </r>
    <r>
      <rPr>
        <sz val="11"/>
        <rFont val="Arial"/>
        <family val="2"/>
      </rPr>
      <t>Four years or more (</t>
    </r>
    <r>
      <rPr>
        <sz val="11"/>
        <color rgb="FFC00000"/>
        <rFont val="Arial"/>
        <family val="2"/>
      </rPr>
      <t>six points</t>
    </r>
    <r>
      <rPr>
        <sz val="11"/>
        <rFont val="Arial"/>
        <family val="2"/>
      </rPr>
      <t xml:space="preserve">) </t>
    </r>
  </si>
  <si>
    <r>
      <t>Documented success in meeting or exceeding the outcome measures for housing stability, specified under a government contract as an LSP in permanent Supportive or Transitional Housing serving persons experiencing Homelessness, for at least 24 consecutive months (</t>
    </r>
    <r>
      <rPr>
        <sz val="11"/>
        <color rgb="FFC00000"/>
        <rFont val="Arial"/>
        <family val="2"/>
      </rPr>
      <t>four points maximum</t>
    </r>
    <r>
      <rPr>
        <sz val="11"/>
        <rFont val="Arial"/>
        <family val="2"/>
      </rPr>
      <t>). </t>
    </r>
  </si>
  <si>
    <r>
      <t xml:space="preserve">Sponsor or Applicants certifies to produce LSP Documented success (Staff expertise and experience) in meeting or exceeding the outcome measures for housing stability, specified under a government contract as an LSP in permanent Supportive or Transitional Housing serving persons experiencing Homelessness,
</t>
    </r>
    <r>
      <rPr>
        <sz val="11"/>
        <color rgb="FFC00000"/>
        <rFont val="Arial"/>
        <family val="2"/>
      </rPr>
      <t>for at least 24 consecutive months</t>
    </r>
    <r>
      <rPr>
        <sz val="11"/>
        <color theme="1"/>
        <rFont val="Arial"/>
        <family val="2"/>
      </rPr>
      <t>?</t>
    </r>
  </si>
  <si>
    <r>
      <t>Supportive services plan (</t>
    </r>
    <r>
      <rPr>
        <sz val="11"/>
        <color rgb="FFC00000"/>
        <rFont val="Arial"/>
        <family val="2"/>
      </rPr>
      <t>22 points maximum</t>
    </r>
    <r>
      <rPr>
        <sz val="11"/>
        <rFont val="Arial"/>
        <family val="2"/>
      </rPr>
      <t xml:space="preserve"> for Projects that include Supportive Housing or Transitional Housing, and </t>
    </r>
    <r>
      <rPr>
        <sz val="11"/>
        <color rgb="FFC00000"/>
        <rFont val="Arial"/>
        <family val="2"/>
      </rPr>
      <t>10 points maximum for other Projects</t>
    </r>
    <r>
      <rPr>
        <sz val="11"/>
        <rFont val="Arial"/>
        <family val="2"/>
      </rPr>
      <t>)</t>
    </r>
  </si>
  <si>
    <t>Self Score</t>
  </si>
  <si>
    <t>HCD Score</t>
  </si>
  <si>
    <r>
      <t>Quality and Quantity of Services (</t>
    </r>
    <r>
      <rPr>
        <sz val="11"/>
        <color rgb="FFC00000"/>
        <rFont val="Arial"/>
        <family val="2"/>
      </rPr>
      <t>14 points maximum</t>
    </r>
    <r>
      <rPr>
        <sz val="11"/>
        <rFont val="Arial"/>
        <family val="2"/>
      </rPr>
      <t>) </t>
    </r>
  </si>
  <si>
    <r>
      <t>The services provided are tailored to Veterans and of appropriate quality and quantity for the target population (</t>
    </r>
    <r>
      <rPr>
        <sz val="11"/>
        <color rgb="FFC00000"/>
        <rFont val="Arial"/>
        <family val="2"/>
      </rPr>
      <t>two points</t>
    </r>
    <r>
      <rPr>
        <sz val="11"/>
        <color theme="1"/>
        <rFont val="Arial"/>
        <family val="2"/>
      </rPr>
      <t>).</t>
    </r>
  </si>
  <si>
    <r>
      <t>Staff experience, credentials, and job duties include appropriate requirements, and Veteran cultural competency (</t>
    </r>
    <r>
      <rPr>
        <sz val="11"/>
        <color rgb="FFC00000"/>
        <rFont val="Arial"/>
        <family val="2"/>
      </rPr>
      <t>three points</t>
    </r>
    <r>
      <rPr>
        <sz val="11"/>
        <color theme="1"/>
        <rFont val="Arial"/>
        <family val="2"/>
      </rPr>
      <t>).</t>
    </r>
  </si>
  <si>
    <r>
      <t>The service delivery model, tailored to Veterans, includes, but is not limited to, the use of the following practices (</t>
    </r>
    <r>
      <rPr>
        <sz val="11"/>
        <color rgb="FFC00000"/>
        <rFont val="Arial"/>
        <family val="2"/>
      </rPr>
      <t>four points</t>
    </r>
    <r>
      <rPr>
        <sz val="11"/>
        <color theme="1"/>
        <rFont val="Arial"/>
        <family val="2"/>
      </rPr>
      <t>):</t>
    </r>
  </si>
  <si>
    <t>• SSI/SSDI Outreach, Access, and Recovery (SOAR)</t>
  </si>
  <si>
    <t>• Critical time intervention</t>
  </si>
  <si>
    <t>• Trauma-informed care and de-escalation</t>
  </si>
  <si>
    <t>• Motivational interviewing</t>
  </si>
  <si>
    <t>• Voluntary moving-on strategies</t>
  </si>
  <si>
    <t>• Peer support</t>
  </si>
  <si>
    <t>• Case conferencing</t>
  </si>
  <si>
    <t>• Cultural competency with vulnerable populations</t>
  </si>
  <si>
    <t>iv.</t>
  </si>
  <si>
    <r>
      <t>The accessibility of VA and other services, whether they are on-site or in close proximity to the Project, including the hours they are available, and the frequency, travel time and cost of transportation required to access them, including both public transportation and private transportation services (e.g., van owned by the provider), and how the service provider will assist in the expense of public transportation (e.g., provide tokens, negotiate discounts, provide their own shuttle service, etc.) (</t>
    </r>
    <r>
      <rPr>
        <sz val="11"/>
        <color rgb="FFC00000"/>
        <rFont val="Arial"/>
        <family val="2"/>
      </rPr>
      <t>one point</t>
    </r>
    <r>
      <rPr>
        <sz val="11"/>
        <color theme="1"/>
        <rFont val="Arial"/>
        <family val="2"/>
      </rPr>
      <t>).</t>
    </r>
  </si>
  <si>
    <t>v.</t>
  </si>
  <si>
    <r>
      <t>Adherence to Housing First principles in provision of services, including provision of flexible services that facilitate permanent housing access and housing stability (</t>
    </r>
    <r>
      <rPr>
        <sz val="11"/>
        <color rgb="FFC00000"/>
        <rFont val="Arial"/>
        <family val="2"/>
      </rPr>
      <t>one point</t>
    </r>
    <r>
      <rPr>
        <sz val="11"/>
        <color theme="1"/>
        <rFont val="Arial"/>
        <family val="2"/>
      </rPr>
      <t xml:space="preserve">). </t>
    </r>
  </si>
  <si>
    <t>vi.</t>
  </si>
  <si>
    <r>
      <t>The degree to which the physical building space supports social interaction, the provision of services, and ensures the safety of all residents, especially those more vulnerable, such as persons with a history of trauma, children, elderly, etc. (</t>
    </r>
    <r>
      <rPr>
        <sz val="11"/>
        <color rgb="FFC00000"/>
        <rFont val="Arial"/>
        <family val="2"/>
      </rPr>
      <t>one point</t>
    </r>
    <r>
      <rPr>
        <sz val="11"/>
        <color theme="1"/>
        <rFont val="Arial"/>
        <family val="2"/>
      </rPr>
      <t>).</t>
    </r>
  </si>
  <si>
    <t>vii.</t>
  </si>
  <si>
    <r>
      <t>The levels of linkages with local systems for ending Homelessness and serving Veterans, including (</t>
    </r>
    <r>
      <rPr>
        <sz val="11"/>
        <color rgb="FFC00000"/>
        <rFont val="Arial"/>
        <family val="2"/>
      </rPr>
      <t>two points</t>
    </r>
    <r>
      <rPr>
        <sz val="11"/>
        <color theme="1"/>
        <rFont val="Arial"/>
        <family val="2"/>
      </rPr>
      <t xml:space="preserve">): </t>
    </r>
  </si>
  <si>
    <t>• Participation, verified by the local Continuum of Care, in a local Coordinated Entry System (CES) that is fully established</t>
  </si>
  <si>
    <t>• The degree of coordination with VA Medical Centers, VA Homeless Program Coordinators, SSVF, Homeless Veterans’
  Reintegration Program and other VA programs; and</t>
  </si>
  <si>
    <t>• The degree of coordination on benefit education and advocacy, discharge upgrade advocacy, and other advocacy efforts on
  behalf of Veteran tenants with County Veteran Services Offices (CVSOs), legal services and others, and participation in local
  Continuum of Care, Veterans Stand Down, and other community ending Homelessness efforts.</t>
  </si>
  <si>
    <r>
      <t>Resident Involvement (</t>
    </r>
    <r>
      <rPr>
        <sz val="11"/>
        <color rgb="FFC00000"/>
        <rFont val="Arial"/>
        <family val="2"/>
      </rPr>
      <t>two points maximum</t>
    </r>
    <r>
      <rPr>
        <sz val="11"/>
        <rFont val="Arial"/>
        <family val="2"/>
      </rPr>
      <t>) Points will be awarded based on the quality of:</t>
    </r>
  </si>
  <si>
    <r>
      <t>Strategies to engage residents in building community and operations (</t>
    </r>
    <r>
      <rPr>
        <sz val="11"/>
        <color rgb="FFC00000"/>
        <rFont val="Arial"/>
        <family val="2"/>
      </rPr>
      <t>0.5 point</t>
    </r>
    <r>
      <rPr>
        <sz val="11"/>
        <color theme="1"/>
        <rFont val="Arial"/>
        <family val="2"/>
      </rPr>
      <t>).</t>
    </r>
  </si>
  <si>
    <r>
      <t>Strategies to engage residents in services planning and operations (</t>
    </r>
    <r>
      <rPr>
        <sz val="11"/>
        <color rgb="FFC00000"/>
        <rFont val="Arial"/>
        <family val="2"/>
      </rPr>
      <t>0.5 point</t>
    </r>
    <r>
      <rPr>
        <sz val="11"/>
        <color theme="1"/>
        <rFont val="Arial"/>
        <family val="2"/>
      </rPr>
      <t>); and</t>
    </r>
  </si>
  <si>
    <r>
      <t>Tenant satisfaction surveys, to inform and improve services, building operations and property management (</t>
    </r>
    <r>
      <rPr>
        <sz val="11"/>
        <color rgb="FFC00000"/>
        <rFont val="Arial"/>
        <family val="2"/>
      </rPr>
      <t>one point</t>
    </r>
    <r>
      <rPr>
        <sz val="11"/>
        <color theme="1"/>
        <rFont val="Arial"/>
        <family val="2"/>
      </rPr>
      <t xml:space="preserve">). </t>
    </r>
  </si>
  <si>
    <t>The adequacy of the services budget and the reliability over time of services funding (six points maximum).Points will be awarded based on: </t>
  </si>
  <si>
    <r>
      <t>The adequacy of budgeted income sources and uses and the consistency of these amounts with other sections of the services plan (</t>
    </r>
    <r>
      <rPr>
        <sz val="11"/>
        <color rgb="FFC00000"/>
        <rFont val="Arial"/>
        <family val="2"/>
      </rPr>
      <t>one point</t>
    </r>
    <r>
      <rPr>
        <sz val="11"/>
        <color theme="1"/>
        <rFont val="Arial"/>
        <family val="2"/>
      </rPr>
      <t>).</t>
    </r>
  </si>
  <si>
    <r>
      <t>The completeness, accuracy, specificity and clarity of the budget document (</t>
    </r>
    <r>
      <rPr>
        <sz val="11"/>
        <color rgb="FFC00000"/>
        <rFont val="Arial"/>
        <family val="2"/>
      </rPr>
      <t>one point</t>
    </r>
    <r>
      <rPr>
        <sz val="11"/>
        <color theme="1"/>
        <rFont val="Arial"/>
        <family val="2"/>
      </rPr>
      <t>).</t>
    </r>
  </si>
  <si>
    <r>
      <t>The extent to which the major services funding sources have been accessed by the designated service providers or Sponsor in the past (</t>
    </r>
    <r>
      <rPr>
        <sz val="11"/>
        <color rgb="FFC00000"/>
        <rFont val="Arial"/>
        <family val="2"/>
      </rPr>
      <t>one point</t>
    </r>
    <r>
      <rPr>
        <sz val="11"/>
        <color theme="1"/>
        <rFont val="Arial"/>
        <family val="2"/>
      </rPr>
      <t>).</t>
    </r>
  </si>
  <si>
    <r>
      <t>The track record of the Sponsor and providers in filling gaps in services funding left by the loss of major funding sources (</t>
    </r>
    <r>
      <rPr>
        <sz val="11"/>
        <color rgb="FFC00000"/>
        <rFont val="Arial"/>
        <family val="2"/>
      </rPr>
      <t>two points</t>
    </r>
    <r>
      <rPr>
        <sz val="11"/>
        <color theme="1"/>
        <rFont val="Arial"/>
        <family val="2"/>
      </rPr>
      <t>); and</t>
    </r>
  </si>
  <si>
    <r>
      <t>The percentage of the total services budget that is committed at time of application (</t>
    </r>
    <r>
      <rPr>
        <sz val="11"/>
        <color rgb="FFC00000"/>
        <rFont val="Arial"/>
        <family val="2"/>
      </rPr>
      <t>one point</t>
    </r>
    <r>
      <rPr>
        <sz val="11"/>
        <color theme="1"/>
        <rFont val="Arial"/>
        <family val="2"/>
      </rPr>
      <t>).</t>
    </r>
  </si>
  <si>
    <r>
      <t>Applications for Projects</t>
    </r>
    <r>
      <rPr>
        <b/>
        <sz val="11"/>
        <rFont val="Arial"/>
        <family val="2"/>
      </rPr>
      <t xml:space="preserve"> </t>
    </r>
    <r>
      <rPr>
        <b/>
        <u/>
        <sz val="11"/>
        <rFont val="Arial"/>
        <family val="2"/>
      </rPr>
      <t>not</t>
    </r>
    <r>
      <rPr>
        <sz val="11"/>
        <rFont val="Arial"/>
        <family val="2"/>
      </rPr>
      <t xml:space="preserve"> including Supportive Housing or Transitional Housing will be scored based on their resident services coordination plans, as follows: </t>
    </r>
  </si>
  <si>
    <t>The appropriateness of the service delivery model, the quality and quantity of services provided, and the degree to which they are specific to Veterans.</t>
  </si>
  <si>
    <r>
      <t>Quantity and Quality of Services (</t>
    </r>
    <r>
      <rPr>
        <sz val="11"/>
        <color rgb="FFC00000"/>
        <rFont val="Arial"/>
        <family val="2"/>
      </rPr>
      <t>four points maximum</t>
    </r>
    <r>
      <rPr>
        <sz val="11"/>
        <rFont val="Arial"/>
        <family val="2"/>
      </rPr>
      <t>)</t>
    </r>
  </si>
  <si>
    <r>
      <t>• The services provided are tailored to Veterans and of appropriate quality and quantity for the target population (</t>
    </r>
    <r>
      <rPr>
        <sz val="11"/>
        <color rgb="FFC00000"/>
        <rFont val="Arial"/>
        <family val="2"/>
      </rPr>
      <t>two points</t>
    </r>
    <r>
      <rPr>
        <sz val="11"/>
        <rFont val="Arial"/>
        <family val="2"/>
      </rPr>
      <t>)</t>
    </r>
  </si>
  <si>
    <r>
      <t>• Staff experience, credentials, and job duties include appropriate requirements and Veteran cultural competency (</t>
    </r>
    <r>
      <rPr>
        <sz val="11"/>
        <color rgb="FFC00000"/>
        <rFont val="Arial"/>
        <family val="2"/>
      </rPr>
      <t>one point</t>
    </r>
    <r>
      <rPr>
        <sz val="11"/>
        <rFont val="Arial"/>
        <family val="2"/>
      </rPr>
      <t>); </t>
    </r>
  </si>
  <si>
    <r>
      <t>• The level of linkages with local systems for serving Veterans, including (</t>
    </r>
    <r>
      <rPr>
        <sz val="11"/>
        <color rgb="FFC00000"/>
        <rFont val="Arial"/>
        <family val="2"/>
      </rPr>
      <t>one point</t>
    </r>
    <r>
      <rPr>
        <sz val="11"/>
        <rFont val="Arial"/>
        <family val="2"/>
      </rPr>
      <t>):  </t>
    </r>
  </si>
  <si>
    <r>
      <t xml:space="preserve">Ø </t>
    </r>
    <r>
      <rPr>
        <sz val="11"/>
        <rFont val="Arial"/>
        <family val="2"/>
      </rPr>
      <t>The degree of coordination with VA Medical Centers and other VA programs. </t>
    </r>
  </si>
  <si>
    <r>
      <t xml:space="preserve">Ø </t>
    </r>
    <r>
      <rPr>
        <sz val="11"/>
        <rFont val="Arial"/>
        <family val="2"/>
      </rPr>
      <t>The degree of coordination on benefit education and advocacy, discharge upgrade advocacy and other advocacy
       efforts on behalf of Veteran tenants with CVSO’s, legal services and others. </t>
    </r>
  </si>
  <si>
    <r>
      <t>Resident Involvement (</t>
    </r>
    <r>
      <rPr>
        <sz val="11"/>
        <color rgb="FFC00000"/>
        <rFont val="Arial"/>
        <family val="2"/>
      </rPr>
      <t>two points maximum</t>
    </r>
    <r>
      <rPr>
        <sz val="11"/>
        <rFont val="Arial"/>
        <family val="2"/>
      </rPr>
      <t>) - Points will be awarded based on the quality of: </t>
    </r>
  </si>
  <si>
    <r>
      <t>• Strategies to engage residents in building community and operations (</t>
    </r>
    <r>
      <rPr>
        <sz val="11"/>
        <color rgb="FFC00000"/>
        <rFont val="Arial"/>
        <family val="2"/>
      </rPr>
      <t>0.5 point</t>
    </r>
    <r>
      <rPr>
        <sz val="11"/>
        <rFont val="Arial"/>
        <family val="2"/>
      </rPr>
      <t>)</t>
    </r>
  </si>
  <si>
    <r>
      <t>• Strategies to engage residents in services planning and delivery (</t>
    </r>
    <r>
      <rPr>
        <sz val="11"/>
        <color rgb="FFC00000"/>
        <rFont val="Arial"/>
        <family val="2"/>
      </rPr>
      <t>0.5 point</t>
    </r>
    <r>
      <rPr>
        <sz val="11"/>
        <rFont val="Arial"/>
        <family val="2"/>
      </rPr>
      <t>); and  </t>
    </r>
  </si>
  <si>
    <r>
      <t>• Tenant satisfaction surveys, to inform and improve services, building operations and property management (</t>
    </r>
    <r>
      <rPr>
        <sz val="11"/>
        <color rgb="FFC00000"/>
        <rFont val="Arial"/>
        <family val="2"/>
      </rPr>
      <t>one point</t>
    </r>
    <r>
      <rPr>
        <sz val="11"/>
        <rFont val="Arial"/>
        <family val="2"/>
      </rPr>
      <t>).  </t>
    </r>
  </si>
  <si>
    <r>
      <t>• The adequacy of the resident services coordination budget and the reliability over time of identified services coordination
   funding (</t>
    </r>
    <r>
      <rPr>
        <sz val="11"/>
        <color rgb="FFC00000"/>
        <rFont val="Arial"/>
        <family val="2"/>
      </rPr>
      <t>four points maximum</t>
    </r>
    <r>
      <rPr>
        <sz val="11"/>
        <rFont val="Arial"/>
        <family val="2"/>
      </rPr>
      <t>) Points will be awarded based on: </t>
    </r>
  </si>
  <si>
    <r>
      <t xml:space="preserve">Ø </t>
    </r>
    <r>
      <rPr>
        <sz val="11"/>
        <rFont val="Arial"/>
        <family val="2"/>
      </rPr>
      <t>The adequacy of budgeted amounts and the consistency of these amounts with other sections of the services
       plan (</t>
    </r>
    <r>
      <rPr>
        <sz val="11"/>
        <color rgb="FFC00000"/>
        <rFont val="Arial"/>
        <family val="2"/>
      </rPr>
      <t>two points</t>
    </r>
    <r>
      <rPr>
        <sz val="11"/>
        <rFont val="Arial"/>
        <family val="2"/>
      </rPr>
      <t>); </t>
    </r>
  </si>
  <si>
    <r>
      <t xml:space="preserve">Ø </t>
    </r>
    <r>
      <rPr>
        <sz val="11"/>
        <rFont val="Arial"/>
        <family val="2"/>
      </rPr>
      <t>The completeness, accuracy and clarity of the budget document (</t>
    </r>
    <r>
      <rPr>
        <sz val="11"/>
        <color rgb="FFC00000"/>
        <rFont val="Arial"/>
        <family val="2"/>
      </rPr>
      <t>one point</t>
    </r>
    <r>
      <rPr>
        <sz val="11"/>
        <rFont val="Arial"/>
        <family val="2"/>
      </rPr>
      <t>); and </t>
    </r>
  </si>
  <si>
    <r>
      <t xml:space="preserve">Ø </t>
    </r>
    <r>
      <rPr>
        <sz val="11"/>
        <rFont val="Arial"/>
        <family val="2"/>
      </rPr>
      <t>The percentage of the total services budget that is committed at time of application (</t>
    </r>
    <r>
      <rPr>
        <sz val="11"/>
        <color rgb="FFC00000"/>
        <rFont val="Arial"/>
        <family val="2"/>
      </rPr>
      <t>one point</t>
    </r>
    <r>
      <rPr>
        <sz val="11"/>
        <rFont val="Arial"/>
        <family val="2"/>
      </rPr>
      <t>).  </t>
    </r>
  </si>
  <si>
    <r>
      <t>Joe Serna, Jr. Farmworker Housing Grant (FWHG) Program</t>
    </r>
    <r>
      <rPr>
        <sz val="11"/>
        <rFont val="Arial"/>
        <family val="2"/>
      </rPr>
      <t xml:space="preserve"> - </t>
    </r>
    <r>
      <rPr>
        <b/>
        <sz val="11"/>
        <rFont val="Arial"/>
        <family val="2"/>
      </rPr>
      <t>(</t>
    </r>
    <r>
      <rPr>
        <b/>
        <sz val="11"/>
        <color rgb="FFC00000"/>
        <rFont val="Arial"/>
        <family val="2"/>
      </rPr>
      <t>40 maximum additional points possible</t>
    </r>
    <r>
      <rPr>
        <b/>
        <sz val="11"/>
        <rFont val="Arial"/>
        <family val="2"/>
      </rPr>
      <t>)</t>
    </r>
    <r>
      <rPr>
        <sz val="11"/>
        <rFont val="Arial"/>
        <family val="2"/>
      </rPr>
      <t xml:space="preserve">  </t>
    </r>
  </si>
  <si>
    <r>
      <t>Percentage of Units for Target Population (</t>
    </r>
    <r>
      <rPr>
        <sz val="11"/>
        <color rgb="FFC00000"/>
        <rFont val="Arial"/>
        <family val="2"/>
      </rPr>
      <t>30 points</t>
    </r>
    <r>
      <rPr>
        <sz val="11"/>
        <color theme="1"/>
        <rFont val="Arial"/>
        <family val="2"/>
      </rPr>
      <t xml:space="preserve">).  For FWHG Program Applicants with a minimum of 25 percent of FWHG-Assisted Units, applications will be scored based on the percentage of FWHG-Assisted Units, for a </t>
    </r>
    <r>
      <rPr>
        <sz val="11"/>
        <color rgb="FFC00000"/>
        <rFont val="Arial"/>
        <family val="2"/>
      </rPr>
      <t>maximum of 30 points</t>
    </r>
    <r>
      <rPr>
        <sz val="11"/>
        <color theme="1"/>
        <rFont val="Arial"/>
        <family val="2"/>
      </rPr>
      <t xml:space="preserve">. </t>
    </r>
  </si>
  <si>
    <t>FWHG program meet the minimum, threshold requirement (for this scoring section only), 25 percent of assisted units?</t>
  </si>
  <si>
    <r>
      <rPr>
        <u/>
        <sz val="11"/>
        <rFont val="Arial"/>
        <family val="2"/>
      </rPr>
      <t>Farmworker Need</t>
    </r>
    <r>
      <rPr>
        <sz val="11"/>
        <rFont val="Arial"/>
        <family val="2"/>
      </rPr>
      <t xml:space="preserve">.  </t>
    </r>
    <r>
      <rPr>
        <sz val="11"/>
        <color rgb="FFC00000"/>
        <rFont val="Arial"/>
        <family val="2"/>
      </rPr>
      <t>Up to 10 points</t>
    </r>
    <r>
      <rPr>
        <sz val="11"/>
        <rFont val="Arial"/>
        <family val="2"/>
      </rPr>
      <t xml:space="preserve"> will be awarded to a Project based on the presence of farmworkers in the County in which the project is located based on the most recent U.S. Census of Agriculture (hired farm labor).  </t>
    </r>
  </si>
  <si>
    <t>https://www.nass.usda.gov/AgCensus/</t>
  </si>
  <si>
    <t>Project County loacation</t>
  </si>
  <si>
    <r>
      <rPr>
        <sz val="11"/>
        <color rgb="FFC00000"/>
        <rFont val="Arial"/>
        <family val="2"/>
      </rPr>
      <t>Percentage of Statewide</t>
    </r>
    <r>
      <rPr>
        <sz val="11"/>
        <color theme="1"/>
        <rFont val="Arial"/>
        <family val="2"/>
      </rPr>
      <t xml:space="preserve"> Hired Farm Labor?</t>
    </r>
  </si>
  <si>
    <r>
      <t>Infill Incentive Grant Program of 2007 (IIG) - (</t>
    </r>
    <r>
      <rPr>
        <b/>
        <sz val="11"/>
        <color rgb="FFC00000"/>
        <rFont val="Arial"/>
        <family val="2"/>
      </rPr>
      <t>40 maximum additional points possible</t>
    </r>
    <r>
      <rPr>
        <b/>
        <sz val="11"/>
        <rFont val="Arial"/>
        <family val="2"/>
      </rPr>
      <t>)</t>
    </r>
  </si>
  <si>
    <r>
      <t>Net Density (</t>
    </r>
    <r>
      <rPr>
        <u/>
        <sz val="11"/>
        <color rgb="FFC00000"/>
        <rFont val="Arial"/>
        <family val="2"/>
      </rPr>
      <t>30 points</t>
    </r>
    <r>
      <rPr>
        <u/>
        <sz val="11"/>
        <rFont val="Arial"/>
        <family val="2"/>
      </rPr>
      <t>)</t>
    </r>
    <r>
      <rPr>
        <sz val="11"/>
        <rFont val="Arial"/>
        <family val="2"/>
      </rPr>
      <t>.  For IIG Program Applicants with a minimum of 15 percent of IIG-Assisted Affordable Units, applications will be scored based on the extent to which the Net Density of the Project exceeds the required density specified in IIG Guidelines Section 303(c)(4), for a maximum of 30 points. Density calculations shall be evidenced by a date- stamped map certified by a licensed State of California professional, such as an architect, engineer, or surveyor.</t>
    </r>
  </si>
  <si>
    <t>Net Density will be adjusted by unit size (and commercial space as applicable), Please see "Consolidated Scoring Appendix" for example and methology.</t>
  </si>
  <si>
    <t>Adjusted Net Density as a Percentage of Required Density</t>
  </si>
  <si>
    <t>Uploaded?</t>
  </si>
  <si>
    <t>(A) Eight (8) points for a Project within one-quarter mile of a Transit Station or Major Transit Stop.</t>
  </si>
  <si>
    <r>
      <t>Proximity to Transit (</t>
    </r>
    <r>
      <rPr>
        <u/>
        <sz val="11"/>
        <color rgb="FFC00000"/>
        <rFont val="Arial"/>
        <family val="2"/>
      </rPr>
      <t>8 points</t>
    </r>
    <r>
      <rPr>
        <u/>
        <sz val="11"/>
        <rFont val="Arial"/>
        <family val="2"/>
      </rPr>
      <t>)</t>
    </r>
    <r>
      <rPr>
        <sz val="11"/>
        <rFont val="Arial"/>
        <family val="2"/>
      </rPr>
      <t xml:space="preserve"> – Points will be awarded based on the walkable route between the Rental Housing Development and a Transit Station or Major Transit Stop as follows: Make selection from dropdown menu below.</t>
    </r>
  </si>
  <si>
    <t>(B) Six (6) points for a Project within one-half mile of a Transit Station or a Major Transit Stop located in an area of high segregation and poverty or low resource opportunity area (see TCAC/HCD Opportunity Area Maps) or disadvantaged community pursuant to Senate Bill 535 and Assembly Bill 1550.</t>
  </si>
  <si>
    <t>Four (4) points for a Project within one-half mile of a Transit Station or a Major Transit Stop.</t>
  </si>
  <si>
    <t xml:space="preserve">These transit points shall be measured by a Walkable Route from the nearest boundary of the project to the outer boundary of the site of the Transit Station or Major Transit Stop. </t>
  </si>
  <si>
    <r>
      <rPr>
        <u/>
        <sz val="12"/>
        <rFont val="Arial"/>
        <family val="2"/>
      </rPr>
      <t>Prohousing Policies (2 points)</t>
    </r>
    <r>
      <rPr>
        <sz val="12"/>
        <rFont val="Arial"/>
        <family val="2"/>
      </rPr>
      <t xml:space="preserve"> – Points will be awarded based on the extent to which the Project meets the following: </t>
    </r>
  </si>
  <si>
    <t xml:space="preserve">Two (2) points will be awarded to Projects located in jurisdictions that have been designated prohousing based upon their adoption of prohousing local policies, pursuant to the Department’s Prohousing Designation Program. The Department shall designate jurisdictions as prohousing pursuant to applicable law and report these designations to the Office of Planning and Research, and any other applicable agency or department, annually and upon request. </t>
  </si>
  <si>
    <t>Prohousing Designation Program</t>
  </si>
  <si>
    <t>Is Project located in a Jurisdiction that has been designated "Prohousing" based upon their adoption of prohousing local policies, pursuant to the Department’s Prohousing Designation Program?</t>
  </si>
  <si>
    <r>
      <t xml:space="preserve">For Projects located in jurisdictions that are </t>
    </r>
    <r>
      <rPr>
        <b/>
        <sz val="11"/>
        <rFont val="Arial"/>
        <family val="2"/>
      </rPr>
      <t>not</t>
    </r>
    <r>
      <rPr>
        <sz val="11"/>
        <rFont val="Arial"/>
        <family val="2"/>
      </rPr>
      <t xml:space="preserve"> designated prohousing pursuant to the Department’s Prohousing Designation Program, but have applied for the designation, </t>
    </r>
    <r>
      <rPr>
        <sz val="11"/>
        <color rgb="FFC00000"/>
        <rFont val="Arial"/>
        <family val="2"/>
      </rPr>
      <t>one (1) point</t>
    </r>
    <r>
      <rPr>
        <sz val="11"/>
        <rFont val="Arial"/>
        <family val="2"/>
      </rPr>
      <t xml:space="preserve"> will be awarded </t>
    </r>
    <r>
      <rPr>
        <sz val="11"/>
        <color rgb="FF0000FF"/>
        <rFont val="Arial"/>
        <family val="2"/>
      </rPr>
      <t>if the jurisdiction has at least 3 of the following in place</t>
    </r>
    <r>
      <rPr>
        <sz val="11"/>
        <rFont val="Arial"/>
        <family val="2"/>
      </rPr>
      <t xml:space="preserve">: Must select at least 3 </t>
    </r>
    <r>
      <rPr>
        <b/>
        <sz val="11"/>
        <rFont val="Arial"/>
        <family val="2"/>
      </rPr>
      <t xml:space="preserve">different </t>
    </r>
    <r>
      <rPr>
        <sz val="11"/>
        <rFont val="Arial"/>
        <family val="2"/>
      </rPr>
      <t>options from the menues below.</t>
    </r>
  </si>
  <si>
    <t>Sponsor or Applicants certifies to have applied for Prohousing Designation pursuant to the Department’s Prohousing Designation Program</t>
  </si>
  <si>
    <t>IV</t>
  </si>
  <si>
    <t>Tiebreaker Score</t>
  </si>
  <si>
    <r>
      <t>In the event of tied point scores, the Department shall rank tied applications based on</t>
    </r>
    <r>
      <rPr>
        <sz val="11"/>
        <color rgb="FFC00000"/>
        <rFont val="Arial"/>
        <family val="2"/>
      </rPr>
      <t xml:space="preserve"> three factors</t>
    </r>
    <r>
      <rPr>
        <sz val="11"/>
        <color theme="1"/>
        <rFont val="Arial"/>
        <family val="2"/>
      </rPr>
      <t xml:space="preserve">: </t>
    </r>
    <r>
      <rPr>
        <sz val="11"/>
        <color rgb="FF0000FF"/>
        <rFont val="Arial"/>
        <family val="2"/>
      </rPr>
      <t>the lowest weighted average affordability of all residential units</t>
    </r>
    <r>
      <rPr>
        <sz val="11"/>
        <color theme="1"/>
        <rFont val="Arial"/>
        <family val="2"/>
      </rPr>
      <t xml:space="preserve">, </t>
    </r>
    <r>
      <rPr>
        <sz val="11"/>
        <color rgb="FF0000FF"/>
        <rFont val="Arial"/>
        <family val="2"/>
      </rPr>
      <t>leverage of other funds</t>
    </r>
    <r>
      <rPr>
        <sz val="11"/>
        <color theme="1"/>
        <rFont val="Arial"/>
        <family val="2"/>
      </rPr>
      <t xml:space="preserve">, and </t>
    </r>
    <r>
      <rPr>
        <sz val="11"/>
        <color rgb="FF0000FF"/>
        <rFont val="Arial"/>
        <family val="2"/>
      </rPr>
      <t>additional cost containment</t>
    </r>
    <r>
      <rPr>
        <sz val="11"/>
        <color theme="1"/>
        <rFont val="Arial"/>
        <family val="2"/>
      </rPr>
      <t>, which shall be computed as follows:</t>
    </r>
  </si>
  <si>
    <t>Lowest weighted average affordability of all residential units.</t>
  </si>
  <si>
    <t xml:space="preserve">Multiply each income limit applicable to the Project by the number of adjusted Units restricted at that income level (market rate units, which do not include units subject to rent and/or occupancy restrictions at 70 percent or 80 percent AMI, shall be designated 100 percent AMI). </t>
  </si>
  <si>
    <t>Leverage of other funds</t>
  </si>
  <si>
    <t>Applications will be scored based on the leverage of other soft funds, meaning local public funds, including land donations or fee waivers to be used for permanent funding of the development costs attributable to the Restricted Units as a percentage of the total Project development cost.</t>
  </si>
  <si>
    <t>Land donations will be counted as leveraged funds where the value is established with a current appraisal, with the amount discounted to reflect a purchase price that is lower than the appraised value, or any fees, or other reliably predictable payments required as a condition of the donation. </t>
  </si>
  <si>
    <t>Sponsor or Applicants certifies that land donations will be counted as leveraged funds where the value is established with a current appraisal, with the amount discounted to reflect a purchase price that is lower than the appraised value, or any fees, or other reliably predictable payments required as a condition of the donation. </t>
  </si>
  <si>
    <t>Add the sum of all eligible soft funds as set forth in paragraphs (A) and (B).</t>
  </si>
  <si>
    <t xml:space="preserve">Add the sum of all Department funding sources (as set forth in the eligible use of funds section above). </t>
  </si>
  <si>
    <t>Divide (C) by (D) and express as a decimal</t>
  </si>
  <si>
    <t>Multiply the resulting decimal in paragraph (E) by 0.90.</t>
  </si>
  <si>
    <t>V.</t>
  </si>
  <si>
    <t>Award of Funds</t>
  </si>
  <si>
    <t>Spondor or Applicants certifies to have read and understand all items therein, "Consolidated Scoring Appendix", section V. "Award of Funds"?</t>
  </si>
  <si>
    <t>Supportive Services Plan</t>
  </si>
  <si>
    <t>Adult day care</t>
    <phoneticPr fontId="0" type="noConversion"/>
  </si>
  <si>
    <t xml:space="preserve">Instructions: All Projects that include Supportive Housing and Special Needs units must complete a Supportive Services Plan. The checklist below shall serve as a guide to ensure that the Supportive Services Plan is complete. </t>
  </si>
  <si>
    <t>Attendant care</t>
  </si>
  <si>
    <t>Part I.</t>
  </si>
  <si>
    <t>Tenant Selection Narrative</t>
  </si>
  <si>
    <t>Educational services</t>
  </si>
  <si>
    <t>Section 1: Tenant Selection Criteria</t>
  </si>
  <si>
    <t>Legal assistance</t>
    <phoneticPr fontId="0" type="noConversion"/>
  </si>
  <si>
    <t>Part II.</t>
  </si>
  <si>
    <t>Lead Service Provider (LSP) Detail</t>
  </si>
  <si>
    <t>Life skills training</t>
  </si>
  <si>
    <t>Section 1: Lead Service Provider (LSP)</t>
  </si>
  <si>
    <t>Units Targeting Supportive Housing (SH) Populations</t>
  </si>
  <si>
    <t>Overall Total</t>
  </si>
  <si>
    <t>MHP Assisted</t>
  </si>
  <si>
    <t>Linkage to out-placements</t>
  </si>
  <si>
    <t>Section 2: Best Practices in Service Delivery</t>
  </si>
  <si>
    <t>Medication management</t>
  </si>
  <si>
    <t xml:space="preserve">Part III. </t>
  </si>
  <si>
    <t xml:space="preserve">Supportive Services Detail </t>
  </si>
  <si>
    <t>Chronic Homeless</t>
  </si>
  <si>
    <t>Parenting education (family Projects)</t>
  </si>
  <si>
    <t>Section 1: Supportive Services Chart</t>
  </si>
  <si>
    <t>Units Targeting Special Needs Populations (SNP)</t>
  </si>
  <si>
    <t>Peer support &amp; advocacy</t>
  </si>
  <si>
    <t>Section 2: Supportive Services Coordination</t>
  </si>
  <si>
    <t>Representative payee</t>
  </si>
  <si>
    <t>Section 3: Verification from Appropriate Public or Non-Profit Funding Agency</t>
  </si>
  <si>
    <t>Social &amp; rec activities</t>
  </si>
  <si>
    <t xml:space="preserve">Part IV. </t>
  </si>
  <si>
    <t>Tenant Safety and Engagement</t>
  </si>
  <si>
    <t>Section 1: Tenant Engagement</t>
  </si>
  <si>
    <t>Section 2: Safety and Security</t>
  </si>
  <si>
    <t>Chronically Homeless (SH REQUIRED)</t>
  </si>
  <si>
    <t>Individuals living with physical or sensory disabilities and transitioning from hospitals, nursing homes, development centers, or other care facilities</t>
  </si>
  <si>
    <t xml:space="preserve">Part V. </t>
  </si>
  <si>
    <t>Staffing</t>
  </si>
  <si>
    <t>Persons with HIV/AIDS</t>
  </si>
  <si>
    <t>Individuals living with developmental disabilities, serious mental illness or substance abuse disorders</t>
  </si>
  <si>
    <t>Section 1: Staffing Chart</t>
  </si>
  <si>
    <t>Intellectual or Developmentally Disabled Households (including Autism)</t>
  </si>
  <si>
    <t>Individuals who are survivors of domestic violence, sexual assault, and human trafficking</t>
  </si>
  <si>
    <t>Section 2: Staffing Ratios</t>
  </si>
  <si>
    <t>Agricultural Workers</t>
  </si>
  <si>
    <t>Individuals who are experiencing Homelessness</t>
  </si>
  <si>
    <t xml:space="preserve">Part VI. </t>
  </si>
  <si>
    <t>Supportive Services Budget</t>
  </si>
  <si>
    <t>Homeless Persons or Persons At-Risk of Becoming Homeless</t>
  </si>
  <si>
    <t>Individuals with HIV</t>
  </si>
  <si>
    <t>Section 1: Supportive Services Budget Table &amp; Cost Per Unit Table</t>
  </si>
  <si>
    <t>Fleeing domestic violence, sexual abuse or human trafficking</t>
  </si>
  <si>
    <t>Homeless youth as defined in Government Code (GC) Section 12957(e)(2)</t>
  </si>
  <si>
    <t>Section 2: Budget Narrative and Funding Commitments</t>
  </si>
  <si>
    <t>Family reunification</t>
  </si>
  <si>
    <t>Families in the child welfare system for whom the absence of housing is a barrier to family reunification, as certified by a county</t>
  </si>
  <si>
    <t>Section 3: Service Funding History Table</t>
  </si>
  <si>
    <t>Frail Elderly</t>
  </si>
  <si>
    <t>Frequent users of public health or mental health services, as identified by a public health or mental health agency</t>
  </si>
  <si>
    <t xml:space="preserve">Part VII. </t>
  </si>
  <si>
    <t>Collaboration, Measurable Outcomes and Plan for Evaluation</t>
  </si>
  <si>
    <t>Homeless Youth as defined in Government Code 12597(e)(2)</t>
  </si>
  <si>
    <t>Frail Elderly persons</t>
  </si>
  <si>
    <t>Section 1: Collaboration</t>
  </si>
  <si>
    <t>Physical or sensory disabled and transitioning from care facilities</t>
  </si>
  <si>
    <t>Other specific groups with unique housing needs as determined by the Department</t>
  </si>
  <si>
    <t>Section 2: Measurable Outcomes</t>
  </si>
  <si>
    <t>Serious mental illness or substance abuse disorders</t>
  </si>
  <si>
    <t>Section 3: Plan for Evaluation</t>
  </si>
  <si>
    <t>Part I. Tenant Selection Narrative</t>
  </si>
  <si>
    <t xml:space="preserve">This section asks for a detailed description of your tenant selection process. Using the titled sections below, your narrative should be as specific as possible, delineating the roles of property management and the Lead Service Provider and how these functions will be coordinated. Your description should clearly and conclusively document processes to ensure tenant selection and Housing First Practices. </t>
  </si>
  <si>
    <t>1. Target Tenant Population and Eligibility Criteria</t>
  </si>
  <si>
    <t xml:space="preserve">a. Do you use Housing First Practices? </t>
  </si>
  <si>
    <t>b. Describe the criteria that will be used to ensure that applicants are eligible to occupy the units targeting the populations as identified above. This should include the criteria relating to the applicant's income eligibility, homeless status (SH Chronic Homeless, SNP Homeless or at risk of becoming homeless, or other SNP), and disability.</t>
  </si>
  <si>
    <t>c. Describe any additional eligibility criteria other than those indicated above, i.e., information needed to determine if applicant can comply with lease terms. Note: Selection criteria designed to assess anything other than the ability to comply with lease terms generally run afoul of fair housing laws designed to protect equal access to housing for people with disabilities.</t>
  </si>
  <si>
    <t>See Between the Lines, A Question and Answer Guide on Legal Issues in Supportive Housing Chapter 4.</t>
  </si>
  <si>
    <t xml:space="preserve">d. List the tenant disclosures you provide to applicants/tenants. Example: Megan's Law disclosures. </t>
  </si>
  <si>
    <t>e. How you will use the local Coordinated Entry System (CES) for selecting tenants? If the local Coordinated Entry System is not yet operational, describe your plan to
   use it for tenant selection when it is established. In your response, include the name and contact information for your system contact person.</t>
  </si>
  <si>
    <t>2. Marketing/Outreach</t>
  </si>
  <si>
    <t>a. Describe marketing/outreach efforts to publicize to potential tenants.</t>
  </si>
  <si>
    <t xml:space="preserve">b. If your tenants will include minor children and / or adult dependents, describe the specific marketing outreach that will be used to publicize unit availability. </t>
  </si>
  <si>
    <t>c. For units restricted to Supportive Housing (SH) and Special Need Populations (SNP), describe your plan to prioritize highly vulnerable households referred by the local CES.</t>
  </si>
  <si>
    <t xml:space="preserve">d. Describe your plan to coordinate directly and accept referrals for homeless from emergency shelters, safe havens, drop-in centers, domestic violence shelters,
    family shelters and street outreach programs frequented by the vulnerable experiencing homelessness. </t>
  </si>
  <si>
    <t>3. Characteristics of SH and SNP</t>
  </si>
  <si>
    <t>a. Please confirm compliance by checking all of the characteristics that apply to the units in your Project:</t>
  </si>
  <si>
    <t>Tenant holds a lease in his/her name and is responsible for paying rent?</t>
  </si>
  <si>
    <t>Tenant has his/her own room or apt. and is individually responsible for selecting a roommate in any shared tenancy?</t>
  </si>
  <si>
    <t xml:space="preserve">Tenant may stay as long as he/she pays his/her share of rent and complies with the terms of his/her lease? </t>
  </si>
  <si>
    <t>Unit is subject to applicable state and federal landlord tenant laws?</t>
  </si>
  <si>
    <t>Participation in services or any particular service shall not be required as a condition of tenancy?</t>
  </si>
  <si>
    <t>b. Typically, all the characteristics listed above must be present in order for the Project to be eligible as SH and SNP. Please explain mitigating circumstances for any missing characteristic.</t>
  </si>
  <si>
    <t>Part II. Lead Service Provider (LSP) Detail</t>
  </si>
  <si>
    <t>Section 1: LSP</t>
  </si>
  <si>
    <t xml:space="preserve">The LSP is the entity that has overall responsibility for the provision of supportive services &amp; implementation of the Supportive Services Plan. The LSP provides comprehensive case management services (individualized services planning &amp; the provision of connections to mental health, substance use, employment, health, housing retention) and may also coordinate with other agencies that do so. </t>
  </si>
  <si>
    <t>&gt;=3</t>
  </si>
  <si>
    <r>
      <rPr>
        <sz val="11"/>
        <color rgb="FF0000FF"/>
        <rFont val="Arial"/>
        <family val="2"/>
      </rPr>
      <t>1.</t>
    </r>
    <r>
      <rPr>
        <sz val="11"/>
        <color theme="1"/>
        <rFont val="Arial"/>
        <family val="2"/>
      </rPr>
      <t xml:space="preserve"> LSP name:</t>
    </r>
  </si>
  <si>
    <t>Relationship to Sponsor:</t>
  </si>
  <si>
    <t>&lt;2 years</t>
  </si>
  <si>
    <t>&gt;=2 Years</t>
  </si>
  <si>
    <t>Years of experience providing services for Special Needs Population?</t>
  </si>
  <si>
    <t>Years of experience providing services for Supportive Housing?</t>
  </si>
  <si>
    <t>Years of experience serving Veterans experiencing Homelessness in permanent Supportive or Transitional Housing ?</t>
  </si>
  <si>
    <t>&gt;=4 Years</t>
  </si>
  <si>
    <t>Years of experience providing services for Supportive Housing or Transitiona Housing?</t>
  </si>
  <si>
    <t>&gt;=5 Years</t>
  </si>
  <si>
    <t>Zero Years</t>
  </si>
  <si>
    <t xml:space="preserve">Number of Projects or contracts in permanent Supportive or Transitional Housing? </t>
  </si>
  <si>
    <t>&gt;=3 &lt;=4 Years</t>
  </si>
  <si>
    <t>&gt;=4, &lt;5 Years</t>
  </si>
  <si>
    <r>
      <rPr>
        <sz val="11"/>
        <color rgb="FF0000FF"/>
        <rFont val="Arial"/>
        <family val="2"/>
      </rPr>
      <t>2.</t>
    </r>
    <r>
      <rPr>
        <sz val="11"/>
        <color theme="1"/>
        <rFont val="Arial"/>
        <family val="2"/>
      </rPr>
      <t xml:space="preserve"> List any additional agencies that will be providing comprehensive case management services to residents. Describe population(s) they will serve and how their services will be coordinated by the LSP. </t>
    </r>
  </si>
  <si>
    <t>Agency Name</t>
  </si>
  <si>
    <t>Populations the Agency will serve</t>
  </si>
  <si>
    <t>How Services will be Coordinated</t>
  </si>
  <si>
    <t>&gt;=2, &lt;=3 Years</t>
  </si>
  <si>
    <t>&gt;3, &lt;4 Years</t>
  </si>
  <si>
    <t xml:space="preserve">1. Fully describe in the yellow cells below for each question how best practices will be utilized in your service delivery model. Include a description of policies and periodic training plans. For the clinical interventions in this section, include a description of how the intervention is used and to describe training. Note: Do not include definitions of these practices. </t>
  </si>
  <si>
    <r>
      <t xml:space="preserve">a. Supplemental Security Income/Social Security Disability Ins. Outreach, Access, and Recovery (SOAR): </t>
    </r>
    <r>
      <rPr>
        <sz val="11"/>
        <rFont val="Arial"/>
        <family val="2"/>
      </rPr>
      <t>Staff trained prior to lease up?</t>
    </r>
  </si>
  <si>
    <t>b. Critical Time Intervention: Staff trained prior to lease up?</t>
  </si>
  <si>
    <t>c. Trauma-Informed Care: Staff trained prior to lease up?</t>
  </si>
  <si>
    <t>d. Motivational Interviewing: Staff trained prior to lease up?</t>
  </si>
  <si>
    <t>e. Voluntary Moving-on strategies: Staff trained prior to lease up?</t>
  </si>
  <si>
    <t>f. Peer Support (include length of time Peer Support program used, if applicable): Staff trained prior to lease up?</t>
  </si>
  <si>
    <t>2. Fully describe in the yellow cells below for each question how best practices will be utilized in your service delivery model. Include a description of policies and periodic training plans. Describe: (1) the policies and procedures for each best practice, and (2) the plan to train staff.</t>
  </si>
  <si>
    <t>a. Safety and security of staff and residents: Staff trained prior to lease up?</t>
  </si>
  <si>
    <t>b. Case conferencing: Staff trained prior to lease up?</t>
  </si>
  <si>
    <t>d. Communicating the Sponsor's and LSP's program philosophy, values, and principles: Staff trained prior to lease up?</t>
  </si>
  <si>
    <t>e. Rent by residents during periods of hospitalization: Staff trained prior to lease up?</t>
  </si>
  <si>
    <t>f. Resident Privacy and Confidentiality: Staff trained prior to lease up?</t>
  </si>
  <si>
    <t>g. Appropriate communication between property management and service providers: Staff trained prior to lease up?</t>
  </si>
  <si>
    <r>
      <t>h. Making residents aware of the reasonable accommodations procedure:</t>
    </r>
    <r>
      <rPr>
        <b/>
        <sz val="11"/>
        <color theme="1"/>
        <rFont val="Arial"/>
        <family val="2"/>
      </rPr>
      <t xml:space="preserve"> </t>
    </r>
    <r>
      <rPr>
        <sz val="11"/>
        <color theme="1"/>
        <rFont val="Arial"/>
        <family val="2"/>
      </rPr>
      <t>Staff trained prior to lease up?</t>
    </r>
  </si>
  <si>
    <t>i. Receiving and resolving tenant grievances: Staff trained prior to lease up?</t>
  </si>
  <si>
    <t>j. Appropriate responses to tenant crises: Staff trained prior to lease up?</t>
  </si>
  <si>
    <t>k. Harm Reduction practices including retention of tenants regardless of their use of substances: Staff trained prior to lease up?</t>
  </si>
  <si>
    <t>l. Cultural Competency: Staff trained prior to lease up?</t>
  </si>
  <si>
    <t>Part III. Supportive Services Detail</t>
  </si>
  <si>
    <t>Required Services: List and describe all required services to be provided to tenants, including all service needs of the targeted populations as listed above. The chart must include each of the services listed. Please be sure that the services listed address all the service needs of all the target populations as listed above. Attach the agreement or commitment letter for each of the minimum services listed. If the tenant will be referred to another agency for a service, attach an agreement or commitment letter from the agency that will be providing the service directly.</t>
  </si>
  <si>
    <t xml:space="preserve"> Resident Service</t>
  </si>
  <si>
    <t>Service Description</t>
  </si>
  <si>
    <t>Service Provider(s)</t>
  </si>
  <si>
    <t>Relationship to Sponsor</t>
  </si>
  <si>
    <t>Agreement</t>
  </si>
  <si>
    <t>Off-site Service Location</t>
  </si>
  <si>
    <t>List each service separately</t>
  </si>
  <si>
    <t>Describe service, including the frequency and degree to which services are provided.</t>
  </si>
  <si>
    <t>Provider's Name</t>
  </si>
  <si>
    <t>Sponsor, separate division of Sponsor’s organization, or a Project Partner</t>
  </si>
  <si>
    <t>If service will be provided by a non-Sponsor entity, indicate type of agreement under which service will be provided.</t>
  </si>
  <si>
    <t>If service is on-site, leave blank. Enter distance, in miles, to off-site service and resident commuting plan.</t>
  </si>
  <si>
    <t>Case management with individual service plans</t>
  </si>
  <si>
    <t>Benefits counseling and advocacy</t>
  </si>
  <si>
    <t>Mental health care</t>
  </si>
  <si>
    <r>
      <t>Physical health care</t>
    </r>
    <r>
      <rPr>
        <sz val="11"/>
        <color rgb="FFFF0000"/>
        <rFont val="Arial"/>
        <family val="2"/>
      </rPr>
      <t xml:space="preserve"> </t>
    </r>
  </si>
  <si>
    <t>Substance use services</t>
  </si>
  <si>
    <t>Additional Services: List and describe all additional services to be provided to tenants. Indicate on the chart if a particular service is not needed for the target population and insert or attach a justification. Examples of specific services are provided on the left hand column below. If multiple services will be provided in the service categories provided below, attach any additional description. Empty spaces are available at the bottom of the table for the applicant to describe services not listed.</t>
  </si>
  <si>
    <t>Employment &amp; OJT placement/training:
-job search
-resume writing
-interview assistance
-job placement
-OJT training</t>
  </si>
  <si>
    <t>Education assistance/benefits information:
-GI Bill counseling
-college application assistance
-financial aid assistance</t>
  </si>
  <si>
    <t>Financial counseling/debt counseling:
-debt mitigation
-budgeting
-emergency savings
-predatory practices</t>
  </si>
  <si>
    <t>Childcare assistance/services:
-transportation to/from
-onsite daycare
-afterschool care
financial assistance
-parenting education</t>
  </si>
  <si>
    <t>Family law service:
-pro bono legal advice
-no/low cost legal services
-custody disputes
-divorce
-domestic violence restraining orders</t>
  </si>
  <si>
    <t>Life skills/soft skills:
-grooming
-nutrition/cooking
-interpersonal communication
-laundry/household maintenance</t>
  </si>
  <si>
    <t>Legal services:
-reinstatement of benefits after incarceration
-discharge upgrades
-pro bono legal advice
-diversion courts</t>
  </si>
  <si>
    <t>Out-patient family therapy/counseling:
-family counseling
-individual counseling
-couple's counseling</t>
  </si>
  <si>
    <t>Domestic violence support:
-DV center
-restraining order assist.
-safety plan
-contact w/law enforcement
-credit/identity locks</t>
  </si>
  <si>
    <t>Food bank/meal support services:
-no cost/low cost food
-SNAP/TANF support</t>
  </si>
  <si>
    <t>1. Describe the accessibility of community services to which you propose linkages, whether they are on-site or in close proximity to the Project, including the hours they are available, and the frequency, travel time and cost to the tenant for transportation required to access the services to include both public transportation and private transportation services (e.g. van owned by the provider). Provide documentation, in the form of Memorandum of Understanding, Memorandum of Agreement, letters of support or contracts demonstrating who will be responsible for ensuring access to services and how accessibility will be accomplished if not already included in agreement provided for service provision.</t>
  </si>
  <si>
    <t xml:space="preserve">2. Describe how services will accommodate cultural, trauma-based, and disability related barriers to services. </t>
  </si>
  <si>
    <t>3. How long have you worked with the Homeless program Coordinators in your area?</t>
  </si>
  <si>
    <t>Years</t>
  </si>
  <si>
    <t>Months</t>
  </si>
  <si>
    <t>Section 3: Verification from Appropriate Public or Non-profit Funding Agency</t>
  </si>
  <si>
    <t xml:space="preserve">All applications shall include a verification from an appropriate funding entity (either public or non-profit) knowledgeable about the supportive service needs of the targeted population, indicating that the proposed services are appropriate to meet the needs of the targeted SH and SN population(s). The verification shall endorse the primary service provider as a known provider of support services to the target population the sponsor is proposing to serve. The Project Sponsor and/or Service Provider are not eligible to provide the Funding Agency Verification. </t>
  </si>
  <si>
    <t>Please use the attached Supportive Service Verification form from the Appropriate Public or Non-Profit Agency. Please submit one verification for each target population. If appropriate, a single funder may provide a verification for multiple populations (i.e. a County Department of Health Services could provide a verification for a Project serving individuals with HIV/AIDS, Chronic Substance Abuse and Other Chronic Health Conditions). Please be sure to indicate on the verification form the target populations to which each verification applies.</t>
  </si>
  <si>
    <t xml:space="preserve">Part IV. Tenant Safety And Engagement </t>
  </si>
  <si>
    <t xml:space="preserve">Sponsor should describe strategies to engage residents in services, services planning/operations, and in building community and facility operations. Note: The tenant engagement plan is distinct from your marketing and outreach efforts for attracting applicants to the Project. </t>
  </si>
  <si>
    <t>1. Will your services engagement outreach strategy include:</t>
  </si>
  <si>
    <t>Outreach to both applicants and residents?</t>
  </si>
  <si>
    <t>Door-knocking?</t>
    <phoneticPr fontId="0" type="noConversion"/>
  </si>
  <si>
    <t>Leafleting?</t>
  </si>
  <si>
    <t>Assessment prior to leasing?</t>
  </si>
  <si>
    <t>Peer contacts?</t>
    <phoneticPr fontId="0" type="noConversion"/>
  </si>
  <si>
    <t xml:space="preserve">Outreach to organizations that work directly with target population? </t>
  </si>
  <si>
    <t>Other strategies?</t>
  </si>
  <si>
    <t>Please describe:</t>
  </si>
  <si>
    <t>2. Describe your strategies to engage residents in social interaction, building operations, and community involvement within the Project, such as resident councils or
    similar.</t>
  </si>
  <si>
    <t>3. Describe your strategies to engage residents in planning and delivery of resident's services.</t>
  </si>
  <si>
    <t>4. Describe how the physical building space supports social interaction and the provision of services.</t>
  </si>
  <si>
    <t>5. If you plan to conduct tenant satisfaction surveys, describe types of questions asked, how they are reviewed, what you do with results, and how often you conduct this
   survey.</t>
  </si>
  <si>
    <t xml:space="preserve">6. Describe your strategies to engage residents in services, services planning/operations, and in building community and facility operations. Also indicate how those with
    disabilities will be connected to the community within the building. </t>
  </si>
  <si>
    <t>1. Summarize your written policies and procedures on privacy and confidentiality of residents.</t>
  </si>
  <si>
    <t>2. Summarize your written policies and procedures on sign in/out procedures, fire/safety drills, posted local contacts in case of emergency.</t>
  </si>
  <si>
    <t>3. Describe your building design safety features for ensuring resident and staff safety (include lighting, entrance/exits, locked doors, common area locations).</t>
  </si>
  <si>
    <t>4. Summarize your written policies and procedures on ensuring staff safety.</t>
  </si>
  <si>
    <t xml:space="preserve">5. Summarize your written policies for addressing violations of resident/staff safety by residents or staff. </t>
  </si>
  <si>
    <t>6. Describe your guest/visitor policy for residents.</t>
  </si>
  <si>
    <t xml:space="preserve">7. Summarize your written policies for coordination with property management for resolution of tenant issue. </t>
  </si>
  <si>
    <t>Part V. Staffing</t>
  </si>
  <si>
    <t xml:space="preserve">Section 1: Staffing Chart </t>
  </si>
  <si>
    <t>List all staff positions that will provide services to the tenants of the target populations listed above. Include Sponsor or LSP staff positions, and any staff positions of partnering organizations who have committed time to the Project. Include your services coordination staff.  For each position, list the position title, minimum requirements, the full-time equivalent (FTE), the organization under which the position resides, and the location of the position (on-site or off-site).  Attach a copy of each positions duty statement.</t>
  </si>
  <si>
    <t>Note: All staff positions listed here must be reflected in the Supportive Services Budget. Be sure to indicate which staff position will be responsible for Homeless Management Information System data entry. If the cost of supportive service position is included as part of the Project’s operating budget and the position will serve SH and SNP units, that position must be included in this chart.</t>
  </si>
  <si>
    <t>Title</t>
  </si>
  <si>
    <t>Minimum requirements</t>
  </si>
  <si>
    <t>Total FTE:</t>
  </si>
  <si>
    <t>Employing Organization</t>
  </si>
  <si>
    <t>Location</t>
  </si>
  <si>
    <t xml:space="preserve">List each staff position </t>
  </si>
  <si>
    <t>Enter a summary of required staff's experience and education. Note: doesn't take the place of the job description or duty statement.</t>
  </si>
  <si>
    <t>Indicate FTE staff positions for all project units (half-time is 0.5 FTE)</t>
  </si>
  <si>
    <t>Indicate FTE staff positions for SH/SNP (half-time is 0.5 FTE)</t>
  </si>
  <si>
    <t>This could be the LSP, Sponsor or a Project Partner</t>
  </si>
  <si>
    <t>Select "On-Site" or "Off-Site"</t>
  </si>
  <si>
    <t xml:space="preserve">Section 2: Staffing Ratios </t>
  </si>
  <si>
    <t xml:space="preserve">1. Indicate the overall services staffing level for your Project by completing the calculation below. </t>
  </si>
  <si>
    <t>a.</t>
  </si>
  <si>
    <t>Total Project Units (not including manager)</t>
  </si>
  <si>
    <t>b.</t>
  </si>
  <si>
    <r>
      <t xml:space="preserve">Total FTE Service Staff from the Staffing Chart </t>
    </r>
    <r>
      <rPr>
        <sz val="11"/>
        <color rgb="FFC00000"/>
        <rFont val="Arial"/>
        <family val="2"/>
      </rPr>
      <t>(cells V186-V195)</t>
    </r>
  </si>
  <si>
    <t>c.</t>
  </si>
  <si>
    <r>
      <t xml:space="preserve">Number of units per FTE Staff Person </t>
    </r>
    <r>
      <rPr>
        <sz val="11"/>
        <color rgb="FFC00000"/>
        <rFont val="Arial"/>
        <family val="2"/>
      </rPr>
      <t>(a÷b)</t>
    </r>
  </si>
  <si>
    <t>2. Complete case manager staffing ratio chart. Include all case mgmt. staff in staffing &amp; budget forms, requires FTE case mgr. to resident ratios be appropriate to specific MHP populations as follows. Higher level staffing resulting in higher ratio is allowable:</t>
  </si>
  <si>
    <t>Population Type</t>
  </si>
  <si>
    <t>SH Chronic Homeless</t>
  </si>
  <si>
    <t>SNP Homeless with Disability</t>
  </si>
  <si>
    <t>SNP Other</t>
  </si>
  <si>
    <t>Maximum Case Mgr. Ratio</t>
  </si>
  <si>
    <t>1:20</t>
  </si>
  <si>
    <t>1:25</t>
  </si>
  <si>
    <t>1:40</t>
  </si>
  <si>
    <t>SH Chronic Homeless Case Manager Staffing Ratio</t>
  </si>
  <si>
    <t>a.</t>
    <phoneticPr fontId="0" type="noConversion"/>
  </si>
  <si>
    <t>Total units for SH Chronic Homeless</t>
  </si>
  <si>
    <t>b.</t>
    <phoneticPr fontId="0" type="noConversion"/>
  </si>
  <si>
    <t>Total case manager FTE devoted to tenants</t>
  </si>
  <si>
    <t>c.</t>
    <phoneticPr fontId="0" type="noConversion"/>
  </si>
  <si>
    <r>
      <t xml:space="preserve">Number of  units per case manager FTE </t>
    </r>
    <r>
      <rPr>
        <sz val="11"/>
        <color rgb="FFC00000"/>
        <rFont val="Arial"/>
        <family val="2"/>
      </rPr>
      <t>(a÷b)</t>
    </r>
  </si>
  <si>
    <t>SNP Homeless with Disability Case Manager Staffing Ratio</t>
  </si>
  <si>
    <t>d.</t>
    <phoneticPr fontId="0" type="noConversion"/>
  </si>
  <si>
    <t>Total  units for SNP Homeless with Disability per §7301(z)</t>
  </si>
  <si>
    <t>e.</t>
    <phoneticPr fontId="0" type="noConversion"/>
  </si>
  <si>
    <t xml:space="preserve">Total case manager FTE devoted to tenants </t>
  </si>
  <si>
    <t>f.</t>
    <phoneticPr fontId="0" type="noConversion"/>
  </si>
  <si>
    <r>
      <t xml:space="preserve">Number units per case manager FTE </t>
    </r>
    <r>
      <rPr>
        <sz val="11"/>
        <color rgb="FFC00000"/>
        <rFont val="Arial"/>
        <family val="2"/>
      </rPr>
      <t>(e÷f)</t>
    </r>
  </si>
  <si>
    <t>SNP Other Case Manager Staffing Ratio</t>
  </si>
  <si>
    <t>g.</t>
  </si>
  <si>
    <r>
      <t xml:space="preserve">Total units for </t>
    </r>
    <r>
      <rPr>
        <b/>
        <sz val="11"/>
        <rFont val="Arial"/>
        <family val="2"/>
      </rPr>
      <t>SNP Other</t>
    </r>
    <r>
      <rPr>
        <sz val="11"/>
        <rFont val="Arial"/>
        <family val="2"/>
      </rPr>
      <t xml:space="preserve"> per </t>
    </r>
    <r>
      <rPr>
        <b/>
        <sz val="11"/>
        <rFont val="Arial"/>
        <family val="2"/>
      </rPr>
      <t>§7301(z)</t>
    </r>
    <r>
      <rPr>
        <sz val="11"/>
        <rFont val="Arial"/>
        <family val="2"/>
      </rPr>
      <t/>
    </r>
  </si>
  <si>
    <t>h.</t>
  </si>
  <si>
    <r>
      <t>Number of units per case manager FTE</t>
    </r>
    <r>
      <rPr>
        <sz val="11"/>
        <color rgb="FFC00000"/>
        <rFont val="Arial"/>
        <family val="2"/>
      </rPr>
      <t xml:space="preserve"> (g÷h)</t>
    </r>
  </si>
  <si>
    <t>Part VI. Supportive Services Budget</t>
  </si>
  <si>
    <r>
      <rPr>
        <b/>
        <sz val="11"/>
        <color rgb="FF0000FF"/>
        <rFont val="Arial"/>
        <family val="2"/>
      </rPr>
      <t>Section 1: Supportive Services Budget</t>
    </r>
    <r>
      <rPr>
        <sz val="11"/>
        <color theme="1"/>
        <rFont val="Arial"/>
        <family val="2"/>
      </rPr>
      <t xml:space="preserve">
In the table below, provide a line item breakdown for all costs associated to Supportive Services for the entire project. This should include income, expenses, staff, and in-kind services. A funding source should be identified for all costs, if available, showing as committed or non-committed sources of funding. Total SS expenses cannot be greater than income and external sources of funding.</t>
    </r>
  </si>
  <si>
    <t>Supportive services expenses included as part of the Project's Operating Budget (as documented in the MHP Application) must be included in this Supportive Services Budget below. These funds should be equal to or less than the maximum allowable amount identified in the Supportive Services Cost calculator (S2-Supportive Service Costs tab). Additionally, these funds must be listed as "Project Operations" in the Income Source column and as "Not Committed" in the Status column.</t>
  </si>
  <si>
    <t>Income Source/Program Name</t>
  </si>
  <si>
    <t>Amount</t>
  </si>
  <si>
    <t>Type</t>
  </si>
  <si>
    <t>Status</t>
  </si>
  <si>
    <t>% of Total Budget</t>
  </si>
  <si>
    <t>Total Revenue:</t>
  </si>
  <si>
    <t>Expense Item</t>
  </si>
  <si>
    <t>Staff Salaries: List by title of position. (This list must match the Staffing Chart above.)</t>
  </si>
  <si>
    <t>Staff Position</t>
  </si>
  <si>
    <t>FTE:</t>
  </si>
  <si>
    <t xml:space="preserve">Fringe Benefits </t>
  </si>
  <si>
    <t>Total Staff Expenses</t>
  </si>
  <si>
    <t>Tenant Transportation</t>
    <phoneticPr fontId="0" type="noConversion"/>
  </si>
  <si>
    <t>Equipment</t>
  </si>
  <si>
    <t>Supplies</t>
  </si>
  <si>
    <t>Travel</t>
  </si>
  <si>
    <t>Office Rent/Occupancy Costs (don't include rent/leasing costs for SH units)</t>
  </si>
  <si>
    <t>Training</t>
  </si>
  <si>
    <t>Consultants: List by Function</t>
  </si>
  <si>
    <t>Subcontractors/Partners (list by Entity &amp; Service Type)</t>
  </si>
  <si>
    <t>Other Expenses (type in expense description)</t>
  </si>
  <si>
    <t>Supportive Services Cost Per Unit: Permanent supportive housing best practice suggests a range between $5,000 - $10,000 annually in services per household, depending upon the intensity of the needs of the target population. Complete the following calculation about supportive services cost per unit for your Project. If your supportive services cost per unit, as calculated below, differ from industry practice, provide a narrative explanation. The Project must meet/address the industry standard.</t>
  </si>
  <si>
    <t>Supportive Services Expense Per Unit Calculation</t>
  </si>
  <si>
    <t>Total Overall Units</t>
  </si>
  <si>
    <t>Total Supportive Housing units</t>
  </si>
  <si>
    <t>Total Transitional Housing units</t>
  </si>
  <si>
    <r>
      <t>Total overall SH/TC units</t>
    </r>
    <r>
      <rPr>
        <sz val="11"/>
        <color rgb="FFC00000"/>
        <rFont val="Arial"/>
        <family val="2"/>
      </rPr>
      <t xml:space="preserve"> (a+b)</t>
    </r>
  </si>
  <si>
    <t>d.</t>
  </si>
  <si>
    <t xml:space="preserve">Total supportive service expenses </t>
  </si>
  <si>
    <t>e.</t>
  </si>
  <si>
    <r>
      <t xml:space="preserve">Total Supportive Service Expenses per unit </t>
    </r>
    <r>
      <rPr>
        <sz val="11"/>
        <color rgb="FFC00000"/>
        <rFont val="Arial"/>
        <family val="2"/>
      </rPr>
      <t>(d÷c)</t>
    </r>
  </si>
  <si>
    <t>Total Project Assisted Units</t>
  </si>
  <si>
    <t>f.</t>
  </si>
  <si>
    <t>Total project Assisted Supportive Housing units</t>
  </si>
  <si>
    <r>
      <rPr>
        <sz val="11"/>
        <rFont val="Arial"/>
        <family val="2"/>
      </rPr>
      <t xml:space="preserve">Total project Assisted units </t>
    </r>
    <r>
      <rPr>
        <sz val="11"/>
        <color rgb="FFC00000"/>
        <rFont val="Arial"/>
        <family val="2"/>
      </rPr>
      <t>(f+g)</t>
    </r>
  </si>
  <si>
    <t>i</t>
  </si>
  <si>
    <r>
      <t>Percentage of project SH/TC assisted units</t>
    </r>
    <r>
      <rPr>
        <sz val="11"/>
        <color rgb="FFC00000"/>
        <rFont val="Arial"/>
        <family val="2"/>
      </rPr>
      <t xml:space="preserve"> (h÷c)</t>
    </r>
  </si>
  <si>
    <t>j.</t>
  </si>
  <si>
    <r>
      <t xml:space="preserve">Total Estimated costs attributed to project SH/SNP assisted units </t>
    </r>
    <r>
      <rPr>
        <sz val="11"/>
        <color rgb="FFC00000"/>
        <rFont val="Arial"/>
        <family val="2"/>
      </rPr>
      <t>(d*i)</t>
    </r>
  </si>
  <si>
    <t>1. Describe how budgeted amounts are adequate to provide services described in Supportive Services Plan and in Services Staffing Table:</t>
  </si>
  <si>
    <t xml:space="preserve">2. Document committed funds with letter from committing agency that includes the following. Documented services/funding must appear in Supportive Services Budget Table. </t>
  </si>
  <si>
    <t>a) Project name; b) Description of services to be funded or provided; c) Dollar value of funds or in-kind services. If cash is provided, state funding source; d) Funding term or service provision; e) A description and history of agency/organization providing funding or services.</t>
  </si>
  <si>
    <t>3. For funding that is not yet committed, specifically describe your experience filling major services funding gaps in similar housing.</t>
  </si>
  <si>
    <t>4. Describe in specific terms the plan to fill any service gaps that occur during Project life due to expiration of grants, partner withdrawals, cancellation of a commitment or any other reason. Describe experience filling service gaps caused by loss of major funding sources.</t>
  </si>
  <si>
    <t>The purpose of this section is to document the funding history of the LSP. The LSP shall document a history of securing supportive service funding sufficient for HCD to make a determination that the provider will be able to access funds from the programs that fund the services identified in the Supportive Services Chart. List only funding obtained in the last five years. Complete the table containing the information required below:</t>
  </si>
  <si>
    <t xml:space="preserve">Funding History for: </t>
  </si>
  <si>
    <t>Source of Funds/Funding Program</t>
  </si>
  <si>
    <t>Purpose of Award (Use of Funds)</t>
  </si>
  <si>
    <t>Award Date &amp; Funding Term</t>
  </si>
  <si>
    <t>Population(s) Served</t>
  </si>
  <si>
    <t>Part VII. Collaboration, Measurable Outcomes and Plan for Evaluation</t>
  </si>
  <si>
    <t>Industry practice indicates that services are often best delivered by entities with specialized expertise. Consequently, effective projects are based on collaboration among organizations with different types of service expertise, or by specialized divisions within an organization. Project sponsors must document collaboration between two or more service providers. Applications will be deemed to meet the collaboration criteria if the application documents a commitment from a service organization other than the Applicant or affiliates of the Applicant to provide a portion of the services to project residents. Cooperation among specialized intra-organizational service programs, groups, or departments may also qualify as collaboration.</t>
  </si>
  <si>
    <t>Based on the contracts you attached between you and nonaffiliated service providers, explain the collaboration between you and the service providers. Include a short narrative describing the collaborative relationship with the outside service provider or an intra-organizational service program, group, or department that is listed in the Supportive Service Chart. Describe the specific services with which the collaborative entity will be involved.</t>
  </si>
  <si>
    <t xml:space="preserve">Outcomes are what you expect to happen for the people served by your project. Outcomes are sometimes called results. Outcome objectives are time-specific measurable goals that identify how you know if you are achieving your desired results. Outcome objectives are sometimes called outcome benchmarks or indicators. </t>
  </si>
  <si>
    <t xml:space="preserve">Please categorize the outcomes for your project into the following three categories: </t>
  </si>
  <si>
    <t>Category</t>
  </si>
  <si>
    <t>Outcomes</t>
  </si>
  <si>
    <t>Outcome Objectives</t>
  </si>
  <si>
    <t>Residential Stability: tenants maintain permanent housing (see examples in cell comments to the right)</t>
  </si>
  <si>
    <t>Increased Skills and/or Income: tenants gain job-related skills, participate in job-related training and/or education, gain stipend part-time or full-time supported employment, gain access to mainstream service/income support programs for which they are eligible (see examples in cell comments to the right)</t>
  </si>
  <si>
    <t>Greater Self- Determination: tenants gain daily living skills and ability to plan and advocate for themselves to maximize independence and self-sufficiency (see examples in cell comments to the right)</t>
  </si>
  <si>
    <t>1. Describe your evaluation plan. Include how you intend to collect, track and analyze data on the effectiveness of your project, including the outcomes projected above. Indicate who will analyze the data and perform your program evaluation. (e.g., staff, consultant, etc.).</t>
  </si>
  <si>
    <t>2. If you intend to collect and evaluate service utilization data from public systems (e.g., hospitals, jails, mental health and substance use treatment, emergency housing, etc.), indicate how the data will be tracked prior to and during occupancy to show measurable change over time. Also, identify who will be gathering the information, where the data comes from, the system for gathering the data, and how often the data will be gathered.</t>
  </si>
  <si>
    <t>Development Team Contacts and Legislative Information</t>
  </si>
  <si>
    <t>Contact Type</t>
  </si>
  <si>
    <t>Entity Legal Name</t>
  </si>
  <si>
    <t>Address</t>
  </si>
  <si>
    <t>Zip Code</t>
  </si>
  <si>
    <t>Auth Rep Name</t>
  </si>
  <si>
    <t>Email</t>
  </si>
  <si>
    <t>Phone #</t>
  </si>
  <si>
    <t>Contact Name</t>
  </si>
  <si>
    <r>
      <t>Title</t>
    </r>
    <r>
      <rPr>
        <b/>
        <sz val="11"/>
        <color theme="0" tint="-0.249977111117893"/>
        <rFont val="Arial"/>
        <family val="2"/>
      </rPr>
      <t>2</t>
    </r>
  </si>
  <si>
    <r>
      <t>Email</t>
    </r>
    <r>
      <rPr>
        <b/>
        <sz val="11"/>
        <color theme="0" tint="-0.249977111117893"/>
        <rFont val="Arial"/>
        <family val="2"/>
      </rPr>
      <t>2</t>
    </r>
  </si>
  <si>
    <r>
      <t>Phone #</t>
    </r>
    <r>
      <rPr>
        <b/>
        <sz val="11"/>
        <color theme="0" tint="-0.249977111117893"/>
        <rFont val="Arial"/>
        <family val="2"/>
      </rPr>
      <t>2</t>
    </r>
  </si>
  <si>
    <t>Contact Address</t>
  </si>
  <si>
    <r>
      <t>City</t>
    </r>
    <r>
      <rPr>
        <b/>
        <sz val="11"/>
        <color theme="0" tint="-0.249977111117893"/>
        <rFont val="Arial"/>
        <family val="2"/>
      </rPr>
      <t>2</t>
    </r>
  </si>
  <si>
    <r>
      <t>State</t>
    </r>
    <r>
      <rPr>
        <b/>
        <sz val="11"/>
        <color theme="0" tint="-0.249977111117893"/>
        <rFont val="Arial"/>
        <family val="2"/>
      </rPr>
      <t>2</t>
    </r>
  </si>
  <si>
    <r>
      <t>Zip Code</t>
    </r>
    <r>
      <rPr>
        <b/>
        <sz val="11"/>
        <color theme="0" tint="-0.249977111117893"/>
        <rFont val="Arial"/>
        <family val="2"/>
      </rPr>
      <t>2</t>
    </r>
  </si>
  <si>
    <t>Owner / Borrower Entity</t>
  </si>
  <si>
    <t>Administrative GP #1</t>
  </si>
  <si>
    <t>Administrative GP #2</t>
  </si>
  <si>
    <t>Property Management Agent</t>
  </si>
  <si>
    <t>Financial Consultant</t>
  </si>
  <si>
    <t>Lead (primary) Service Provider</t>
  </si>
  <si>
    <t>Borrower Legal Counsel</t>
  </si>
  <si>
    <t>General Contractor</t>
  </si>
  <si>
    <t>Architect</t>
  </si>
  <si>
    <t>Congressperson Name(s)</t>
  </si>
  <si>
    <t>District #</t>
  </si>
  <si>
    <t>State Senator Name(s)</t>
  </si>
  <si>
    <t>District #2</t>
  </si>
  <si>
    <t xml:space="preserve">State Assembly Member Name(s) </t>
  </si>
  <si>
    <t>District #3</t>
  </si>
  <si>
    <t>Unit Mix, Loan Amounts, Rents, and Subsidy Information.</t>
  </si>
  <si>
    <t>LoanLimitsTbl</t>
  </si>
  <si>
    <t>READ CELL COMMENT</t>
  </si>
  <si>
    <t>IncomeLimitsTbl</t>
  </si>
  <si>
    <t>2021 Income Limits by County and Household Size</t>
  </si>
  <si>
    <t>CountyNumber</t>
  </si>
  <si>
    <t>LoanLimit9Tbl</t>
  </si>
  <si>
    <t>Income and Rent Calculation Tables</t>
  </si>
  <si>
    <t>4% MHP &amp; Serna</t>
  </si>
  <si>
    <t>4% MHP, VHHP &amp; Serna</t>
  </si>
  <si>
    <t>ALL PROGRAMS</t>
  </si>
  <si>
    <t>MHP, VHHP &amp; Serna</t>
  </si>
  <si>
    <t>MHP only</t>
  </si>
  <si>
    <t>2+ Bedrooms</t>
  </si>
  <si>
    <t>3+ Bedrooms</t>
  </si>
  <si>
    <t>LF High(est)</t>
  </si>
  <si>
    <t>Senior</t>
  </si>
  <si>
    <t>Farmworker</t>
  </si>
  <si>
    <t>TOTAL LOAN and GRANT LIMITS</t>
  </si>
  <si>
    <t>If the most restrictive rent applicable to some units are required by another program, such as HOME or USDA Rural Development, to enter these limits ----&gt;</t>
  </si>
  <si>
    <t>Click HERE</t>
  </si>
  <si>
    <t>County</t>
  </si>
  <si>
    <t>Efficiency</t>
  </si>
  <si>
    <t>1 BR</t>
  </si>
  <si>
    <t>2 BR</t>
  </si>
  <si>
    <t>3 BR</t>
  </si>
  <si>
    <t>4+ BR</t>
  </si>
  <si>
    <t>Efficiency2</t>
  </si>
  <si>
    <t>1 BR2</t>
  </si>
  <si>
    <t>2 BR2</t>
  </si>
  <si>
    <t>3 BR2</t>
  </si>
  <si>
    <t>4+ BR2</t>
  </si>
  <si>
    <t>P1-lim50</t>
  </si>
  <si>
    <t>P2-lim50</t>
  </si>
  <si>
    <t>P3-lim50</t>
  </si>
  <si>
    <t>P4-lim50</t>
  </si>
  <si>
    <t>P5-lim50</t>
  </si>
  <si>
    <t>P6-lim50</t>
  </si>
  <si>
    <t>P7-lim50</t>
  </si>
  <si>
    <t>P8-lim50</t>
  </si>
  <si>
    <t>0 BR</t>
  </si>
  <si>
    <t>0 BR2</t>
  </si>
  <si>
    <t>Is subsidy payments over net rent based on Restricted or Proposed Rents?</t>
  </si>
  <si>
    <t>ALAMEDA0.6</t>
  </si>
  <si>
    <t>Alameda</t>
  </si>
  <si>
    <t>TCAC/CDLAC/MHP/CalHFA Income Limits Calculated from HUD 50% Income Limits</t>
  </si>
  <si>
    <t>UNIT MIX BY HCD PROGRAM(S)</t>
  </si>
  <si>
    <t>RENT(S) INFORMATION</t>
  </si>
  <si>
    <t>SUBSIDY INFORMATION</t>
  </si>
  <si>
    <t>ALAMEDA0.55</t>
  </si>
  <si>
    <t>Alpine</t>
  </si>
  <si>
    <t>Income Level</t>
  </si>
  <si>
    <t>Household Size</t>
  </si>
  <si>
    <t>Assisted Units</t>
  </si>
  <si>
    <t>Population Assisted</t>
  </si>
  <si>
    <t>Other Restricted</t>
  </si>
  <si>
    <t>Other HCD Funded</t>
  </si>
  <si>
    <t>Joint
Ventures</t>
  </si>
  <si>
    <t>IIG Grant</t>
  </si>
  <si>
    <t>FWHG Loan Amount</t>
  </si>
  <si>
    <t>VHHP Loan Amount</t>
  </si>
  <si>
    <t>MHP Loan Amount(s)</t>
  </si>
  <si>
    <t>Subsidy Program Name</t>
  </si>
  <si>
    <t>ALAMEDA0.5</t>
  </si>
  <si>
    <t>Amador</t>
  </si>
  <si>
    <t>ALAMEDA0.45</t>
  </si>
  <si>
    <t>Butte</t>
  </si>
  <si>
    <t>ALAMEDA0.4</t>
  </si>
  <si>
    <t>Calaveras</t>
  </si>
  <si>
    <t># of Bedrooms</t>
  </si>
  <si>
    <t>Restricted Income Level</t>
  </si>
  <si>
    <r>
      <rPr>
        <b/>
        <sz val="11"/>
        <color theme="1"/>
        <rFont val="Arial"/>
        <family val="2"/>
      </rPr>
      <t>IIG</t>
    </r>
    <r>
      <rPr>
        <sz val="11"/>
        <color theme="1"/>
        <rFont val="Arial"/>
        <family val="2"/>
      </rPr>
      <t xml:space="preserve">
Assisted</t>
    </r>
  </si>
  <si>
    <r>
      <rPr>
        <b/>
        <sz val="11"/>
        <color theme="1"/>
        <rFont val="Arial"/>
        <family val="2"/>
      </rPr>
      <t>HHC</t>
    </r>
    <r>
      <rPr>
        <sz val="11"/>
        <color theme="1"/>
        <rFont val="Arial"/>
        <family val="2"/>
      </rPr>
      <t xml:space="preserve">
Assisted</t>
    </r>
  </si>
  <si>
    <r>
      <rPr>
        <b/>
        <sz val="11"/>
        <color theme="1"/>
        <rFont val="Arial"/>
        <family val="2"/>
      </rPr>
      <t>TOD</t>
    </r>
    <r>
      <rPr>
        <sz val="11"/>
        <color theme="1"/>
        <rFont val="Arial"/>
        <family val="2"/>
      </rPr>
      <t xml:space="preserve">
Assisted</t>
    </r>
  </si>
  <si>
    <r>
      <rPr>
        <b/>
        <sz val="11"/>
        <color theme="1"/>
        <rFont val="Arial"/>
        <family val="2"/>
      </rPr>
      <t>FWHG</t>
    </r>
    <r>
      <rPr>
        <sz val="11"/>
        <color theme="1"/>
        <rFont val="Arial"/>
        <family val="2"/>
      </rPr>
      <t xml:space="preserve">
Assisted</t>
    </r>
  </si>
  <si>
    <r>
      <rPr>
        <b/>
        <sz val="11"/>
        <color theme="1"/>
        <rFont val="Arial"/>
        <family val="2"/>
      </rPr>
      <t>MHP</t>
    </r>
    <r>
      <rPr>
        <sz val="11"/>
        <color theme="1"/>
        <rFont val="Arial"/>
        <family val="2"/>
      </rPr>
      <t xml:space="preserve">
Assisted</t>
    </r>
  </si>
  <si>
    <r>
      <rPr>
        <b/>
        <sz val="11"/>
        <color theme="1"/>
        <rFont val="Arial"/>
        <family val="2"/>
      </rPr>
      <t>VHHP</t>
    </r>
    <r>
      <rPr>
        <sz val="11"/>
        <color theme="1"/>
        <rFont val="Arial"/>
        <family val="2"/>
      </rPr>
      <t xml:space="preserve">
Assisted</t>
    </r>
  </si>
  <si>
    <t>Chronic Homelessness</t>
  </si>
  <si>
    <t xml:space="preserve">Disability Homelessness </t>
  </si>
  <si>
    <t>Homelessness</t>
  </si>
  <si>
    <r>
      <rPr>
        <sz val="11"/>
        <color rgb="FFC00000"/>
        <rFont val="Arial"/>
        <family val="2"/>
      </rPr>
      <t>TH</t>
    </r>
    <r>
      <rPr>
        <sz val="11"/>
        <color theme="1"/>
        <rFont val="Arial"/>
        <family val="2"/>
      </rPr>
      <t xml:space="preserve"> Chronic Homelessness</t>
    </r>
  </si>
  <si>
    <r>
      <rPr>
        <sz val="11"/>
        <color rgb="FFC00000"/>
        <rFont val="Arial"/>
        <family val="2"/>
      </rPr>
      <t>TH</t>
    </r>
    <r>
      <rPr>
        <sz val="11"/>
        <color theme="1"/>
        <rFont val="Arial"/>
        <family val="2"/>
      </rPr>
      <t xml:space="preserve"> Disability Homelessness</t>
    </r>
  </si>
  <si>
    <r>
      <t xml:space="preserve">Other </t>
    </r>
    <r>
      <rPr>
        <sz val="11"/>
        <color rgb="FFC00000"/>
        <rFont val="Arial"/>
        <family val="2"/>
      </rPr>
      <t>TH</t>
    </r>
    <r>
      <rPr>
        <sz val="11"/>
        <color theme="1"/>
        <rFont val="Arial"/>
        <family val="2"/>
      </rPr>
      <t xml:space="preserve"> Homelessness</t>
    </r>
  </si>
  <si>
    <t>At Risk of Homelessness</t>
  </si>
  <si>
    <t>Senior Housing</t>
  </si>
  <si>
    <t>Agricultural Households</t>
  </si>
  <si>
    <t>Other Special Needs</t>
  </si>
  <si>
    <t>Other HCD Source</t>
  </si>
  <si>
    <t>Other HCD Assisted Units</t>
  </si>
  <si>
    <t>Other HCD Special Needs</t>
  </si>
  <si>
    <t>Total Restricted Units</t>
  </si>
  <si>
    <t>Join Venture Increase</t>
  </si>
  <si>
    <t>IIG Gran Base Limit</t>
  </si>
  <si>
    <t>Total Base Loan Amount</t>
  </si>
  <si>
    <t>Total NC in High(est) RA Loan Amount</t>
  </si>
  <si>
    <r>
      <t>Total Base Loan Amount</t>
    </r>
    <r>
      <rPr>
        <sz val="11"/>
        <color theme="8" tint="0.79998168889431442"/>
        <rFont val="Arial"/>
        <family val="2"/>
      </rPr>
      <t>2</t>
    </r>
  </si>
  <si>
    <t>Total LF NC in High(est) RA Loan Amount</t>
  </si>
  <si>
    <t>Rent Limit Calculation Formula</t>
  </si>
  <si>
    <t>Max Gross Rent</t>
  </si>
  <si>
    <r>
      <t xml:space="preserve">Less Utility Allowance </t>
    </r>
    <r>
      <rPr>
        <b/>
        <sz val="11"/>
        <color theme="1"/>
        <rFont val="Arial"/>
        <family val="2"/>
      </rPr>
      <t>Schedule 1</t>
    </r>
  </si>
  <si>
    <r>
      <t xml:space="preserve">Less Utility Allowance </t>
    </r>
    <r>
      <rPr>
        <b/>
        <sz val="11"/>
        <color theme="1"/>
        <rFont val="Arial"/>
        <family val="2"/>
      </rPr>
      <t>Schedule 2</t>
    </r>
  </si>
  <si>
    <t>Maximum Net Rent</t>
  </si>
  <si>
    <t xml:space="preserve">Proposed Net Rent </t>
  </si>
  <si>
    <t>Monthly Income at Proposed Rents</t>
  </si>
  <si>
    <t>Monthly Income at Maximum Rents</t>
  </si>
  <si>
    <t>Gross Monthly Contract Rent</t>
  </si>
  <si>
    <t>Subsidy Payment Over  Net Rent</t>
  </si>
  <si>
    <t>Units Subsidized</t>
  </si>
  <si>
    <t>Total Monthly Extra Income</t>
  </si>
  <si>
    <t>Gross Monthly Contract Rent2</t>
  </si>
  <si>
    <t>Subsidy Payment Over  Net Rent2</t>
  </si>
  <si>
    <t>Units Subsidized2</t>
  </si>
  <si>
    <t>Total Monthly Extra Income2</t>
  </si>
  <si>
    <t>VLOOKUP Base</t>
  </si>
  <si>
    <t>VLOOKUP Base2</t>
  </si>
  <si>
    <t>VLOOKUP Rents, Other Rents</t>
  </si>
  <si>
    <t>if Homeless</t>
  </si>
  <si>
    <t>Below 30% AMI</t>
  </si>
  <si>
    <t>Max number</t>
  </si>
  <si>
    <t>ALAMEDA0.35</t>
  </si>
  <si>
    <t>Colusa</t>
  </si>
  <si>
    <t>ALAMEDA0.3</t>
  </si>
  <si>
    <t>Contra Costa</t>
  </si>
  <si>
    <t>ALAMEDA0.25</t>
  </si>
  <si>
    <t>Del Norte</t>
  </si>
  <si>
    <t>ALAMEDA0.2</t>
  </si>
  <si>
    <t>El Dorado</t>
  </si>
  <si>
    <t>ALAMEDA0.15</t>
  </si>
  <si>
    <t>ALPINE0.6</t>
  </si>
  <si>
    <t>Glenn</t>
  </si>
  <si>
    <t>ALPINE0.55</t>
  </si>
  <si>
    <t>Humboldt</t>
  </si>
  <si>
    <t>ALPINE0.5</t>
  </si>
  <si>
    <t>Imperial</t>
  </si>
  <si>
    <t>ALPINE0.45</t>
  </si>
  <si>
    <t>Inyo</t>
  </si>
  <si>
    <t>ALPINE0.4</t>
  </si>
  <si>
    <t>Kern</t>
  </si>
  <si>
    <t>ALPINE0.35</t>
  </si>
  <si>
    <t>Kings</t>
  </si>
  <si>
    <t>ALPINE0.3</t>
  </si>
  <si>
    <t>Lake</t>
  </si>
  <si>
    <t>ALPINE0.25</t>
  </si>
  <si>
    <t>Lassen</t>
  </si>
  <si>
    <t>ALPINE0.2</t>
  </si>
  <si>
    <t>Los Angeles</t>
  </si>
  <si>
    <t>ALPINE0.15</t>
  </si>
  <si>
    <t>Madera</t>
  </si>
  <si>
    <t>AMADOR0.6</t>
  </si>
  <si>
    <t>Marin</t>
  </si>
  <si>
    <t>AMADOR0.55</t>
  </si>
  <si>
    <t>Mariposa</t>
  </si>
  <si>
    <t>AMADOR0.5</t>
  </si>
  <si>
    <t>Mendocino</t>
  </si>
  <si>
    <t>AMADOR0.45</t>
  </si>
  <si>
    <t>Merced</t>
  </si>
  <si>
    <t>AMADOR0.4</t>
  </si>
  <si>
    <t>Modoc</t>
  </si>
  <si>
    <t xml:space="preserve">CalHFA 50% Rent Limits </t>
  </si>
  <si>
    <t>AMADOR0.35</t>
  </si>
  <si>
    <t>Mono</t>
  </si>
  <si>
    <t xml:space="preserve">(Assumes  1 person in 0-bedroom, 2 people in a 1 bdrm and 1 additional person per additional bedroom) </t>
  </si>
  <si>
    <t>AMADOR0.3</t>
  </si>
  <si>
    <t>Monterey</t>
  </si>
  <si>
    <t>AMADOR0.25</t>
  </si>
  <si>
    <t>Napa</t>
  </si>
  <si>
    <t xml:space="preserve">Income </t>
  </si>
  <si>
    <t>AMADOR0.2</t>
  </si>
  <si>
    <t>Nevada</t>
  </si>
  <si>
    <t>Level</t>
  </si>
  <si>
    <t>AMADOR0.15</t>
  </si>
  <si>
    <t>Orange</t>
  </si>
  <si>
    <t>BUTTE0.6</t>
  </si>
  <si>
    <t>Placer</t>
  </si>
  <si>
    <t>BUTTE0.55</t>
  </si>
  <si>
    <t>Plumas</t>
  </si>
  <si>
    <t xml:space="preserve">TCAC/CDLAC/MHP Rent Limits </t>
  </si>
  <si>
    <t>BUTTE0.5</t>
  </si>
  <si>
    <t>Riverside</t>
  </si>
  <si>
    <t>(Assumes 1 person in 0-bdrm unit, 1.5 people per bedroom in other units)</t>
  </si>
  <si>
    <t>BUTTE0.45</t>
  </si>
  <si>
    <t>Sacramento</t>
  </si>
  <si>
    <t>BUTTE0.4</t>
  </si>
  <si>
    <t>San Benito</t>
  </si>
  <si>
    <t>BUTTE0.35</t>
  </si>
  <si>
    <t>San Bernardino</t>
  </si>
  <si>
    <t>TCACrentTbl</t>
  </si>
  <si>
    <t>BUTTE0.3</t>
  </si>
  <si>
    <t>San Diego</t>
  </si>
  <si>
    <t>Limit</t>
  </si>
  <si>
    <t>BUTTE0.25</t>
  </si>
  <si>
    <t>San Francisco</t>
  </si>
  <si>
    <t>BUTTE0.2</t>
  </si>
  <si>
    <t>San Joaquin</t>
  </si>
  <si>
    <t>BUTTE0.15</t>
  </si>
  <si>
    <t>San Luis Obispo</t>
  </si>
  <si>
    <t>CALAVERAS0.6</t>
  </si>
  <si>
    <t>San Mateo</t>
  </si>
  <si>
    <t>CALAVERAS0.55</t>
  </si>
  <si>
    <t>Santa Barbara</t>
  </si>
  <si>
    <t>CALAVERAS0.5</t>
  </si>
  <si>
    <t>Santa Clara</t>
  </si>
  <si>
    <t>CALAVERAS0.45</t>
  </si>
  <si>
    <t>Santa Cruz</t>
  </si>
  <si>
    <t>CALAVERAS0.4</t>
  </si>
  <si>
    <t>Shasta</t>
  </si>
  <si>
    <t>CALAVERAS0.35</t>
  </si>
  <si>
    <t>Sierra</t>
  </si>
  <si>
    <t>CALAVERAS0.3</t>
  </si>
  <si>
    <t>Siskiyou</t>
  </si>
  <si>
    <t>CALAVERAS0.25</t>
  </si>
  <si>
    <t>Solano</t>
  </si>
  <si>
    <t>CALAVERAS0.2</t>
  </si>
  <si>
    <t>Sonoma</t>
  </si>
  <si>
    <t>CALAVERAS0.15</t>
  </si>
  <si>
    <t>Stanislaus</t>
  </si>
  <si>
    <t>COLUSA0.6</t>
  </si>
  <si>
    <t>Sutter</t>
  </si>
  <si>
    <t>COLUSA0.55</t>
  </si>
  <si>
    <t>Tehama</t>
  </si>
  <si>
    <t>COLUSA0.5</t>
  </si>
  <si>
    <t>Trinity</t>
  </si>
  <si>
    <t>COLUSA0.45</t>
  </si>
  <si>
    <t>Tulare</t>
  </si>
  <si>
    <t>COLUSA0.4</t>
  </si>
  <si>
    <t>Tuolumne</t>
  </si>
  <si>
    <t>COLUSA0.35</t>
  </si>
  <si>
    <t>Ventura</t>
  </si>
  <si>
    <t>Other Rent Limits</t>
  </si>
  <si>
    <t>Rent/Operating Subsidy Programs</t>
  </si>
  <si>
    <t>COLUSA0.3</t>
  </si>
  <si>
    <t>Yolo</t>
  </si>
  <si>
    <t xml:space="preserve">Enter below any rent limits that are both the most restrictive and that are required by sources other than tax credits, bonds, or MHP (e.g.. HOME or USDA Rural Development).  </t>
  </si>
  <si>
    <t>Subsidy Program Name:</t>
  </si>
  <si>
    <t>COLUSA0.25</t>
  </si>
  <si>
    <t>Yuba</t>
  </si>
  <si>
    <t>Subsidy Program Component:</t>
  </si>
  <si>
    <t>COLUSA0.2</t>
  </si>
  <si>
    <t>COLUSA0.15</t>
  </si>
  <si>
    <t>Weighted average</t>
  </si>
  <si>
    <t>OtherRentLimitTbl</t>
  </si>
  <si>
    <t>Gross Rent Limits / Unit Size (Bdrms)</t>
  </si>
  <si>
    <t>Subsidy Currently in Place?</t>
  </si>
  <si>
    <t>CONTRA COSTA0.6</t>
  </si>
  <si>
    <t>AMI</t>
  </si>
  <si>
    <t>%</t>
  </si>
  <si>
    <t>Tie Breaker</t>
  </si>
  <si>
    <t>0</t>
  </si>
  <si>
    <t>1</t>
  </si>
  <si>
    <t>2</t>
  </si>
  <si>
    <t>3</t>
  </si>
  <si>
    <t>4</t>
  </si>
  <si>
    <t>5</t>
  </si>
  <si>
    <t>CONTRA COSTA0.55</t>
  </si>
  <si>
    <t>Date Application Submitted or to be Submitted:</t>
  </si>
  <si>
    <t>CONTRA COSTA0.5</t>
  </si>
  <si>
    <t>CONTRA COSTA0.45</t>
  </si>
  <si>
    <t>CONTRA COSTA0.4</t>
  </si>
  <si>
    <t>Date Award Expected:</t>
  </si>
  <si>
    <t>CONTRA COSTA0.35</t>
  </si>
  <si>
    <t>Contract Term (Years):</t>
  </si>
  <si>
    <t>CONTRA COSTA0.3</t>
  </si>
  <si>
    <t>Expected 1st Year Amount, if not based on contract rents:</t>
  </si>
  <si>
    <t>CONTRA COSTA0.25</t>
  </si>
  <si>
    <t>CONTRA COSTA0.2</t>
  </si>
  <si>
    <t>CONTRA COSTA0.15</t>
  </si>
  <si>
    <t>Basis for Subsequent Amounts, if not based on contract rents:</t>
  </si>
  <si>
    <t>DEL NORTE0.6</t>
  </si>
  <si>
    <t>DEL NORTE0.55</t>
  </si>
  <si>
    <t>DEL NORTE0.5</t>
  </si>
  <si>
    <t>DEL NORTE0.45</t>
  </si>
  <si>
    <t>DEL NORTE0.4</t>
  </si>
  <si>
    <t>DEL NORTE0.35</t>
  </si>
  <si>
    <t>DEL NORTE0.3</t>
  </si>
  <si>
    <t>DEL NORTE0.25</t>
  </si>
  <si>
    <t>DEL NORTE0.2</t>
  </si>
  <si>
    <t>Manager</t>
  </si>
  <si>
    <t>DEL NORTE0.15</t>
  </si>
  <si>
    <t>Market</t>
  </si>
  <si>
    <t>EL DORADO0.6</t>
  </si>
  <si>
    <t>EL DORADO0.55</t>
  </si>
  <si>
    <t>Total</t>
  </si>
  <si>
    <t>Description of other rent limits</t>
  </si>
  <si>
    <t>EL DORADO0.5</t>
  </si>
  <si>
    <t>EL DORADO0.45</t>
  </si>
  <si>
    <t>All Programs</t>
  </si>
  <si>
    <t>Below, enter all "Other" Unrestricted Units</t>
  </si>
  <si>
    <t>EL DORADO0.4</t>
  </si>
  <si>
    <t>Net Density Factor</t>
  </si>
  <si>
    <t>Bedrooms</t>
  </si>
  <si>
    <t>Proposed Net Rent</t>
  </si>
  <si>
    <t>Monthly Income at Proposed</t>
  </si>
  <si>
    <t>EL DORADO0.35</t>
  </si>
  <si>
    <t>IIG Basic Grant Limit x Units</t>
  </si>
  <si>
    <t>EL DORADO0.3</t>
  </si>
  <si>
    <t>Unit Type AMI</t>
  </si>
  <si>
    <t>0-Bdrm</t>
  </si>
  <si>
    <t>1-Bdrm</t>
  </si>
  <si>
    <t>2-Bdrm</t>
  </si>
  <si>
    <t>3-Bdrm</t>
  </si>
  <si>
    <t>4+Bdrm</t>
  </si>
  <si>
    <t>Manager Unit</t>
  </si>
  <si>
    <t>EL DORADO0.25</t>
  </si>
  <si>
    <t>EL DORADO0.2</t>
  </si>
  <si>
    <t>&lt;= 60% AMI to &gt;50% AMI</t>
  </si>
  <si>
    <t>EL DORADO0.15</t>
  </si>
  <si>
    <t>&lt;= 50% AMI to &gt;40% AMI</t>
  </si>
  <si>
    <t>FRESNO0.6</t>
  </si>
  <si>
    <t>&lt;= 40% AMI to &gt;30% AMI</t>
  </si>
  <si>
    <t>FRESNO0.55</t>
  </si>
  <si>
    <t>&lt;= 30% AMI</t>
  </si>
  <si>
    <t>FRESNO0.5</t>
  </si>
  <si>
    <t>FRESNO0.45</t>
  </si>
  <si>
    <t>FRESNO0.4</t>
  </si>
  <si>
    <t>FRESNO0.35</t>
  </si>
  <si>
    <t>FRESNO0.3</t>
  </si>
  <si>
    <t>FRESNO0.25</t>
  </si>
  <si>
    <t>FRESNO0.2</t>
  </si>
  <si>
    <t>FRESNO0.15</t>
  </si>
  <si>
    <t>GLENN0.6</t>
  </si>
  <si>
    <t>GLENN0.55</t>
  </si>
  <si>
    <t>GLENN0.5</t>
  </si>
  <si>
    <t>GLENN0.45</t>
  </si>
  <si>
    <t>GLENN0.4</t>
  </si>
  <si>
    <t>GLENN0.35</t>
  </si>
  <si>
    <t>GLENN0.3</t>
  </si>
  <si>
    <t>GLENN0.25</t>
  </si>
  <si>
    <t>GLENN0.2</t>
  </si>
  <si>
    <t>GLENN0.15</t>
  </si>
  <si>
    <t>HUMBOLDT0.6</t>
  </si>
  <si>
    <t>HUMBOLDT0.55</t>
  </si>
  <si>
    <t>HUMBOLDT0.5</t>
  </si>
  <si>
    <t>HUMBOLDT0.45</t>
  </si>
  <si>
    <t>HUMBOLDT0.4</t>
  </si>
  <si>
    <t>HUMBOLDT0.35</t>
  </si>
  <si>
    <t>HUMBOLDT0.3</t>
  </si>
  <si>
    <t>HUMBOLDT0.25</t>
  </si>
  <si>
    <t>HUMBOLDT0.2</t>
  </si>
  <si>
    <t>HUMBOLDT0.15</t>
  </si>
  <si>
    <t>IMPERIAL0.6</t>
  </si>
  <si>
    <t>IMPERIAL0.55</t>
  </si>
  <si>
    <t>IMPERIAL0.5</t>
  </si>
  <si>
    <t>IMPERIAL0.45</t>
  </si>
  <si>
    <t>IMPERIAL0.4</t>
  </si>
  <si>
    <t>IMPERIAL0.35</t>
  </si>
  <si>
    <t>IMPERIAL0.3</t>
  </si>
  <si>
    <t>IMPERIAL0.25</t>
  </si>
  <si>
    <t>IMPERIAL0.2</t>
  </si>
  <si>
    <t>IMPERIAL0.15</t>
  </si>
  <si>
    <t>INYO0.6</t>
  </si>
  <si>
    <t>INYO0.55</t>
  </si>
  <si>
    <t>INYO0.5</t>
  </si>
  <si>
    <t>INYO0.45</t>
  </si>
  <si>
    <t>INYO0.4</t>
  </si>
  <si>
    <t>INYO0.35</t>
  </si>
  <si>
    <t>INYO0.3</t>
  </si>
  <si>
    <t>INYO0.25</t>
  </si>
  <si>
    <t>INYO0.2</t>
  </si>
  <si>
    <t>INYO0.15</t>
  </si>
  <si>
    <t>KERN0.6</t>
  </si>
  <si>
    <t>KERN0.55</t>
  </si>
  <si>
    <t>KERN0.5</t>
  </si>
  <si>
    <t>KERN0.45</t>
  </si>
  <si>
    <t>KERN0.4</t>
  </si>
  <si>
    <t>KERN0.35</t>
  </si>
  <si>
    <t>KERN0.3</t>
  </si>
  <si>
    <t>KERN0.25</t>
  </si>
  <si>
    <t>KERN0.2</t>
  </si>
  <si>
    <t>KERN0.15</t>
  </si>
  <si>
    <t>KINGS0.6</t>
  </si>
  <si>
    <t>KINGS0.55</t>
  </si>
  <si>
    <t>KINGS0.5</t>
  </si>
  <si>
    <t>KINGS0.45</t>
  </si>
  <si>
    <t>KINGS0.4</t>
  </si>
  <si>
    <t>KINGS0.35</t>
  </si>
  <si>
    <t>KINGS0.3</t>
  </si>
  <si>
    <t>KINGS0.25</t>
  </si>
  <si>
    <t>KINGS0.2</t>
  </si>
  <si>
    <t>KINGS0.15</t>
  </si>
  <si>
    <t>LAKE0.6</t>
  </si>
  <si>
    <t>LAKE0.55</t>
  </si>
  <si>
    <t>LAKE0.5</t>
  </si>
  <si>
    <t>LAKE0.45</t>
  </si>
  <si>
    <t>LAKE0.4</t>
  </si>
  <si>
    <t>LAKE0.35</t>
  </si>
  <si>
    <t>LAKE0.3</t>
  </si>
  <si>
    <t>LAKE0.25</t>
  </si>
  <si>
    <t>LAKE0.2</t>
  </si>
  <si>
    <t>LAKE0.15</t>
  </si>
  <si>
    <t>LASSEN0.6</t>
  </si>
  <si>
    <t>LASSEN0.55</t>
  </si>
  <si>
    <t>LASSEN0.5</t>
  </si>
  <si>
    <t>LASSEN0.45</t>
  </si>
  <si>
    <t>LASSEN0.4</t>
  </si>
  <si>
    <t>LASSEN0.35</t>
  </si>
  <si>
    <t>LASSEN0.3</t>
  </si>
  <si>
    <t>LASSEN0.25</t>
  </si>
  <si>
    <t>LASSEN0.2</t>
  </si>
  <si>
    <t>LASSEN0.15</t>
  </si>
  <si>
    <t>LOS ANGELES0.6</t>
  </si>
  <si>
    <t>LOS ANGELES0.55</t>
  </si>
  <si>
    <t>LOS ANGELES0.5</t>
  </si>
  <si>
    <t>LOS ANGELES0.45</t>
  </si>
  <si>
    <t>LOS ANGELES0.4</t>
  </si>
  <si>
    <t>LOS ANGELES0.35</t>
  </si>
  <si>
    <t>LOS ANGELES0.3</t>
  </si>
  <si>
    <t>LOS ANGELES0.25</t>
  </si>
  <si>
    <t>LOS ANGELES0.2</t>
  </si>
  <si>
    <t>LOS ANGELES0.15</t>
  </si>
  <si>
    <t>MADERA0.6</t>
  </si>
  <si>
    <t>MADERA0.55</t>
  </si>
  <si>
    <t>MADERA0.5</t>
  </si>
  <si>
    <t>MADERA0.45</t>
  </si>
  <si>
    <t>MADERA0.4</t>
  </si>
  <si>
    <t>MADERA0.35</t>
  </si>
  <si>
    <t>MADERA0.3</t>
  </si>
  <si>
    <t>MADERA0.25</t>
  </si>
  <si>
    <t>MADERA0.2</t>
  </si>
  <si>
    <t>MADERA0.15</t>
  </si>
  <si>
    <t>MARIN0.6</t>
  </si>
  <si>
    <t>MARIN0.55</t>
  </si>
  <si>
    <t>MARIN0.5</t>
  </si>
  <si>
    <t>MARIN0.45</t>
  </si>
  <si>
    <t>MARIN0.4</t>
  </si>
  <si>
    <t>MARIN0.35</t>
  </si>
  <si>
    <t>MARIN0.3</t>
  </si>
  <si>
    <t>MARIN0.25</t>
  </si>
  <si>
    <t>MARIN0.2</t>
  </si>
  <si>
    <t>MARIN0.15</t>
  </si>
  <si>
    <t>MARIPOSA0.6</t>
  </si>
  <si>
    <t>MARIPOSA0.55</t>
  </si>
  <si>
    <t>MARIPOSA0.5</t>
  </si>
  <si>
    <t>MARIPOSA0.45</t>
  </si>
  <si>
    <t>MARIPOSA0.4</t>
  </si>
  <si>
    <t>MARIPOSA0.35</t>
  </si>
  <si>
    <t>MARIPOSA0.3</t>
  </si>
  <si>
    <t>MARIPOSA0.25</t>
  </si>
  <si>
    <t>MARIPOSA0.2</t>
  </si>
  <si>
    <t>MARIPOSA0.15</t>
  </si>
  <si>
    <t>MENDOCINO0.6</t>
  </si>
  <si>
    <t>MENDOCINO0.55</t>
  </si>
  <si>
    <t>MENDOCINO0.5</t>
  </si>
  <si>
    <t>MENDOCINO0.45</t>
  </si>
  <si>
    <t>MENDOCINO0.4</t>
  </si>
  <si>
    <t>MENDOCINO0.35</t>
  </si>
  <si>
    <t>MENDOCINO0.3</t>
  </si>
  <si>
    <t>MENDOCINO0.25</t>
  </si>
  <si>
    <t>MENDOCINO0.2</t>
  </si>
  <si>
    <t>MENDOCINO0.15</t>
  </si>
  <si>
    <t>MERCED0.6</t>
  </si>
  <si>
    <t>MERCED0.55</t>
  </si>
  <si>
    <t>MERCED0.5</t>
  </si>
  <si>
    <t>MERCED0.45</t>
  </si>
  <si>
    <t>MERCED0.4</t>
  </si>
  <si>
    <t>MERCED0.35</t>
  </si>
  <si>
    <t>MERCED0.3</t>
  </si>
  <si>
    <t>MERCED0.25</t>
  </si>
  <si>
    <t>MERCED0.2</t>
  </si>
  <si>
    <t>MERCED0.15</t>
  </si>
  <si>
    <t>MODOC0.6</t>
  </si>
  <si>
    <t>MODOC0.55</t>
  </si>
  <si>
    <t>MODOC0.5</t>
  </si>
  <si>
    <t>MODOC0.45</t>
  </si>
  <si>
    <t>MODOC0.4</t>
  </si>
  <si>
    <t>MODOC0.35</t>
  </si>
  <si>
    <t>MODOC0.3</t>
  </si>
  <si>
    <t>MODOC0.25</t>
  </si>
  <si>
    <t>MODOC0.2</t>
  </si>
  <si>
    <t>MODOC0.15</t>
  </si>
  <si>
    <t>MONO0.6</t>
  </si>
  <si>
    <t>MONO0.55</t>
  </si>
  <si>
    <t>MONO0.5</t>
  </si>
  <si>
    <t>MONO0.45</t>
  </si>
  <si>
    <t>MONO0.4</t>
  </si>
  <si>
    <t>MONO0.35</t>
  </si>
  <si>
    <t>MONO0.3</t>
  </si>
  <si>
    <t>MONO0.25</t>
  </si>
  <si>
    <t>MONO0.2</t>
  </si>
  <si>
    <t>MONO0.15</t>
  </si>
  <si>
    <t>MONTEREY0.6</t>
  </si>
  <si>
    <t>MONTEREY0.55</t>
  </si>
  <si>
    <t>MONTEREY0.5</t>
  </si>
  <si>
    <t>MONTEREY0.45</t>
  </si>
  <si>
    <t>MONTEREY0.4</t>
  </si>
  <si>
    <t>MONTEREY0.35</t>
  </si>
  <si>
    <t>MONTEREY0.3</t>
  </si>
  <si>
    <t>MONTEREY0.25</t>
  </si>
  <si>
    <t>MONTEREY0.2</t>
  </si>
  <si>
    <t>MONTEREY0.15</t>
  </si>
  <si>
    <t>NAPA0.6</t>
  </si>
  <si>
    <t>NAPA0.55</t>
  </si>
  <si>
    <t>NAPA0.5</t>
  </si>
  <si>
    <t>NAPA0.45</t>
  </si>
  <si>
    <t>NAPA0.4</t>
  </si>
  <si>
    <t>NAPA0.35</t>
  </si>
  <si>
    <t>NAPA0.3</t>
  </si>
  <si>
    <t>NAPA0.25</t>
  </si>
  <si>
    <t>NAPA0.2</t>
  </si>
  <si>
    <t>NAPA0.15</t>
  </si>
  <si>
    <t>NEVADA0.6</t>
  </si>
  <si>
    <t>NEVADA0.55</t>
  </si>
  <si>
    <t>NEVADA0.5</t>
  </si>
  <si>
    <t>NEVADA0.45</t>
  </si>
  <si>
    <t>NEVADA0.4</t>
  </si>
  <si>
    <t>NEVADA0.35</t>
  </si>
  <si>
    <t>NEVADA0.3</t>
  </si>
  <si>
    <t>NEVADA0.25</t>
  </si>
  <si>
    <t>NEVADA0.2</t>
  </si>
  <si>
    <t>NEVADA0.15</t>
  </si>
  <si>
    <t>ORANGE0.6</t>
  </si>
  <si>
    <t>ORANGE0.55</t>
  </si>
  <si>
    <t>ORANGE0.5</t>
  </si>
  <si>
    <t>ORANGE0.45</t>
  </si>
  <si>
    <t>ORANGE0.4</t>
  </si>
  <si>
    <t>ORANGE0.35</t>
  </si>
  <si>
    <t>ORANGE0.3</t>
  </si>
  <si>
    <t>ORANGE0.25</t>
  </si>
  <si>
    <t>ORANGE0.2</t>
  </si>
  <si>
    <t>ORANGE0.15</t>
  </si>
  <si>
    <t>PLACER0.6</t>
  </si>
  <si>
    <t>PLACER0.55</t>
  </si>
  <si>
    <t>PLACER0.5</t>
  </si>
  <si>
    <t>PLACER0.45</t>
  </si>
  <si>
    <t>PLACER0.4</t>
  </si>
  <si>
    <t>PLACER0.35</t>
  </si>
  <si>
    <t>PLACER0.3</t>
  </si>
  <si>
    <t>PLACER0.25</t>
  </si>
  <si>
    <t>PLACER0.2</t>
  </si>
  <si>
    <t>PLACER0.15</t>
  </si>
  <si>
    <t>PLUMAS0.6</t>
  </si>
  <si>
    <t>PLUMAS0.55</t>
  </si>
  <si>
    <t>PLUMAS0.5</t>
  </si>
  <si>
    <t>PLUMAS0.45</t>
  </si>
  <si>
    <t>PLUMAS0.4</t>
  </si>
  <si>
    <t>PLUMAS0.35</t>
  </si>
  <si>
    <t>PLUMAS0.3</t>
  </si>
  <si>
    <t>PLUMAS0.25</t>
  </si>
  <si>
    <t>PLUMAS0.2</t>
  </si>
  <si>
    <t>PLUMAS0.15</t>
  </si>
  <si>
    <t>RIVERSIDE0.6</t>
  </si>
  <si>
    <t>RIVERSIDE0.55</t>
  </si>
  <si>
    <t>RIVERSIDE0.5</t>
  </si>
  <si>
    <t>RIVERSIDE0.45</t>
  </si>
  <si>
    <t>RIVERSIDE0.4</t>
  </si>
  <si>
    <t>RIVERSIDE0.35</t>
  </si>
  <si>
    <t>RIVERSIDE0.3</t>
  </si>
  <si>
    <t>RIVERSIDE0.25</t>
  </si>
  <si>
    <t>RIVERSIDE0.2</t>
  </si>
  <si>
    <t>RIVERSIDE0.15</t>
  </si>
  <si>
    <t>SACRAMENTO0.6</t>
  </si>
  <si>
    <t>SACRAMENTO0.55</t>
  </si>
  <si>
    <t>SACRAMENTO0.5</t>
  </si>
  <si>
    <t>SACRAMENTO0.45</t>
  </si>
  <si>
    <t>SACRAMENTO0.4</t>
  </si>
  <si>
    <t>SACRAMENTO0.35</t>
  </si>
  <si>
    <t>SACRAMENTO0.3</t>
  </si>
  <si>
    <t>SACRAMENTO0.25</t>
  </si>
  <si>
    <t>SACRAMENTO0.2</t>
  </si>
  <si>
    <t>SACRAMENTO0.15</t>
  </si>
  <si>
    <t>SAN BENITO0.6</t>
  </si>
  <si>
    <t>SAN BENITO0.55</t>
  </si>
  <si>
    <t>SAN BENITO0.5</t>
  </si>
  <si>
    <t>SAN BENITO0.45</t>
  </si>
  <si>
    <t>SAN BENITO0.4</t>
  </si>
  <si>
    <t>SAN BENITO0.35</t>
  </si>
  <si>
    <t>SAN BENITO0.3</t>
  </si>
  <si>
    <t>SAN BENITO0.25</t>
  </si>
  <si>
    <t>SAN BENITO0.2</t>
  </si>
  <si>
    <t>SAN BENITO0.15</t>
  </si>
  <si>
    <t>SAN BERNARDINO0.6</t>
  </si>
  <si>
    <t>SAN BERNARDINO0.55</t>
  </si>
  <si>
    <t>SAN BERNARDINO0.5</t>
  </si>
  <si>
    <t>SAN BERNARDINO0.45</t>
  </si>
  <si>
    <t>SAN BERNARDINO0.4</t>
  </si>
  <si>
    <t>SAN BERNARDINO0.35</t>
  </si>
  <si>
    <t>SAN BERNARDINO0.3</t>
  </si>
  <si>
    <t>SAN BERNARDINO0.25</t>
  </si>
  <si>
    <t>SAN BERNARDINO0.2</t>
  </si>
  <si>
    <t>SAN BERNARDINO0.15</t>
  </si>
  <si>
    <t>SAN DIEGO0.6</t>
  </si>
  <si>
    <t>SAN DIEGO0.55</t>
  </si>
  <si>
    <t>SAN DIEGO0.5</t>
  </si>
  <si>
    <t>SAN DIEGO0.45</t>
  </si>
  <si>
    <t>SAN DIEGO0.4</t>
  </si>
  <si>
    <t>SAN DIEGO0.35</t>
  </si>
  <si>
    <t>SAN DIEGO0.3</t>
  </si>
  <si>
    <t>SAN DIEGO0.25</t>
  </si>
  <si>
    <t>SAN DIEGO0.2</t>
  </si>
  <si>
    <t>SAN DIEGO0.15</t>
  </si>
  <si>
    <t>SAN FRANCISCO0.6</t>
  </si>
  <si>
    <t>SAN FRANCISCO0.55</t>
  </si>
  <si>
    <t>SAN FRANCISCO0.5</t>
  </si>
  <si>
    <t>SAN FRANCISCO0.45</t>
  </si>
  <si>
    <t>SAN FRANCISCO0.4</t>
  </si>
  <si>
    <t>SAN FRANCISCO0.35</t>
  </si>
  <si>
    <t>SAN FRANCISCO0.3</t>
  </si>
  <si>
    <t>SAN FRANCISCO0.25</t>
  </si>
  <si>
    <t>SAN FRANCISCO0.2</t>
  </si>
  <si>
    <t>SAN FRANCISCO0.15</t>
  </si>
  <si>
    <t>SAN JOAQUIN0.6</t>
  </si>
  <si>
    <t>SAN JOAQUIN0.55</t>
  </si>
  <si>
    <t>SAN JOAQUIN0.5</t>
  </si>
  <si>
    <t>SAN JOAQUIN0.45</t>
  </si>
  <si>
    <t>SAN JOAQUIN0.4</t>
  </si>
  <si>
    <t>SAN JOAQUIN0.35</t>
  </si>
  <si>
    <t>SAN JOAQUIN0.3</t>
  </si>
  <si>
    <t>SAN JOAQUIN0.25</t>
  </si>
  <si>
    <t>SAN JOAQUIN0.2</t>
  </si>
  <si>
    <t>SAN JOAQUIN0.15</t>
  </si>
  <si>
    <t>SAN LUIS OBISPO0.6</t>
  </si>
  <si>
    <t>SAN LUIS OBISPO0.55</t>
  </si>
  <si>
    <t>SAN LUIS OBISPO0.5</t>
  </si>
  <si>
    <t>SAN LUIS OBISPO0.45</t>
  </si>
  <si>
    <t>SAN LUIS OBISPO0.4</t>
  </si>
  <si>
    <t>SAN LUIS OBISPO0.35</t>
  </si>
  <si>
    <t>SAN LUIS OBISPO0.3</t>
  </si>
  <si>
    <t>SAN LUIS OBISPO0.25</t>
  </si>
  <si>
    <t>SAN LUIS OBISPO0.2</t>
  </si>
  <si>
    <t>SAN LUIS OBISPO0.15</t>
  </si>
  <si>
    <t>SAN MATEO0.6</t>
  </si>
  <si>
    <t>SAN MATEO0.55</t>
  </si>
  <si>
    <t>SAN MATEO0.5</t>
  </si>
  <si>
    <t>SAN MATEO0.45</t>
  </si>
  <si>
    <t>SAN MATEO0.4</t>
  </si>
  <si>
    <t>SAN MATEO0.35</t>
  </si>
  <si>
    <t>SAN MATEO0.3</t>
  </si>
  <si>
    <t>SAN MATEO0.25</t>
  </si>
  <si>
    <t>SAN MATEO0.2</t>
  </si>
  <si>
    <t>SAN MATEO0.15</t>
  </si>
  <si>
    <t>SANTA BARBARA0.6</t>
  </si>
  <si>
    <t>SANTA BARBARA0.55</t>
  </si>
  <si>
    <t>SANTA BARBARA0.5</t>
  </si>
  <si>
    <t>SANTA BARBARA0.45</t>
  </si>
  <si>
    <t>SANTA BARBARA0.4</t>
  </si>
  <si>
    <t>SANTA BARBARA0.35</t>
  </si>
  <si>
    <t>SANTA BARBARA0.3</t>
  </si>
  <si>
    <t>SANTA BARBARA0.25</t>
  </si>
  <si>
    <t>SANTA BARBARA0.2</t>
  </si>
  <si>
    <t>SANTA BARBARA0.15</t>
  </si>
  <si>
    <t>SANTA CLARA0.6</t>
  </si>
  <si>
    <t>SANTA CLARA0.55</t>
  </si>
  <si>
    <t>SANTA CLARA0.5</t>
  </si>
  <si>
    <t>SANTA CLARA0.45</t>
  </si>
  <si>
    <t>SANTA CLARA0.4</t>
  </si>
  <si>
    <t>SANTA CLARA0.35</t>
  </si>
  <si>
    <t>SANTA CLARA0.3</t>
  </si>
  <si>
    <t>SANTA CLARA0.25</t>
  </si>
  <si>
    <t>SANTA CLARA0.2</t>
  </si>
  <si>
    <t>SANTA CLARA0.15</t>
  </si>
  <si>
    <t>SANTA CRUZ0.6</t>
  </si>
  <si>
    <t>SANTA CRUZ0.55</t>
  </si>
  <si>
    <t>SANTA CRUZ0.5</t>
  </si>
  <si>
    <t>SANTA CRUZ0.45</t>
  </si>
  <si>
    <t>SANTA CRUZ0.4</t>
  </si>
  <si>
    <t>SANTA CRUZ0.35</t>
  </si>
  <si>
    <t>SANTA CRUZ0.3</t>
  </si>
  <si>
    <t>SANTA CRUZ0.25</t>
  </si>
  <si>
    <t>SANTA CRUZ0.2</t>
  </si>
  <si>
    <t>SANTA CRUZ0.15</t>
  </si>
  <si>
    <t>SHASTA0.6</t>
  </si>
  <si>
    <t>SHASTA0.55</t>
  </si>
  <si>
    <t>SHASTA0.5</t>
  </si>
  <si>
    <t>SHASTA0.45</t>
  </si>
  <si>
    <t>SHASTA0.4</t>
  </si>
  <si>
    <t>SHASTA0.35</t>
  </si>
  <si>
    <t>SHASTA0.3</t>
  </si>
  <si>
    <t>SHASTA0.25</t>
  </si>
  <si>
    <t>SHASTA0.2</t>
  </si>
  <si>
    <t>SHASTA0.15</t>
  </si>
  <si>
    <t>SIERRA0.6</t>
  </si>
  <si>
    <t>SIERRA0.55</t>
  </si>
  <si>
    <t>SIERRA0.5</t>
  </si>
  <si>
    <t>SIERRA0.45</t>
  </si>
  <si>
    <t>SIERRA0.4</t>
  </si>
  <si>
    <t>SIERRA0.35</t>
  </si>
  <si>
    <t>SIERRA0.3</t>
  </si>
  <si>
    <t>SIERRA0.25</t>
  </si>
  <si>
    <t>SIERRA0.2</t>
  </si>
  <si>
    <t>SIERRA0.15</t>
  </si>
  <si>
    <t>SISKIYOU0.6</t>
  </si>
  <si>
    <t>SISKIYOU0.55</t>
  </si>
  <si>
    <t>SISKIYOU0.5</t>
  </si>
  <si>
    <t>SISKIYOU0.45</t>
  </si>
  <si>
    <t>SISKIYOU0.4</t>
  </si>
  <si>
    <t>SISKIYOU0.35</t>
  </si>
  <si>
    <t>SISKIYOU0.3</t>
  </si>
  <si>
    <t>SISKIYOU0.25</t>
  </si>
  <si>
    <t>SISKIYOU0.2</t>
  </si>
  <si>
    <t>SISKIYOU0.15</t>
  </si>
  <si>
    <t>SOLANO0.6</t>
  </si>
  <si>
    <t>SOLANO0.55</t>
  </si>
  <si>
    <t>SOLANO0.5</t>
  </si>
  <si>
    <t>SOLANO0.45</t>
  </si>
  <si>
    <t>SOLANO0.4</t>
  </si>
  <si>
    <t>SOLANO0.35</t>
  </si>
  <si>
    <t>SOLANO0.3</t>
  </si>
  <si>
    <t>SOLANO0.25</t>
  </si>
  <si>
    <t>SOLANO0.2</t>
  </si>
  <si>
    <t>SOLANO0.15</t>
  </si>
  <si>
    <t>SONOMA0.6</t>
  </si>
  <si>
    <t>SONOMA0.55</t>
  </si>
  <si>
    <t>SONOMA0.5</t>
  </si>
  <si>
    <t>SONOMA0.45</t>
  </si>
  <si>
    <t>SONOMA0.4</t>
  </si>
  <si>
    <t>SONOMA0.35</t>
  </si>
  <si>
    <t>SONOMA0.3</t>
  </si>
  <si>
    <t>SONOMA0.25</t>
  </si>
  <si>
    <t>SONOMA0.2</t>
  </si>
  <si>
    <t>SONOMA0.15</t>
  </si>
  <si>
    <t>STANISLAUS0.6</t>
  </si>
  <si>
    <t>STANISLAUS0.55</t>
  </si>
  <si>
    <t>STANISLAUS0.5</t>
  </si>
  <si>
    <t>STANISLAUS0.45</t>
  </si>
  <si>
    <t>STANISLAUS0.4</t>
  </si>
  <si>
    <t>STANISLAUS0.35</t>
  </si>
  <si>
    <t>STANISLAUS0.3</t>
  </si>
  <si>
    <t>STANISLAUS0.25</t>
  </si>
  <si>
    <t>STANISLAUS0.2</t>
  </si>
  <si>
    <t>STANISLAUS0.15</t>
  </si>
  <si>
    <t>SUTTER0.6</t>
  </si>
  <si>
    <t>SUTTER0.55</t>
  </si>
  <si>
    <t>SUTTER0.5</t>
  </si>
  <si>
    <t>SUTTER0.45</t>
  </si>
  <si>
    <t>SUTTER0.4</t>
  </si>
  <si>
    <t>SUTTER0.35</t>
  </si>
  <si>
    <t>SUTTER0.3</t>
  </si>
  <si>
    <t>SUTTER0.25</t>
  </si>
  <si>
    <t>SUTTER0.2</t>
  </si>
  <si>
    <t>SUTTER0.15</t>
  </si>
  <si>
    <t>TEHAMA0.6</t>
  </si>
  <si>
    <t>TEHAMA0.55</t>
  </si>
  <si>
    <t>TEHAMA0.5</t>
  </si>
  <si>
    <t>TEHAMA0.45</t>
  </si>
  <si>
    <t>TEHAMA0.4</t>
  </si>
  <si>
    <t>TEHAMA0.35</t>
  </si>
  <si>
    <t>TEHAMA0.3</t>
  </si>
  <si>
    <t>TEHAMA0.25</t>
  </si>
  <si>
    <t>TEHAMA0.2</t>
  </si>
  <si>
    <t>TEHAMA0.15</t>
  </si>
  <si>
    <t>TRINITY0.6</t>
  </si>
  <si>
    <t>TRINITY0.55</t>
  </si>
  <si>
    <t>TRINITY0.5</t>
  </si>
  <si>
    <t>TRINITY0.45</t>
  </si>
  <si>
    <t>TRINITY0.4</t>
  </si>
  <si>
    <t>TRINITY0.35</t>
  </si>
  <si>
    <t>TRINITY0.3</t>
  </si>
  <si>
    <t>TRINITY0.25</t>
  </si>
  <si>
    <t>TRINITY0.2</t>
  </si>
  <si>
    <t>TRINITY0.15</t>
  </si>
  <si>
    <t>TULARE0.6</t>
  </si>
  <si>
    <t>TULARE0.55</t>
  </si>
  <si>
    <t>TULARE0.5</t>
  </si>
  <si>
    <t>TULARE0.45</t>
  </si>
  <si>
    <t>TULARE0.4</t>
  </si>
  <si>
    <t>TULARE0.35</t>
  </si>
  <si>
    <t>TULARE0.3</t>
  </si>
  <si>
    <t>TULARE0.25</t>
  </si>
  <si>
    <t>TULARE0.2</t>
  </si>
  <si>
    <t>TULARE0.15</t>
  </si>
  <si>
    <t>TUOLUMNE0.6</t>
  </si>
  <si>
    <t>TUOLUMNE0.55</t>
  </si>
  <si>
    <t>TUOLUMNE0.5</t>
  </si>
  <si>
    <t>TUOLUMNE0.45</t>
  </si>
  <si>
    <t>TUOLUMNE0.4</t>
  </si>
  <si>
    <t>TUOLUMNE0.35</t>
  </si>
  <si>
    <t>TUOLUMNE0.3</t>
  </si>
  <si>
    <t>TUOLUMNE0.25</t>
  </si>
  <si>
    <t>TUOLUMNE0.2</t>
  </si>
  <si>
    <t>TUOLUMNE0.15</t>
  </si>
  <si>
    <t>VENTURA0.6</t>
  </si>
  <si>
    <t>VENTURA0.55</t>
  </si>
  <si>
    <t>VENTURA0.5</t>
  </si>
  <si>
    <t>VENTURA0.45</t>
  </si>
  <si>
    <t>VENTURA0.4</t>
  </si>
  <si>
    <t>VENTURA0.35</t>
  </si>
  <si>
    <t>VENTURA0.3</t>
  </si>
  <si>
    <t>VENTURA0.25</t>
  </si>
  <si>
    <t>VENTURA0.2</t>
  </si>
  <si>
    <t>VENTURA0.15</t>
  </si>
  <si>
    <t>YOLO0.6</t>
  </si>
  <si>
    <t>YOLO0.55</t>
  </si>
  <si>
    <t>YOLO0.5</t>
  </si>
  <si>
    <t>YOLO0.45</t>
  </si>
  <si>
    <t>YOLO0.4</t>
  </si>
  <si>
    <t>YOLO0.35</t>
  </si>
  <si>
    <t>YOLO0.3</t>
  </si>
  <si>
    <t>YOLO0.25</t>
  </si>
  <si>
    <t>YOLO0.2</t>
  </si>
  <si>
    <t>YOLO0.15</t>
  </si>
  <si>
    <t>YUBA0.6</t>
  </si>
  <si>
    <t>YUBA0.55</t>
  </si>
  <si>
    <t>YUBA0.5</t>
  </si>
  <si>
    <t>YUBA0.45</t>
  </si>
  <si>
    <t>YUBA0.4</t>
  </si>
  <si>
    <t>YUBA0.35</t>
  </si>
  <si>
    <t>YUBA0.3</t>
  </si>
  <si>
    <t>YUBA0.25</t>
  </si>
  <si>
    <t>YUBA0.2</t>
  </si>
  <si>
    <t>YUBA0.15</t>
  </si>
  <si>
    <t>Project Summary</t>
  </si>
  <si>
    <t>Project Name:</t>
  </si>
  <si>
    <t>Development Type:</t>
  </si>
  <si>
    <t>County:</t>
  </si>
  <si>
    <t>Project Type(s) :</t>
  </si>
  <si>
    <t>Large Family</t>
  </si>
  <si>
    <t>High(est) Resource Area</t>
  </si>
  <si>
    <t>Rural Status:</t>
  </si>
  <si>
    <t>Total Department funding shall not exceed 75% of the total development cost.</t>
  </si>
  <si>
    <t>Total Department funds requested</t>
  </si>
  <si>
    <r>
      <t xml:space="preserve">Total Department </t>
    </r>
    <r>
      <rPr>
        <sz val="11"/>
        <color rgb="FFC00000"/>
        <rFont val="Arial"/>
        <family val="2"/>
      </rPr>
      <t>Max</t>
    </r>
    <r>
      <rPr>
        <sz val="11"/>
        <rFont val="Arial"/>
        <family val="2"/>
      </rPr>
      <t xml:space="preserve"> funds "this" project</t>
    </r>
  </si>
  <si>
    <t>TDC per Unit</t>
  </si>
  <si>
    <t>HCD Cost per Unit</t>
  </si>
  <si>
    <r>
      <rPr>
        <b/>
        <sz val="11"/>
        <color rgb="FF0000FF"/>
        <rFont val="Arial"/>
        <family val="2"/>
      </rPr>
      <t>IIG</t>
    </r>
    <r>
      <rPr>
        <sz val="11"/>
        <rFont val="Arial"/>
        <family val="2"/>
      </rPr>
      <t xml:space="preserve"> </t>
    </r>
    <r>
      <rPr>
        <sz val="11"/>
        <color rgb="FFC00000"/>
        <rFont val="Arial"/>
        <family val="2"/>
      </rPr>
      <t>Maximum Allowable CIP Grant Amount</t>
    </r>
  </si>
  <si>
    <r>
      <rPr>
        <b/>
        <sz val="11"/>
        <color rgb="FF0000FF"/>
        <rFont val="Arial"/>
        <family val="2"/>
      </rPr>
      <t>FWHG</t>
    </r>
    <r>
      <rPr>
        <sz val="11"/>
        <rFont val="Arial"/>
        <family val="2"/>
      </rPr>
      <t xml:space="preserve"> </t>
    </r>
    <r>
      <rPr>
        <sz val="11"/>
        <color rgb="FFC00000"/>
        <rFont val="Arial"/>
        <family val="2"/>
      </rPr>
      <t>Maximum Allowable Loan Amount</t>
    </r>
  </si>
  <si>
    <r>
      <rPr>
        <b/>
        <sz val="11"/>
        <color rgb="FF0000FF"/>
        <rFont val="Arial"/>
        <family val="2"/>
      </rPr>
      <t>MHP</t>
    </r>
    <r>
      <rPr>
        <sz val="11"/>
        <rFont val="Arial"/>
        <family val="2"/>
      </rPr>
      <t xml:space="preserve"> </t>
    </r>
    <r>
      <rPr>
        <sz val="11"/>
        <color rgb="FFC00000"/>
        <rFont val="Arial"/>
        <family val="2"/>
      </rPr>
      <t>Maximum Allowable Loan Amount</t>
    </r>
  </si>
  <si>
    <r>
      <rPr>
        <b/>
        <sz val="11"/>
        <color rgb="FF0000FF"/>
        <rFont val="Arial"/>
        <family val="2"/>
      </rPr>
      <t>VHHP</t>
    </r>
    <r>
      <rPr>
        <sz val="11"/>
        <rFont val="Arial"/>
        <family val="2"/>
      </rPr>
      <t xml:space="preserve"> </t>
    </r>
    <r>
      <rPr>
        <sz val="11"/>
        <color rgb="FFC00000"/>
        <rFont val="Arial"/>
        <family val="2"/>
      </rPr>
      <t>Maximum Allowable Loan Amount</t>
    </r>
  </si>
  <si>
    <r>
      <rPr>
        <b/>
        <sz val="11"/>
        <color rgb="FF0000FF"/>
        <rFont val="Arial"/>
        <family val="2"/>
      </rPr>
      <t>Joint Venture</t>
    </r>
    <r>
      <rPr>
        <sz val="11"/>
        <rFont val="Arial"/>
        <family val="2"/>
      </rPr>
      <t xml:space="preserve"> </t>
    </r>
    <r>
      <rPr>
        <sz val="11"/>
        <color rgb="FFC00000"/>
        <rFont val="Arial"/>
        <family val="2"/>
      </rPr>
      <t xml:space="preserve">Maximum </t>
    </r>
    <r>
      <rPr>
        <b/>
        <sz val="11"/>
        <color rgb="FFC00000"/>
        <rFont val="Arial"/>
        <family val="2"/>
      </rPr>
      <t>Increase</t>
    </r>
  </si>
  <si>
    <r>
      <rPr>
        <b/>
        <sz val="11"/>
        <rFont val="Arial"/>
        <family val="2"/>
      </rPr>
      <t>I</t>
    </r>
    <r>
      <rPr>
        <sz val="11"/>
        <rFont val="Arial"/>
        <family val="2"/>
      </rPr>
      <t xml:space="preserve">. </t>
    </r>
    <r>
      <rPr>
        <b/>
        <sz val="11"/>
        <color rgb="FF0000FF"/>
        <rFont val="Arial"/>
        <family val="2"/>
      </rPr>
      <t>IIG</t>
    </r>
    <r>
      <rPr>
        <sz val="11"/>
        <rFont val="Arial"/>
        <family val="2"/>
      </rPr>
      <t xml:space="preserve"> Total Units Base Grant Limit</t>
    </r>
  </si>
  <si>
    <t>Housing Units per Acre (Net Density)</t>
  </si>
  <si>
    <r>
      <t xml:space="preserve">Net Density </t>
    </r>
    <r>
      <rPr>
        <b/>
        <sz val="11"/>
        <color theme="1"/>
        <rFont val="Arial"/>
        <family val="2"/>
      </rPr>
      <t>Adjustment Factor</t>
    </r>
  </si>
  <si>
    <r>
      <rPr>
        <b/>
        <sz val="11"/>
        <rFont val="Arial"/>
        <family val="2"/>
      </rPr>
      <t>I</t>
    </r>
    <r>
      <rPr>
        <sz val="11"/>
        <rFont val="Arial"/>
        <family val="2"/>
      </rPr>
      <t xml:space="preserve">. </t>
    </r>
    <r>
      <rPr>
        <b/>
        <sz val="11"/>
        <color rgb="FF0000FF"/>
        <rFont val="Arial"/>
        <family val="2"/>
      </rPr>
      <t>IIG</t>
    </r>
    <r>
      <rPr>
        <sz val="11"/>
        <rFont val="Arial"/>
        <family val="2"/>
      </rPr>
      <t xml:space="preserve"> Base Grant Limit with </t>
    </r>
    <r>
      <rPr>
        <b/>
        <sz val="11"/>
        <rFont val="Arial"/>
        <family val="2"/>
      </rPr>
      <t>Adjustment</t>
    </r>
    <r>
      <rPr>
        <sz val="11"/>
        <rFont val="Arial"/>
        <family val="2"/>
      </rPr>
      <t xml:space="preserve"> </t>
    </r>
    <r>
      <rPr>
        <b/>
        <sz val="11"/>
        <rFont val="Arial"/>
        <family val="2"/>
      </rPr>
      <t>Factor</t>
    </r>
  </si>
  <si>
    <r>
      <rPr>
        <b/>
        <sz val="11"/>
        <rFont val="Arial"/>
        <family val="2"/>
      </rPr>
      <t>I</t>
    </r>
    <r>
      <rPr>
        <sz val="11"/>
        <rFont val="Arial"/>
        <family val="2"/>
      </rPr>
      <t xml:space="preserve">. </t>
    </r>
    <r>
      <rPr>
        <b/>
        <sz val="11"/>
        <color rgb="FF0000FF"/>
        <rFont val="Arial"/>
        <family val="2"/>
      </rPr>
      <t>FWHG</t>
    </r>
    <r>
      <rPr>
        <sz val="11"/>
        <rFont val="Arial"/>
        <family val="2"/>
      </rPr>
      <t xml:space="preserve"> Restricted Unit Loan Amount</t>
    </r>
  </si>
  <si>
    <r>
      <rPr>
        <b/>
        <sz val="11"/>
        <rFont val="Arial"/>
        <family val="2"/>
      </rPr>
      <t>I</t>
    </r>
    <r>
      <rPr>
        <sz val="11"/>
        <rFont val="Arial"/>
        <family val="2"/>
      </rPr>
      <t xml:space="preserve">. </t>
    </r>
    <r>
      <rPr>
        <b/>
        <sz val="11"/>
        <color rgb="FF0000FF"/>
        <rFont val="Arial"/>
        <family val="2"/>
      </rPr>
      <t>MHP</t>
    </r>
    <r>
      <rPr>
        <sz val="11"/>
        <rFont val="Arial"/>
        <family val="2"/>
      </rPr>
      <t xml:space="preserve"> Restricted Unit Loan Amount</t>
    </r>
  </si>
  <si>
    <r>
      <rPr>
        <b/>
        <sz val="11"/>
        <rFont val="Arial"/>
        <family val="2"/>
      </rPr>
      <t>I</t>
    </r>
    <r>
      <rPr>
        <sz val="11"/>
        <rFont val="Arial"/>
        <family val="2"/>
      </rPr>
      <t xml:space="preserve">. </t>
    </r>
    <r>
      <rPr>
        <b/>
        <sz val="11"/>
        <color rgb="FF0000FF"/>
        <rFont val="Arial"/>
        <family val="2"/>
      </rPr>
      <t>VHHP</t>
    </r>
    <r>
      <rPr>
        <sz val="11"/>
        <rFont val="Arial"/>
        <family val="2"/>
      </rPr>
      <t xml:space="preserve"> Restricted Unit Loan Amount</t>
    </r>
  </si>
  <si>
    <r>
      <rPr>
        <b/>
        <sz val="11"/>
        <rFont val="Arial"/>
        <family val="2"/>
      </rPr>
      <t>II</t>
    </r>
    <r>
      <rPr>
        <sz val="11"/>
        <rFont val="Arial"/>
        <family val="2"/>
      </rPr>
      <t>.Permanent Funding Gap</t>
    </r>
  </si>
  <si>
    <t>TDC</t>
  </si>
  <si>
    <t>minus</t>
  </si>
  <si>
    <t>=</t>
  </si>
  <si>
    <r>
      <rPr>
        <b/>
        <sz val="11"/>
        <rFont val="Arial"/>
        <family val="2"/>
      </rPr>
      <t>III</t>
    </r>
    <r>
      <rPr>
        <sz val="11"/>
        <rFont val="Arial"/>
        <family val="2"/>
      </rPr>
      <t>. Shared Cost Calculation §7304(c)</t>
    </r>
  </si>
  <si>
    <t>Rest Avg. SF</t>
  </si>
  <si>
    <t>All Avg. SF</t>
  </si>
  <si>
    <t>Rest Avg. SF / All Avg. SF</t>
  </si>
  <si>
    <r>
      <rPr>
        <b/>
        <sz val="11"/>
        <rFont val="Arial"/>
        <family val="2"/>
      </rPr>
      <t>IV</t>
    </r>
    <r>
      <rPr>
        <sz val="11"/>
        <rFont val="Arial"/>
        <family val="2"/>
      </rPr>
      <t>.</t>
    </r>
    <r>
      <rPr>
        <b/>
        <sz val="11"/>
        <color rgb="FFC00000"/>
        <rFont val="Arial"/>
        <family val="2"/>
      </rPr>
      <t xml:space="preserve"> </t>
    </r>
    <r>
      <rPr>
        <b/>
        <sz val="11"/>
        <color rgb="FF0000FF"/>
        <rFont val="Arial"/>
        <family val="2"/>
      </rPr>
      <t>IIG</t>
    </r>
    <r>
      <rPr>
        <sz val="11"/>
        <rFont val="Arial"/>
        <family val="2"/>
      </rPr>
      <t xml:space="preserve"> </t>
    </r>
    <r>
      <rPr>
        <sz val="11"/>
        <color rgb="FFC00000"/>
        <rFont val="Arial"/>
        <family val="2"/>
      </rPr>
      <t>NOFA</t>
    </r>
    <r>
      <rPr>
        <sz val="11"/>
        <rFont val="Arial"/>
        <family val="2"/>
      </rPr>
      <t xml:space="preserve"> Maximum per Project Grant Amount</t>
    </r>
  </si>
  <si>
    <r>
      <rPr>
        <b/>
        <sz val="11"/>
        <rFont val="Arial"/>
        <family val="2"/>
      </rPr>
      <t>V</t>
    </r>
    <r>
      <rPr>
        <sz val="11"/>
        <rFont val="Arial"/>
        <family val="2"/>
      </rPr>
      <t>.</t>
    </r>
    <r>
      <rPr>
        <b/>
        <sz val="11"/>
        <color rgb="FFC00000"/>
        <rFont val="Arial"/>
        <family val="2"/>
      </rPr>
      <t xml:space="preserve"> IIG</t>
    </r>
    <r>
      <rPr>
        <sz val="11"/>
        <rFont val="Arial"/>
        <family val="2"/>
      </rPr>
      <t xml:space="preserve"> Program funds being requested</t>
    </r>
  </si>
  <si>
    <r>
      <rPr>
        <b/>
        <sz val="11"/>
        <rFont val="Arial"/>
        <family val="2"/>
      </rPr>
      <t>IV</t>
    </r>
    <r>
      <rPr>
        <sz val="11"/>
        <rFont val="Arial"/>
        <family val="2"/>
      </rPr>
      <t>.</t>
    </r>
    <r>
      <rPr>
        <b/>
        <sz val="11"/>
        <color rgb="FFC00000"/>
        <rFont val="Arial"/>
        <family val="2"/>
      </rPr>
      <t xml:space="preserve"> </t>
    </r>
    <r>
      <rPr>
        <b/>
        <sz val="11"/>
        <color rgb="FF0000FF"/>
        <rFont val="Arial"/>
        <family val="2"/>
      </rPr>
      <t>FWHG</t>
    </r>
    <r>
      <rPr>
        <sz val="11"/>
        <rFont val="Arial"/>
        <family val="2"/>
      </rPr>
      <t xml:space="preserve"> </t>
    </r>
    <r>
      <rPr>
        <sz val="11"/>
        <color rgb="FFC00000"/>
        <rFont val="Arial"/>
        <family val="2"/>
      </rPr>
      <t>NOFA</t>
    </r>
    <r>
      <rPr>
        <sz val="11"/>
        <rFont val="Arial"/>
        <family val="2"/>
      </rPr>
      <t xml:space="preserve"> Maximum per Project Loan Amount</t>
    </r>
  </si>
  <si>
    <r>
      <rPr>
        <b/>
        <sz val="11"/>
        <rFont val="Arial"/>
        <family val="2"/>
      </rPr>
      <t>V</t>
    </r>
    <r>
      <rPr>
        <sz val="11"/>
        <rFont val="Arial"/>
        <family val="2"/>
      </rPr>
      <t>.</t>
    </r>
    <r>
      <rPr>
        <b/>
        <sz val="11"/>
        <color rgb="FFC00000"/>
        <rFont val="Arial"/>
        <family val="2"/>
      </rPr>
      <t xml:space="preserve"> FWHG</t>
    </r>
    <r>
      <rPr>
        <sz val="11"/>
        <rFont val="Arial"/>
        <family val="2"/>
      </rPr>
      <t xml:space="preserve"> Program funds being requested</t>
    </r>
  </si>
  <si>
    <r>
      <rPr>
        <b/>
        <sz val="11"/>
        <rFont val="Arial"/>
        <family val="2"/>
      </rPr>
      <t>IV</t>
    </r>
    <r>
      <rPr>
        <sz val="11"/>
        <rFont val="Arial"/>
        <family val="2"/>
      </rPr>
      <t xml:space="preserve">. </t>
    </r>
    <r>
      <rPr>
        <b/>
        <sz val="11"/>
        <color rgb="FF0000FF"/>
        <rFont val="Arial"/>
        <family val="2"/>
      </rPr>
      <t>MHP</t>
    </r>
    <r>
      <rPr>
        <sz val="11"/>
        <rFont val="Arial"/>
        <family val="2"/>
      </rPr>
      <t xml:space="preserve"> </t>
    </r>
    <r>
      <rPr>
        <sz val="11"/>
        <color rgb="FFC00000"/>
        <rFont val="Arial"/>
        <family val="2"/>
      </rPr>
      <t>NOFA</t>
    </r>
    <r>
      <rPr>
        <sz val="11"/>
        <rFont val="Arial"/>
        <family val="2"/>
      </rPr>
      <t xml:space="preserve"> Maximum per Project Loan Amount</t>
    </r>
  </si>
  <si>
    <r>
      <rPr>
        <b/>
        <sz val="11"/>
        <rFont val="Arial"/>
        <family val="2"/>
      </rPr>
      <t>V</t>
    </r>
    <r>
      <rPr>
        <sz val="11"/>
        <rFont val="Arial"/>
        <family val="2"/>
      </rPr>
      <t xml:space="preserve">. </t>
    </r>
    <r>
      <rPr>
        <b/>
        <sz val="11"/>
        <color rgb="FFC00000"/>
        <rFont val="Arial"/>
        <family val="2"/>
      </rPr>
      <t>MHP</t>
    </r>
    <r>
      <rPr>
        <sz val="11"/>
        <rFont val="Arial"/>
        <family val="2"/>
      </rPr>
      <t xml:space="preserve"> Sponsor Requested Loan Amount</t>
    </r>
  </si>
  <si>
    <r>
      <rPr>
        <b/>
        <sz val="11"/>
        <rFont val="Arial"/>
        <family val="2"/>
      </rPr>
      <t>IV</t>
    </r>
    <r>
      <rPr>
        <sz val="11"/>
        <rFont val="Arial"/>
        <family val="2"/>
      </rPr>
      <t xml:space="preserve">. </t>
    </r>
    <r>
      <rPr>
        <b/>
        <sz val="11"/>
        <color rgb="FF0000FF"/>
        <rFont val="Arial"/>
        <family val="2"/>
      </rPr>
      <t>VHHP</t>
    </r>
    <r>
      <rPr>
        <sz val="11"/>
        <rFont val="Arial"/>
        <family val="2"/>
      </rPr>
      <t xml:space="preserve"> </t>
    </r>
    <r>
      <rPr>
        <sz val="11"/>
        <color rgb="FFC00000"/>
        <rFont val="Arial"/>
        <family val="2"/>
      </rPr>
      <t>NOFA</t>
    </r>
    <r>
      <rPr>
        <sz val="11"/>
        <rFont val="Arial"/>
        <family val="2"/>
      </rPr>
      <t xml:space="preserve"> Maximum per Project Loan Amount</t>
    </r>
  </si>
  <si>
    <r>
      <rPr>
        <b/>
        <sz val="11"/>
        <rFont val="Arial"/>
        <family val="2"/>
      </rPr>
      <t>V</t>
    </r>
    <r>
      <rPr>
        <sz val="11"/>
        <rFont val="Arial"/>
        <family val="2"/>
      </rPr>
      <t xml:space="preserve">. </t>
    </r>
    <r>
      <rPr>
        <b/>
        <sz val="11"/>
        <color rgb="FFC00000"/>
        <rFont val="Arial"/>
        <family val="2"/>
      </rPr>
      <t>VHHP</t>
    </r>
    <r>
      <rPr>
        <sz val="11"/>
        <rFont val="Arial"/>
        <family val="2"/>
      </rPr>
      <t xml:space="preserve"> Sponsor Requested Loan Amount</t>
    </r>
  </si>
  <si>
    <t>At High Risk Project Requirements</t>
  </si>
  <si>
    <r>
      <t>(5)	At High Risk, meaning Projects that meet the requirements for At-risk projects set forth in TCAC Regulations, Title 4 CCR, Division 17, Chapter 1, Section 10325 and that meet all of the additional characteristics in</t>
    </r>
    <r>
      <rPr>
        <sz val="11"/>
        <color theme="9" tint="-0.249977111117893"/>
        <rFont val="Arial"/>
        <family val="2"/>
      </rPr>
      <t xml:space="preserve"> MHP §7302(e)(5)</t>
    </r>
  </si>
  <si>
    <r>
      <rPr>
        <sz val="11"/>
        <color theme="9" tint="-0.249977111117893"/>
        <rFont val="Arial"/>
        <family val="2"/>
      </rPr>
      <t>TCAC §10325(g)(4)</t>
    </r>
    <r>
      <rPr>
        <sz val="11"/>
        <color rgb="FF000000"/>
        <rFont val="Arial"/>
        <family val="2"/>
      </rPr>
      <t xml:space="preserve"> At-risk projects. To be considered At-risk housing, the application shall meet the requirements of </t>
    </r>
    <r>
      <rPr>
        <sz val="11"/>
        <color theme="9" tint="-0.249977111117893"/>
        <rFont val="Arial"/>
        <family val="2"/>
      </rPr>
      <t>Revenue &amp; Taxation (R &amp; T) Code subsection 17058(c)(4)</t>
    </r>
    <r>
      <rPr>
        <sz val="11"/>
        <color rgb="FF000000"/>
        <rFont val="Arial"/>
        <family val="2"/>
      </rPr>
      <t xml:space="preserve">, except as further defined in </t>
    </r>
    <r>
      <rPr>
        <sz val="11"/>
        <color theme="9" tint="-0.249977111117893"/>
        <rFont val="Arial"/>
        <family val="2"/>
      </rPr>
      <t>TCAC §10325(g)(4)(B)(i)</t>
    </r>
    <r>
      <rPr>
        <sz val="11"/>
        <color rgb="FF000000"/>
        <rFont val="Arial"/>
        <family val="2"/>
      </rPr>
      <t xml:space="preserve"> below, as well as the following additional threshold requirements, and other requirements as outlined in this subsection:</t>
    </r>
  </si>
  <si>
    <t>Project Meets/ Does Not Meet</t>
  </si>
  <si>
    <t>(A) Projects are subject to a minimum low-income use period of 55 years (50 years for projects located on tribal trust land);</t>
  </si>
  <si>
    <t>(B) Project application eligibility criteria include:</t>
  </si>
  <si>
    <r>
      <rPr>
        <b/>
        <sz val="11"/>
        <color rgb="FF000000"/>
        <rFont val="Arial"/>
        <family val="2"/>
      </rPr>
      <t>(i)</t>
    </r>
    <r>
      <rPr>
        <sz val="11"/>
        <color rgb="FF000000"/>
        <rFont val="Arial"/>
        <family val="2"/>
      </rPr>
      <t xml:space="preserve"> </t>
    </r>
  </si>
  <si>
    <t>before applying for Tax Credits, the project must meet the At-risk eligibility requirements under the terms of applicable federal and state law as verified by a third party legal opinion, except that a project that has been acquired by a qualified nonprofit organization within the past five years of the date of application with interim financing in order to preserve its affordability and that meets all other requirements of this section, shall be eligible to be considered an “at-risk” project under these regulations. A project application will not qualify in this category unless it is determined by the Committee that the project is at-risk of losing affordability on at least 50% of the restricted units due to market or other conditions;</t>
  </si>
  <si>
    <t>the project, as verified by a third party legal opinion, must currently possess or have had within the past five years from the date of application, either federal mortgage insurance, a federal loan guarantee, federal project-based rental assistance, or, have its mortgage held by a federal agency, or be owned by a federal agency or be currently subject to, or have been subject to, within five years preceding the application deadline, the later of Federal or State Housing Tax Credit restrictions whose compliance period is expiring or has expired within the last five years and at least 50% of whose units are not subject to any other rental restrictions beyond the term of the Tax Credit restrictions;</t>
  </si>
  <si>
    <t xml:space="preserve">as of the date of application filing, the applicant shall have sought available federal incentives to continue the project as low-income housing, including, direct loans, loan forgiveness, grants, rental subsidies, renewal of existing rental subsidy contracts, etc.; </t>
  </si>
  <si>
    <t>(iv)</t>
  </si>
  <si>
    <t>subsidy contract expiration, mortgage prepayment eligibility, or the expiration of Housing Tax Credit restrictions, as verified by a third party legal opinion, shall occur no later than five calendar years after the year in which the application is filed, except in cases where a qualified nonprofit organization acquired the property within the terms of (i) above and would otherwise meet this condition but for: 1) long-term use restrictions imposed by public agencies as a condition of their acquisition financing; or 2) HAP contract renewals secured by the qualified nonprofit organization for the maximum term available subsequent to acquisition;</t>
  </si>
  <si>
    <t>(v)</t>
  </si>
  <si>
    <t>the applicant agrees to renew all project based rental subsidies (such as Section 8 HAP or Section 521 rental assistance contracts) for the maximum term available and shall seek additional renewals throughout the project's useful life, if applicable;</t>
  </si>
  <si>
    <t>(vi)</t>
  </si>
  <si>
    <t>at least seventy percent (70%) of project tenants shall, at the time of application, have incomes at or below sixty percent (60%) of area median income;</t>
  </si>
  <si>
    <t>(vii)</t>
  </si>
  <si>
    <t>the gap between total development costs (excluding developer fee), and all loans and grants to the project (excluding Tax Credit proceeds) must be greater than fifteen percent (15%) of total development costs; and,</t>
  </si>
  <si>
    <t>(viii)</t>
  </si>
  <si>
    <t>a public agency shall provide direct or indirect long-term financial support of at least fifteen percent (15%) of the total project development costs, or the owner’s equity (includes syndication proceeds) shall constitute at least thirty percent (30%) of the total project development cost.</t>
  </si>
  <si>
    <r>
      <t xml:space="preserve">At High Risk Projects must also meet </t>
    </r>
    <r>
      <rPr>
        <b/>
        <sz val="11"/>
        <color rgb="FF0000FF"/>
        <rFont val="Arial"/>
        <family val="2"/>
      </rPr>
      <t>all</t>
    </r>
    <r>
      <rPr>
        <sz val="11"/>
        <color rgb="FF0000FF"/>
        <rFont val="Arial"/>
        <family val="2"/>
      </rPr>
      <t xml:space="preserve"> of the following additional characteristics: §7302(e)(5) </t>
    </r>
  </si>
  <si>
    <t>They are currently owned by for-profit entities, or nonprofits that own no more than three publicly-assisted rental housing developments, or were owned by one of these entities prior to purchase with interim financing no more than five years before the application date by an entity described in the following subsection (B);</t>
  </si>
  <si>
    <t>Meets</t>
  </si>
  <si>
    <r>
      <t xml:space="preserve">They are under contract to be purchased by a nonprofit meeting the requirements of </t>
    </r>
    <r>
      <rPr>
        <sz val="11"/>
        <color theme="9" tint="-0.249977111117893"/>
        <rFont val="Arial"/>
        <family val="2"/>
      </rPr>
      <t>GC, § 65863.11(e)</t>
    </r>
    <r>
      <rPr>
        <sz val="11"/>
        <color rgb="FF000000"/>
        <rFont val="Arial"/>
        <family val="2"/>
      </rPr>
      <t>, or by a limited partnership where the sole general partner is a nonprofit that meets these requirements, or are owned by one of these entities; and</t>
    </r>
  </si>
  <si>
    <r>
      <t xml:space="preserve">They are not subject to rent restrictions associated with financial assistance that will survive the event that qualifies them for at-risk status under </t>
    </r>
    <r>
      <rPr>
        <sz val="11"/>
        <color theme="9" tint="-0.249977111117893"/>
        <rFont val="Arial"/>
        <family val="2"/>
      </rPr>
      <t>TCAC Regulations, Title 4 CCR, Division 17, Chapter 1, Section 10325</t>
    </r>
    <r>
      <rPr>
        <sz val="11"/>
        <color rgb="FF000000"/>
        <rFont val="Arial"/>
        <family val="2"/>
      </rPr>
      <t>, except where a project has been acquired by a qualified nonprofit organization within the five years preceding the date of application with interim financing in order to preserve its affordability and that meets all other requirements of this section.</t>
    </r>
  </si>
  <si>
    <r>
      <t xml:space="preserve">For Projects receiving financial assistance from HUD or the Department of Agriculture, the Project is not assisted under either the </t>
    </r>
    <r>
      <rPr>
        <sz val="11"/>
        <color theme="9" tint="-0.249977111117893"/>
        <rFont val="Arial"/>
        <family val="2"/>
      </rPr>
      <t>HUD 811 or HUD 202 program</t>
    </r>
    <r>
      <rPr>
        <sz val="11"/>
        <color rgb="FF000000"/>
        <rFont val="Arial"/>
        <family val="2"/>
      </rPr>
      <t xml:space="preserve"> or subject to the Low-Income Housing Preservation and Resident Homeownership Act of 1990 (LIHPRHA); and either:</t>
    </r>
  </si>
  <si>
    <t xml:space="preserve">i </t>
  </si>
  <si>
    <t>The weighted average contract rent for units in the Project is less than or equal to 0.90 times the weighted average Small Area Fair Market Rent published by HUD for these units; or</t>
  </si>
  <si>
    <t>ii</t>
  </si>
  <si>
    <t>The Project owner previously opted out of an agreement with a public agency that restricted tenant incomes and tenant-paid rents.</t>
  </si>
  <si>
    <t>For Projects not receiving federal assistance, the Department projects the owner could pay off all current secured debt with the proceeds of a new commercial mortgage, assuming that rents were set at Small Area Fair Market Rent levels.</t>
  </si>
  <si>
    <t>For Projects receiving financial assistance from HUD or Department of Agriculture, and subject to restrictions associated with financial assistance from other sources, the Project must meet the requirements of both subdivision (D) and (E).</t>
  </si>
  <si>
    <t>Individual</t>
  </si>
  <si>
    <t>For-profit</t>
  </si>
  <si>
    <t>no</t>
  </si>
  <si>
    <t>Projects located in jurisdictions permitting missing middle housing uses (e.g., duplexes, triplexes, and fourplexes) by right in existing low-density, single-family residential zones.</t>
  </si>
  <si>
    <t>Joint Venture</t>
  </si>
  <si>
    <t>Nonprofit</t>
  </si>
  <si>
    <t>(A) A general plan, or general plan amendment, adopted per Gov. Code §65300.</t>
  </si>
  <si>
    <t>Projects located in jurisdictions with density bonus programs which exceed statutory requirements by 10 percent or more.</t>
  </si>
  <si>
    <t>Partnership</t>
  </si>
  <si>
    <t>(B) A project area redevelopment plan adopted pursuant to the Health and Safety Code §33330.</t>
  </si>
  <si>
    <t>Projects located in jurisdictions that are increasing allowable density in low-density, single-family residential areas beyond the requirements of state Accessory Dwelling Unit law (e.g., permitting more than one ADU or JADU per single-family lot). These policies shall be separate from any qualifying policies under category (ii) above.</t>
  </si>
  <si>
    <t>Limited Partnership</t>
  </si>
  <si>
    <t>(C) A regional blueprint plan as defined in the California Regional Blueprint Planning Program administered by the Business, Transportation and Housing Agency, or a regional plan as defined in the Government Code section §65060.7.</t>
  </si>
  <si>
    <t>Projects located in jurisdictions that are reducing or eliminating parking requirements for residential development as authorized by Government Code sections 65852.2; adopting vehicular parking ratios that are less than the relevant ratio thresholds at subparagraphs (A), (B), and (C) of Government Code section 65915, subdivision (p)(1); or adopting maximum parking requirements at or less than ratios pursuant to Government Code section 65915, subdivision (p).</t>
  </si>
  <si>
    <t>Trust</t>
  </si>
  <si>
    <t>Projects located in jurisdictions that are zoning to allow for residential or mixed uses in one or more non-residential zones (e.g., commercial, light industrial). Qualifying non-residential zones do not include open space or substantially similar zones.</t>
  </si>
  <si>
    <t>Limited Profit Corporation</t>
  </si>
  <si>
    <t>Projects located in jurisdictions that are modifying development standards and other applicable zoning provisions to promote greater development intensity. Potential areas of focus include floor area ratio; height limits; minimum lot or unit sizes; setbacks; and allowable dwelling units per acre. These policies must be separate from any qualifying policies under Category (ii) above.</t>
  </si>
  <si>
    <t>Limited Liability Corporation</t>
  </si>
  <si>
    <t>Federally Recognized Indian Tribe</t>
  </si>
  <si>
    <t>Projects located in jurisdictions that have adopted a Nondiscretionary Local Approval Process for residential and mixed-use development in all zones permitting multifamily housing, established a Workforce Housing Opportunity Zone, as defined in Government Code section 65620, or a housing sustainability district, as defined in Government Code section 66200.</t>
  </si>
  <si>
    <t>Local Public Entity</t>
  </si>
  <si>
    <t xml:space="preserve">For-profit Corporation </t>
  </si>
  <si>
    <t>Projects located in jurisdictions that zone more sites for residential development or zoning sites at higher densities than is required to accommodate 150 percent of the minimum regional housing need allocation for the Lower-Income allocation in the current housing element cycle.</t>
  </si>
  <si>
    <t>Other legal entity</t>
  </si>
  <si>
    <t>Joint Powers Authority</t>
  </si>
  <si>
    <t>Projects in jurisdictions that have priority permit processing or reduced plan check times for Accessory Dwelling Units (ADUs)/Junior Accessory Dwelling Units (JADUs), multifamily housing, or homes affordable to Lower- or Moderate-Income households.</t>
  </si>
  <si>
    <t>Non-profit Corporation</t>
  </si>
  <si>
    <t>Projects located in jurisdictions that have adopted ordinances or implemented other mechanisms that result in less restrictive requirements than Government Code sections 65852.2 and 65852.22 to reduce barriers for property owners to create ADUs/JADUs. Examples of qualifying policies include, but are not limited to, development standards improvements, permit processing improvements, dedicated ADU/JADU staff, technical assistance programs, and pre-approved ADU/JADU design packages.</t>
  </si>
  <si>
    <t>Non-profit Public Benefit Corporation</t>
  </si>
  <si>
    <t>Projects located in jurisdictions with measures that reduce costs for transportation-related infrastructure or programs that encourage active modes of transportation or other alternatives to automobiles. Qualifying policies include, but are not limited to, publicly funded programs to expand sidewalks or protect bike/micro-mobility lanes; creation of on-street parking for bikes; transit-related improvements; or establishment of carshare programs.</t>
  </si>
  <si>
    <t>Private/Public Partnership</t>
  </si>
  <si>
    <t>Projects located in jurisdictions that have established pre-approved or prototype plans for missing middle housing types (e.g., duplexes, triplexes, and fourplexes) in low-density, single-family residential areas.</t>
  </si>
  <si>
    <t>Public Agency</t>
  </si>
  <si>
    <t>Projects located in jurisdictions that have documented practice of streamlining housing development at the project level, such as by enabling a by-right approval process or by utilizing statutory and categorical exemptions as authorized by applicable law (Pub. Resources Code, sections 21155.1, 21155.4, 21159.24, 21159.25; Gov. Code, section 65457; Cal Code Regs., tit. 14, sections 15303, 15332; Pub. Resources Code, sections 21094.5, 21099, 21155.2, 21159.28).</t>
  </si>
  <si>
    <t>Program (LEED) - Tier (Gold)</t>
  </si>
  <si>
    <t>Sole Proprietorship</t>
  </si>
  <si>
    <t>Projects located in jurisdictions that have policy that represents one element of a unified, multi-faceted strategy to promote multiple planning objectives, such as efficient land use, access to public transportation, affordable housing, climate change solutions, and/or hazard mitigation.</t>
  </si>
  <si>
    <t>Program (GreenPoint)  - Tier (Rated New Construction: Gold) (Rehabilitation: Whole Building)</t>
  </si>
  <si>
    <t>Projects located in jurisdictions that have policies that promote development consistent with the state planning priorities pursuant to Government Code section 65041.1.</t>
  </si>
  <si>
    <t>Program (ENERGY STAR) - Tier (Certified Home)</t>
  </si>
  <si>
    <t>Projects located in jurisdictions that have rezoning and other policies that support high-density development in Location Efficient Communities.</t>
  </si>
  <si>
    <t>Program (Living Future Challenge) - Tier (Living Building)</t>
  </si>
  <si>
    <t>4% tax credits</t>
  </si>
  <si>
    <t>9% tax credits</t>
  </si>
  <si>
    <t>Local</t>
  </si>
  <si>
    <t>Local Fee Waiver</t>
  </si>
  <si>
    <t>Local Land Donation</t>
  </si>
  <si>
    <t>Private</t>
  </si>
  <si>
    <t>State-General</t>
  </si>
  <si>
    <t>State-GGRF</t>
  </si>
  <si>
    <t>State-HCD</t>
  </si>
  <si>
    <t>Fixed for Term</t>
  </si>
  <si>
    <t>Fixed with Reset</t>
  </si>
  <si>
    <t>Fixed, then Variable</t>
  </si>
  <si>
    <t>Variable</t>
  </si>
  <si>
    <t>None</t>
  </si>
  <si>
    <t>&lt;=1 Point for Full 5% point increments above 100%</t>
  </si>
  <si>
    <t>&lt;=1 Point for Full 5% point increments above 50%</t>
  </si>
  <si>
    <t>&lt;=2 Points for Full 5% point increments above 100%</t>
  </si>
  <si>
    <t>&lt;=1 Point for Full 5% point increments above 50% X (% of Restricted SH Units X 2 + % of Restricted Non SH Units)</t>
  </si>
  <si>
    <t xml:space="preserve">Leadership in Energy &amp; Environmental Design (LEED) </t>
  </si>
  <si>
    <t>GreenPoint Program</t>
  </si>
  <si>
    <t>Passive House Institute US (PHIUS)</t>
  </si>
  <si>
    <t>Passive House</t>
  </si>
  <si>
    <t>Living Building Challenge</t>
  </si>
  <si>
    <t>National Green Building Standard ICC / ASRAE – 700 silver or higher rating</t>
  </si>
  <si>
    <t>2011 Enterprise Green Communities</t>
  </si>
  <si>
    <t>WELL (when not combined with the programs listed)</t>
  </si>
  <si>
    <t>Don’t Delete</t>
  </si>
  <si>
    <t>ListSiteControlMethods</t>
  </si>
  <si>
    <t>ListAmiLevels</t>
  </si>
  <si>
    <t>ListBuildingTypes</t>
  </si>
  <si>
    <t>ListSqFtTypes</t>
  </si>
  <si>
    <t>ListObligationTypes</t>
  </si>
  <si>
    <t>ListSourceTypes</t>
  </si>
  <si>
    <t>Order</t>
  </si>
  <si>
    <t>ListFlowTypes</t>
  </si>
  <si>
    <t>ListFlowSigns</t>
  </si>
  <si>
    <t>ListFlowLabels</t>
  </si>
  <si>
    <t>ListOpportunityAreas</t>
  </si>
  <si>
    <t>ListCounties</t>
  </si>
  <si>
    <t>ListRestrictionTypes</t>
  </si>
  <si>
    <t>ListAgencies</t>
  </si>
  <si>
    <t>ListPercentOfTypes</t>
  </si>
  <si>
    <t>ListEligibleSponsorTypes</t>
  </si>
  <si>
    <t>Disposition and Development Agreement</t>
  </si>
  <si>
    <t>Walk up (1-2 story)</t>
  </si>
  <si>
    <t>Deferred</t>
  </si>
  <si>
    <t>Accrued Interest</t>
  </si>
  <si>
    <t>Rental Income</t>
  </si>
  <si>
    <t>ALAMEDA</t>
  </si>
  <si>
    <t>Accessibility</t>
  </si>
  <si>
    <t>CalHFA</t>
  </si>
  <si>
    <t>Fee Title, General Partner</t>
  </si>
  <si>
    <t>Community Service Facility</t>
  </si>
  <si>
    <t>Equity</t>
  </si>
  <si>
    <t>Costs Deferral</t>
  </si>
  <si>
    <t>CF After Expenses</t>
  </si>
  <si>
    <t>ALPINE</t>
  </si>
  <si>
    <t>Income and Rent</t>
  </si>
  <si>
    <t>CDLAC</t>
  </si>
  <si>
    <t>Low-Income Units</t>
  </si>
  <si>
    <t>Duly Constituted Governing Body of an Indian Reservation or Rancheria</t>
  </si>
  <si>
    <t>Fee Title, Partnership</t>
  </si>
  <si>
    <t>High-Rise (6+ stories)</t>
  </si>
  <si>
    <t>Exempt Common</t>
  </si>
  <si>
    <t>Interest Only</t>
  </si>
  <si>
    <t>Dev. Fee, Deferral</t>
  </si>
  <si>
    <t>CF Before Debt Service</t>
  </si>
  <si>
    <t>AMADOR</t>
  </si>
  <si>
    <t>CTCAC</t>
  </si>
  <si>
    <t>Fee Title, Sponsor</t>
  </si>
  <si>
    <t>Townhouse</t>
  </si>
  <si>
    <t>Exempt Community</t>
  </si>
  <si>
    <t>Mandatory</t>
  </si>
  <si>
    <t>Dev. Fee, GP Contribution</t>
  </si>
  <si>
    <t>Miscellaneous Income</t>
  </si>
  <si>
    <t>CF After Debt Service</t>
  </si>
  <si>
    <t>BUTTE</t>
  </si>
  <si>
    <t>Population, Preferences</t>
  </si>
  <si>
    <t>HCD</t>
  </si>
  <si>
    <t>Tax-Credit Units</t>
  </si>
  <si>
    <t>Lease Option</t>
  </si>
  <si>
    <t>Row House</t>
  </si>
  <si>
    <t>Residential Unit</t>
  </si>
  <si>
    <t>Equity, Conventional</t>
  </si>
  <si>
    <t>Commercial Income</t>
  </si>
  <si>
    <t>CF After Fees</t>
  </si>
  <si>
    <t>Lowest Resource</t>
  </si>
  <si>
    <t>CALAVERAS</t>
  </si>
  <si>
    <t>Population, Reserved</t>
  </si>
  <si>
    <t>Housing Authority</t>
  </si>
  <si>
    <t>Limited Liability Company</t>
  </si>
  <si>
    <t>Leasehold Interest</t>
  </si>
  <si>
    <t>Duplex</t>
  </si>
  <si>
    <t>Structured Parking</t>
  </si>
  <si>
    <t>Residual</t>
  </si>
  <si>
    <t>Equity, Solar Investor</t>
  </si>
  <si>
    <t>In Kind Services</t>
  </si>
  <si>
    <t>Advertising</t>
  </si>
  <si>
    <t>COLUSA</t>
  </si>
  <si>
    <t>Option to Purchase</t>
  </si>
  <si>
    <t>Four-Plex</t>
  </si>
  <si>
    <t>Equity, TC Investor</t>
  </si>
  <si>
    <t>Interest Income</t>
  </si>
  <si>
    <t>Legal</t>
  </si>
  <si>
    <t>CONTRA COSTA</t>
  </si>
  <si>
    <t>Local Agency</t>
  </si>
  <si>
    <t>Owner Participation Agreement</t>
  </si>
  <si>
    <t>Detached SF</t>
  </si>
  <si>
    <t>Grant</t>
  </si>
  <si>
    <t>Draw on Reserves</t>
  </si>
  <si>
    <t>Accounting/Audit</t>
  </si>
  <si>
    <t>DEL NORTE</t>
  </si>
  <si>
    <t>Purchase and Sale Agreement</t>
  </si>
  <si>
    <t>IIG CIP Grant</t>
  </si>
  <si>
    <t>Reimbursement</t>
  </si>
  <si>
    <t>Security</t>
  </si>
  <si>
    <t>EL DORADO</t>
  </si>
  <si>
    <t>Loan, Conventional</t>
  </si>
  <si>
    <t>Expense</t>
  </si>
  <si>
    <t>Office</t>
  </si>
  <si>
    <t>FRESNO</t>
  </si>
  <si>
    <t>Loan, Equity Bridge</t>
  </si>
  <si>
    <t>Real Estate Taxes</t>
  </si>
  <si>
    <t>Management</t>
  </si>
  <si>
    <t>GLENN</t>
  </si>
  <si>
    <t>Loan, Residual Receipts</t>
  </si>
  <si>
    <t>Supportive Services</t>
  </si>
  <si>
    <t>Fuel</t>
  </si>
  <si>
    <t>HUMBOLDT</t>
  </si>
  <si>
    <t>Loan, Seller Carryback</t>
  </si>
  <si>
    <t>Reserve Funding</t>
  </si>
  <si>
    <t>Gas</t>
  </si>
  <si>
    <t>IMPERIAL</t>
  </si>
  <si>
    <t>Loan, Taxable Tail</t>
  </si>
  <si>
    <t>Monitoring Fee</t>
  </si>
  <si>
    <t>Electricity</t>
  </si>
  <si>
    <t>INYO</t>
  </si>
  <si>
    <t>Loan, Tax-Exempt</t>
  </si>
  <si>
    <t>Mandatory Debt Service</t>
  </si>
  <si>
    <t>Water/Sewer</t>
  </si>
  <si>
    <t>KERN</t>
  </si>
  <si>
    <t>Loan, Tax-Exempt, Recylced</t>
  </si>
  <si>
    <t>Asset Management Fee</t>
  </si>
  <si>
    <t>On-site Manager</t>
  </si>
  <si>
    <t>KINGS</t>
  </si>
  <si>
    <t>NOI Before Conversion</t>
  </si>
  <si>
    <t>Deferred Dev. Fee Payment</t>
  </si>
  <si>
    <t>Maintenance Personnel</t>
  </si>
  <si>
    <t>LAKE</t>
  </si>
  <si>
    <t>Other Source</t>
  </si>
  <si>
    <t>Residual Receipts Payment</t>
  </si>
  <si>
    <t>Staff Benefits</t>
  </si>
  <si>
    <t>LASSEN</t>
  </si>
  <si>
    <t>Return of Deposit</t>
  </si>
  <si>
    <t>Distributions</t>
  </si>
  <si>
    <t>Insurance</t>
  </si>
  <si>
    <t>LOS ANGELES</t>
  </si>
  <si>
    <t>Value of Donation</t>
  </si>
  <si>
    <t>Cumulative Total</t>
  </si>
  <si>
    <t>Painting</t>
  </si>
  <si>
    <t>MADERA</t>
  </si>
  <si>
    <t>Value of Lease</t>
  </si>
  <si>
    <t>Repairs</t>
  </si>
  <si>
    <t>MARIN</t>
  </si>
  <si>
    <t>Waived Fee</t>
  </si>
  <si>
    <t>Trash Removal</t>
  </si>
  <si>
    <t>MARIPOSA</t>
  </si>
  <si>
    <t>Exterminating</t>
  </si>
  <si>
    <t>MENDOCINO</t>
  </si>
  <si>
    <t>Grounds</t>
  </si>
  <si>
    <t>MERCED</t>
  </si>
  <si>
    <t>Elevator</t>
  </si>
  <si>
    <t>MODOC</t>
  </si>
  <si>
    <t>MONO</t>
  </si>
  <si>
    <t>Internet</t>
  </si>
  <si>
    <t>MONTEREY</t>
  </si>
  <si>
    <t>Transit Passes</t>
  </si>
  <si>
    <t>NAPA</t>
  </si>
  <si>
    <t>Social Services</t>
  </si>
  <si>
    <t>NEVADA</t>
  </si>
  <si>
    <t>ORANGE</t>
  </si>
  <si>
    <t>PLACER</t>
  </si>
  <si>
    <t>PLUMAS</t>
  </si>
  <si>
    <t>RIVERSIDE</t>
  </si>
  <si>
    <t>SACRAMENTO</t>
  </si>
  <si>
    <t>SAN BENITO</t>
  </si>
  <si>
    <t>SAN BERNARDINO</t>
  </si>
  <si>
    <t>SAN DIEGO</t>
  </si>
  <si>
    <t>SAN FRANCISCO</t>
  </si>
  <si>
    <t>SAN JOAQUIN</t>
  </si>
  <si>
    <t>SAN LUIS OBISPO</t>
  </si>
  <si>
    <t>SAN MATEO</t>
  </si>
  <si>
    <t>SANTA BARBARA</t>
  </si>
  <si>
    <t>SANTA CLARA</t>
  </si>
  <si>
    <t>SANTA CRUZ</t>
  </si>
  <si>
    <t>SHASTA</t>
  </si>
  <si>
    <t>SIERRA</t>
  </si>
  <si>
    <t>SISKIYOU</t>
  </si>
  <si>
    <t>SOLANO</t>
  </si>
  <si>
    <t>SONOMA</t>
  </si>
  <si>
    <t>STANISLAUS</t>
  </si>
  <si>
    <t>SUTTER</t>
  </si>
  <si>
    <t>TEHAMA</t>
  </si>
  <si>
    <t>TRINITY</t>
  </si>
  <si>
    <t>TULARE</t>
  </si>
  <si>
    <t>TUOLUMNE</t>
  </si>
  <si>
    <t>VENTURA</t>
  </si>
  <si>
    <t>YOLO</t>
  </si>
  <si>
    <t>YUBA</t>
  </si>
  <si>
    <t>Residential Budget</t>
  </si>
  <si>
    <t>Eligible Basis</t>
  </si>
  <si>
    <t>Permanent Sources of Funds</t>
  </si>
  <si>
    <t>Commercial Sources</t>
  </si>
  <si>
    <t>USES OF FUNDS</t>
  </si>
  <si>
    <r>
      <t xml:space="preserve"> Total Project Costs - </t>
    </r>
    <r>
      <rPr>
        <b/>
        <sz val="11"/>
        <rFont val="Arial"/>
        <family val="2"/>
      </rPr>
      <t>Residential</t>
    </r>
    <r>
      <rPr>
        <sz val="11"/>
        <rFont val="Arial"/>
        <family val="2"/>
      </rPr>
      <t xml:space="preserve"> Cost/Sources</t>
    </r>
  </si>
  <si>
    <r>
      <t xml:space="preserve">Total Project Costs - </t>
    </r>
    <r>
      <rPr>
        <b/>
        <sz val="11"/>
        <rFont val="Arial"/>
        <family val="2"/>
      </rPr>
      <t>Commercial</t>
    </r>
    <r>
      <rPr>
        <sz val="11"/>
        <rFont val="Arial"/>
        <family val="2"/>
      </rPr>
      <t xml:space="preserve"> Cost/Sources</t>
    </r>
  </si>
  <si>
    <t>Source Name</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</si>
  <si>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</si>
  <si>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</si>
  <si>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</si>
  <si>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</si>
  <si>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</si>
  <si>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</si>
  <si>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</si>
  <si>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</si>
  <si>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</si>
  <si>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</si>
  <si>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</si>
  <si>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</si>
  <si>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</si>
  <si>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</si>
  <si>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</si>
  <si>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</si>
  <si>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</si>
  <si>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</si>
  <si>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</si>
  <si>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</si>
  <si>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</si>
  <si>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</si>
  <si>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</si>
  <si>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</si>
  <si>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</si>
  <si>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</si>
  <si>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</si>
  <si>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</si>
  <si>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</si>
  <si>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</si>
  <si>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</si>
  <si>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</si>
  <si>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</si>
  <si>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</si>
  <si>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LAND COST/ACQUISITION</t>
  </si>
  <si>
    <t>Land Cost or Value</t>
  </si>
  <si>
    <t>Demolition</t>
  </si>
  <si>
    <t>Land Lease Rent Prepayment</t>
  </si>
  <si>
    <t>Existing Improvements Cost or Value</t>
  </si>
  <si>
    <t>Off-Site Improvements</t>
  </si>
  <si>
    <t>Predevelopment Interest/Holding Cost</t>
  </si>
  <si>
    <t>Assumed, Accrued Interest on Existing Debt (Rehab/Acq)</t>
  </si>
  <si>
    <t>Excess Purchase Price Over Appraisal</t>
  </si>
  <si>
    <t>REHABILITATION</t>
  </si>
  <si>
    <t>Site Work</t>
  </si>
  <si>
    <t>Structures</t>
  </si>
  <si>
    <t>General Requirements</t>
  </si>
  <si>
    <t>Contractor Overhead</t>
  </si>
  <si>
    <t>Contractor Profit</t>
  </si>
  <si>
    <t>Prevailing Wages</t>
  </si>
  <si>
    <t>General Liability Insurance</t>
  </si>
  <si>
    <r>
      <t>Other: (</t>
    </r>
    <r>
      <rPr>
        <sz val="11"/>
        <color rgb="FFC00000"/>
        <rFont val="Arial"/>
        <family val="2"/>
      </rPr>
      <t>Specify</t>
    </r>
    <r>
      <rPr>
        <sz val="11"/>
        <rFont val="Arial"/>
        <family val="2"/>
      </rPr>
      <t>)</t>
    </r>
  </si>
  <si>
    <t>Total Relocation Expenses</t>
  </si>
  <si>
    <t>NEW CONSTRUCTION</t>
  </si>
  <si>
    <t>Urban Greening</t>
  </si>
  <si>
    <t>ARCH. FEES</t>
  </si>
  <si>
    <t>Design</t>
  </si>
  <si>
    <t>Supervision</t>
  </si>
  <si>
    <t>Total Survey &amp; Engineering</t>
  </si>
  <si>
    <t>CONSTRUCTION INTEREST &amp; FEES</t>
  </si>
  <si>
    <t>Construction Loan Interest</t>
  </si>
  <si>
    <t>Origination Fee</t>
  </si>
  <si>
    <t>Credit Enhancement/Application Fee</t>
  </si>
  <si>
    <t>Bond Premium</t>
  </si>
  <si>
    <t>Cost of Issuance</t>
  </si>
  <si>
    <t>Title &amp; Recording</t>
  </si>
  <si>
    <t>Taxes</t>
  </si>
  <si>
    <t>Employment Reporting</t>
  </si>
  <si>
    <t>PERM. FINANCING</t>
  </si>
  <si>
    <t>Loan Origination Fee</t>
  </si>
  <si>
    <t>Legal for Perm Loan</t>
  </si>
  <si>
    <t>LEGAL FEES</t>
  </si>
  <si>
    <t>Legal Paid by Applicant</t>
  </si>
  <si>
    <t>Lender Legal</t>
  </si>
  <si>
    <t>Operating Reserve</t>
  </si>
  <si>
    <t>Replacement Reserve</t>
  </si>
  <si>
    <t>Transition Reserve</t>
  </si>
  <si>
    <t>Rent Reserve</t>
  </si>
  <si>
    <t>CONTINGENCY COSTS</t>
  </si>
  <si>
    <t xml:space="preserve">Construction Hard Cost Contingency </t>
  </si>
  <si>
    <t>Soft Cost Contingency</t>
  </si>
  <si>
    <t>OTHER PROJECT COSTS</t>
  </si>
  <si>
    <t>TCAC App/Allocation/Monitoring Fees</t>
  </si>
  <si>
    <t>Environmental Audit</t>
  </si>
  <si>
    <t>Local Development Impact Fees</t>
  </si>
  <si>
    <t>Permit Processing Fees</t>
  </si>
  <si>
    <t>Capital Fees</t>
  </si>
  <si>
    <t>Marketing</t>
  </si>
  <si>
    <t>Furnishings</t>
  </si>
  <si>
    <t>Market Study</t>
  </si>
  <si>
    <t>Accounting/Reimbursable</t>
  </si>
  <si>
    <t>Appraisal Costs</t>
  </si>
  <si>
    <t>Construction Management</t>
  </si>
  <si>
    <t>Prevailing Wage Monitoring</t>
  </si>
  <si>
    <t>DEVELOPER COSTS</t>
  </si>
  <si>
    <t>Developer Overhead/Profit</t>
  </si>
  <si>
    <t>Consultant/Processing Agent</t>
  </si>
  <si>
    <t>Project Administration</t>
  </si>
  <si>
    <t>Broker Fees Paid  to a Related Party</t>
  </si>
  <si>
    <t>Construction Oversight by Developer</t>
  </si>
  <si>
    <t>Capital Improvement Project(s) (CIP)</t>
  </si>
  <si>
    <t>SITE ACQUISITION (not parking)</t>
  </si>
  <si>
    <t>Site acquisition of CIP including easements and right of ways</t>
  </si>
  <si>
    <t>SITE PREPARATION</t>
  </si>
  <si>
    <t>Clearing and Grubbing</t>
  </si>
  <si>
    <t>Excavation</t>
  </si>
  <si>
    <t>Grading</t>
  </si>
  <si>
    <t>Soil Stabilization (Lime, etc.)</t>
  </si>
  <si>
    <t>Erosion/Weed Control</t>
  </si>
  <si>
    <t>Dewatering</t>
  </si>
  <si>
    <t>SITE UTILITIES</t>
  </si>
  <si>
    <t>Sanitary Sewer</t>
  </si>
  <si>
    <t>Potable Water</t>
  </si>
  <si>
    <t>Non-Potable Water</t>
  </si>
  <si>
    <t>Storm Drain</t>
  </si>
  <si>
    <t>Detention Basin/Culverts</t>
  </si>
  <si>
    <t>Joint Trench</t>
  </si>
  <si>
    <t>SURFACE IMPROVEMENTS</t>
  </si>
  <si>
    <t>Aggregate Base</t>
  </si>
  <si>
    <t>Asphalt Pavement</t>
  </si>
  <si>
    <t>Curb, Gutter, Sidewalk</t>
  </si>
  <si>
    <t>Street Lights</t>
  </si>
  <si>
    <t>Striping/Signage/Barricades</t>
  </si>
  <si>
    <t>Traffic Mitigation</t>
  </si>
  <si>
    <t>PARKS - LANDSCAPE AND AMENITIES</t>
  </si>
  <si>
    <t>Irrigation</t>
  </si>
  <si>
    <t>Concrete Work</t>
  </si>
  <si>
    <t>Landscaping</t>
  </si>
  <si>
    <t>Playground Facilities and Tot Lots</t>
  </si>
  <si>
    <t>Walking/Bike Path</t>
  </si>
  <si>
    <t>Drinking Fountains</t>
  </si>
  <si>
    <t xml:space="preserve">Lighting </t>
  </si>
  <si>
    <t xml:space="preserve">Open Space </t>
  </si>
  <si>
    <t>ENV. MITIGATION</t>
  </si>
  <si>
    <t>Wetland Mitigation</t>
  </si>
  <si>
    <t>Endangered Species</t>
  </si>
  <si>
    <t>Tree Mitigation</t>
  </si>
  <si>
    <t xml:space="preserve">Environmental Remediation </t>
  </si>
  <si>
    <t>STRUCTURED PARKING</t>
  </si>
  <si>
    <t>Replacement Parking</t>
  </si>
  <si>
    <t>Foundation Work</t>
  </si>
  <si>
    <t>RESIDENTIAL PARKING</t>
  </si>
  <si>
    <t>Residential Parking Structures</t>
  </si>
  <si>
    <t>TRANSIT</t>
  </si>
  <si>
    <t>Access Plazas</t>
  </si>
  <si>
    <t>Pathways</t>
  </si>
  <si>
    <t>Bus Shelters</t>
  </si>
  <si>
    <t>Transit Shelters</t>
  </si>
  <si>
    <t>Pedestrian Facilities</t>
  </si>
  <si>
    <t>Bicycle Facilities</t>
  </si>
  <si>
    <t>IMPACT FEES</t>
  </si>
  <si>
    <t>Drainage</t>
  </si>
  <si>
    <t>Parks &amp; Recreation</t>
  </si>
  <si>
    <t>Streets/Signals</t>
  </si>
  <si>
    <t>Traffic Fees</t>
  </si>
  <si>
    <t>Waste Water</t>
  </si>
  <si>
    <t>Water Facility</t>
  </si>
  <si>
    <t>SOFT COSTS</t>
  </si>
  <si>
    <t>Engineering</t>
  </si>
  <si>
    <t>OTHER</t>
  </si>
  <si>
    <t>Comments and explanation of basis changes or other general comments:</t>
  </si>
  <si>
    <t>Development Sources</t>
  </si>
  <si>
    <t>Construction Totals</t>
  </si>
  <si>
    <t>Construction Terms</t>
  </si>
  <si>
    <t>Permanent Terms</t>
  </si>
  <si>
    <t>*Details of Deferred Costs</t>
  </si>
  <si>
    <t>Permanent Totals</t>
  </si>
  <si>
    <t>Interest Rate</t>
  </si>
  <si>
    <t>Construction / Permanent</t>
  </si>
  <si>
    <t>Committed?</t>
  </si>
  <si>
    <r>
      <t>Source Name (</t>
    </r>
    <r>
      <rPr>
        <sz val="11"/>
        <color rgb="FFC00000"/>
        <rFont val="Arial"/>
        <family val="2"/>
      </rPr>
      <t>in lien priority order</t>
    </r>
    <r>
      <rPr>
        <sz val="11"/>
        <rFont val="Arial"/>
        <family val="2"/>
      </rPr>
      <t>)</t>
    </r>
  </si>
  <si>
    <t>Source Type</t>
  </si>
  <si>
    <t>Lien No.</t>
  </si>
  <si>
    <t>Residential Amount</t>
  </si>
  <si>
    <t>Commercial Amount</t>
  </si>
  <si>
    <t>Total Amount</t>
  </si>
  <si>
    <t xml:space="preserve">Required
Payment </t>
  </si>
  <si>
    <t>Loan Term
(months)</t>
  </si>
  <si>
    <t>Rate</t>
  </si>
  <si>
    <t>Amortizing
Period (yrs.)</t>
  </si>
  <si>
    <t>Type2</t>
  </si>
  <si>
    <t>Due in (yrs.)</t>
  </si>
  <si>
    <t>Required
Residential
Debt Service</t>
  </si>
  <si>
    <t>Required
Commercial
Debt Service</t>
  </si>
  <si>
    <t>Tax Exempt
Amount</t>
  </si>
  <si>
    <t>Deferred Amount</t>
  </si>
  <si>
    <r>
      <t>Infill Infrastructure Grant Program (</t>
    </r>
    <r>
      <rPr>
        <b/>
        <sz val="11"/>
        <rFont val="Arial"/>
        <family val="2"/>
      </rPr>
      <t>IIG</t>
    </r>
    <r>
      <rPr>
        <sz val="11"/>
        <rFont val="Arial"/>
        <family val="2"/>
      </rPr>
      <t>) - Grant</t>
    </r>
  </si>
  <si>
    <r>
      <t>Housing for a Healthy California Program (</t>
    </r>
    <r>
      <rPr>
        <b/>
        <sz val="11"/>
        <rFont val="Arial"/>
        <family val="2"/>
      </rPr>
      <t>HHC</t>
    </r>
    <r>
      <rPr>
        <sz val="11"/>
        <rFont val="Arial"/>
        <family val="2"/>
      </rPr>
      <t>)</t>
    </r>
  </si>
  <si>
    <r>
      <t>Joe Serna, Jr. Farmworker Housing Grant (</t>
    </r>
    <r>
      <rPr>
        <b/>
        <sz val="11"/>
        <rFont val="Arial"/>
        <family val="2"/>
      </rPr>
      <t>FWHG</t>
    </r>
    <r>
      <rPr>
        <sz val="11"/>
        <rFont val="Arial"/>
        <family val="2"/>
      </rPr>
      <t>) Program - Loan</t>
    </r>
  </si>
  <si>
    <r>
      <t>Multifamily Housing Program (</t>
    </r>
    <r>
      <rPr>
        <b/>
        <sz val="11"/>
        <rFont val="Arial"/>
        <family val="2"/>
      </rPr>
      <t>MHP</t>
    </r>
    <r>
      <rPr>
        <sz val="11"/>
        <rFont val="Arial"/>
        <family val="2"/>
      </rPr>
      <t>) - Loan</t>
    </r>
  </si>
  <si>
    <r>
      <t>Transit-Oriented Development (</t>
    </r>
    <r>
      <rPr>
        <b/>
        <sz val="11"/>
        <rFont val="Arial"/>
        <family val="2"/>
      </rPr>
      <t>TOD</t>
    </r>
    <r>
      <rPr>
        <sz val="11"/>
        <rFont val="Arial"/>
        <family val="2"/>
      </rPr>
      <t>) Housing Program - Grant</t>
    </r>
  </si>
  <si>
    <r>
      <t>Veterans Housing and Homelessness Prevention Program (</t>
    </r>
    <r>
      <rPr>
        <b/>
        <sz val="11"/>
        <rFont val="Arial"/>
        <family val="2"/>
      </rPr>
      <t>VHHP</t>
    </r>
    <r>
      <rPr>
        <sz val="11"/>
        <rFont val="Arial"/>
        <family val="2"/>
      </rPr>
      <t>) - Loan</t>
    </r>
  </si>
  <si>
    <t>Deferred Developer Fees</t>
  </si>
  <si>
    <t>Other Deferred Costs</t>
  </si>
  <si>
    <t>Developer Fee Contribution</t>
  </si>
  <si>
    <t>GP Equity</t>
  </si>
  <si>
    <t>Gross Tax Credit Equity</t>
  </si>
  <si>
    <t>Permanent</t>
  </si>
  <si>
    <t>Housing for a Healthy California Program (HHC)</t>
  </si>
  <si>
    <t>Transit-Oriented Development (TOD) Housing Program - Grant</t>
  </si>
  <si>
    <t>Local Grant</t>
  </si>
  <si>
    <t>Land Donation</t>
  </si>
  <si>
    <t>County Fee Waivers</t>
  </si>
  <si>
    <r>
      <rPr>
        <b/>
        <sz val="11"/>
        <rFont val="Arial"/>
        <family val="2"/>
      </rPr>
      <t>Sponsor or Applicants comments</t>
    </r>
    <r>
      <rPr>
        <sz val="11"/>
        <rFont val="Arial"/>
        <family val="2"/>
      </rPr>
      <t xml:space="preserve">: Include a description of balloon payments and unusual or extraordinary circumstances that have resulted in higher than expected project costs and provide a justification as to why these costs are reasonable. </t>
    </r>
  </si>
  <si>
    <t>Annual Income And Expenses</t>
  </si>
  <si>
    <t>EMPLOYEE INFORMATION</t>
  </si>
  <si>
    <t>No.</t>
  </si>
  <si>
    <t>FTE</t>
  </si>
  <si>
    <t>Employee Job Title</t>
  </si>
  <si>
    <t>Wages</t>
  </si>
  <si>
    <t>Free Rent</t>
  </si>
  <si>
    <t>Comments</t>
  </si>
  <si>
    <t>On-Site Manager(s)</t>
  </si>
  <si>
    <t>On-Site Assistant Manager(s)</t>
  </si>
  <si>
    <t>Supportive Services Staff Supervisor(s)</t>
  </si>
  <si>
    <t>Supportive Services Coordinator, On-Site</t>
  </si>
  <si>
    <t>Other Supportive Services Staff (inc. Case Manager)</t>
  </si>
  <si>
    <t>On-Site Maintenance Employee(s)</t>
  </si>
  <si>
    <t>On-Site Leasing Agent/Administrative Employee(s)</t>
  </si>
  <si>
    <t>On-Site Security Employee(s)</t>
  </si>
  <si>
    <r>
      <t>Other (</t>
    </r>
    <r>
      <rPr>
        <b/>
        <sz val="11"/>
        <color rgb="FF0000FF"/>
        <rFont val="Arial"/>
        <family val="2"/>
      </rPr>
      <t>Specify</t>
    </r>
    <r>
      <rPr>
        <sz val="11"/>
        <rFont val="Arial"/>
        <family val="2"/>
      </rPr>
      <t>)</t>
    </r>
  </si>
  <si>
    <t xml:space="preserve"> Acct. No.</t>
  </si>
  <si>
    <t>Total Salaries and Value of Free Rent Units</t>
  </si>
  <si>
    <t>Payroll Taxes</t>
  </si>
  <si>
    <t>Workers Compensation</t>
  </si>
  <si>
    <t>Employee Benefits</t>
  </si>
  <si>
    <t>Employee(s) Payroll Taxes, Workers Comp. &amp; Benefits</t>
  </si>
  <si>
    <t>Total Employee(s) Expenses</t>
  </si>
  <si>
    <t>EMPLOYEE UNITS</t>
  </si>
  <si>
    <t>Income Limit</t>
  </si>
  <si>
    <t>Job Title(s) of Employee(s) Living On-Site</t>
  </si>
  <si>
    <t>SF</t>
  </si>
  <si>
    <t>Total Square Footage</t>
  </si>
  <si>
    <t>ANNUAL OPERATING BUDGET</t>
  </si>
  <si>
    <t>Services Coordinator</t>
  </si>
  <si>
    <t>Revenue - Income</t>
  </si>
  <si>
    <t xml:space="preserve">Residential </t>
  </si>
  <si>
    <t xml:space="preserve">Commercial </t>
  </si>
  <si>
    <t>5120/5140</t>
  </si>
  <si>
    <t>Rent Revenue - Gross Potential</t>
  </si>
  <si>
    <t>Restricted Unit Rents</t>
  </si>
  <si>
    <t>Unrestricted Unit Rents</t>
  </si>
  <si>
    <t>Tenant Assistance Payments</t>
  </si>
  <si>
    <t>Operating Subsidies</t>
  </si>
  <si>
    <t>Laundry and Vending Revenue</t>
  </si>
  <si>
    <t>Garage and Parking Spaces</t>
  </si>
  <si>
    <t xml:space="preserve">Miscellaneous Rent Revenue </t>
  </si>
  <si>
    <t>Gross Potential Income (GPI)</t>
  </si>
  <si>
    <t>5220/5240</t>
  </si>
  <si>
    <t>Vacancy Rate:  Restricted Units</t>
  </si>
  <si>
    <t>Vacancy Rate:  Unrestricted Units</t>
  </si>
  <si>
    <t>Vacancy Rate:  Tenant Assistance Payments</t>
  </si>
  <si>
    <t xml:space="preserve">Vacancy Rate:  Laundry &amp; Vending &amp; Other Income  </t>
  </si>
  <si>
    <t xml:space="preserve">Vacancy Rate:  Commercial Income </t>
  </si>
  <si>
    <t>Vacancy Loss(es)</t>
  </si>
  <si>
    <t>Effective Gross Income (EGI)</t>
  </si>
  <si>
    <t>Administrative Operating Expenses</t>
  </si>
  <si>
    <t>Conventions and Meetings</t>
  </si>
  <si>
    <t>Advertising and Marketing</t>
  </si>
  <si>
    <t>Other Renting Expenses</t>
  </si>
  <si>
    <t>Office/Administrative Salaries -- from above</t>
  </si>
  <si>
    <t>Office Expenses</t>
  </si>
  <si>
    <t>Office or Model Apartment Rent</t>
  </si>
  <si>
    <t>Management Fee</t>
  </si>
  <si>
    <t>Site/Resident Manager(s) Salaries -- from above</t>
  </si>
  <si>
    <t>Administrative Free Rent Unit  -- from above</t>
  </si>
  <si>
    <t>Legal Expense -- Project</t>
  </si>
  <si>
    <t>Audit Expense</t>
  </si>
  <si>
    <t>Bookkeeping Fees/Accounting Services</t>
  </si>
  <si>
    <t>Miscellaneous Administrative Expenses</t>
  </si>
  <si>
    <t>6263T</t>
  </si>
  <si>
    <t xml:space="preserve"> Total Administrative Expenses</t>
  </si>
  <si>
    <t>Utilities Expenses</t>
  </si>
  <si>
    <r>
      <t>Other Utilities: (</t>
    </r>
    <r>
      <rPr>
        <sz val="11"/>
        <color rgb="FFC00000"/>
        <rFont val="Arial"/>
        <family val="2"/>
      </rPr>
      <t>Specify</t>
    </r>
    <r>
      <rPr>
        <sz val="11"/>
        <rFont val="Arial"/>
        <family val="2"/>
      </rPr>
      <t>)</t>
    </r>
  </si>
  <si>
    <t>6400T</t>
  </si>
  <si>
    <t>Total Utilities Expenses</t>
  </si>
  <si>
    <t>Operating and Maintenance Expenses</t>
  </si>
  <si>
    <t>Payroll -- from above</t>
  </si>
  <si>
    <t xml:space="preserve">Supplies </t>
  </si>
  <si>
    <t>Contracts</t>
  </si>
  <si>
    <t>Operating &amp; Maintenance Free Rent Unit -- from above</t>
  </si>
  <si>
    <t>Garbage and Trash Removal</t>
  </si>
  <si>
    <t>Security Contract</t>
  </si>
  <si>
    <t>Security Free Rent Unit -- from above</t>
  </si>
  <si>
    <t>Heating/Cooling Repairs and Maintenance</t>
  </si>
  <si>
    <t>Snow Removal</t>
  </si>
  <si>
    <t>Vehicle &amp; Maintenance Equipment Operation/Reports</t>
  </si>
  <si>
    <t>Miscellaneous Operating and Maintenance Expenses</t>
  </si>
  <si>
    <t>6500T</t>
  </si>
  <si>
    <t>Total Operating and Maintenance Expenses</t>
  </si>
  <si>
    <t>Taxes and Insurance</t>
  </si>
  <si>
    <t>Payroll Taxes (Project's Share) -- from above</t>
  </si>
  <si>
    <t>Property and Liability Insurance (Hazard)</t>
  </si>
  <si>
    <t>Other Insurance (e.g. Earthquake)</t>
  </si>
  <si>
    <t>Fidelity Bond Insurance</t>
  </si>
  <si>
    <t>Worker's Compensation -- from above</t>
  </si>
  <si>
    <t>Health Insurance/Other Employee Benefits--from above</t>
  </si>
  <si>
    <t>Miscellaneous Taxes, Licenses, Permits &amp; Insurance</t>
  </si>
  <si>
    <t>6700T</t>
  </si>
  <si>
    <t>Total Taxes and Insurance</t>
  </si>
  <si>
    <t>Max allowed</t>
  </si>
  <si>
    <t>Supportive Services Costs</t>
  </si>
  <si>
    <t>Staff Supervisor(s) Salaries - from above</t>
  </si>
  <si>
    <t>Services Coordinator Salaries, On-Site - from above</t>
  </si>
  <si>
    <t>Other Supportive Services Staff Salaries - from above</t>
  </si>
  <si>
    <t>Supportive Services Admin Overhead</t>
  </si>
  <si>
    <r>
      <t>Other Supportive Services Costs: (</t>
    </r>
    <r>
      <rPr>
        <sz val="11"/>
        <color rgb="FFC00000"/>
        <rFont val="Arial"/>
        <family val="2"/>
      </rPr>
      <t>Specify</t>
    </r>
    <r>
      <rPr>
        <sz val="11"/>
        <rFont val="Arial"/>
        <family val="2"/>
      </rPr>
      <t>)</t>
    </r>
  </si>
  <si>
    <t>6900T</t>
  </si>
  <si>
    <t>Total Supportive Services Costs</t>
  </si>
  <si>
    <t>Total Operating Expenses</t>
  </si>
  <si>
    <t>Funded Reserves</t>
  </si>
  <si>
    <t>Required Replacement Reserve Deposits</t>
  </si>
  <si>
    <r>
      <t>Other Reserves: (</t>
    </r>
    <r>
      <rPr>
        <sz val="11"/>
        <color rgb="FFC00000"/>
        <rFont val="Arial"/>
        <family val="2"/>
      </rPr>
      <t>Specify</t>
    </r>
    <r>
      <rPr>
        <sz val="11"/>
        <rFont val="Arial"/>
        <family val="2"/>
      </rPr>
      <t>)</t>
    </r>
  </si>
  <si>
    <t>Total Reserves</t>
  </si>
  <si>
    <t>Ground Lease</t>
  </si>
  <si>
    <t>Total Ground Lease</t>
  </si>
  <si>
    <t>Net Operating Income</t>
  </si>
  <si>
    <t>Financial Expenses</t>
  </si>
  <si>
    <r>
      <t>1st Mortgage Debt Service (</t>
    </r>
    <r>
      <rPr>
        <sz val="11"/>
        <color rgb="FFC00000"/>
        <rFont val="Arial"/>
        <family val="2"/>
      </rPr>
      <t>Specify</t>
    </r>
    <r>
      <rPr>
        <sz val="11"/>
        <rFont val="Arial"/>
        <family val="2"/>
      </rPr>
      <t>)</t>
    </r>
  </si>
  <si>
    <r>
      <t>2nd Mortgage Debt Service (</t>
    </r>
    <r>
      <rPr>
        <sz val="11"/>
        <color rgb="FFC00000"/>
        <rFont val="Arial"/>
        <family val="2"/>
      </rPr>
      <t>Specify</t>
    </r>
    <r>
      <rPr>
        <sz val="11"/>
        <rFont val="Arial"/>
        <family val="2"/>
      </rPr>
      <t>)</t>
    </r>
  </si>
  <si>
    <r>
      <t>3rd Mortgage Debt Service (</t>
    </r>
    <r>
      <rPr>
        <sz val="11"/>
        <color rgb="FFC00000"/>
        <rFont val="Arial"/>
        <family val="2"/>
      </rPr>
      <t>Specify</t>
    </r>
    <r>
      <rPr>
        <sz val="11"/>
        <rFont val="Arial"/>
        <family val="2"/>
      </rPr>
      <t>)</t>
    </r>
  </si>
  <si>
    <r>
      <t xml:space="preserve">IIG </t>
    </r>
    <r>
      <rPr>
        <sz val="11"/>
        <color rgb="FF0000FF"/>
        <rFont val="Arial"/>
        <family val="2"/>
      </rPr>
      <t>.</t>
    </r>
    <r>
      <rPr>
        <sz val="11"/>
        <rFont val="Arial"/>
        <family val="2"/>
      </rPr>
      <t>42% Fee</t>
    </r>
  </si>
  <si>
    <t>FWHG .42% Fee</t>
  </si>
  <si>
    <t>HHC .42% Fee</t>
  </si>
  <si>
    <t>MHP .42% Fee</t>
  </si>
  <si>
    <t>TOD .42% Fee</t>
  </si>
  <si>
    <t>Year</t>
  </si>
  <si>
    <t>Asset Management fees</t>
  </si>
  <si>
    <t>VHHP .42% Fee</t>
  </si>
  <si>
    <r>
      <t>Other HCD .42% (</t>
    </r>
    <r>
      <rPr>
        <sz val="11"/>
        <color rgb="FFC00000"/>
        <rFont val="Arial"/>
        <family val="2"/>
      </rPr>
      <t>Specify</t>
    </r>
    <r>
      <rPr>
        <sz val="11"/>
        <rFont val="Arial"/>
        <family val="2"/>
      </rPr>
      <t>)</t>
    </r>
  </si>
  <si>
    <t>Bond Issuer Fee</t>
  </si>
  <si>
    <r>
      <t>Miscellaneous Financial Expenses (</t>
    </r>
    <r>
      <rPr>
        <sz val="11"/>
        <color rgb="FFC00000"/>
        <rFont val="Arial"/>
        <family val="2"/>
      </rPr>
      <t>Specify</t>
    </r>
    <r>
      <rPr>
        <sz val="11"/>
        <rFont val="Arial"/>
        <family val="2"/>
      </rPr>
      <t>)</t>
    </r>
  </si>
  <si>
    <t>6800T</t>
  </si>
  <si>
    <t>Cash Flow</t>
  </si>
  <si>
    <t>Asset Management/Similar Fees</t>
  </si>
  <si>
    <t xml:space="preserve">Total Operating Expenses Per Unit </t>
  </si>
  <si>
    <t>Per Year</t>
  </si>
  <si>
    <t>Per Month</t>
  </si>
  <si>
    <t>Without any Adjustments</t>
  </si>
  <si>
    <t>With the Value of Rent-Free Units Included</t>
  </si>
  <si>
    <t>Without  RE Taxes, Social Services Coordinator or Social Services/Social Programs and With the Value of Rent Fee Units Included</t>
  </si>
  <si>
    <t>Cash Flow Analysis</t>
  </si>
  <si>
    <t>Is Income from Restricted Units based on Restricted or Proposed Rents?</t>
  </si>
  <si>
    <t>Restricted Rents</t>
  </si>
  <si>
    <t>INCOME FROM RENTAL UNITS</t>
  </si>
  <si>
    <t>Inflation</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</si>
  <si>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</si>
  <si>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</si>
  <si>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</si>
  <si>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</si>
  <si>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</si>
  <si>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</si>
  <si>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</si>
  <si>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</si>
  <si>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</si>
  <si>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</si>
  <si>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</si>
  <si>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</si>
  <si>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</si>
  <si>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</si>
  <si>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</si>
  <si>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</si>
  <si>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</si>
  <si>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</si>
  <si>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</si>
  <si>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</si>
  <si>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</si>
  <si>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</si>
  <si>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</si>
  <si>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</si>
  <si>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</si>
  <si>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</si>
  <si>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</si>
  <si>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</si>
  <si>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</si>
  <si>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</si>
  <si>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</si>
  <si>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</si>
  <si>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</si>
  <si>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</si>
  <si>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</si>
  <si>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</si>
  <si>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</si>
  <si>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</si>
  <si>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</si>
  <si>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</si>
  <si>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Restricted Unit  Rents</t>
  </si>
  <si>
    <t>Unrestricted Units</t>
  </si>
  <si>
    <t>GROSS POTENTIAL INCOME - HOUSING</t>
  </si>
  <si>
    <t>OTHER INCOME</t>
  </si>
  <si>
    <t>Laundry &amp; Vending</t>
  </si>
  <si>
    <t xml:space="preserve">Other Income    </t>
  </si>
  <si>
    <t>GROSS POTENTIAL INCOME - OTHER</t>
  </si>
  <si>
    <t>GROSS POTENTIAL INCOME - TOTAL</t>
  </si>
  <si>
    <t>VACANCY ASSUMPTIONS</t>
  </si>
  <si>
    <t xml:space="preserve">Laundry/Vending/Other Income </t>
  </si>
  <si>
    <t xml:space="preserve">Commercial Income </t>
  </si>
  <si>
    <t>TOTAL VACANCY LOSS</t>
  </si>
  <si>
    <t>EFFECTIVE GROSS INCOME</t>
  </si>
  <si>
    <t>OPERATING EXP &amp; RESSERVES</t>
  </si>
  <si>
    <t>Residential Exp. (w/o Real Estate Taxes &amp; Sup. Services)</t>
  </si>
  <si>
    <t>Other Reserves</t>
  </si>
  <si>
    <t>Commercial Expenses</t>
  </si>
  <si>
    <t>TOTAL EXPENSES &amp; RESERVES</t>
  </si>
  <si>
    <t xml:space="preserve">NET OPERATING INCOME </t>
  </si>
  <si>
    <t>DEBT SERVICE</t>
  </si>
  <si>
    <t>Bridge Loan (repaid from Investor equity)</t>
  </si>
  <si>
    <t>TOTAL REQUIRED DEBT SERVICE</t>
  </si>
  <si>
    <r>
      <rPr>
        <sz val="10"/>
        <color rgb="FFC00000"/>
        <rFont val="Arial"/>
        <family val="2"/>
      </rPr>
      <t>CASH FLOW</t>
    </r>
    <r>
      <rPr>
        <sz val="11"/>
        <rFont val="Arial"/>
        <family val="2"/>
      </rPr>
      <t xml:space="preserve"> after all debt service</t>
    </r>
  </si>
  <si>
    <t>DEBT SERVICE COVERAGE RATIO</t>
  </si>
  <si>
    <t>CASHFLOW AFTER DEBT SERVICE</t>
  </si>
  <si>
    <t>Asset Mgmt./ Similar Fees</t>
  </si>
  <si>
    <t>Deferred Developer Fee prior to distributions &amp; residual receipt payments</t>
  </si>
  <si>
    <t>Cash available for residual receipts loans and sponsor distributions</t>
  </si>
  <si>
    <t>Sponsor Distributions</t>
  </si>
  <si>
    <t>HCD Residual Payment</t>
  </si>
  <si>
    <t>Other Residual Payments</t>
  </si>
  <si>
    <t xml:space="preserve">Max Asset Mgmt/Similar Fees </t>
  </si>
  <si>
    <t xml:space="preserve">Cumulative paid Deferred Dev. Fee </t>
  </si>
  <si>
    <t>Total Deferred Developer Fee budgeted for payment prior to distributions and residual receipt payments</t>
  </si>
  <si>
    <t>SRO &amp; STUDIO 4%</t>
  </si>
  <si>
    <t>1 BEDROOM</t>
  </si>
  <si>
    <t>2 BEDROOMS</t>
  </si>
  <si>
    <t>3 BEDROOMS</t>
  </si>
  <si>
    <t>4+ BEDROOMS</t>
  </si>
  <si>
    <t>SRO &amp; STUDIO 9%</t>
  </si>
  <si>
    <t xml:space="preserve">County: </t>
  </si>
  <si>
    <t>Project's Proposed Tax Credits:</t>
  </si>
  <si>
    <t>HCD Phase:</t>
  </si>
  <si>
    <t>2021 TCAC Threshold Basis Limits (TBL)</t>
  </si>
  <si>
    <t># of Units</t>
  </si>
  <si>
    <t>Basis x
Number of Units</t>
  </si>
  <si>
    <r>
      <t xml:space="preserve">TOTAL </t>
    </r>
    <r>
      <rPr>
        <b/>
        <sz val="11"/>
        <rFont val="Arial"/>
        <family val="2"/>
      </rPr>
      <t>UNADJUSTED</t>
    </r>
    <r>
      <rPr>
        <sz val="11"/>
        <rFont val="Arial"/>
        <family val="2"/>
      </rPr>
      <t xml:space="preserve"> THRESHOLD BASIS LIMIT (TBL):</t>
    </r>
  </si>
  <si>
    <t>SRO/Studio</t>
  </si>
  <si>
    <r>
      <t xml:space="preserve">TOTAL </t>
    </r>
    <r>
      <rPr>
        <b/>
        <sz val="11"/>
        <color rgb="FFC00000"/>
        <rFont val="Arial"/>
        <family val="2"/>
      </rPr>
      <t>HCD</t>
    </r>
    <r>
      <rPr>
        <sz val="11"/>
        <rFont val="Arial"/>
        <family val="2"/>
      </rPr>
      <t xml:space="preserve"> AD</t>
    </r>
    <r>
      <rPr>
        <b/>
        <sz val="11"/>
        <rFont val="Arial"/>
        <family val="2"/>
      </rPr>
      <t>J</t>
    </r>
    <r>
      <rPr>
        <sz val="11"/>
        <rFont val="Arial"/>
        <family val="2"/>
      </rPr>
      <t>. THRESHOLD BASIS LIMIT:</t>
    </r>
  </si>
  <si>
    <t>1 Bedroom</t>
  </si>
  <si>
    <t>2 Bedrooms</t>
  </si>
  <si>
    <t>3 Bedrooms</t>
  </si>
  <si>
    <t>4+ Bedrooms</t>
  </si>
  <si>
    <t>Total Eligible Basis</t>
  </si>
  <si>
    <t>Manager Units in Project:</t>
  </si>
  <si>
    <t>TOTAL UNITS:</t>
  </si>
  <si>
    <t>ADJUSTMENTS §10327(c)(5)(A-F):</t>
  </si>
  <si>
    <t>Yes/No</t>
  </si>
  <si>
    <t>Adjustment for projects paid in whole or part out of public funds subject to a legal requirement for the payment of state or federal prevailing wages or financed in part by a labor-affiliated organization requiring the employment of construction workers who are paid at least state or federal prevailing wages.  (20%)</t>
  </si>
  <si>
    <r>
      <t xml:space="preserve">For projects certifies that (1) they are subject to a Project labor agreement within the meaning of </t>
    </r>
    <r>
      <rPr>
        <sz val="11"/>
        <color theme="9" tint="-0.249977111117893"/>
        <rFont val="Arial"/>
        <family val="2"/>
      </rPr>
      <t>§2500(b)(1)</t>
    </r>
    <r>
      <rPr>
        <sz val="11"/>
        <rFont val="Arial"/>
        <family val="2"/>
      </rPr>
      <t xml:space="preserve"> of the Public Contract Code, or (2) they will use a skilled and trained workforce as defined by </t>
    </r>
    <r>
      <rPr>
        <sz val="11"/>
        <color theme="9" tint="-0.249977111117893"/>
        <rFont val="Arial"/>
        <family val="2"/>
      </rPr>
      <t>§25536.7</t>
    </r>
    <r>
      <rPr>
        <sz val="11"/>
        <rFont val="Arial"/>
        <family val="2"/>
      </rPr>
      <t xml:space="preserve"> of the Health and Safety Code to perform all onsite work within an apprenticeable occupation in the building and construction trades. (5%)</t>
    </r>
  </si>
  <si>
    <t>For New construction Projects required to provide parking beneath residential units (not "tuck under" parking) or through construction of an on-site parking structure of two or more levels. (7%)</t>
  </si>
  <si>
    <t>For project where a day care center is part of the development. (2%)</t>
  </si>
  <si>
    <t>For project where 100 percent of the units are for Special Needs populations. (2%)</t>
  </si>
  <si>
    <r>
      <t xml:space="preserve">Project applying under </t>
    </r>
    <r>
      <rPr>
        <sz val="11"/>
        <color theme="9" tint="-0.249977111117893"/>
        <rFont val="Arial"/>
        <family val="2"/>
      </rPr>
      <t>§10325 or §10326</t>
    </r>
    <r>
      <rPr>
        <sz val="11"/>
        <rFont val="Arial"/>
        <family val="2"/>
      </rPr>
      <t xml:space="preserve"> of these regulations that include one or more of the features below. (up to 10%)</t>
    </r>
  </si>
  <si>
    <t>(1) Project shall have onsite renewable generation estimated to produce 50% or more of annual tenant electricity use. If the combined available roof area of the Project structures, including carports, is insufficient for provision of 50% of annual electricity use, then the Project shall have onsite renewable generation based on at least 90% of the available solar accessible roof area. Available solar accessible area is defined as roof area less north facing roof area for sloped roofs, equipment, solar thermal hot water and required local or state fire department set-backs and access routes. A Project not availing itself of the 90% roof area exception may also receive an increase under paragraph (2) only if the renewable generation used to calculate each basis increase does not overlap. (5%)</t>
  </si>
  <si>
    <t>(2) Project shall have onsite renewable generation estimated to produce 75% or more of annual common area electricity use. If the combined available roof area of the Project structures, including carports, is insufficient for provision of 75% of annual electricity use, then the Project shall have onsite renewable generation based on at least 90% of the available solar accessible roof area. Available solar accessible area is defined as roof area less north facing roof area for sloped roofs, equipment, solar thermal hot water and required local or state fire department set-backs and access routes. A Project not availing itself of the 90% roof area exception may also receive an increase under paragraph (1) only if the renewable generation used to calculate each basis increase does not overlap. (2%)</t>
  </si>
  <si>
    <t>(3) Newly constructed Project buildings shall be 15% or more energy efficient than the 2016 Energy Efficiency Standards (California Code of Regulations, Part 6 of Title 24), except that if the local building department has determined that building permit applications submitted on or before December 31, 2016 are complete, then newly constructed Project buildings shall be fifteen percent (15%) or more energy efficient than the 2013 Energy Efficiency Standards (California Code of Regulations, Part 6 of Title 24). (4%)</t>
  </si>
  <si>
    <t>(4) Rehab Project buildings shall have 80% decrease in estimated TDV energy use (or improvement in energy efficiency) post rehab as demonstrated using the appropriate performance module of CEC approved software. (4%)</t>
  </si>
  <si>
    <t>(5) Irrigate only with reclaimed water, greywater, or rainwater (excepting water used for Community Gardens) or irrigate with reclaimed water, grey water, or rainwater in an amount that annually equals or exceeds 20,000 gallons or 300 gallons per unit, whichever is less. (1%)</t>
  </si>
  <si>
    <t>(6) Community Gardens of at least 60 square feet per unit. Permanent site improvements that provide a viable growing space within the Project including solar access, fencing, watering systems, secure storage space for tools, and pedestrian access. (1%)</t>
  </si>
  <si>
    <t>(7) Install bamboo, cork, salvaged or FSC-Certified wood, natural linoleum, natural rubber, or ceramic tile in all kitchens, living rooms, and bathrooms (where no VOC adhesives or backing is also used). (1%)</t>
  </si>
  <si>
    <t>(8) Install bamboo, stained concrete, cork, salvaged or FSC-Certified wood, ceramic tile, or natural linoleum in all common areas. (2%)</t>
  </si>
  <si>
    <t>(9) Meet all requirements of the U.S. Environmental Protection Agency Indoor Air Plus Program. (2%)</t>
  </si>
  <si>
    <t>Project requires seismic upgrading of existing structures, and/or requires toxic or other environmental mitigation as certified by the Project architect/ engineer. (lesser of costs or 15% basis adjustment)</t>
  </si>
  <si>
    <t>If Yes, select type of work:</t>
  </si>
  <si>
    <t>Enter Certified Costs of Work:</t>
  </si>
  <si>
    <r>
      <t>Local development impact fees required to be paid to local government entities. Certification from local entities assessing fees also required.</t>
    </r>
    <r>
      <rPr>
        <b/>
        <sz val="11"/>
        <rFont val="Arial"/>
        <family val="2"/>
      </rPr>
      <t xml:space="preserve">  </t>
    </r>
    <r>
      <rPr>
        <b/>
        <sz val="11"/>
        <color rgb="FFC00000"/>
        <rFont val="Arial"/>
        <family val="2"/>
      </rPr>
      <t>WAIVED IMPACT FEES ARE INELIGIBLE</t>
    </r>
    <r>
      <rPr>
        <b/>
        <sz val="11"/>
        <rFont val="Arial"/>
        <family val="2"/>
      </rPr>
      <t>.</t>
    </r>
  </si>
  <si>
    <t>Project where at least 95% of the Project's upper floor units are serviced by an elevator. (10%)</t>
  </si>
  <si>
    <t>Project wherein at least 95% of the building(s) is constructed as Type I as defined in the California Building Code, in which case, the Type III 10% increase below is not allowed. (15%)</t>
  </si>
  <si>
    <t xml:space="preserve">
(i)</t>
  </si>
  <si>
    <t>Projects within a county with an unadjusted 9% threshold basis limit for a 2-bedroom unit equal or less than $400,000 and within a census tract designated on the TCAC/HCD Opportunity Map as Highest or High Resource. (10%)</t>
  </si>
  <si>
    <t>County Eligibility:</t>
  </si>
  <si>
    <t>TCAC/HCD Opportunity Area Map Tract ID #:</t>
  </si>
  <si>
    <t>Opportunity Map Resource Level:</t>
  </si>
  <si>
    <t>Origination</t>
  </si>
  <si>
    <t>TCAC Project #</t>
  </si>
  <si>
    <t>Project's Developer Fee Summary</t>
  </si>
  <si>
    <t>HCD Limit</t>
  </si>
  <si>
    <t>Project Amt.</t>
  </si>
  <si>
    <t>Deferred Developer Fee payable on a priority basis from available Cash Flow</t>
  </si>
  <si>
    <t>Deferred Developer Fee payable exclusively from Sponsor Distributions</t>
  </si>
  <si>
    <t>Project's type of construction:</t>
  </si>
  <si>
    <t>Project's Unadjusted Eligible Basis (excluding Developer Fee)  - §10327(c)(2)(A)</t>
  </si>
  <si>
    <t>x 15% =</t>
  </si>
  <si>
    <t>Project's Unadjusted Eligible Acquisition Basis (excluding Developer Fee) - §10327(c)(2)(A)</t>
  </si>
  <si>
    <t>x 5% =</t>
  </si>
  <si>
    <t>Project's Non-Residential Costs (excluding Developer Fee) - §10327(c)(2)(A)</t>
  </si>
  <si>
    <t>Section 2. UMR §8312(c) - Maximum Developer Fee using TCAC 4% rules</t>
  </si>
  <si>
    <t>New Construction &amp; Rehab - Unadjusted Eligible Basis (exclude Developer Fee) - §10327(c)(2)(B)(i)</t>
  </si>
  <si>
    <t>Basis for non-residential project costs (exclude Developer Fee) - §10327(c)(2)(B)(ii)</t>
  </si>
  <si>
    <t>Maximum Total Developer Fee using TCAC 4% rules §8312(c)</t>
  </si>
  <si>
    <t xml:space="preserve">Budgeted Developer Fee paid from Development Sources </t>
  </si>
  <si>
    <t>Sum of Deferred and Contributed Developer Fee</t>
  </si>
  <si>
    <r>
      <t xml:space="preserve">Section 3. UMR §8312(a) for Projects without tax credits (choose only one in the 'a', 'b' or 'c' subsections) </t>
    </r>
    <r>
      <rPr>
        <sz val="11"/>
        <color rgb="FFC00000"/>
        <rFont val="Arial"/>
        <family val="2"/>
      </rPr>
      <t>Max HCD Developer Fee = $2,200,000</t>
    </r>
  </si>
  <si>
    <t>substantial rehab = construction cost for rehab work (excluding contractor profit and overhead) in excess of $38,000 per unit</t>
  </si>
  <si>
    <t>Number of units (include manager's unit)</t>
  </si>
  <si>
    <t>each</t>
  </si>
  <si>
    <r>
      <t xml:space="preserve">Acquisition and rehab projects </t>
    </r>
    <r>
      <rPr>
        <i/>
        <u/>
        <sz val="11"/>
        <rFont val="Arial"/>
        <family val="2"/>
      </rPr>
      <t>UMR §8312(a)(2)</t>
    </r>
  </si>
  <si>
    <t>with construction cost for rehab work (excluding contractor profit and overhead) between $11,500 - $38,000 per unit</t>
  </si>
  <si>
    <r>
      <t xml:space="preserve">All other projects </t>
    </r>
    <r>
      <rPr>
        <i/>
        <u/>
        <sz val="11"/>
        <rFont val="Arial"/>
        <family val="2"/>
      </rPr>
      <t>UMR §8312(a)(3)</t>
    </r>
  </si>
  <si>
    <r>
      <t xml:space="preserve">Total other </t>
    </r>
    <r>
      <rPr>
        <sz val="11"/>
        <rFont val="Arial"/>
        <family val="2"/>
      </rPr>
      <t>at:</t>
    </r>
  </si>
  <si>
    <t>per unit</t>
  </si>
  <si>
    <t>Project Phase:</t>
  </si>
  <si>
    <t>Proposed Project Type:</t>
  </si>
  <si>
    <t>Total Budgeted or Actual Developer Fee:</t>
  </si>
  <si>
    <t>Developer Fee Contributed as Capital:</t>
  </si>
  <si>
    <t>Deferred Developer Fee:</t>
  </si>
  <si>
    <r>
      <rPr>
        <b/>
        <sz val="14"/>
        <color rgb="FFFF0000"/>
        <rFont val="Arial"/>
        <family val="2"/>
      </rPr>
      <t>HCD</t>
    </r>
    <r>
      <rPr>
        <b/>
        <sz val="14"/>
        <color rgb="FF0000FF"/>
        <rFont val="Arial"/>
        <family val="2"/>
      </rPr>
      <t xml:space="preserve"> Reserve Requirements</t>
    </r>
  </si>
  <si>
    <t>Number of Project Units:</t>
  </si>
  <si>
    <r>
      <rPr>
        <b/>
        <sz val="12"/>
        <color rgb="FFFF0000"/>
        <rFont val="Arial"/>
        <family val="2"/>
      </rPr>
      <t>Replacement</t>
    </r>
    <r>
      <rPr>
        <b/>
        <sz val="12"/>
        <color rgb="FF0000FF"/>
        <rFont val="Arial"/>
        <family val="2"/>
      </rPr>
      <t xml:space="preserve"> Reserve Calculator UMR §8309</t>
    </r>
  </si>
  <si>
    <t>0.6% of new construction costs (structures excluding contractor profit, overhead, and general requirements and insurance):</t>
  </si>
  <si>
    <t>$500 per unit: (This is a placeholder for rehab projects and may be subject to higher amount)</t>
  </si>
  <si>
    <r>
      <t>Replacement Reserve amount =</t>
    </r>
    <r>
      <rPr>
        <sz val="11"/>
        <color rgb="FFFF0000"/>
        <rFont val="Arial"/>
        <family val="2"/>
      </rPr>
      <t xml:space="preserve"> </t>
    </r>
    <r>
      <rPr>
        <i/>
        <sz val="11"/>
        <color rgb="FFC00000"/>
        <rFont val="Arial"/>
        <family val="2"/>
      </rPr>
      <t>New construction: lesser of (a) and (b); Rehab: (b)</t>
    </r>
  </si>
  <si>
    <r>
      <t>HCD Required Replacement Reserve Amount -</t>
    </r>
    <r>
      <rPr>
        <sz val="11"/>
        <color rgb="FFFF0000"/>
        <rFont val="Arial"/>
        <family val="2"/>
      </rPr>
      <t xml:space="preserve"> </t>
    </r>
    <r>
      <rPr>
        <i/>
        <sz val="11"/>
        <color rgb="FFC00000"/>
        <rFont val="Arial"/>
        <family val="2"/>
      </rPr>
      <t>included in "Operating budget"</t>
    </r>
    <r>
      <rPr>
        <sz val="11"/>
        <rFont val="Arial"/>
        <family val="2"/>
      </rPr>
      <t xml:space="preserve"> tab.</t>
    </r>
  </si>
  <si>
    <r>
      <rPr>
        <b/>
        <sz val="12"/>
        <color rgb="FFFF0000"/>
        <rFont val="Arial"/>
        <family val="2"/>
      </rPr>
      <t>Operating</t>
    </r>
    <r>
      <rPr>
        <b/>
        <sz val="12"/>
        <color rgb="FF0000FF"/>
        <rFont val="Arial"/>
        <family val="2"/>
      </rPr>
      <t xml:space="preserve"> Reserve Calculator</t>
    </r>
  </si>
  <si>
    <r>
      <t>Total Operating Expenses excluding On-Site Service Coordinator Salaries.</t>
    </r>
    <r>
      <rPr>
        <sz val="11"/>
        <color rgb="FFC00000"/>
        <rFont val="Arial"/>
        <family val="2"/>
      </rPr>
      <t xml:space="preserve"> 
</t>
    </r>
    <r>
      <rPr>
        <i/>
        <sz val="11"/>
        <color rgb="FFC00000"/>
        <rFont val="Arial"/>
        <family val="2"/>
      </rPr>
      <t>Operating Budget Cell S107 minus Operating Budget Cell S100</t>
    </r>
  </si>
  <si>
    <t>TAX CREDIT Project 3 Month Reserve Required</t>
  </si>
  <si>
    <t>NON-TAX CREDIT Project 4 Month Reserve Required</t>
  </si>
  <si>
    <t>(a) Total Operating Expenses:</t>
  </si>
  <si>
    <r>
      <rPr>
        <sz val="11"/>
        <rFont val="Arial"/>
        <family val="2"/>
      </rPr>
      <t>Amount subject to reserve calculation:</t>
    </r>
    <r>
      <rPr>
        <i/>
        <sz val="11"/>
        <color rgb="FFC00000"/>
        <rFont val="Arial"/>
        <family val="2"/>
      </rPr>
      <t xml:space="preserve"> (a - b)</t>
    </r>
  </si>
  <si>
    <r>
      <rPr>
        <sz val="11"/>
        <rFont val="Arial"/>
        <family val="2"/>
      </rPr>
      <t xml:space="preserve">(b) </t>
    </r>
    <r>
      <rPr>
        <i/>
        <sz val="11"/>
        <rFont val="Arial"/>
        <family val="2"/>
      </rPr>
      <t xml:space="preserve">Minus: </t>
    </r>
    <r>
      <rPr>
        <sz val="11"/>
        <rFont val="Arial"/>
        <family val="2"/>
      </rPr>
      <t>On-Site Service Coordinator Salaries</t>
    </r>
    <r>
      <rPr>
        <i/>
        <sz val="11"/>
        <rFont val="Arial"/>
        <family val="2"/>
      </rPr>
      <t>:</t>
    </r>
  </si>
  <si>
    <r>
      <t xml:space="preserve">Replacement Reserve amount from </t>
    </r>
    <r>
      <rPr>
        <i/>
        <sz val="11"/>
        <rFont val="Arial"/>
        <family val="2"/>
      </rPr>
      <t>above</t>
    </r>
    <r>
      <rPr>
        <sz val="11"/>
        <rFont val="Arial"/>
        <family val="2"/>
      </rPr>
      <t>:</t>
    </r>
    <r>
      <rPr>
        <sz val="11"/>
        <color rgb="FFFF0000"/>
        <rFont val="Arial"/>
        <family val="2"/>
      </rPr>
      <t xml:space="preserve"> </t>
    </r>
    <r>
      <rPr>
        <i/>
        <sz val="11"/>
        <color rgb="FFC00000"/>
        <rFont val="Arial"/>
        <family val="2"/>
      </rPr>
      <t>(Cell AJ10)</t>
    </r>
  </si>
  <si>
    <t>Debt Service (Including all HCD 0.42% Fees and Bond Issuer Fee)</t>
  </si>
  <si>
    <r>
      <t xml:space="preserve">
Name of Lender
               </t>
    </r>
    <r>
      <rPr>
        <i/>
        <sz val="11"/>
        <color rgb="FFC00000"/>
        <rFont val="Arial"/>
        <family val="2"/>
      </rPr>
      <t>Operating Budget cells D125 to D137</t>
    </r>
  </si>
  <si>
    <t>Annual Debt
Service Amount</t>
  </si>
  <si>
    <r>
      <t>Other (</t>
    </r>
    <r>
      <rPr>
        <sz val="11"/>
        <color rgb="FFC00000"/>
        <rFont val="Arial"/>
        <family val="2"/>
      </rPr>
      <t>Specify</t>
    </r>
    <r>
      <rPr>
        <sz val="11"/>
        <rFont val="Arial"/>
        <family val="2"/>
      </rPr>
      <t>)</t>
    </r>
  </si>
  <si>
    <t>UMR Required Operating Reserve Amount:</t>
  </si>
  <si>
    <t>If Reserve amounts are different than the required amount, enter reserve amounts and how they are calculated below:</t>
  </si>
  <si>
    <r>
      <rPr>
        <b/>
        <sz val="12"/>
        <color rgb="FFFF0000"/>
        <rFont val="Arial"/>
        <family val="2"/>
      </rPr>
      <t>Transition</t>
    </r>
    <r>
      <rPr>
        <b/>
        <sz val="12"/>
        <color rgb="FF0000FF"/>
        <rFont val="Arial"/>
        <family val="2"/>
      </rPr>
      <t xml:space="preserve"> Reserve Calculator</t>
    </r>
  </si>
  <si>
    <t>a) Does the Project propose use of Project-based rental assistance?</t>
  </si>
  <si>
    <r>
      <t>b) Subsidy Initial Contract Term:</t>
    </r>
    <r>
      <rPr>
        <sz val="11"/>
        <color rgb="FFFF0000"/>
        <rFont val="Arial"/>
        <family val="2"/>
      </rPr>
      <t xml:space="preserve"> </t>
    </r>
    <r>
      <rPr>
        <i/>
        <sz val="11"/>
        <color rgb="FFC00000"/>
        <rFont val="Arial"/>
        <family val="2"/>
      </rPr>
      <t>(enter in years)</t>
    </r>
  </si>
  <si>
    <r>
      <t>c) Go to cash flow and remove the subsidy income the year after the subsidy contract ends, enter the amount of cash flow after all debt service:</t>
    </r>
    <r>
      <rPr>
        <sz val="11"/>
        <color rgb="FFFF0000"/>
        <rFont val="Arial"/>
        <family val="2"/>
      </rPr>
      <t xml:space="preserve">  </t>
    </r>
    <r>
      <rPr>
        <i/>
        <sz val="11"/>
        <color rgb="FFC00000"/>
        <rFont val="Arial"/>
        <family val="2"/>
      </rPr>
      <t xml:space="preserve">
      example: subsidy initial term is 15 years remove the subsidy income in cash flow tab from year 16 cell BD7 and/or BD8, enter what the income is from cell BD54. If negative enter as a negative number.</t>
    </r>
  </si>
  <si>
    <t>d) Do any of the permanent development sources have loan terms that end at the same time or before the subsidies initial term?</t>
  </si>
  <si>
    <r>
      <t>e) Complete if box is yellow, Add back the amount of annual debt service for the loan(s) that is ending:</t>
    </r>
    <r>
      <rPr>
        <sz val="11"/>
        <color rgb="FFC00000"/>
        <rFont val="Arial"/>
        <family val="2"/>
      </rPr>
      <t xml:space="preserve"> </t>
    </r>
    <r>
      <rPr>
        <i/>
        <sz val="11"/>
        <color rgb="FFC00000"/>
        <rFont val="Arial"/>
        <family val="2"/>
      </rPr>
      <t>(Cash Flow rows 42-50)</t>
    </r>
    <r>
      <rPr>
        <sz val="11"/>
        <color rgb="FFC00000"/>
        <rFont val="Arial"/>
        <family val="2"/>
      </rPr>
      <t xml:space="preserve">
</t>
    </r>
    <r>
      <rPr>
        <i/>
        <sz val="11"/>
        <color rgb="FFC00000"/>
        <rFont val="Arial"/>
        <family val="2"/>
      </rPr>
      <t xml:space="preserve">               example: 1st mortgage loan term is 15 years, subsidy is also 15 years use amount in cell BD42.</t>
    </r>
  </si>
  <si>
    <r>
      <t xml:space="preserve">Total Transition Reserve Required: 
</t>
    </r>
    <r>
      <rPr>
        <i/>
        <sz val="11"/>
        <color rgb="FFC00000"/>
        <rFont val="Arial"/>
        <family val="2"/>
      </rPr>
      <t xml:space="preserve">               (c + e = Amount of negative cash flow, if cash flow is positive transition reserve is not required $0 will show)</t>
    </r>
  </si>
  <si>
    <r>
      <t xml:space="preserve">Minimum amount of Transition Reserve that should be Capitalized based on 2% simple interest discount over term of contract. 
</t>
    </r>
    <r>
      <rPr>
        <b/>
        <i/>
        <sz val="11"/>
        <color rgb="FFC00000"/>
        <rFont val="Arial"/>
        <family val="2"/>
      </rPr>
      <t xml:space="preserve">               (Higher amount in AI38 is acceptable)</t>
    </r>
    <r>
      <rPr>
        <b/>
        <sz val="11"/>
        <color rgb="FFC00000"/>
        <rFont val="Arial"/>
        <family val="2"/>
      </rPr>
      <t xml:space="preserve">     </t>
    </r>
    <r>
      <rPr>
        <i/>
        <sz val="11"/>
        <color rgb="FFC00000"/>
        <rFont val="Arial"/>
        <family val="2"/>
      </rPr>
      <t>AI38 ÷ Sum of (AI34 x 2%) + 1</t>
    </r>
  </si>
  <si>
    <t>If any part of the transition reserve is funded from cash flow:</t>
  </si>
  <si>
    <r>
      <t>Enter amount capitalized in "</t>
    </r>
    <r>
      <rPr>
        <sz val="11"/>
        <color rgb="FFC00000"/>
        <rFont val="Arial"/>
        <family val="2"/>
      </rPr>
      <t>Dev Budget &amp; S&amp;U</t>
    </r>
    <r>
      <rPr>
        <sz val="11"/>
        <color theme="1"/>
        <rFont val="Arial"/>
        <family val="2"/>
      </rPr>
      <t>":</t>
    </r>
    <r>
      <rPr>
        <sz val="11"/>
        <color rgb="FFC00000"/>
        <rFont val="Arial"/>
        <family val="2"/>
      </rPr>
      <t xml:space="preserve"> (</t>
    </r>
    <r>
      <rPr>
        <i/>
        <sz val="11"/>
        <color rgb="FFC00000"/>
        <rFont val="Arial"/>
        <family val="2"/>
      </rPr>
      <t>Cell K81)</t>
    </r>
  </si>
  <si>
    <t>Enter how many years you are using cash flow to fund the reserve:</t>
  </si>
  <si>
    <r>
      <t xml:space="preserve">Minimum annual amount that should be in cash flow: </t>
    </r>
    <r>
      <rPr>
        <sz val="11"/>
        <color theme="1"/>
        <rFont val="Arial"/>
        <family val="2"/>
      </rPr>
      <t xml:space="preserve"> </t>
    </r>
    <r>
      <rPr>
        <i/>
        <sz val="11"/>
        <color rgb="FFC00000"/>
        <rFont val="Arial"/>
        <family val="2"/>
      </rPr>
      <t>(Sum of (AI38 - AI41) ÷ AI42)</t>
    </r>
  </si>
  <si>
    <t>Comments:
Note: If Reserve amounts proposed in the Development or Operating Budget are different than the MHP required amount, explain why (i.e. other lender requirement) and show calculation method(s) below:</t>
  </si>
  <si>
    <r>
      <t xml:space="preserve">Supportive Services Costs - HCD 2017 UMR Limits </t>
    </r>
    <r>
      <rPr>
        <b/>
        <sz val="12"/>
        <color rgb="FF0000FF"/>
        <rFont val="Arial"/>
        <family val="2"/>
      </rPr>
      <t>(</t>
    </r>
    <r>
      <rPr>
        <b/>
        <sz val="12"/>
        <rFont val="Arial"/>
        <family val="2"/>
      </rPr>
      <t>for projects with HCD funding</t>
    </r>
    <r>
      <rPr>
        <b/>
        <sz val="12"/>
        <color rgb="FF0000FF"/>
        <rFont val="Arial"/>
        <family val="2"/>
      </rPr>
      <t>)</t>
    </r>
  </si>
  <si>
    <t>Fiscal Year</t>
  </si>
  <si>
    <t>Chronic 
Homelessness</t>
  </si>
  <si>
    <t>Special Needs
Population</t>
  </si>
  <si>
    <r>
      <rPr>
        <sz val="11"/>
        <color theme="9" tint="-0.249977111117893"/>
        <rFont val="Arial"/>
        <family val="2"/>
      </rPr>
      <t>HCD UMR  §8301(t)</t>
    </r>
    <r>
      <rPr>
        <sz val="11"/>
        <rFont val="Arial"/>
        <family val="2"/>
      </rPr>
      <t>:  “</t>
    </r>
    <r>
      <rPr>
        <u/>
        <sz val="11"/>
        <rFont val="Arial"/>
        <family val="2"/>
      </rPr>
      <t>Supportive Services</t>
    </r>
    <r>
      <rPr>
        <sz val="11"/>
        <rFont val="Arial"/>
        <family val="2"/>
      </rPr>
      <t>” - social, health, educational, income support and employment services and benefits, coordination of community building and educational activities, individualized needs assessment, and individualized assistance with obtaining services and benefits.</t>
    </r>
  </si>
  <si>
    <r>
      <rPr>
        <sz val="11"/>
        <color theme="9" tint="-0.249977111117893"/>
        <rFont val="Arial"/>
        <family val="2"/>
      </rPr>
      <t>HCD UMR  §8301(u)</t>
    </r>
    <r>
      <rPr>
        <sz val="11"/>
        <rFont val="Arial"/>
        <family val="2"/>
      </rPr>
      <t>: “</t>
    </r>
    <r>
      <rPr>
        <u/>
        <sz val="11"/>
        <rFont val="Arial"/>
        <family val="2"/>
      </rPr>
      <t>Supportive Services Costs</t>
    </r>
    <r>
      <rPr>
        <sz val="11"/>
        <rFont val="Arial"/>
        <family val="2"/>
      </rPr>
      <t>”</t>
    </r>
    <r>
      <rPr>
        <b/>
        <sz val="11"/>
        <rFont val="Arial"/>
        <family val="2"/>
      </rPr>
      <t xml:space="preserve"> - </t>
    </r>
    <r>
      <rPr>
        <sz val="11"/>
        <rFont val="Arial"/>
        <family val="2"/>
      </rPr>
      <t>the costs of providing tenants service coordination, case management, and direct resident and Supportive Services. It includes: (1) the cost of providing tenants with information on and referral to social, health, educational, income support and employment services and benefits, coordination of community building and educational activities, individualized needs assessment, and individualized assistance with obtaining services and benefits; (2) salaries, benefits, contracted services, telecommunication expenses, travel costs, supplies, office expenses, staff training, maintenance of on-site equipment used in services programs, such as computer labs, incidental costs related to resident events, and other similar costs approved by the Department.</t>
    </r>
  </si>
  <si>
    <t>A. Supportive Services Units:</t>
  </si>
  <si>
    <t>Total number of units:</t>
  </si>
  <si>
    <t>Maximum cost baseline year:</t>
  </si>
  <si>
    <t>Max PUPY Expense</t>
  </si>
  <si>
    <t>Max Costs</t>
  </si>
  <si>
    <r>
      <rPr>
        <b/>
        <sz val="11"/>
        <rFont val="Arial"/>
        <family val="2"/>
      </rPr>
      <t>(1)</t>
    </r>
    <r>
      <rPr>
        <b/>
        <sz val="11"/>
        <color theme="9" tint="-0.249977111117893"/>
        <rFont val="Arial"/>
        <family val="2"/>
      </rPr>
      <t xml:space="preserve"> </t>
    </r>
    <r>
      <rPr>
        <sz val="11"/>
        <color theme="9" tint="-0.249977111117893"/>
        <rFont val="Arial"/>
        <family val="2"/>
      </rPr>
      <t>UMR  §8314(e)(1)</t>
    </r>
    <r>
      <rPr>
        <sz val="11"/>
        <rFont val="Arial"/>
        <family val="2"/>
      </rPr>
      <t>:</t>
    </r>
    <r>
      <rPr>
        <b/>
        <sz val="11"/>
        <rFont val="Arial"/>
        <family val="2"/>
      </rPr>
      <t xml:space="preserve"> </t>
    </r>
    <r>
      <rPr>
        <sz val="11"/>
        <rFont val="Arial"/>
        <family val="2"/>
      </rPr>
      <t xml:space="preserve"> Total number of Supportive Housing (SH) units anticipated to be restricted to individuals or families experiencing chronic homelessness as defined consistent with </t>
    </r>
    <r>
      <rPr>
        <sz val="11"/>
        <color theme="9" tint="-0.249977111117893"/>
        <rFont val="Arial"/>
        <family val="2"/>
      </rPr>
      <t>Health and Safety Code (HSC) §50675.14</t>
    </r>
    <r>
      <rPr>
        <sz val="11"/>
        <rFont val="Arial"/>
        <family val="2"/>
      </rPr>
      <t>.</t>
    </r>
  </si>
  <si>
    <r>
      <rPr>
        <b/>
        <sz val="11"/>
        <rFont val="Arial"/>
        <family val="2"/>
      </rPr>
      <t xml:space="preserve">(2) </t>
    </r>
    <r>
      <rPr>
        <sz val="11"/>
        <color theme="9" tint="-0.249977111117893"/>
        <rFont val="Arial"/>
        <family val="2"/>
      </rPr>
      <t>UMR §8314(e)(2)</t>
    </r>
    <r>
      <rPr>
        <sz val="11"/>
        <rFont val="Arial"/>
        <family val="2"/>
      </rPr>
      <t>:  Total number of Supportive Housing (SH) units (other than those restricted to individuals or families experiencing chronic homelessness pursuant to HSC §50675.14), PLUS the total number of units restricted to occupancy by Special Needs Populations (SNP)* under any HCD program.</t>
    </r>
  </si>
  <si>
    <t xml:space="preserve"> (*click here for definition - §7301(s) of the MHP Guidelines).</t>
  </si>
  <si>
    <t xml:space="preserve">  Do not include units included in (1) above.</t>
  </si>
  <si>
    <r>
      <rPr>
        <b/>
        <sz val="11"/>
        <rFont val="Arial"/>
        <family val="2"/>
      </rPr>
      <t xml:space="preserve">(3) </t>
    </r>
    <r>
      <rPr>
        <sz val="11"/>
        <color theme="9" tint="-0.249977111117893"/>
        <rFont val="Arial"/>
        <family val="2"/>
      </rPr>
      <t>UMR §8314(e)(3):</t>
    </r>
    <r>
      <rPr>
        <b/>
        <sz val="11"/>
        <rFont val="Arial"/>
        <family val="2"/>
      </rPr>
      <t xml:space="preserve"> </t>
    </r>
    <r>
      <rPr>
        <sz val="11"/>
        <rFont val="Arial"/>
        <family val="2"/>
      </rPr>
      <t xml:space="preserve"> Total number of units where the Sponsor, their affiliate, or a service provider under contract to provide Supportive Services at the Project has both: (A) qualified staff devoted exclusively to oversight and quality control of resident services in affordable housing, including the Project; and (B) a system to track and report on tenant outcomes, such as changes in employment status and income. </t>
    </r>
    <r>
      <rPr>
        <sz val="11"/>
        <color rgb="FFC00000"/>
        <rFont val="Arial"/>
        <family val="2"/>
      </rPr>
      <t>Do not include units included in items (1) and (2) above.</t>
    </r>
  </si>
  <si>
    <r>
      <rPr>
        <b/>
        <sz val="11"/>
        <rFont val="Arial"/>
        <family val="2"/>
      </rPr>
      <t>(4)</t>
    </r>
    <r>
      <rPr>
        <sz val="11"/>
        <rFont val="Arial"/>
        <family val="2"/>
      </rPr>
      <t xml:space="preserve"> </t>
    </r>
    <r>
      <rPr>
        <sz val="11"/>
        <color theme="9" tint="-0.249977111117893"/>
        <rFont val="Arial"/>
        <family val="2"/>
      </rPr>
      <t>UMR §8314(e)(4):</t>
    </r>
    <r>
      <rPr>
        <b/>
        <sz val="11"/>
        <rFont val="Arial"/>
        <family val="2"/>
      </rPr>
      <t xml:space="preserve"> </t>
    </r>
    <r>
      <rPr>
        <sz val="11"/>
        <rFont val="Arial"/>
        <family val="2"/>
      </rPr>
      <t xml:space="preserve"> Total number of units anticipated to be offered Supportive Services provided by the Project Sponsor, a Sponsor affiliate, or contracted service provider</t>
    </r>
    <r>
      <rPr>
        <sz val="11"/>
        <color indexed="10"/>
        <rFont val="Arial"/>
        <family val="2"/>
      </rPr>
      <t xml:space="preserve"> </t>
    </r>
    <r>
      <rPr>
        <sz val="11"/>
        <color rgb="FFC00000"/>
        <rFont val="Arial"/>
        <family val="2"/>
      </rPr>
      <t>that do not satisfy the criteria in items (1), (2) and (3) above.</t>
    </r>
  </si>
  <si>
    <r>
      <t xml:space="preserve">Supportive Housing Experience
</t>
    </r>
    <r>
      <rPr>
        <b/>
        <i/>
        <sz val="12"/>
        <color rgb="FFC00000"/>
        <rFont val="Arial"/>
        <family val="2"/>
      </rPr>
      <t>This worksheet must be completed if Project has one or more Supportive Housing units:</t>
    </r>
  </si>
  <si>
    <t>Enter the name of the entity qualifying for Sponsor experience:</t>
  </si>
  <si>
    <t>Supportive Housing Experience, §7302(f)</t>
  </si>
  <si>
    <r>
      <rPr>
        <b/>
        <sz val="11"/>
        <color theme="1"/>
        <rFont val="Arial"/>
        <family val="2"/>
      </rPr>
      <t xml:space="preserve">(1) Sponsor Experience: </t>
    </r>
    <r>
      <rPr>
        <sz val="11"/>
        <color theme="1"/>
        <rFont val="Arial"/>
        <family val="2"/>
      </rPr>
      <t xml:space="preserve">Sponsor must have at least two years of experience during the past five years owning or operating (under a long-term master lease or similar arrangement) a rental housing development with at least 10 units occupied by people experiencing Homelessness, with on-site Comprehensive Case Management services. </t>
    </r>
  </si>
  <si>
    <t xml:space="preserve">Project Name and Address </t>
  </si>
  <si>
    <t># of units</t>
  </si>
  <si>
    <t>Were units occupied by people experiencing Homelessness, with on-site Comprehensive Case Management services?</t>
  </si>
  <si>
    <t>Experience Type</t>
  </si>
  <si>
    <t>Year Owned or Operated</t>
  </si>
  <si>
    <r>
      <t xml:space="preserve">(2) Property Manager Experience: </t>
    </r>
    <r>
      <rPr>
        <sz val="11"/>
        <color theme="1"/>
        <rFont val="Arial"/>
        <family val="2"/>
      </rPr>
      <t xml:space="preserve">Property Manager must have managed for at least three years, rental housing developments with at least 10 units occupied by people experiencing Homelessness, with on-site Comprehensive Case Management services. </t>
    </r>
  </si>
  <si>
    <t>Total Years:</t>
  </si>
  <si>
    <t># of months serving</t>
  </si>
  <si>
    <r>
      <t xml:space="preserve">(3) Lead Service Provider Experience: </t>
    </r>
    <r>
      <rPr>
        <sz val="11"/>
        <color theme="1"/>
        <rFont val="Arial"/>
        <family val="2"/>
      </rPr>
      <t>Sponsor must utilize a lead service provider with at least three years of experience providing services to people experiencing Homelessness that includes on-site Comprehensive Case Management in at least two publicly-assisted supportive housing projects or through a tenant-based housing assistance program in which Comprehensive Case Management Services are provided on-site to at least 20 persons at a time, and are not time-limited. A written agreement between the lead service provider and Sponsor or project owner satisfactory to the Department, must be submitted with the Program application.</t>
    </r>
  </si>
  <si>
    <t>Project Name and Address or Description of other Experience</t>
  </si>
  <si>
    <t>Did this experience serve the Target Population in Supportive Housing and include comprehensive case management?</t>
  </si>
  <si>
    <t>Special Needs Population Experience &amp; Narrative</t>
  </si>
  <si>
    <t>This worksheet must be completed if Project has one or more Special Needs Population units</t>
  </si>
  <si>
    <t>The SNP units will be occupied by households meeting the criteria specified in MHP Regulation §7301(z)</t>
  </si>
  <si>
    <t>1)</t>
  </si>
  <si>
    <t>2)</t>
  </si>
  <si>
    <t>3)</t>
  </si>
  <si>
    <t>4)</t>
  </si>
  <si>
    <t>5)</t>
  </si>
  <si>
    <t>Lead Service Provider Experience:</t>
  </si>
  <si>
    <t>Project Sponsor Experience:</t>
  </si>
  <si>
    <t>Property Management Experience:</t>
  </si>
  <si>
    <t>Supportive Services Verification</t>
  </si>
  <si>
    <t>This worksheet must be completed if Project has one or more Supportive Housing or Special Needs units</t>
  </si>
  <si>
    <r>
      <rPr>
        <b/>
        <u/>
        <sz val="11"/>
        <rFont val="Arial"/>
        <family val="2"/>
      </rPr>
      <t>To the Sponsor</t>
    </r>
    <r>
      <rPr>
        <b/>
        <sz val="11"/>
        <rFont val="Arial"/>
        <family val="2"/>
      </rPr>
      <t>:</t>
    </r>
    <r>
      <rPr>
        <sz val="11"/>
        <rFont val="Arial"/>
        <family val="2"/>
      </rPr>
      <t xml:space="preserve"> Complete the project sponsor, service provider, project name and contact information, target population, and name of Verifying Funding Agency information sections below.  Then submit this form along with a copy of the Supportive Housing Project Plan contained in the application to the appropriate funding agency (public or nonprofit) knowledgeable about the supportive services needs of the targeted population(s).   For example, for a project serving chronically mentally ill people, the funding entity could be the County Department of Mental Health.</t>
    </r>
  </si>
  <si>
    <t>Submission of this form shall constitute certification by the sponsor that a true copy of the Supportive Housing Project Plan submitted in the application has been submitted to the funding agency named below.  The form may be submitted to more than one agency or department if necessary.</t>
  </si>
  <si>
    <t>Project Sponsor:</t>
  </si>
  <si>
    <t>Primary Service Provider:</t>
  </si>
  <si>
    <t>Project Address/Site:</t>
  </si>
  <si>
    <t>Project City:</t>
  </si>
  <si>
    <t>Project County:</t>
  </si>
  <si>
    <t>Name of Verifying Funding Agency:</t>
  </si>
  <si>
    <t>Target Population(s):</t>
  </si>
  <si>
    <r>
      <rPr>
        <b/>
        <u/>
        <sz val="11"/>
        <rFont val="Arial"/>
        <family val="2"/>
      </rPr>
      <t>To the public or non-profit funding agency</t>
    </r>
    <r>
      <rPr>
        <b/>
        <sz val="11"/>
        <rFont val="Arial"/>
        <family val="2"/>
      </rPr>
      <t>:</t>
    </r>
    <r>
      <rPr>
        <sz val="11"/>
        <rFont val="Arial"/>
        <family val="2"/>
      </rPr>
      <t xml:space="preserve">  The project sponsor named above is submitting an application to the State Department of Housing and Community Development (HCD) requesting funding for the project named above under the Multifamily Housing Program (MHP).  The application for MHP funding is subject to HCD’s determination that the project qualifies as a Supportive Housing Project. The findings of your agency will be considered in arriving at this determination.  Review the attached copy of the Supportive Housing Project Plan, note your findings in the chart below, and complete the signature block below the chart.  Attach comments for any “No” and as otherwise necessary.  Your cooperation is appreciated. </t>
    </r>
  </si>
  <si>
    <t>We, as signed below, have reviewed the Supportive Housing Project Plan submitted for the project named above.</t>
  </si>
  <si>
    <t>The services proposed in the Supportive Housing Project Plan are appropriate to meet the needs of the target population(s) named above.</t>
  </si>
  <si>
    <t>The project primary service provider is a known provider of support services to the target population(s) listed above.</t>
  </si>
  <si>
    <t>Dated:</t>
  </si>
  <si>
    <t>Statement Completed by (please print):</t>
  </si>
  <si>
    <t>Signature:
(wet signature is required)</t>
  </si>
  <si>
    <t>Title:</t>
  </si>
  <si>
    <t>Agency or Department:</t>
  </si>
  <si>
    <t>Agency or Department Address:</t>
  </si>
  <si>
    <t>Agency or Department Phone:</t>
  </si>
  <si>
    <t>Local Approvals and Environmental Review Verification</t>
  </si>
  <si>
    <r>
      <rPr>
        <b/>
        <sz val="11"/>
        <rFont val="Arial"/>
        <family val="2"/>
      </rPr>
      <t>To the Sponsor:</t>
    </r>
    <r>
      <rPr>
        <sz val="11"/>
        <rFont val="Arial"/>
        <family val="2"/>
      </rPr>
      <t xml:space="preserve">  Submit this form to the agency or department of local government responsible for administration of the items listed. </t>
    </r>
    <r>
      <rPr>
        <sz val="11"/>
        <color indexed="8"/>
        <rFont val="Arial"/>
        <family val="2"/>
      </rPr>
      <t xml:space="preserve"> T</t>
    </r>
    <r>
      <rPr>
        <sz val="11"/>
        <rFont val="Arial"/>
        <family val="2"/>
      </rPr>
      <t>his form may be submitted to more than one agency or department if necessary.  If the NEPA Responsible Entity is not a local government (e.g. State of Calif. HOME Program, USDA RD), also submit a copy of this form to the appropriate NEPA Responsible Entity.  If an item is not required, include the reason why in box provided.</t>
    </r>
  </si>
  <si>
    <t xml:space="preserve">Project Sponsor: </t>
  </si>
  <si>
    <t>Sponsor Address:</t>
  </si>
  <si>
    <t>Sponsor City:</t>
  </si>
  <si>
    <t xml:space="preserve">Project Name: </t>
  </si>
  <si>
    <t xml:space="preserve">Project Address/site: </t>
  </si>
  <si>
    <t xml:space="preserve">Project City: </t>
  </si>
  <si>
    <t xml:space="preserve">Project County: </t>
  </si>
  <si>
    <t>Assessor Parcel Numbers (APNs):</t>
  </si>
  <si>
    <t>To the local jurisdiction or NEPA Responsible Entity:  The Sponsor named above has submitted an application to the State Dept. of Housing and Community Development (HCD) requesting funding for the project named above, under the Multifamily Housing Program (MHP).  Projects submitted for program funding are subject to a competitive rating process.  Project readiness is a component of that process.  Verification of items listed below will be used in evaluating MHP applications.</t>
  </si>
  <si>
    <t>Is this project approved "by right"?</t>
  </si>
  <si>
    <t>Not applicable for this Project</t>
  </si>
  <si>
    <t>Final date of Public Comment Period</t>
  </si>
  <si>
    <t>Approved  Date</t>
  </si>
  <si>
    <t>All Environmental Clearances (CEQA and NEPA) necessary to begin construction are either finally approved or unnecessary:</t>
  </si>
  <si>
    <t>CEQA</t>
  </si>
  <si>
    <t>NEPA</t>
  </si>
  <si>
    <t>Specify in the box below, items not required and explain why (include documentation, if applicable):</t>
  </si>
  <si>
    <t>Not Required for this Project</t>
  </si>
  <si>
    <t>Under Review?</t>
  </si>
  <si>
    <t>Verified as Completed and date completed</t>
  </si>
  <si>
    <t>All necessary, discretionary, and non-discretionary  public land use approvals except building permits and other ministerial approvals are:</t>
  </si>
  <si>
    <t>Design review approval is:</t>
  </si>
  <si>
    <t>Signature:</t>
  </si>
  <si>
    <t>Certification &amp; Legal Status</t>
  </si>
  <si>
    <t>On behalf of the entity identified in the signature block below, I certify that:</t>
  </si>
  <si>
    <t>1. The information, statements and attachments included in this application are, to the best of my knowledge and belief, true and correct.</t>
  </si>
  <si>
    <t>2. I possess the legal authority to submit this application on behalf of the entity identified in the signature block.</t>
  </si>
  <si>
    <r>
      <t xml:space="preserve">3. The following is a complete disclosure of all identities of interest - of all persons or entities, including affiliates, that will provide goods or services to the Project either (a) in one or more capacity or (b) that qualify as a "Related Party" to any person or entity that will provide goods or services to the project. "Related Party" is defined in </t>
    </r>
    <r>
      <rPr>
        <b/>
        <sz val="11"/>
        <rFont val="Arial"/>
        <family val="2"/>
      </rPr>
      <t>§10302</t>
    </r>
    <r>
      <rPr>
        <sz val="11"/>
        <rFont val="Arial"/>
        <family val="2"/>
      </rPr>
      <t xml:space="preserve"> of the California Code of Regulations (CTCAC Regulations): </t>
    </r>
  </si>
  <si>
    <t>4. As of the date of application, the Project, or the real property on which the Project is proposed (Property) is not part to or the subject of any claim or action at the State or Federal appellate level.</t>
  </si>
  <si>
    <t>5. I have disclosed and described below any claim or action undertaken which affects or potentially affects the feasibility of the Project.</t>
  </si>
  <si>
    <t>In addition, I acknowledge that all information in this application and attachments is public, and may be disclosed by the State.</t>
  </si>
  <si>
    <t>Printed Name</t>
  </si>
  <si>
    <t>Title of Signatory</t>
  </si>
  <si>
    <t>Signature</t>
  </si>
  <si>
    <t>Legal Disclosure</t>
  </si>
  <si>
    <t xml:space="preserve">For purposes of the following questions, and with the exceptions noted below, the term “applicant” shall include the sponsor(s), and any subsidiary of the sponsor(s) if the subsidiary is involved in (for example, as a guarantor) or will be benefited by the application or the project. </t>
  </si>
  <si>
    <t>In addition to each of these entities themselves, the term “applicant” shall also include the direct and indirect holders of more than ten percent (10%) of the ownership interests in the entity, as well as the officers, directors, principals and senior executives of the entity if the entity is a corporation, the general and limited partners of the entity if the entity is a partnership, and the members or managers of the entity if the entity is a limited liability company. For projects using tax-exempt bonds, it shall also include the individual who will be executing the bond purchase agreement.</t>
  </si>
  <si>
    <t xml:space="preserve">The following questions must be responded to for each entity and person qualifying as an "applicant," or "joint applicant" as defined above.  </t>
  </si>
  <si>
    <t>Explain all positive responses on a separate sheet and include with this questionnaire in the application.</t>
  </si>
  <si>
    <t>Exceptions:</t>
  </si>
  <si>
    <t xml:space="preserve">Public entity applicants without an ownership interest in the proposed project, including but not limited to cities, counties, and joint powers authorities with 100 or more members, are not required to respond to this questionnaire. </t>
  </si>
  <si>
    <t>Members of the boards of directors of non-profit corporations, including officers of the boards, are also not required to respond. However, chief executive officers (Executive Directors, Chief Executive Officers, Presidents or their equivalent) must respond, as must chief financial officers (Treasurers, Chief Financial Officers, or their equivalent).</t>
  </si>
  <si>
    <t>Civil Matters</t>
  </si>
  <si>
    <r>
      <t xml:space="preserve">1. Has the applicant filed a bankruptcy or receivership case or had a bankruptcy or receivership action commenced against it, defaulted on a loan or been foreclosed against in </t>
    </r>
    <r>
      <rPr>
        <i/>
        <sz val="11"/>
        <rFont val="Arial"/>
        <family val="2"/>
      </rPr>
      <t>past ten years</t>
    </r>
    <r>
      <rPr>
        <sz val="11"/>
        <rFont val="Arial"/>
        <family val="2"/>
      </rPr>
      <t xml:space="preserve">? </t>
    </r>
  </si>
  <si>
    <t>2. Is the applicant currently a party to, or been notified that it may become a party to, any civil litigation that may materially and adversely affect (a) the financial condition of the applicant’s business, or (b) the project that is the subject of the application?</t>
  </si>
  <si>
    <t>3. Have there been any administrative or civil settlements, decisions, or judgments against the applicant within the past ten years that materially and adversely affected (a) the financial condition of the applicant’s business, or (b) the project that is the subject of the application?</t>
  </si>
  <si>
    <t xml:space="preserve">4. Is the applicant currently subject to, or been notified that it may become subject to, any civil or administrative proceeding, examination, or investigation by a local, state or federal licensing or accreditation agency, a local, state or federal taxing authority, or a local, state or federal regulatory or enforcement agency? </t>
  </si>
  <si>
    <t xml:space="preserve">5. In the past ten years, has the applicant been subject to any civil or administrative proceeding, examination, or investigation by a local, state or federal licensing or accreditation agency, a local, state or federal taxing authority, or a local, state or federal regulatory or enforcement agency that resulted in a settlement, decision, or judgment? </t>
  </si>
  <si>
    <t>Criminal Matters</t>
  </si>
  <si>
    <t xml:space="preserve">6. Is the applicant currently a party to, or the subject of, or been notified that it may become a party to or the subject of, any criminal litigation, proceeding, charge, complaint, examination or investigation, of any kind, involving, or that could result in, felony charges against the applicant? </t>
  </si>
  <si>
    <t xml:space="preserve">7. Is the applicant currently a party to, or the subject of, or been notified that it may become a party to or the subject of, any criminal litigation, proceeding, charge, complaint, examination or investigation, of any kind, involving, or that could result in, misdemeanor charges against the applicant for matters relating to the conduct of the applicant’s business? </t>
  </si>
  <si>
    <t xml:space="preserve">8. Is the applicant currently a party to, or the subject of, or been notified that it may become a party to or the subject of, any criminal litigation, proceeding, charge, complaint, examination or investigation, of any kind, involving, or that could result in, criminal charges (whether felony or misdemeanor) against the applicant for any financial or fraud related crime? </t>
  </si>
  <si>
    <t>9. Is the applicant currently a party to, or the subject of, or been notified that it may become a party to or the subject of, any criminal litigation, proceeding, charge, complaint, examination or investigation, of any kind, that could materially affect the financial condition of the applicant’s business?</t>
  </si>
  <si>
    <t xml:space="preserve">10. Within the past ten years, has the applicant been convicted of any felony? </t>
  </si>
  <si>
    <t xml:space="preserve">11. Within the past ten years, has the applicant been convicted of any misdemeanor related to the conduct of the applicant’s business?  </t>
  </si>
  <si>
    <t xml:space="preserve">12. Within the past ten years, has the applicant been convicted of any misdemeanor for any financial or fraud related crime? </t>
  </si>
  <si>
    <t>Please provide a letter of explanation if you responded "Yes" to any of the questions above.</t>
  </si>
  <si>
    <t>Entity Organizational Documents</t>
  </si>
  <si>
    <t>Sponsor Authorizing Resolution (Program Forms Section)</t>
  </si>
  <si>
    <t>1. Entity Name (identity of the contracting party (Sponsor) and Entity Type (corporation, non-profit, for-profit, LLC, etc.)</t>
  </si>
  <si>
    <t xml:space="preserve">2. Name &amp; Title of Signatory(ies)****          </t>
  </si>
  <si>
    <t>3. NOFA Date.</t>
  </si>
  <si>
    <t>4. Language authorizing Signatory(ies) to sign Standard Agreement. (Private entities MUST include Name and Title of signatory(ies). Public entities may include Title only.</t>
  </si>
  <si>
    <t xml:space="preserve">**** Ensure when identifying the Signatory(ies), if more than one is listed, that "and" or "or" is defined for individuals required to sign. </t>
  </si>
  <si>
    <t xml:space="preserve">5. Amendment Provision included. </t>
  </si>
  <si>
    <t>6. Aggregate dollar amount (should be equal to or greater than the requested/award amount), Loan Amount, and each to be listed individually.</t>
  </si>
  <si>
    <t>7. Person attesting validity of resolution (must be someone other than person authorized to sign Standard Agreement).</t>
  </si>
  <si>
    <t>8. The meeting date authorizing resolution.</t>
  </si>
  <si>
    <r>
      <t xml:space="preserve">9. All votes taken at meeting authorizing resolution (ayes, no's, absent, vacant).  </t>
    </r>
    <r>
      <rPr>
        <sz val="11"/>
        <color rgb="FFC00000"/>
        <rFont val="Arial"/>
        <family val="2"/>
      </rPr>
      <t>DO NOT LEAVE BLANK LINES</t>
    </r>
  </si>
  <si>
    <t>10. Project name as it appears on AB434 application.</t>
  </si>
  <si>
    <t>Organizational Documents</t>
  </si>
  <si>
    <t>The following is intended as a brief summary of legal documents commonly required to verify the legal authority of the private entity or entities applying to HCD for an award of funds and does not apply to public applicants. Documents required to apply for funds(threshold requirements)are legally distinct from those required to enter into a standard agreement or to receive bonus points.  For projects receiving an award of HCD funds, additional documents, or corrections, may be required prior to execution of the standard agreement.</t>
  </si>
  <si>
    <t>Organizational Charts</t>
  </si>
  <si>
    <t>Complete organizational charts are required for the Sponsor, Borrower, MGP and AGP (if different from the Sponsor).</t>
  </si>
  <si>
    <t>Corporate Entities</t>
  </si>
  <si>
    <r>
      <t xml:space="preserve">Articles of Incorporation (Corp. Code </t>
    </r>
    <r>
      <rPr>
        <b/>
        <sz val="11"/>
        <rFont val="Arial"/>
        <family val="2"/>
      </rPr>
      <t>§154, 200 and 202</t>
    </r>
    <r>
      <rPr>
        <sz val="11"/>
        <rFont val="Arial"/>
        <family val="2"/>
      </rPr>
      <t>) as certified by the CA Secretary of State.
Bylaws and any amendments thereto (Corp. Code</t>
    </r>
    <r>
      <rPr>
        <b/>
        <sz val="11"/>
        <rFont val="Arial"/>
        <family val="2"/>
      </rPr>
      <t xml:space="preserve"> §207(b), 211 and 212</t>
    </r>
    <r>
      <rPr>
        <sz val="11"/>
        <rFont val="Arial"/>
        <family val="2"/>
      </rPr>
      <t xml:space="preserve">)
Certificate of Amendment of Articles of Incorporation (Corp. Code </t>
    </r>
    <r>
      <rPr>
        <b/>
        <sz val="11"/>
        <rFont val="Arial"/>
        <family val="2"/>
      </rPr>
      <t>§900-910</t>
    </r>
    <r>
      <rPr>
        <sz val="11"/>
        <rFont val="Arial"/>
        <family val="2"/>
      </rPr>
      <t xml:space="preserve"> (general stock), </t>
    </r>
    <r>
      <rPr>
        <b/>
        <sz val="11"/>
        <rFont val="Arial"/>
        <family val="2"/>
      </rPr>
      <t>§5810-5820</t>
    </r>
    <r>
      <rPr>
        <sz val="11"/>
        <rFont val="Arial"/>
        <family val="2"/>
      </rPr>
      <t xml:space="preserve"> (public benefit and religious corporations), </t>
    </r>
    <r>
      <rPr>
        <b/>
        <sz val="11"/>
        <rFont val="Arial"/>
        <family val="2"/>
      </rPr>
      <t>§7810-7820</t>
    </r>
    <r>
      <rPr>
        <sz val="11"/>
        <rFont val="Arial"/>
        <family val="2"/>
      </rPr>
      <t xml:space="preserve"> (mutual benefit corporations), or </t>
    </r>
    <r>
      <rPr>
        <b/>
        <sz val="11"/>
        <rFont val="Arial"/>
        <family val="2"/>
      </rPr>
      <t>§12500-12510</t>
    </r>
    <r>
      <rPr>
        <sz val="11"/>
        <rFont val="Arial"/>
        <family val="2"/>
      </rPr>
      <t xml:space="preserve"> (general cooperative corporations)) as applicable.
Restated Articles of Incorporation (Corp. Code </t>
    </r>
    <r>
      <rPr>
        <b/>
        <sz val="11"/>
        <rFont val="Arial"/>
        <family val="2"/>
      </rPr>
      <t>§901, 906, 910</t>
    </r>
    <r>
      <rPr>
        <sz val="11"/>
        <rFont val="Arial"/>
        <family val="2"/>
      </rPr>
      <t xml:space="preserve"> (general stock), </t>
    </r>
    <r>
      <rPr>
        <b/>
        <sz val="11"/>
        <rFont val="Arial"/>
        <family val="2"/>
      </rPr>
      <t>§5811, 5815, 5819</t>
    </r>
    <r>
      <rPr>
        <sz val="11"/>
        <rFont val="Arial"/>
        <family val="2"/>
      </rPr>
      <t xml:space="preserve"> (public benefit and religious corporations), </t>
    </r>
    <r>
      <rPr>
        <b/>
        <sz val="11"/>
        <rFont val="Arial"/>
        <family val="2"/>
      </rPr>
      <t>§7811, 7815 and 7819</t>
    </r>
    <r>
      <rPr>
        <sz val="11"/>
        <rFont val="Arial"/>
        <family val="2"/>
      </rPr>
      <t xml:space="preserve"> (mutual benefit corporations) and</t>
    </r>
    <r>
      <rPr>
        <b/>
        <sz val="11"/>
        <rFont val="Arial"/>
        <family val="2"/>
      </rPr>
      <t xml:space="preserve"> §12501, 12506 and 12510</t>
    </r>
    <r>
      <rPr>
        <sz val="11"/>
        <rFont val="Arial"/>
        <family val="2"/>
      </rPr>
      <t xml:space="preserve"> (general cooperative corporations)) as applicable.
Statement of Information (CA Secretary of State form SI-100 or SI-200)
Shareholder Agreements (Corp. Code </t>
    </r>
    <r>
      <rPr>
        <b/>
        <sz val="11"/>
        <rFont val="Arial"/>
        <family val="2"/>
      </rPr>
      <t>§186</t>
    </r>
    <r>
      <rPr>
        <sz val="11"/>
        <rFont val="Arial"/>
        <family val="2"/>
      </rPr>
      <t>) if applicable.
Certificate of Good Standing certified by Secretary of State. Certificate of Good Standing must be dated 30 days or less from the application due date.</t>
    </r>
  </si>
  <si>
    <t xml:space="preserve">Limited Liability Companies </t>
  </si>
  <si>
    <r>
      <t xml:space="preserve">Articles of Organization (CA Secretary of State form LLC-1)
Certificate of Amendment (CA Secretary of State form LLC-2) if applicable.
Restated Articles of Organization (CA Secretary of State form LLC-10) if applicable.
Certificate of Correction (CA Secretary of State form LLC-11) if applicable.
Statement of Information (CA Secretary of State form LLC-12 or LLC-12NC)
Operating Agreement (Corp. Code </t>
    </r>
    <r>
      <rPr>
        <b/>
        <sz val="11"/>
        <rFont val="Arial"/>
        <family val="2"/>
      </rPr>
      <t>§17707.02(s) and 17701.10</t>
    </r>
    <r>
      <rPr>
        <sz val="11"/>
        <rFont val="Arial"/>
        <family val="2"/>
      </rPr>
      <t>)
Certificate of Good Standing certified by Secretary of State. Certificate of Good Standing must be dated 30 days or less from the application due date.</t>
    </r>
  </si>
  <si>
    <t>Limited Partnerships</t>
  </si>
  <si>
    <r>
      <t xml:space="preserve">Certificate of Limited Partnership (CA Secretary of State form LP-1)
Amendment to Certificate of Limited Partnership (CA Secretary of State form LP-2) if applicable.
Certificate of Correction (CA Secretary of State form LP-2) if applicable.
Limited Partnership Agreement (CA Corp. Code </t>
    </r>
    <r>
      <rPr>
        <b/>
        <sz val="11"/>
        <rFont val="Arial"/>
        <family val="2"/>
      </rPr>
      <t>§15901.02(x) and 15901.10</t>
    </r>
    <r>
      <rPr>
        <sz val="11"/>
        <rFont val="Arial"/>
        <family val="2"/>
      </rPr>
      <t>)
Amended and Restated Limited Partnership Agreement
Certificate of Good Standing certified by Secretary of State.</t>
    </r>
  </si>
  <si>
    <t>Tribe Formation Documents (Constitution, Charters, etc.)
Federal Register of Indian Entities Recognized (81 Fed. Reg. 26826)</t>
  </si>
  <si>
    <t>Application Development Team (ADT) Support Form</t>
  </si>
  <si>
    <r>
      <t xml:space="preserve">Please complete the "yellow" cells in the form below and email a copy to: </t>
    </r>
    <r>
      <rPr>
        <sz val="12"/>
        <color rgb="FF0000FF"/>
        <rFont val="Arial"/>
        <family val="2"/>
      </rPr>
      <t xml:space="preserve">AppSupport@hcd.ca.gov </t>
    </r>
    <r>
      <rPr>
        <sz val="12"/>
        <rFont val="Arial"/>
        <family val="2"/>
      </rPr>
      <t>and cc</t>
    </r>
    <r>
      <rPr>
        <sz val="12"/>
        <color rgb="FF0000FF"/>
        <rFont val="Arial"/>
        <family val="2"/>
      </rPr>
      <t xml:space="preserve"> MHP@hcd.ca.gov</t>
    </r>
    <r>
      <rPr>
        <sz val="12"/>
        <rFont val="Arial"/>
        <family val="2"/>
      </rPr>
      <t xml:space="preserve">. A member of the Application Development Team will respond to your request as soon as possible. </t>
    </r>
  </si>
  <si>
    <t>Full Name:</t>
  </si>
  <si>
    <t>Date Requested:</t>
  </si>
  <si>
    <t>Application Version Date:</t>
  </si>
  <si>
    <t>Organization:</t>
  </si>
  <si>
    <t>Email:</t>
  </si>
  <si>
    <t>Contact Phone:</t>
  </si>
  <si>
    <t>Justification:</t>
  </si>
  <si>
    <t>Issue #</t>
  </si>
  <si>
    <t>Tab / Sheet Name</t>
  </si>
  <si>
    <t>Section</t>
  </si>
  <si>
    <t>Cell(s) #</t>
  </si>
  <si>
    <t>Update / Comment</t>
  </si>
  <si>
    <t xml:space="preserve">Urgency </t>
  </si>
  <si>
    <t>ADT Status</t>
  </si>
  <si>
    <t>Status Date</t>
  </si>
  <si>
    <t>Requestor</t>
  </si>
  <si>
    <t>Phone</t>
  </si>
  <si>
    <t>App Version</t>
  </si>
  <si>
    <t>Units in excess of 30 at:</t>
  </si>
  <si>
    <t>First 30 units at:</t>
  </si>
  <si>
    <t>Developer Fee</t>
  </si>
  <si>
    <t>Vissible Developer Fee selection</t>
  </si>
  <si>
    <t>Is Project located in Indian Country as defined by 18 USC 1151 or located on fee land?</t>
  </si>
  <si>
    <r>
      <t xml:space="preserve">Substantial rehab projects </t>
    </r>
    <r>
      <rPr>
        <i/>
        <u/>
        <sz val="11"/>
        <rFont val="Arial"/>
        <family val="2"/>
      </rPr>
      <t>UMR §8312(a)(1)</t>
    </r>
  </si>
  <si>
    <t>Maximum allowable Developer Fee</t>
  </si>
  <si>
    <t>Projects with 49 or fewer Restricted Units</t>
  </si>
  <si>
    <t>Projects between 50 and 100 Restricted Units</t>
  </si>
  <si>
    <t>Projects with more than 100 Restricted Units</t>
  </si>
  <si>
    <t>Qualifies for increase per 7305 (b)(2)(C)</t>
  </si>
  <si>
    <t>Total acquisition and non-substantial rehab</t>
  </si>
  <si>
    <t>Total substantial rehab</t>
  </si>
  <si>
    <t>2021 TCAC Threshold Basis Limit for HCD Developer Fee UMR §8312(c) &amp; (b) and High Cost Test for HCD Limits on Development Costs 2017 UMR §8311(a) &amp; (b) (revised 2/19/21) Complete all yellow shaded cell</t>
  </si>
  <si>
    <t>New construction projects §7305 (b)(2)</t>
  </si>
  <si>
    <t>Total New Construction projects</t>
  </si>
  <si>
    <r>
      <rPr>
        <sz val="14"/>
        <color rgb="FF0000FF"/>
        <rFont val="Arial"/>
        <family val="2"/>
      </rPr>
      <t>HCD 2021 Developer Fee Calculator</t>
    </r>
    <r>
      <rPr>
        <i/>
        <sz val="14"/>
        <rFont val="Arial"/>
        <family val="2"/>
      </rPr>
      <t xml:space="preserve"> - revised 01/01/2022</t>
    </r>
  </si>
  <si>
    <r>
      <t xml:space="preserve">Sponsor certifies that the Project meets the requirements set forth at </t>
    </r>
    <r>
      <rPr>
        <sz val="11"/>
        <color theme="9" tint="-0.249977111117893"/>
        <rFont val="Arial"/>
        <family val="2"/>
      </rPr>
      <t>§7302 (e)(5)</t>
    </r>
    <r>
      <rPr>
        <sz val="11"/>
        <color theme="1"/>
        <rFont val="Arial"/>
        <family val="2"/>
      </rPr>
      <t>?</t>
    </r>
  </si>
  <si>
    <r>
      <t xml:space="preserve">Sponsor certifies that the Project meets the requirements set forth at </t>
    </r>
    <r>
      <rPr>
        <sz val="11"/>
        <color theme="9" tint="-0.249977111117893"/>
        <rFont val="Arial"/>
        <family val="2"/>
      </rPr>
      <t>§7302 (e)(1)</t>
    </r>
    <r>
      <rPr>
        <sz val="11"/>
        <color theme="1"/>
        <rFont val="Arial"/>
        <family val="2"/>
      </rPr>
      <t>?</t>
    </r>
  </si>
  <si>
    <r>
      <t xml:space="preserve">Sponsor certifies that the Project meets the requirements set forth at </t>
    </r>
    <r>
      <rPr>
        <sz val="11"/>
        <color theme="9" tint="-0.249977111117893"/>
        <rFont val="Arial"/>
        <family val="2"/>
      </rPr>
      <t>§7302 (e)(3)</t>
    </r>
    <r>
      <rPr>
        <sz val="11"/>
        <color theme="1"/>
        <rFont val="Arial"/>
        <family val="2"/>
      </rPr>
      <t xml:space="preserve">? </t>
    </r>
  </si>
  <si>
    <r>
      <t xml:space="preserve">Sponsor certifies that the Project meets the requirements set forth at </t>
    </r>
    <r>
      <rPr>
        <sz val="11"/>
        <color theme="9" tint="-0.249977111117893"/>
        <rFont val="Arial"/>
        <family val="2"/>
      </rPr>
      <t>§7302 (e)(2), (f), &amp; (g)</t>
    </r>
    <r>
      <rPr>
        <sz val="11"/>
        <color theme="1"/>
        <rFont val="Arial"/>
        <family val="2"/>
      </rPr>
      <t xml:space="preserve">? </t>
    </r>
  </si>
  <si>
    <r>
      <t xml:space="preserve">Sponsor certifies that funds shall be used only for approved eligible costs that are incurred on the Project as set forth in this section, including interim or bridge loans used to pay such costs. In addition, the costs must be necessary and must be consistent with the lowest reasonable cost consistent with tthe Project's scope and area as determined by the Department. </t>
    </r>
    <r>
      <rPr>
        <sz val="11"/>
        <color theme="9" tint="-0.249977111117893"/>
        <rFont val="Arial"/>
        <family val="2"/>
      </rPr>
      <t>§7304</t>
    </r>
  </si>
  <si>
    <r>
      <t xml:space="preserve">Sponsor certifies that once a Project is awarded Department funds, the Sponsor/Awardee is acknowledging the Project as submitted and approved is the Project that is to be funded and built. Any bifurcation would make that award null and void, as the awarded Project is no longer feasible as originally submitted and  awarded funds are unable to be assumed or assigned. </t>
    </r>
    <r>
      <rPr>
        <sz val="11"/>
        <color theme="9" tint="-0.249977111117893"/>
        <rFont val="Arial"/>
        <family val="2"/>
      </rPr>
      <t>§7302(i)</t>
    </r>
  </si>
  <si>
    <t>Add Project description below:</t>
  </si>
  <si>
    <r>
      <t xml:space="preserve">Sponsor certifies, agree to, and understand the Assisted Unit Requirements </t>
    </r>
    <r>
      <rPr>
        <sz val="11"/>
        <color theme="9" tint="-0.249977111117893"/>
        <rFont val="Arial"/>
        <family val="2"/>
      </rPr>
      <t>§7302(h)</t>
    </r>
  </si>
  <si>
    <t>Sponsor certifies that other development funding sources, including all tax credit equity generated by the Project, are insufficient to cover Project development costs? §7302(b)</t>
  </si>
  <si>
    <r>
      <t xml:space="preserve">Projects involving new construction, acquisition and Substantial Rehabilitation, or conversion of nonresidential structures to residential dwelling Units must be capable of accommodating broadband service with at least a speed of 25 megabits per second for downloading and 3 megabits per second for uploading (25/3). Internet service and its ongoing fee is are not required. </t>
    </r>
    <r>
      <rPr>
        <sz val="11"/>
        <color theme="9" tint="-0.249977111117893"/>
        <rFont val="Arial"/>
        <family val="2"/>
      </rPr>
      <t>§7302.1 (j)</t>
    </r>
  </si>
  <si>
    <r>
      <t xml:space="preserve">Sponsor certifies that at the time of the application due date, the construction or rehabilitation work has not commenced, except for emergency repairs to existing structures required to eliminate hazards or threats to health and safety? </t>
    </r>
    <r>
      <rPr>
        <sz val="11"/>
        <color theme="9" tint="-0.249977111117893"/>
        <rFont val="Arial"/>
        <family val="2"/>
      </rPr>
      <t>§7302(c)</t>
    </r>
  </si>
  <si>
    <t>Provided</t>
  </si>
  <si>
    <t>Tiebreaker Score:</t>
  </si>
  <si>
    <t>Additional cost containment. This category rewards applicants having low total development costs as measured by their Adjusted Eligible Cost Basis. For purpose of this element of the tiebreaker, the project’s Adjusted Eligible Cost Basis will be compared to their County-level Adjusted Threshold Basis Limit. The project’s percentage above (unfavorable) or below (favorable) their County Adjusted Threshold Basis Limit shall equate to their score on this measure, expressed as a decimal.</t>
  </si>
  <si>
    <t>Total Eligible Basis per the Development Budget</t>
  </si>
  <si>
    <t>/</t>
  </si>
  <si>
    <t>Adjusted Threshold Basis Limit per CDLAC Regulation 
Section 5230</t>
  </si>
  <si>
    <t>The calculation in this paragraph (3) is multiplied by 1.25.</t>
  </si>
  <si>
    <t>Projects will compete with like-projects in the tiebreaker. Applicants will thus be grouped into FWHG /Non-Special Needs applications, Special-Needs and VHHP applications, and Large-Family Applications. This will level the competition by allowing for inherent differences in costs associated with the project-type such as costs for larger unit sizes, or costs for supportive services. The final tie-breaker score is the sum of paragraph (1) through (3) divided by three and rounded to six decimal points.</t>
  </si>
  <si>
    <r>
      <t xml:space="preserve"> Final tie-breaker score is the sum of paragraph (1) through (3) divided by </t>
    </r>
    <r>
      <rPr>
        <b/>
        <sz val="11"/>
        <color rgb="FFC00000"/>
        <rFont val="Arial"/>
        <family val="2"/>
      </rPr>
      <t>three (3)</t>
    </r>
    <r>
      <rPr>
        <b/>
        <sz val="11"/>
        <rFont val="Arial"/>
        <family val="2"/>
      </rPr>
      <t xml:space="preserve"> and rounded to six decimal points.</t>
    </r>
  </si>
  <si>
    <t>Studio</t>
  </si>
  <si>
    <t>2 Bedroom</t>
  </si>
  <si>
    <t>3 Bedroom</t>
  </si>
  <si>
    <t>4+ Bedroom</t>
  </si>
  <si>
    <r>
      <t>(f) Cost Containment—10 points maximum – (</t>
    </r>
    <r>
      <rPr>
        <b/>
        <sz val="11"/>
        <color rgb="FFC00000"/>
        <rFont val="Arial"/>
        <family val="2"/>
      </rPr>
      <t>10 points maximum</t>
    </r>
    <r>
      <rPr>
        <b/>
        <sz val="11"/>
        <rFont val="Arial"/>
        <family val="2"/>
      </rPr>
      <t>)</t>
    </r>
  </si>
  <si>
    <t>IIG program meet the minimum, threshold requirement (for this scoring section only), 15 percent of IIG Assisted Affordable Units?</t>
  </si>
  <si>
    <t>Defined by the U.S Census Bureau</t>
  </si>
  <si>
    <t>hi</t>
  </si>
  <si>
    <t>hello there</t>
  </si>
  <si>
    <t>sp note</t>
  </si>
  <si>
    <t>Fee land</t>
  </si>
  <si>
    <t>PROJ</t>
  </si>
  <si>
    <t>PNAME</t>
  </si>
  <si>
    <t>add</t>
  </si>
  <si>
    <t>bhilai</t>
  </si>
  <si>
    <t>pjname2</t>
  </si>
  <si>
    <t>hcd1</t>
  </si>
  <si>
    <t>hcd2</t>
  </si>
  <si>
    <t>hcd3</t>
  </si>
  <si>
    <t>January</t>
  </si>
  <si>
    <t>February</t>
  </si>
  <si>
    <t>NN</t>
  </si>
  <si>
    <t>OIJ</t>
  </si>
  <si>
    <t>SPECIFY</t>
  </si>
  <si>
    <t>21-10-2000</t>
  </si>
  <si>
    <t>Tenant</t>
  </si>
  <si>
    <t>Propane</t>
  </si>
  <si>
    <t>DA</t>
  </si>
  <si>
    <t>NNN</t>
  </si>
  <si>
    <t>AVAILABLITIY</t>
  </si>
  <si>
    <t>SERVICES</t>
  </si>
  <si>
    <t>RENT</t>
  </si>
  <si>
    <t xml:space="preserve">Laundry Hookups </t>
  </si>
  <si>
    <t>SPn2</t>
  </si>
  <si>
    <t>Detached</t>
  </si>
  <si>
    <t>noern</t>
  </si>
  <si>
    <t>sotuh</t>
  </si>
  <si>
    <t>geature</t>
  </si>
  <si>
    <t>use</t>
  </si>
  <si>
    <t>Public</t>
  </si>
  <si>
    <t>note</t>
  </si>
  <si>
    <t>zone</t>
  </si>
  <si>
    <t>desc</t>
  </si>
  <si>
    <t>lessor</t>
  </si>
  <si>
    <t>payment</t>
  </si>
  <si>
    <t>detaisl</t>
  </si>
  <si>
    <t>owner</t>
  </si>
  <si>
    <t>Enforceable Option to Lease or Purchase</t>
  </si>
  <si>
    <t>available</t>
  </si>
  <si>
    <t>bhiali</t>
  </si>
  <si>
    <t>cg</t>
  </si>
  <si>
    <t>lname</t>
  </si>
  <si>
    <t>lnameo</t>
  </si>
  <si>
    <t>jve</t>
  </si>
  <si>
    <t>jve1</t>
  </si>
  <si>
    <t>sp2</t>
  </si>
  <si>
    <t>Consultant</t>
  </si>
  <si>
    <t>Emp1</t>
  </si>
  <si>
    <t>Emp2</t>
  </si>
  <si>
    <t>Emp3</t>
  </si>
  <si>
    <t>Emp4</t>
  </si>
  <si>
    <t>Emp5</t>
  </si>
  <si>
    <t>Emp6</t>
  </si>
  <si>
    <t>Part time</t>
  </si>
  <si>
    <t>po1</t>
  </si>
  <si>
    <t>po2</t>
  </si>
  <si>
    <t>po3</t>
  </si>
  <si>
    <t>po4</t>
  </si>
  <si>
    <t>po5</t>
  </si>
  <si>
    <t>po6</t>
  </si>
  <si>
    <t>sd</t>
  </si>
  <si>
    <t>ename</t>
  </si>
  <si>
    <t>Small City Status</t>
  </si>
  <si>
    <t>Describe</t>
  </si>
  <si>
    <t>Temporary Only</t>
  </si>
  <si>
    <t>Shared Housing</t>
  </si>
  <si>
    <t>Assisted Living</t>
  </si>
  <si>
    <t>Some Elderly - 55+</t>
  </si>
  <si>
    <t>add1</t>
  </si>
  <si>
    <t>add2</t>
  </si>
  <si>
    <t>add3</t>
  </si>
  <si>
    <t>add4</t>
  </si>
  <si>
    <t>desc rew</t>
  </si>
  <si>
    <t>criteria</t>
  </si>
  <si>
    <t>23-12-20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</si>
</sst>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quot;$&quot;#,##0"/>
    <numFmt numFmtId="166" formatCode="0.0"/>
    <numFmt numFmtId="167" formatCode="m/d/yy;@"/>
    <numFmt numFmtId="168" formatCode="[$-F800]dddd\,\ mmmm\ dd\,\ yyyy"/>
    <numFmt numFmtId="169" formatCode="[&lt;=9999999]###\-####;\(###\)\ ###\-####"/>
    <numFmt numFmtId="170" formatCode="&quot;$&quot;#,##0.00"/>
    <numFmt numFmtId="171" formatCode="_(* #,##0_);_(* \(#,##0\);_(* &quot;-&quot;??_);_(@_)"/>
    <numFmt numFmtId="172" formatCode="_(&quot;$&quot;* #,##0_);_(&quot;$&quot;* \(#,##0\);_(&quot;$&quot;* &quot;-&quot;??_);_(@_)"/>
    <numFmt numFmtId="173" formatCode="\$#,##0;\$#,##0"/>
    <numFmt numFmtId="174" formatCode="&quot;X &quot;#%&quot; =&quot;"/>
    <numFmt numFmtId="175" formatCode="0.000"/>
    <numFmt numFmtId="176" formatCode="00000000000"/>
    <numFmt numFmtId="177" formatCode="General_)"/>
    <numFmt numFmtId="178" formatCode="\$#,##0"/>
    <numFmt numFmtId="179" formatCode="&quot;$&quot;#,##0.0000"/>
    <numFmt numFmtId="180" formatCode="_-* #,##0.00_-;\-* #,##0.00_-;_-* &quot;-&quot;??_-;_-@_-"/>
    <numFmt numFmtId="181" formatCode="0.000000"/>
  </numFmts>
  <fonts count="16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4"/>
      <name val="Arial"/>
      <family val="2"/>
    </font>
    <font>
      <b/>
      <sz val="10"/>
      <name val="Arial"/>
      <family val="2"/>
    </font>
    <font>
      <sz val="12"/>
      <name val="Arial"/>
      <family val="2"/>
    </font>
    <font>
      <sz val="11"/>
      <name val="Arial"/>
      <family val="2"/>
    </font>
    <font>
      <b/>
      <sz val="12"/>
      <name val="Arial"/>
      <family val="2"/>
    </font>
    <font>
      <i/>
      <sz val="11"/>
      <name val="Arial"/>
      <family val="2"/>
    </font>
    <font>
      <sz val="11"/>
      <color indexed="10"/>
      <name val="Arial"/>
      <family val="2"/>
    </font>
    <font>
      <b/>
      <i/>
      <sz val="11"/>
      <name val="Arial"/>
      <family val="2"/>
    </font>
    <font>
      <sz val="10"/>
      <color indexed="8"/>
      <name val="Arial"/>
      <family val="2"/>
    </font>
    <font>
      <b/>
      <i/>
      <sz val="9"/>
      <name val="Arial"/>
      <family val="2"/>
    </font>
    <font>
      <b/>
      <i/>
      <sz val="9"/>
      <color indexed="9"/>
      <name val="Arial"/>
      <family val="2"/>
    </font>
    <font>
      <sz val="9"/>
      <color indexed="81"/>
      <name val="Tahoma"/>
      <family val="2"/>
    </font>
    <font>
      <b/>
      <sz val="9"/>
      <color indexed="81"/>
      <name val="Tahoma"/>
      <family val="2"/>
    </font>
    <font>
      <sz val="11"/>
      <color theme="1"/>
      <name val="Arial"/>
      <family val="2"/>
    </font>
    <font>
      <b/>
      <sz val="11"/>
      <color theme="1"/>
      <name val="Arial"/>
      <family val="2"/>
    </font>
    <font>
      <sz val="11"/>
      <color theme="1"/>
      <name val="Calibri"/>
      <family val="2"/>
      <scheme val="minor"/>
    </font>
    <font>
      <sz val="8"/>
      <color theme="1"/>
      <name val="Arial"/>
      <family val="2"/>
    </font>
    <font>
      <sz val="9"/>
      <color theme="1"/>
      <name val="Arial"/>
      <family val="2"/>
    </font>
    <font>
      <sz val="10"/>
      <color theme="1"/>
      <name val="Arial"/>
      <family val="2"/>
    </font>
    <font>
      <b/>
      <sz val="20"/>
      <color theme="1"/>
      <name val="Arial"/>
      <family val="2"/>
    </font>
    <font>
      <b/>
      <sz val="14"/>
      <color theme="1"/>
      <name val="Arial"/>
      <family val="2"/>
    </font>
    <font>
      <b/>
      <sz val="12"/>
      <color theme="1"/>
      <name val="Arial"/>
      <family val="2"/>
    </font>
    <font>
      <u/>
      <sz val="11"/>
      <color theme="10"/>
      <name val="Arial"/>
      <family val="2"/>
    </font>
    <font>
      <b/>
      <sz val="14"/>
      <color rgb="FF0000FF"/>
      <name val="Arial"/>
      <family val="2"/>
    </font>
    <font>
      <sz val="11"/>
      <color indexed="8"/>
      <name val="Calibri"/>
      <family val="2"/>
    </font>
    <font>
      <sz val="10"/>
      <color rgb="FFFF0000"/>
      <name val="Arial"/>
      <family val="2"/>
    </font>
    <font>
      <sz val="9"/>
      <name val="Arial"/>
      <family val="2"/>
    </font>
    <font>
      <b/>
      <sz val="11"/>
      <name val="Arial"/>
      <family val="2"/>
    </font>
    <font>
      <b/>
      <u/>
      <sz val="11"/>
      <name val="Arial"/>
      <family val="2"/>
    </font>
    <font>
      <u/>
      <sz val="11"/>
      <name val="Arial"/>
      <family val="2"/>
    </font>
    <font>
      <sz val="10"/>
      <name val="MS Sans Serif"/>
      <family val="2"/>
    </font>
    <font>
      <u/>
      <sz val="7.5"/>
      <color indexed="12"/>
      <name val="Arial"/>
      <family val="2"/>
    </font>
    <font>
      <sz val="11"/>
      <color rgb="FF9C0006"/>
      <name val="Arial"/>
      <family val="2"/>
    </font>
    <font>
      <sz val="11"/>
      <color rgb="FF006100"/>
      <name val="Arial"/>
      <family val="2"/>
    </font>
    <font>
      <u/>
      <sz val="10"/>
      <color theme="10"/>
      <name val="Arial"/>
      <family val="2"/>
    </font>
    <font>
      <sz val="11"/>
      <color rgb="FF9C6500"/>
      <name val="Arial"/>
      <family val="2"/>
    </font>
    <font>
      <b/>
      <sz val="11"/>
      <color rgb="FFFF0000"/>
      <name val="Arial"/>
      <family val="2"/>
    </font>
    <font>
      <i/>
      <sz val="11"/>
      <color theme="1"/>
      <name val="Arial"/>
      <family val="2"/>
    </font>
    <font>
      <sz val="11"/>
      <color rgb="FF0000FF"/>
      <name val="Arial"/>
      <family val="2"/>
    </font>
    <font>
      <sz val="11"/>
      <color rgb="FFFF0000"/>
      <name val="Arial"/>
      <family val="2"/>
    </font>
    <font>
      <i/>
      <sz val="11"/>
      <color rgb="FFFF0000"/>
      <name val="Arial"/>
      <family val="2"/>
    </font>
    <font>
      <i/>
      <u/>
      <sz val="11"/>
      <color indexed="12"/>
      <name val="Arial"/>
      <family val="2"/>
    </font>
    <font>
      <sz val="11"/>
      <color indexed="12"/>
      <name val="Arial"/>
      <family val="2"/>
    </font>
    <font>
      <b/>
      <sz val="11"/>
      <color rgb="FF0000FF"/>
      <name val="Arial"/>
      <family val="2"/>
    </font>
    <font>
      <b/>
      <sz val="11"/>
      <color rgb="FF000000"/>
      <name val="Arial"/>
      <family val="2"/>
    </font>
    <font>
      <sz val="11"/>
      <color rgb="FF000000"/>
      <name val="Arial"/>
      <family val="2"/>
    </font>
    <font>
      <u/>
      <sz val="11"/>
      <color theme="10"/>
      <name val="Calibri"/>
      <family val="2"/>
      <scheme val="minor"/>
    </font>
    <font>
      <i/>
      <sz val="10"/>
      <color rgb="FFFF0000"/>
      <name val="Arial"/>
      <family val="2"/>
    </font>
    <font>
      <b/>
      <sz val="11"/>
      <color rgb="FFC00000"/>
      <name val="Arial"/>
      <family val="2"/>
    </font>
    <font>
      <sz val="11"/>
      <color rgb="FFC00000"/>
      <name val="Arial"/>
      <family val="2"/>
    </font>
    <font>
      <sz val="11"/>
      <color rgb="FF00B0F0"/>
      <name val="Arial"/>
      <family val="2"/>
    </font>
    <font>
      <b/>
      <sz val="12"/>
      <color rgb="FF0000FF"/>
      <name val="Arial"/>
      <family val="2"/>
    </font>
    <font>
      <b/>
      <i/>
      <sz val="11"/>
      <color indexed="8"/>
      <name val="Arial"/>
      <family val="2"/>
    </font>
    <font>
      <sz val="11"/>
      <color theme="8"/>
      <name val="Arial"/>
      <family val="2"/>
    </font>
    <font>
      <sz val="9"/>
      <name val="Geneva"/>
    </font>
    <font>
      <sz val="8"/>
      <color indexed="81"/>
      <name val="Tahoma"/>
      <family val="2"/>
    </font>
    <font>
      <sz val="8"/>
      <color indexed="8"/>
      <name val="Tahoma"/>
      <family val="2"/>
    </font>
    <font>
      <sz val="11"/>
      <color indexed="63"/>
      <name val="Arial"/>
      <family val="2"/>
    </font>
    <font>
      <sz val="11"/>
      <color indexed="9"/>
      <name val="Arial"/>
      <family val="2"/>
    </font>
    <font>
      <sz val="9"/>
      <color indexed="8"/>
      <name val="Tahoma"/>
      <family val="2"/>
    </font>
    <font>
      <b/>
      <i/>
      <sz val="11"/>
      <color rgb="FFC00000"/>
      <name val="Arial"/>
      <family val="2"/>
    </font>
    <font>
      <sz val="10"/>
      <color rgb="FFC00000"/>
      <name val="Arial"/>
      <family val="2"/>
    </font>
    <font>
      <b/>
      <sz val="8"/>
      <color indexed="8"/>
      <name val="Tahoma"/>
      <family val="2"/>
    </font>
    <font>
      <sz val="11"/>
      <name val="Geneva"/>
    </font>
    <font>
      <sz val="11"/>
      <color indexed="8"/>
      <name val="Arial"/>
      <family val="2"/>
    </font>
    <font>
      <b/>
      <sz val="11"/>
      <color indexed="8"/>
      <name val="Arial"/>
      <family val="2"/>
    </font>
    <font>
      <i/>
      <sz val="11"/>
      <color indexed="12"/>
      <name val="Arial"/>
      <family val="2"/>
    </font>
    <font>
      <sz val="11"/>
      <color theme="0"/>
      <name val="Arial"/>
      <family val="2"/>
    </font>
    <font>
      <b/>
      <sz val="10"/>
      <color rgb="FF0000FF"/>
      <name val="Arial"/>
      <family val="2"/>
    </font>
    <font>
      <b/>
      <sz val="16"/>
      <color theme="1"/>
      <name val="Arial"/>
      <family val="2"/>
    </font>
    <font>
      <b/>
      <sz val="12"/>
      <color theme="0"/>
      <name val="Arial"/>
      <family val="2"/>
    </font>
    <font>
      <i/>
      <sz val="10"/>
      <name val="Arial"/>
      <family val="2"/>
    </font>
    <font>
      <sz val="10"/>
      <name val="Arial"/>
      <family val="2"/>
    </font>
    <font>
      <i/>
      <sz val="11"/>
      <color indexed="8"/>
      <name val="Arial"/>
      <family val="2"/>
    </font>
    <font>
      <sz val="12"/>
      <color rgb="FF0000FF"/>
      <name val="Arial"/>
      <family val="2"/>
    </font>
    <font>
      <i/>
      <sz val="11"/>
      <color rgb="FFC00000"/>
      <name val="Arial"/>
      <family val="2"/>
    </font>
    <font>
      <u/>
      <sz val="11"/>
      <color indexed="12"/>
      <name val="Arial"/>
      <family val="2"/>
    </font>
    <font>
      <b/>
      <i/>
      <sz val="12"/>
      <color rgb="FFC00000"/>
      <name val="Arial"/>
      <family val="2"/>
    </font>
    <font>
      <sz val="9"/>
      <color theme="0"/>
      <name val="Arial"/>
      <family val="2"/>
    </font>
    <font>
      <sz val="8"/>
      <name val="Arial"/>
      <family val="2"/>
    </font>
    <font>
      <sz val="8"/>
      <color rgb="FF000000"/>
      <name val="Tahoma"/>
      <family val="2"/>
    </font>
    <font>
      <strike/>
      <sz val="11"/>
      <color theme="1"/>
      <name val="Arial"/>
      <family val="2"/>
    </font>
    <font>
      <sz val="10"/>
      <name val="Courier"/>
    </font>
    <font>
      <i/>
      <sz val="11"/>
      <color theme="0"/>
      <name val="Arial"/>
      <family val="2"/>
    </font>
    <font>
      <sz val="10"/>
      <name val="Arial"/>
      <family val="2"/>
    </font>
    <font>
      <sz val="10"/>
      <color rgb="FFFFFF00"/>
      <name val="Arial"/>
      <family val="2"/>
    </font>
    <font>
      <b/>
      <strike/>
      <sz val="11"/>
      <color theme="1"/>
      <name val="Arial"/>
      <family val="2"/>
    </font>
    <font>
      <strike/>
      <sz val="10"/>
      <name val="Arial"/>
      <family val="2"/>
    </font>
    <font>
      <b/>
      <sz val="11"/>
      <color theme="1"/>
      <name val="Calibri"/>
      <family val="2"/>
      <scheme val="minor"/>
    </font>
    <font>
      <sz val="11"/>
      <name val="Calibri"/>
      <family val="2"/>
      <scheme val="minor"/>
    </font>
    <font>
      <sz val="11"/>
      <color rgb="FF7030A0"/>
      <name val="Calibri"/>
      <family val="2"/>
      <scheme val="minor"/>
    </font>
    <font>
      <sz val="11"/>
      <color theme="0" tint="-0.34998626667073579"/>
      <name val="Arial"/>
      <family val="2"/>
    </font>
    <font>
      <b/>
      <sz val="11"/>
      <color theme="0"/>
      <name val="Arial"/>
      <family val="2"/>
    </font>
    <font>
      <b/>
      <sz val="22"/>
      <color theme="1"/>
      <name val="Arial"/>
      <family val="2"/>
    </font>
    <font>
      <b/>
      <strike/>
      <sz val="14"/>
      <name val="Arial"/>
      <family val="2"/>
    </font>
    <font>
      <i/>
      <strike/>
      <sz val="10"/>
      <name val="Arial"/>
      <family val="2"/>
    </font>
    <font>
      <strike/>
      <sz val="11"/>
      <color rgb="FFFF0000"/>
      <name val="Arial"/>
      <family val="2"/>
    </font>
    <font>
      <b/>
      <strike/>
      <sz val="11"/>
      <color rgb="FFFF0000"/>
      <name val="Arial"/>
      <family val="2"/>
    </font>
    <font>
      <sz val="12"/>
      <color rgb="FFC00000"/>
      <name val="Arial"/>
      <family val="2"/>
    </font>
    <font>
      <b/>
      <strike/>
      <sz val="11"/>
      <color rgb="FFC00000"/>
      <name val="Arial"/>
      <family val="2"/>
    </font>
    <font>
      <strike/>
      <sz val="11"/>
      <color rgb="FFC00000"/>
      <name val="Arial"/>
      <family val="2"/>
    </font>
    <font>
      <b/>
      <sz val="11"/>
      <color indexed="12"/>
      <name val="Arial"/>
      <family val="2"/>
    </font>
    <font>
      <sz val="11"/>
      <color rgb="FF0A0101"/>
      <name val="Arial"/>
      <family val="2"/>
    </font>
    <font>
      <b/>
      <i/>
      <sz val="11"/>
      <color rgb="FFFF0000"/>
      <name val="Arial"/>
      <family val="2"/>
    </font>
    <font>
      <b/>
      <sz val="11"/>
      <color rgb="FF0000FF"/>
      <name val="Calibri"/>
      <family val="2"/>
    </font>
    <font>
      <sz val="11"/>
      <color rgb="FFC00000"/>
      <name val="Calibri"/>
      <family val="2"/>
      <scheme val="minor"/>
    </font>
    <font>
      <sz val="11"/>
      <color rgb="FF00B050"/>
      <name val="Arial"/>
      <family val="2"/>
    </font>
    <font>
      <sz val="11"/>
      <color rgb="FF00A33C"/>
      <name val="Arial"/>
      <family val="2"/>
    </font>
    <font>
      <b/>
      <sz val="11"/>
      <color rgb="FF00A33C"/>
      <name val="Arial"/>
      <family val="2"/>
    </font>
    <font>
      <sz val="8"/>
      <color rgb="FFC00000"/>
      <name val="Arial"/>
      <family val="2"/>
    </font>
    <font>
      <sz val="9"/>
      <color rgb="FFC00000"/>
      <name val="Arial"/>
      <family val="2"/>
    </font>
    <font>
      <u/>
      <sz val="11"/>
      <color rgb="FFC00000"/>
      <name val="Arial"/>
      <family val="2"/>
    </font>
    <font>
      <sz val="11"/>
      <color rgb="FFFFFFCC"/>
      <name val="Calibri"/>
      <family val="2"/>
      <scheme val="minor"/>
    </font>
    <font>
      <b/>
      <sz val="9"/>
      <color indexed="10"/>
      <name val="Tahoma"/>
      <family val="2"/>
    </font>
    <font>
      <u/>
      <sz val="11"/>
      <color rgb="FF008080"/>
      <name val="Arial"/>
      <family val="2"/>
    </font>
    <font>
      <b/>
      <sz val="13"/>
      <color rgb="FF0000FF"/>
      <name val="Arial"/>
      <family val="2"/>
    </font>
    <font>
      <u/>
      <sz val="11"/>
      <color rgb="FF0000FF"/>
      <name val="Arial"/>
      <family val="2"/>
    </font>
    <font>
      <sz val="20"/>
      <color indexed="9"/>
      <name val="Calibri"/>
      <family val="2"/>
    </font>
    <font>
      <u/>
      <sz val="11"/>
      <color indexed="12"/>
      <name val="Calibri"/>
      <family val="2"/>
    </font>
    <font>
      <sz val="11"/>
      <name val="Times New Roman"/>
      <family val="1"/>
    </font>
    <font>
      <sz val="9"/>
      <color indexed="10"/>
      <name val="Tahoma"/>
      <family val="2"/>
    </font>
    <font>
      <b/>
      <sz val="14"/>
      <color rgb="FFFF0000"/>
      <name val="Arial"/>
      <family val="2"/>
    </font>
    <font>
      <b/>
      <sz val="12"/>
      <color rgb="FFFF0000"/>
      <name val="Arial"/>
      <family val="2"/>
    </font>
    <font>
      <b/>
      <sz val="24"/>
      <color theme="1"/>
      <name val="Arial"/>
      <family val="2"/>
    </font>
    <font>
      <b/>
      <sz val="18"/>
      <color theme="1"/>
      <name val="Arial"/>
      <family val="2"/>
    </font>
    <font>
      <b/>
      <sz val="18"/>
      <name val="Arial"/>
      <family val="2"/>
    </font>
    <font>
      <i/>
      <u/>
      <sz val="11"/>
      <name val="Arial"/>
      <family val="2"/>
    </font>
    <font>
      <sz val="10"/>
      <color rgb="FF0000FF"/>
      <name val="Arial"/>
      <family val="2"/>
    </font>
    <font>
      <sz val="11"/>
      <color theme="8" tint="0.79998168889431442"/>
      <name val="Arial"/>
      <family val="2"/>
    </font>
    <font>
      <sz val="11"/>
      <color theme="1"/>
      <name val="Arial"/>
      <family val="2"/>
    </font>
    <font>
      <sz val="11"/>
      <color theme="0" tint="-0.34998626667073579"/>
      <name val="Arial"/>
      <family val="2"/>
    </font>
    <font>
      <sz val="11"/>
      <color theme="9" tint="-0.249977111117893"/>
      <name val="Arial"/>
      <family val="2"/>
    </font>
    <font>
      <sz val="10"/>
      <color theme="9" tint="-0.249977111117893"/>
      <name val="Arial"/>
      <family val="2"/>
    </font>
    <font>
      <b/>
      <sz val="16"/>
      <color rgb="FF00B050"/>
      <name val="Wingdings 2"/>
      <family val="1"/>
      <charset val="2"/>
    </font>
    <font>
      <b/>
      <sz val="11"/>
      <color theme="4"/>
      <name val="Arial"/>
      <family val="2"/>
    </font>
    <font>
      <sz val="11"/>
      <color rgb="FFFFCC99"/>
      <name val="Arial"/>
      <family val="2"/>
    </font>
    <font>
      <b/>
      <u/>
      <sz val="11"/>
      <color rgb="FFC00000"/>
      <name val="Arial"/>
      <family val="2"/>
    </font>
    <font>
      <sz val="11"/>
      <color theme="1"/>
      <name val="Arial Nova Cond"/>
      <family val="2"/>
    </font>
    <font>
      <b/>
      <sz val="11"/>
      <color theme="0" tint="-0.249977111117893"/>
      <name val="Arial"/>
      <family val="2"/>
    </font>
    <font>
      <sz val="10"/>
      <color theme="0"/>
      <name val="Arial"/>
      <family val="2"/>
    </font>
    <font>
      <b/>
      <sz val="11"/>
      <color theme="9" tint="-0.249977111117893"/>
      <name val="Arial"/>
      <family val="2"/>
    </font>
    <font>
      <b/>
      <sz val="11"/>
      <color theme="9" tint="-0.249977111117893"/>
      <name val="Calibri"/>
      <family val="2"/>
    </font>
    <font>
      <sz val="9"/>
      <color indexed="16"/>
      <name val="Tahoma"/>
      <family val="2"/>
    </font>
    <font>
      <sz val="11"/>
      <color rgb="FFA6A6A6"/>
      <name val="Arial"/>
      <family val="2"/>
    </font>
    <font>
      <sz val="11"/>
      <color rgb="FF333333"/>
      <name val="Arial"/>
      <family val="2"/>
    </font>
    <font>
      <sz val="11"/>
      <name val="Arial"/>
      <family val="2"/>
    </font>
    <font>
      <b/>
      <sz val="12"/>
      <color rgb="FFC00000"/>
      <name val="Arial"/>
      <family val="2"/>
    </font>
    <font>
      <sz val="11"/>
      <name val="Symbol"/>
      <family val="1"/>
      <charset val="2"/>
    </font>
    <font>
      <sz val="11"/>
      <name val="Wingdings"/>
      <charset val="2"/>
    </font>
    <font>
      <u/>
      <sz val="12"/>
      <name val="Arial"/>
      <family val="2"/>
    </font>
    <font>
      <sz val="14"/>
      <color rgb="FF0000FF"/>
      <name val="Arial"/>
      <family val="2"/>
    </font>
    <font>
      <b/>
      <sz val="18"/>
      <color rgb="FF00B050"/>
      <name val="Wingdings 2"/>
      <family val="1"/>
      <charset val="2"/>
    </font>
    <font>
      <sz val="11"/>
      <color rgb="FF0033CC"/>
      <name val="Arial"/>
      <family val="2"/>
    </font>
    <font>
      <sz val="8"/>
      <color rgb="FF000000"/>
      <name val="Segoe UI"/>
      <family val="2"/>
    </font>
    <font>
      <sz val="14"/>
      <name val="Arial"/>
      <family val="2"/>
    </font>
    <font>
      <i/>
      <sz val="14"/>
      <name val="Arial"/>
      <family val="2"/>
    </font>
  </fonts>
  <fills count="63">
    <fill>
      <patternFill patternType="none"/>
    </fill>
    <fill>
      <patternFill patternType="gray125"/>
    </fill>
    <fill>
      <patternFill patternType="solid">
        <fgColor indexed="9"/>
        <bgColor indexed="64"/>
      </patternFill>
    </fill>
    <fill>
      <patternFill patternType="solid">
        <fgColor theme="8" tint="0.79998168889431442"/>
        <bgColor indexed="64"/>
      </patternFill>
    </fill>
    <fill>
      <patternFill patternType="solid">
        <fgColor rgb="FFFFFFCC"/>
        <bgColor indexed="64"/>
      </patternFill>
    </fill>
    <fill>
      <patternFill patternType="solid">
        <fgColor rgb="FFFFFF00"/>
        <bgColor indexed="64"/>
      </patternFill>
    </fill>
    <fill>
      <patternFill patternType="solid">
        <fgColor theme="0" tint="-0.14996795556505021"/>
        <bgColor indexed="64"/>
      </patternFill>
    </fill>
    <fill>
      <patternFill patternType="solid">
        <fgColor theme="0"/>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DE9D9"/>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FFCC"/>
        <bgColor rgb="FF000000"/>
      </patternFill>
    </fill>
    <fill>
      <patternFill patternType="solid">
        <fgColor theme="0" tint="-0.249977111117893"/>
        <bgColor indexed="64"/>
      </patternFill>
    </fill>
    <fill>
      <patternFill patternType="solid">
        <fgColor indexed="26"/>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E5FBFF"/>
        <bgColor indexed="64"/>
      </patternFill>
    </fill>
    <fill>
      <patternFill patternType="solid">
        <fgColor theme="5" tint="0.59999389629810485"/>
        <bgColor indexed="64"/>
      </patternFill>
    </fill>
    <fill>
      <patternFill patternType="solid">
        <fgColor rgb="FFECECEC"/>
        <bgColor indexed="64"/>
      </patternFill>
    </fill>
    <fill>
      <patternFill patternType="solid">
        <fgColor rgb="FFC0C0C0"/>
        <bgColor indexed="64"/>
      </patternFill>
    </fill>
    <fill>
      <patternFill patternType="solid">
        <fgColor rgb="FFFFFFFF"/>
        <bgColor indexed="64"/>
      </patternFill>
    </fill>
    <fill>
      <patternFill patternType="solid">
        <fgColor rgb="FFBEBEBE"/>
        <bgColor indexed="64"/>
      </patternFill>
    </fill>
    <fill>
      <patternFill patternType="solid">
        <fgColor theme="9" tint="0.59996337778862885"/>
        <bgColor indexed="64"/>
      </patternFill>
    </fill>
    <fill>
      <patternFill patternType="solid">
        <fgColor indexed="65"/>
        <bgColor indexed="64"/>
      </patternFill>
    </fill>
    <fill>
      <patternFill patternType="solid">
        <fgColor rgb="FFE8E8E8"/>
        <bgColor indexed="64"/>
      </patternFill>
    </fill>
    <fill>
      <patternFill patternType="solid">
        <fgColor rgb="FFFCE9D9"/>
        <bgColor indexed="64"/>
      </patternFill>
    </fill>
    <fill>
      <patternFill patternType="solid">
        <fgColor indexed="27"/>
        <bgColor indexed="64"/>
      </patternFill>
    </fill>
    <fill>
      <patternFill patternType="solid">
        <fgColor rgb="FFC0000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0"/>
        <bgColor theme="4"/>
      </patternFill>
    </fill>
    <fill>
      <patternFill patternType="solid">
        <fgColor theme="0"/>
        <bgColor indexed="9"/>
      </patternFill>
    </fill>
    <fill>
      <patternFill patternType="solid">
        <fgColor theme="7" tint="0.59999389629810485"/>
        <bgColor indexed="64"/>
      </patternFill>
    </fill>
    <fill>
      <patternFill patternType="solid">
        <fgColor theme="0"/>
        <bgColor theme="4" tint="0.59999389629810485"/>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8" tint="-0.499984740745262"/>
        <bgColor indexed="64"/>
      </patternFill>
    </fill>
    <fill>
      <patternFill patternType="solid">
        <fgColor theme="2" tint="-0.499984740745262"/>
        <bgColor indexed="64"/>
      </patternFill>
    </fill>
    <fill>
      <patternFill patternType="solid">
        <fgColor theme="2"/>
        <bgColor indexed="64"/>
      </patternFill>
    </fill>
    <fill>
      <patternFill patternType="solid">
        <fgColor theme="0" tint="-4.9989318521683403E-2"/>
        <bgColor indexed="64"/>
      </patternFill>
    </fill>
    <fill>
      <patternFill patternType="solid">
        <fgColor indexed="22"/>
        <bgColor indexed="64"/>
      </patternFill>
    </fill>
    <fill>
      <patternFill patternType="solid">
        <fgColor indexed="45"/>
        <bgColor indexed="64"/>
      </patternFill>
    </fill>
    <fill>
      <patternFill patternType="solid">
        <fgColor indexed="49"/>
        <bgColor indexed="64"/>
      </patternFill>
    </fill>
    <fill>
      <patternFill patternType="solid">
        <fgColor indexed="8"/>
      </patternFill>
    </fill>
    <fill>
      <patternFill patternType="solid">
        <fgColor rgb="FFE1F4FF"/>
        <bgColor indexed="64"/>
      </patternFill>
    </fill>
    <fill>
      <patternFill patternType="solid">
        <fgColor rgb="FFEFF9FF"/>
        <bgColor indexed="64"/>
      </patternFill>
    </fill>
    <fill>
      <patternFill patternType="solid">
        <fgColor rgb="FF92D050"/>
        <bgColor indexed="64"/>
      </patternFill>
    </fill>
    <fill>
      <patternFill patternType="solid">
        <fgColor theme="0" tint="-0.14999847407452621"/>
        <bgColor indexed="64"/>
      </patternFill>
    </fill>
    <fill>
      <patternFill patternType="solid">
        <fgColor rgb="FF00B050"/>
        <bgColor indexed="64"/>
      </patternFill>
    </fill>
    <fill>
      <patternFill patternType="solid">
        <fgColor rgb="FF66FF66"/>
        <bgColor indexed="64"/>
      </patternFill>
    </fill>
    <fill>
      <patternFill patternType="solid">
        <fgColor theme="3" tint="-0.249977111117893"/>
        <bgColor indexed="64"/>
      </patternFill>
    </fill>
    <fill>
      <patternFill patternType="solid">
        <fgColor rgb="FF7030A0"/>
        <bgColor indexed="64"/>
      </patternFill>
    </fill>
    <fill>
      <patternFill patternType="solid">
        <fgColor theme="9"/>
        <bgColor indexed="64"/>
      </patternFill>
    </fill>
    <fill>
      <patternFill patternType="solid">
        <fgColor rgb="FF00B0F0"/>
        <bgColor indexed="64"/>
      </patternFill>
    </fill>
    <fill>
      <patternFill patternType="solid">
        <fgColor theme="9" tint="-0.249977111117893"/>
        <bgColor indexed="64"/>
      </patternFill>
    </fill>
  </fills>
  <borders count="17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top/>
      <bottom style="thin">
        <color indexed="64"/>
      </bottom>
      <diagonal/>
    </border>
    <border>
      <left style="thin">
        <color indexed="64"/>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style="thin">
        <color theme="1"/>
      </right>
      <top/>
      <bottom/>
      <diagonal/>
    </border>
    <border>
      <left/>
      <right/>
      <top/>
      <bottom style="thin">
        <color theme="1"/>
      </bottom>
      <diagonal/>
    </border>
    <border>
      <left style="thin">
        <color theme="1"/>
      </left>
      <right style="thin">
        <color theme="1"/>
      </right>
      <top style="thin">
        <color theme="1"/>
      </top>
      <bottom style="thin">
        <color theme="1"/>
      </bottom>
      <diagonal/>
    </border>
    <border>
      <left/>
      <right/>
      <top style="thin">
        <color indexed="64"/>
      </top>
      <bottom style="thin">
        <color theme="1"/>
      </bottom>
      <diagonal/>
    </border>
    <border>
      <left/>
      <right style="thin">
        <color theme="1"/>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theme="1"/>
      </top>
      <bottom style="thin">
        <color indexed="64"/>
      </bottom>
      <diagonal/>
    </border>
    <border>
      <left/>
      <right/>
      <top style="thin">
        <color theme="1"/>
      </top>
      <bottom style="thin">
        <color indexed="64"/>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thin">
        <color rgb="FF000000"/>
      </left>
      <right/>
      <top style="thin">
        <color rgb="FF000000"/>
      </top>
      <bottom style="thin">
        <color rgb="FF000000"/>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auto="1"/>
      </right>
      <top style="thin">
        <color auto="1"/>
      </top>
      <bottom/>
      <diagonal/>
    </border>
    <border>
      <left/>
      <right/>
      <top/>
      <bottom style="thin">
        <color auto="1"/>
      </bottom>
      <diagonal/>
    </border>
    <border>
      <left style="thin">
        <color indexed="8"/>
      </left>
      <right/>
      <top/>
      <bottom style="thin">
        <color indexed="64"/>
      </bottom>
      <diagonal/>
    </border>
    <border>
      <left style="thin">
        <color indexed="64"/>
      </left>
      <right style="thin">
        <color indexed="64"/>
      </right>
      <top/>
      <bottom style="thin">
        <color indexed="64"/>
      </bottom>
      <diagonal/>
    </border>
    <border>
      <left style="thin">
        <color theme="1"/>
      </left>
      <right style="thin">
        <color theme="1"/>
      </right>
      <top style="thin">
        <color theme="1"/>
      </top>
      <bottom/>
      <diagonal/>
    </border>
    <border>
      <left/>
      <right style="thin">
        <color auto="1"/>
      </right>
      <top/>
      <bottom/>
      <diagonal/>
    </border>
    <border>
      <left/>
      <right style="thin">
        <color theme="1"/>
      </right>
      <top style="thin">
        <color theme="1"/>
      </top>
      <bottom style="thin">
        <color indexed="64"/>
      </bottom>
      <diagonal/>
    </border>
    <border>
      <left style="thin">
        <color theme="1"/>
      </left>
      <right/>
      <top style="thin">
        <color theme="1"/>
      </top>
      <bottom style="thin">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style="thick">
        <color theme="0"/>
      </left>
      <right style="thick">
        <color theme="0"/>
      </right>
      <top/>
      <bottom style="thin">
        <color indexed="64"/>
      </bottom>
      <diagonal/>
    </border>
    <border>
      <left style="thick">
        <color theme="0"/>
      </left>
      <right style="thick">
        <color theme="0"/>
      </right>
      <top style="thick">
        <color theme="0"/>
      </top>
      <bottom style="thick">
        <color theme="0"/>
      </bottom>
      <diagonal/>
    </border>
    <border>
      <left style="thin">
        <color indexed="64"/>
      </left>
      <right/>
      <top style="thin">
        <color indexed="64"/>
      </top>
      <bottom style="thin">
        <color theme="1"/>
      </bottom>
      <diagonal/>
    </border>
    <border>
      <left style="thin">
        <color indexed="64"/>
      </left>
      <right/>
      <top style="thin">
        <color theme="1"/>
      </top>
      <bottom/>
      <diagonal/>
    </border>
    <border>
      <left/>
      <right style="thin">
        <color theme="1"/>
      </right>
      <top style="thin">
        <color indexed="64"/>
      </top>
      <bottom style="thin">
        <color theme="1"/>
      </bottom>
      <diagonal/>
    </border>
    <border>
      <left/>
      <right style="thin">
        <color indexed="64"/>
      </right>
      <top style="thin">
        <color theme="1"/>
      </top>
      <bottom/>
      <diagonal/>
    </border>
    <border>
      <left style="thin">
        <color theme="1"/>
      </left>
      <right/>
      <top style="thin">
        <color indexed="64"/>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auto="1"/>
      </top>
      <bottom/>
      <diagonal/>
    </border>
    <border>
      <left style="medium">
        <color indexed="64"/>
      </left>
      <right style="thin">
        <color auto="1"/>
      </right>
      <top style="thin">
        <color auto="1"/>
      </top>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style="thin">
        <color indexed="64"/>
      </left>
      <right style="thin">
        <color indexed="64"/>
      </right>
      <top/>
      <bottom style="medium">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style="thick">
        <color theme="2" tint="-0.499984740745262"/>
      </right>
      <top style="thin">
        <color indexed="64"/>
      </top>
      <bottom style="thin">
        <color indexed="64"/>
      </bottom>
      <diagonal/>
    </border>
    <border>
      <left style="thin">
        <color indexed="64"/>
      </left>
      <right style="thick">
        <color theme="2" tint="-0.499984740745262"/>
      </right>
      <top/>
      <bottom style="thin">
        <color indexed="64"/>
      </bottom>
      <diagonal/>
    </border>
    <border>
      <left style="thin">
        <color rgb="FF000000"/>
      </left>
      <right/>
      <top/>
      <bottom style="thin">
        <color rgb="FF000000"/>
      </bottom>
      <diagonal/>
    </border>
    <border>
      <left style="thick">
        <color theme="2" tint="-0.499984740745262"/>
      </left>
      <right/>
      <top/>
      <bottom style="thin">
        <color indexed="64"/>
      </bottom>
      <diagonal/>
    </border>
    <border>
      <left style="thick">
        <color theme="2" tint="-0.499984740745262"/>
      </left>
      <right/>
      <top style="thin">
        <color theme="2" tint="-0.499984740745262"/>
      </top>
      <bottom style="thin">
        <color indexed="64"/>
      </bottom>
      <diagonal/>
    </border>
    <border>
      <left/>
      <right/>
      <top style="thin">
        <color theme="2" tint="-0.499984740745262"/>
      </top>
      <bottom style="thin">
        <color indexed="64"/>
      </bottom>
      <diagonal/>
    </border>
    <border>
      <left/>
      <right style="thick">
        <color theme="2" tint="-0.499984740745262"/>
      </right>
      <top style="thin">
        <color theme="2" tint="-0.499984740745262"/>
      </top>
      <bottom style="thin">
        <color indexed="64"/>
      </bottom>
      <diagonal/>
    </border>
    <border>
      <left style="thick">
        <color theme="0"/>
      </left>
      <right style="thick">
        <color theme="0"/>
      </right>
      <top/>
      <bottom style="thick">
        <color theme="0"/>
      </bottom>
      <diagonal/>
    </border>
    <border>
      <left style="thin">
        <color indexed="64"/>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style="thin">
        <color indexed="64"/>
      </left>
      <right style="thin">
        <color indexed="64"/>
      </right>
      <top/>
      <bottom/>
      <diagonal/>
    </border>
    <border>
      <left/>
      <right style="thick">
        <color theme="8" tint="-0.499984740745262"/>
      </right>
      <top style="thin">
        <color auto="1"/>
      </top>
      <bottom style="thin">
        <color auto="1"/>
      </bottom>
      <diagonal/>
    </border>
    <border>
      <left style="thick">
        <color theme="8" tint="-0.499984740745262"/>
      </left>
      <right style="thick">
        <color theme="8" tint="-0.499984740745262"/>
      </right>
      <top style="thin">
        <color auto="1"/>
      </top>
      <bottom style="thin">
        <color auto="1"/>
      </bottom>
      <diagonal/>
    </border>
    <border>
      <left style="thick">
        <color theme="8" tint="-0.499984740745262"/>
      </left>
      <right style="thick">
        <color theme="8" tint="-0.499984740745262"/>
      </right>
      <top/>
      <bottom style="thin">
        <color indexed="64"/>
      </bottom>
      <diagonal/>
    </border>
    <border>
      <left style="thick">
        <color theme="8" tint="-0.499984740745262"/>
      </left>
      <right style="thick">
        <color theme="8" tint="-0.499984740745262"/>
      </right>
      <top style="thick">
        <color theme="8" tint="-0.499984740745262"/>
      </top>
      <bottom/>
      <diagonal/>
    </border>
    <border>
      <left style="thick">
        <color theme="8" tint="-0.499984740745262"/>
      </left>
      <right/>
      <top style="thick">
        <color theme="8" tint="-0.499984740745262"/>
      </top>
      <bottom/>
      <diagonal/>
    </border>
    <border>
      <left style="thick">
        <color theme="8" tint="-0.499984740745262"/>
      </left>
      <right/>
      <top/>
      <bottom style="thin">
        <color indexed="64"/>
      </bottom>
      <diagonal/>
    </border>
    <border>
      <left style="thin">
        <color auto="1"/>
      </left>
      <right/>
      <top style="thin">
        <color indexed="64"/>
      </top>
      <bottom style="thin">
        <color indexed="64"/>
      </bottom>
      <diagonal/>
    </border>
    <border>
      <left style="thin">
        <color auto="1"/>
      </left>
      <right style="medium">
        <color indexed="64"/>
      </right>
      <top/>
      <bottom/>
      <diagonal/>
    </border>
    <border>
      <left style="thick">
        <color theme="8" tint="-0.499984740745262"/>
      </left>
      <right style="thin">
        <color indexed="64"/>
      </right>
      <top style="thin">
        <color auto="1"/>
      </top>
      <bottom style="thin">
        <color auto="1"/>
      </bottom>
      <diagonal/>
    </border>
    <border>
      <left/>
      <right style="thick">
        <color theme="8" tint="-0.499984740745262"/>
      </right>
      <top style="thick">
        <color theme="8" tint="-0.499984740745262"/>
      </top>
      <bottom/>
      <diagonal/>
    </border>
    <border>
      <left/>
      <right style="thick">
        <color theme="8" tint="-0.499984740745262"/>
      </right>
      <top/>
      <bottom style="thin">
        <color indexed="64"/>
      </bottom>
      <diagonal/>
    </border>
    <border>
      <left/>
      <right style="thick">
        <color theme="8" tint="-0.499984740745262"/>
      </right>
      <top/>
      <bottom/>
      <diagonal/>
    </border>
    <border>
      <left/>
      <right/>
      <top/>
      <bottom style="medium">
        <color theme="0"/>
      </bottom>
      <diagonal/>
    </border>
    <border>
      <left/>
      <right style="thick">
        <color theme="0"/>
      </right>
      <top/>
      <bottom style="medium">
        <color theme="0"/>
      </bottom>
      <diagonal/>
    </border>
    <border>
      <left/>
      <right style="thick">
        <color theme="0"/>
      </right>
      <top style="thick">
        <color theme="0"/>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style="thick">
        <color theme="0"/>
      </right>
      <top style="medium">
        <color theme="0"/>
      </top>
      <bottom style="thick">
        <color theme="0"/>
      </bottom>
      <diagonal/>
    </border>
    <border>
      <left/>
      <right/>
      <top style="medium">
        <color theme="0"/>
      </top>
      <bottom style="thick">
        <color theme="0"/>
      </bottom>
      <diagonal/>
    </border>
    <border>
      <left style="medium">
        <color rgb="FFC00000"/>
      </left>
      <right style="thin">
        <color indexed="64"/>
      </right>
      <top/>
      <bottom style="thin">
        <color indexed="64"/>
      </bottom>
      <diagonal/>
    </border>
    <border>
      <left style="thin">
        <color indexed="64"/>
      </left>
      <right style="medium">
        <color rgb="FFC00000"/>
      </right>
      <top/>
      <bottom style="thin">
        <color indexed="64"/>
      </bottom>
      <diagonal/>
    </border>
    <border>
      <left/>
      <right style="thin">
        <color indexed="8"/>
      </right>
      <top/>
      <bottom style="thin">
        <color indexed="64"/>
      </bottom>
      <diagonal/>
    </border>
    <border>
      <left/>
      <right/>
      <top/>
      <bottom style="thick">
        <color rgb="FFC00000"/>
      </bottom>
      <diagonal/>
    </border>
    <border>
      <left/>
      <right style="thick">
        <color rgb="FFC00000"/>
      </right>
      <top/>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thick">
        <color rgb="FFC00000"/>
      </left>
      <right/>
      <top/>
      <bottom style="thick">
        <color rgb="FFC00000"/>
      </bottom>
      <diagonal/>
    </border>
    <border>
      <left/>
      <right style="thick">
        <color rgb="FFC00000"/>
      </right>
      <top/>
      <bottom style="thick">
        <color rgb="FFC00000"/>
      </bottom>
      <diagonal/>
    </border>
    <border>
      <left style="thick">
        <color theme="2" tint="-0.499984740745262"/>
      </left>
      <right style="thin">
        <color auto="1"/>
      </right>
      <top style="thin">
        <color theme="2" tint="-0.499984740745262"/>
      </top>
      <bottom style="thin">
        <color indexed="64"/>
      </bottom>
      <diagonal/>
    </border>
    <border>
      <left style="thin">
        <color indexed="64"/>
      </left>
      <right style="thick">
        <color theme="2" tint="-0.499984740745262"/>
      </right>
      <top style="thin">
        <color theme="2" tint="-0.499984740745262"/>
      </top>
      <bottom style="thin">
        <color indexed="64"/>
      </bottom>
      <diagonal/>
    </border>
    <border>
      <left style="thick">
        <color theme="2" tint="-0.499984740745262"/>
      </left>
      <right style="thin">
        <color auto="1"/>
      </right>
      <top style="thin">
        <color auto="1"/>
      </top>
      <bottom style="thin">
        <color auto="1"/>
      </bottom>
      <diagonal/>
    </border>
    <border>
      <left/>
      <right style="thick">
        <color theme="2" tint="-0.499984740745262"/>
      </right>
      <top style="thin">
        <color auto="1"/>
      </top>
      <bottom style="thin">
        <color auto="1"/>
      </bottom>
      <diagonal/>
    </border>
    <border>
      <left style="thick">
        <color theme="2" tint="-0.499984740745262"/>
      </left>
      <right style="thin">
        <color auto="1"/>
      </right>
      <top/>
      <bottom style="thin">
        <color indexed="64"/>
      </bottom>
      <diagonal/>
    </border>
    <border>
      <left/>
      <right/>
      <top/>
      <bottom style="thick">
        <color theme="8" tint="-0.499984740745262"/>
      </bottom>
      <diagonal/>
    </border>
    <border>
      <left style="thick">
        <color theme="8" tint="-0.499984740745262"/>
      </left>
      <right/>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thick">
        <color theme="2" tint="-0.499984740745262"/>
      </right>
      <top/>
      <bottom/>
      <diagonal/>
    </border>
    <border>
      <left/>
      <right style="thick">
        <color theme="2" tint="-0.499984740745262"/>
      </right>
      <top/>
      <bottom style="thin">
        <color indexed="64"/>
      </bottom>
      <diagonal/>
    </border>
    <border>
      <left/>
      <right/>
      <top style="medium">
        <color theme="2" tint="-0.499984740745262"/>
      </top>
      <bottom style="thin">
        <color theme="2" tint="-0.499984740745262"/>
      </bottom>
      <diagonal/>
    </border>
    <border>
      <left/>
      <right/>
      <top style="medium">
        <color theme="2" tint="-0.499984740745262"/>
      </top>
      <bottom/>
      <diagonal/>
    </border>
    <border>
      <left style="thin">
        <color auto="1"/>
      </left>
      <right style="thin">
        <color auto="1"/>
      </right>
      <top style="thin">
        <color auto="1"/>
      </top>
      <bottom style="thick">
        <color theme="2" tint="-0.499984740745262"/>
      </bottom>
      <diagonal/>
    </border>
    <border>
      <left style="thin">
        <color indexed="64"/>
      </left>
      <right style="thick">
        <color theme="2" tint="-0.499984740745262"/>
      </right>
      <top style="thin">
        <color auto="1"/>
      </top>
      <bottom style="thick">
        <color theme="2" tint="-0.499984740745262"/>
      </bottom>
      <diagonal/>
    </border>
    <border>
      <left style="thick">
        <color theme="2" tint="-0.499984740745262"/>
      </left>
      <right style="thin">
        <color indexed="64"/>
      </right>
      <top style="thin">
        <color auto="1"/>
      </top>
      <bottom style="thick">
        <color theme="2" tint="-0.499984740745262"/>
      </bottom>
      <diagonal/>
    </border>
    <border>
      <left/>
      <right style="thin">
        <color auto="1"/>
      </right>
      <top style="thin">
        <color auto="1"/>
      </top>
      <bottom style="thick">
        <color theme="2" tint="-0.499984740745262"/>
      </bottom>
      <diagonal/>
    </border>
    <border>
      <left style="thick">
        <color theme="2" tint="-0.499984740745262"/>
      </left>
      <right style="thick">
        <color theme="8" tint="-0.499984740745262"/>
      </right>
      <top style="thin">
        <color theme="2" tint="-0.499984740745262"/>
      </top>
      <bottom style="thin">
        <color indexed="64"/>
      </bottom>
      <diagonal/>
    </border>
    <border>
      <left/>
      <right style="thick">
        <color theme="8" tint="-0.499984740745262"/>
      </right>
      <top style="thin">
        <color auto="1"/>
      </top>
      <bottom style="thick">
        <color theme="2" tint="-0.499984740745262"/>
      </bottom>
      <diagonal/>
    </border>
    <border>
      <left/>
      <right style="thick">
        <color theme="8" tint="-0.499984740745262"/>
      </right>
      <top style="medium">
        <color theme="2" tint="-0.499984740745262"/>
      </top>
      <bottom/>
      <diagonal/>
    </border>
    <border>
      <left style="thick">
        <color theme="8" tint="-0.499984740745262"/>
      </left>
      <right style="thick">
        <color theme="8" tint="-0.499984740745262"/>
      </right>
      <top style="thin">
        <color auto="1"/>
      </top>
      <bottom style="thick">
        <color theme="8" tint="-0.499984740745262"/>
      </bottom>
      <diagonal/>
    </border>
    <border>
      <left style="thick">
        <color theme="8" tint="-0.499984740745262"/>
      </left>
      <right style="thin">
        <color indexed="64"/>
      </right>
      <top style="thin">
        <color auto="1"/>
      </top>
      <bottom style="thick">
        <color theme="8" tint="-0.499984740745262"/>
      </bottom>
      <diagonal/>
    </border>
    <border>
      <left/>
      <right style="thick">
        <color theme="8" tint="-0.499984740745262"/>
      </right>
      <top style="thin">
        <color auto="1"/>
      </top>
      <bottom style="thick">
        <color theme="8" tint="-0.499984740745262"/>
      </bottom>
      <diagonal/>
    </border>
    <border>
      <left/>
      <right style="thin">
        <color auto="1"/>
      </right>
      <top style="thin">
        <color auto="1"/>
      </top>
      <bottom style="thick">
        <color theme="8" tint="-0.499984740745262"/>
      </bottom>
      <diagonal/>
    </border>
    <border>
      <left/>
      <right style="thick">
        <color theme="7" tint="-0.249977111117893"/>
      </right>
      <top/>
      <bottom/>
      <diagonal/>
    </border>
    <border>
      <left style="thin">
        <color indexed="64"/>
      </left>
      <right style="thick">
        <color theme="7" tint="-0.249977111117893"/>
      </right>
      <top style="thin">
        <color indexed="64"/>
      </top>
      <bottom style="thin">
        <color indexed="64"/>
      </bottom>
      <diagonal/>
    </border>
    <border>
      <left style="thin">
        <color auto="1"/>
      </left>
      <right style="thick">
        <color theme="7" tint="-0.249977111117893"/>
      </right>
      <top style="thin">
        <color auto="1"/>
      </top>
      <bottom style="thick">
        <color theme="8" tint="-0.499984740745262"/>
      </bottom>
      <diagonal/>
    </border>
    <border>
      <left/>
      <right style="thick">
        <color theme="7" tint="-0.249977111117893"/>
      </right>
      <top style="thick">
        <color theme="8" tint="-0.499984740745262"/>
      </top>
      <bottom/>
      <diagonal/>
    </border>
    <border>
      <left/>
      <right style="thick">
        <color theme="7" tint="-0.249977111117893"/>
      </right>
      <top/>
      <bottom style="thin">
        <color indexed="64"/>
      </bottom>
      <diagonal/>
    </border>
    <border>
      <left style="thick">
        <color theme="7" tint="-0.249977111117893"/>
      </left>
      <right style="thin">
        <color auto="1"/>
      </right>
      <top style="thin">
        <color auto="1"/>
      </top>
      <bottom style="thick">
        <color theme="7" tint="-0.249977111117893"/>
      </bottom>
      <diagonal/>
    </border>
    <border>
      <left style="thin">
        <color auto="1"/>
      </left>
      <right style="thin">
        <color auto="1"/>
      </right>
      <top style="thin">
        <color auto="1"/>
      </top>
      <bottom style="thick">
        <color theme="7" tint="-0.249977111117893"/>
      </bottom>
      <diagonal/>
    </border>
    <border>
      <left style="thick">
        <color theme="7" tint="-0.249977111117893"/>
      </left>
      <right style="thin">
        <color indexed="64"/>
      </right>
      <top style="thick">
        <color theme="7" tint="-0.249977111117893"/>
      </top>
      <bottom style="thin">
        <color indexed="64"/>
      </bottom>
      <diagonal/>
    </border>
    <border>
      <left style="thin">
        <color indexed="64"/>
      </left>
      <right style="thin">
        <color indexed="64"/>
      </right>
      <top style="thick">
        <color theme="7" tint="-0.249977111117893"/>
      </top>
      <bottom style="thin">
        <color indexed="64"/>
      </bottom>
      <diagonal/>
    </border>
    <border>
      <left style="thin">
        <color indexed="64"/>
      </left>
      <right style="thick">
        <color theme="7" tint="-0.249977111117893"/>
      </right>
      <top style="thick">
        <color theme="7" tint="-0.249977111117893"/>
      </top>
      <bottom style="thin">
        <color indexed="64"/>
      </bottom>
      <diagonal/>
    </border>
    <border>
      <left style="thick">
        <color theme="7" tint="-0.249977111117893"/>
      </left>
      <right style="thin">
        <color indexed="64"/>
      </right>
      <top style="thin">
        <color indexed="64"/>
      </top>
      <bottom style="thin">
        <color indexed="64"/>
      </bottom>
      <diagonal/>
    </border>
    <border>
      <left style="thick">
        <color theme="6" tint="-0.499984740745262"/>
      </left>
      <right style="thin">
        <color auto="1"/>
      </right>
      <top/>
      <bottom style="thin">
        <color indexed="64"/>
      </bottom>
      <diagonal/>
    </border>
    <border>
      <left style="thin">
        <color indexed="64"/>
      </left>
      <right/>
      <top style="thin">
        <color indexed="64"/>
      </top>
      <bottom style="thick">
        <color theme="7" tint="-0.249977111117893"/>
      </bottom>
      <diagonal/>
    </border>
    <border>
      <left style="thick">
        <color theme="6" tint="-0.499984740745262"/>
      </left>
      <right style="thin">
        <color auto="1"/>
      </right>
      <top style="thin">
        <color auto="1"/>
      </top>
      <bottom style="thin">
        <color auto="1"/>
      </bottom>
      <diagonal/>
    </border>
    <border>
      <left style="thick">
        <color theme="6" tint="-0.499984740745262"/>
      </left>
      <right style="thin">
        <color auto="1"/>
      </right>
      <top style="thin">
        <color auto="1"/>
      </top>
      <bottom style="thick">
        <color theme="6" tint="-0.499984740745262"/>
      </bottom>
      <diagonal/>
    </border>
    <border>
      <left style="thin">
        <color auto="1"/>
      </left>
      <right style="thin">
        <color auto="1"/>
      </right>
      <top style="thin">
        <color auto="1"/>
      </top>
      <bottom style="thick">
        <color theme="6" tint="-0.499984740745262"/>
      </bottom>
      <diagonal/>
    </border>
    <border>
      <left style="thin">
        <color indexed="64"/>
      </left>
      <right style="thick">
        <color theme="6" tint="-0.499984740745262"/>
      </right>
      <top style="thin">
        <color indexed="64"/>
      </top>
      <bottom style="thin">
        <color indexed="64"/>
      </bottom>
      <diagonal/>
    </border>
    <border>
      <left style="thin">
        <color auto="1"/>
      </left>
      <right style="thick">
        <color theme="6" tint="-0.499984740745262"/>
      </right>
      <top style="thin">
        <color indexed="64"/>
      </top>
      <bottom style="thick">
        <color theme="6" tint="-0.499984740745262"/>
      </bottom>
      <diagonal/>
    </border>
    <border>
      <left style="thick">
        <color theme="7" tint="-0.249977111117893"/>
      </left>
      <right/>
      <top/>
      <bottom style="thick">
        <color theme="6" tint="-0.499984740745262"/>
      </bottom>
      <diagonal/>
    </border>
    <border>
      <left style="thin">
        <color indexed="64"/>
      </left>
      <right style="thick">
        <color theme="6" tint="-0.499984740745262"/>
      </right>
      <top/>
      <bottom style="thin">
        <color indexed="64"/>
      </bottom>
      <diagonal/>
    </border>
    <border>
      <left/>
      <right/>
      <top/>
      <bottom style="thick">
        <color theme="6" tint="-0.499984740745262"/>
      </bottom>
      <diagonal/>
    </border>
    <border>
      <left style="thin">
        <color auto="1"/>
      </left>
      <right/>
      <top/>
      <bottom style="medium">
        <color theme="2" tint="-0.499984740745262"/>
      </bottom>
      <diagonal/>
    </border>
    <border>
      <left/>
      <right/>
      <top/>
      <bottom style="medium">
        <color theme="2" tint="-0.499984740745262"/>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s>
  <cellStyleXfs count="187">
    <xf numFmtId="0" fontId="0" fillId="0" borderId="0"/>
    <xf numFmtId="0" fontId="25" fillId="3" borderId="1">
      <alignment horizontal="left" vertical="center" wrapText="1"/>
    </xf>
    <xf numFmtId="0" fontId="26" fillId="3" borderId="1">
      <alignment horizontal="left" vertical="center" wrapText="1"/>
    </xf>
    <xf numFmtId="44" fontId="10" fillId="0" borderId="0" applyFont="0" applyFill="0" applyBorder="0" applyAlignment="0" applyProtection="0"/>
    <xf numFmtId="0" fontId="11" fillId="0" borderId="0" applyNumberFormat="0" applyFill="0" applyBorder="0" applyAlignment="0" applyProtection="0">
      <alignment vertical="top"/>
      <protection locked="0"/>
    </xf>
    <xf numFmtId="0" fontId="19" fillId="0" borderId="0" applyNumberFormat="0" applyBorder="0"/>
    <xf numFmtId="0" fontId="21" fillId="0" borderId="0" applyBorder="0" applyAlignment="0"/>
    <xf numFmtId="0" fontId="22" fillId="0" borderId="0" applyFill="0" applyBorder="0" applyAlignment="0"/>
    <xf numFmtId="0" fontId="25" fillId="0" borderId="0">
      <alignment horizontal="left" vertical="center"/>
    </xf>
    <xf numFmtId="0" fontId="27" fillId="0" borderId="0"/>
    <xf numFmtId="0" fontId="15" fillId="0" borderId="0" applyNumberFormat="0" applyFill="0" applyBorder="0">
      <alignment horizontal="left"/>
    </xf>
    <xf numFmtId="0" fontId="26" fillId="3" borderId="10">
      <alignment horizontal="left" vertical="center" wrapText="1"/>
    </xf>
    <xf numFmtId="0" fontId="25" fillId="3" borderId="10">
      <alignment horizontal="left" vertical="center" wrapText="1"/>
    </xf>
    <xf numFmtId="0" fontId="33" fillId="0" borderId="0" applyNumberFormat="0" applyFill="0" applyBorder="0" applyProtection="0">
      <alignment horizontal="center" vertical="center"/>
    </xf>
    <xf numFmtId="0" fontId="34" fillId="0" borderId="0" applyNumberFormat="0" applyFill="0" applyBorder="0" applyAlignment="0" applyProtection="0">
      <alignment horizontal="left" vertical="center"/>
    </xf>
    <xf numFmtId="0" fontId="25" fillId="4" borderId="10" applyNumberFormat="0">
      <alignment horizontal="left" vertical="top" wrapText="1"/>
      <protection locked="0"/>
    </xf>
    <xf numFmtId="0" fontId="10" fillId="0" borderId="0"/>
    <xf numFmtId="0" fontId="25" fillId="4" borderId="12" applyNumberFormat="0">
      <alignment horizontal="left" vertical="top" wrapText="1"/>
      <protection locked="0"/>
    </xf>
    <xf numFmtId="0" fontId="9" fillId="0" borderId="0"/>
    <xf numFmtId="0" fontId="26" fillId="3" borderId="12">
      <alignment horizontal="left" vertical="center" wrapText="1"/>
    </xf>
    <xf numFmtId="0" fontId="25" fillId="3" borderId="12">
      <alignment horizontal="left" vertical="center" wrapText="1"/>
    </xf>
    <xf numFmtId="0" fontId="10" fillId="0" borderId="0"/>
    <xf numFmtId="0" fontId="17" fillId="6" borderId="12">
      <alignment horizontal="left" vertical="center" wrapText="1"/>
    </xf>
    <xf numFmtId="0" fontId="18" fillId="0" borderId="0" applyNumberFormat="0" applyFill="0" applyBorder="0" applyAlignment="0" applyProtection="0"/>
    <xf numFmtId="0" fontId="36" fillId="0" borderId="0"/>
    <xf numFmtId="0" fontId="9" fillId="0" borderId="0"/>
    <xf numFmtId="0" fontId="10" fillId="0" borderId="0"/>
    <xf numFmtId="0" fontId="30" fillId="0" borderId="0"/>
    <xf numFmtId="0" fontId="44" fillId="10" borderId="0" applyNumberFormat="0" applyBorder="0" applyAlignment="0" applyProtection="0"/>
    <xf numFmtId="0" fontId="45" fillId="9" borderId="0" applyNumberFormat="0" applyBorder="0" applyAlignment="0" applyProtection="0"/>
    <xf numFmtId="0" fontId="46" fillId="0" borderId="0" applyNumberFormat="0" applyFill="0" applyBorder="0" applyAlignment="0" applyProtection="0"/>
    <xf numFmtId="0" fontId="43" fillId="0" borderId="0" applyNumberFormat="0" applyFill="0" applyBorder="0" applyAlignment="0" applyProtection="0">
      <alignment vertical="top"/>
      <protection locked="0"/>
    </xf>
    <xf numFmtId="0" fontId="47" fillId="11" borderId="0" applyNumberFormat="0" applyBorder="0" applyAlignment="0" applyProtection="0"/>
    <xf numFmtId="0" fontId="25" fillId="0" borderId="0"/>
    <xf numFmtId="0" fontId="42" fillId="0" borderId="0"/>
    <xf numFmtId="0" fontId="10" fillId="0" borderId="0"/>
    <xf numFmtId="0" fontId="25" fillId="0" borderId="0"/>
    <xf numFmtId="0" fontId="20" fillId="0" borderId="0"/>
    <xf numFmtId="0" fontId="20" fillId="0" borderId="0"/>
    <xf numFmtId="0" fontId="25" fillId="0" borderId="0"/>
    <xf numFmtId="0" fontId="8" fillId="0" borderId="0"/>
    <xf numFmtId="0" fontId="30" fillId="0" borderId="0"/>
    <xf numFmtId="0" fontId="8" fillId="0" borderId="0"/>
    <xf numFmtId="9" fontId="25" fillId="0" borderId="0" applyFont="0" applyFill="0" applyBorder="0" applyAlignment="0" applyProtection="0"/>
    <xf numFmtId="0" fontId="7" fillId="0" borderId="0"/>
    <xf numFmtId="0" fontId="25" fillId="3" borderId="26">
      <alignment horizontal="left" vertical="center" wrapText="1"/>
    </xf>
    <xf numFmtId="0" fontId="25" fillId="4" borderId="26" applyNumberFormat="0">
      <alignment horizontal="left" vertical="top" wrapText="1"/>
      <protection locked="0"/>
    </xf>
    <xf numFmtId="0" fontId="58" fillId="0" borderId="0" applyNumberFormat="0" applyFill="0" applyBorder="0" applyAlignment="0" applyProtection="0"/>
    <xf numFmtId="0" fontId="6" fillId="0" borderId="0"/>
    <xf numFmtId="0" fontId="10" fillId="0" borderId="0"/>
    <xf numFmtId="0" fontId="10" fillId="0" borderId="0"/>
    <xf numFmtId="0" fontId="66" fillId="0" borderId="0"/>
    <xf numFmtId="0" fontId="66" fillId="0" borderId="0"/>
    <xf numFmtId="43" fontId="10" fillId="0" borderId="0" applyFont="0" applyFill="0" applyBorder="0" applyAlignment="0" applyProtection="0"/>
    <xf numFmtId="0" fontId="11" fillId="0" borderId="0" applyNumberFormat="0" applyFill="0" applyBorder="0" applyAlignment="0" applyProtection="0"/>
    <xf numFmtId="9" fontId="10" fillId="0" borderId="0" applyFont="0" applyFill="0" applyBorder="0" applyAlignment="0" applyProtection="0"/>
    <xf numFmtId="0" fontId="10" fillId="0" borderId="0"/>
    <xf numFmtId="0" fontId="5" fillId="0" borderId="0"/>
    <xf numFmtId="0" fontId="5" fillId="0" borderId="0"/>
    <xf numFmtId="0" fontId="5" fillId="0" borderId="0"/>
    <xf numFmtId="0" fontId="10" fillId="0" borderId="0"/>
    <xf numFmtId="0" fontId="5" fillId="0" borderId="0"/>
    <xf numFmtId="0" fontId="10" fillId="0" borderId="0"/>
    <xf numFmtId="0" fontId="25" fillId="0" borderId="0">
      <alignment horizontal="left" vertical="center"/>
    </xf>
    <xf numFmtId="0" fontId="10" fillId="0" borderId="0"/>
    <xf numFmtId="0" fontId="10" fillId="0" borderId="0"/>
    <xf numFmtId="0" fontId="10" fillId="0" borderId="0"/>
    <xf numFmtId="44" fontId="10" fillId="0" borderId="0" applyFont="0" applyFill="0" applyBorder="0" applyAlignment="0" applyProtection="0"/>
    <xf numFmtId="0" fontId="11" fillId="0" borderId="0" applyNumberFormat="0" applyFill="0" applyBorder="0" applyAlignment="0" applyProtection="0">
      <alignment vertical="top"/>
      <protection locked="0"/>
    </xf>
    <xf numFmtId="0" fontId="5" fillId="0" borderId="0"/>
    <xf numFmtId="43" fontId="5" fillId="0" borderId="0" applyFont="0" applyFill="0" applyBorder="0" applyAlignment="0" applyProtection="0"/>
    <xf numFmtId="9" fontId="84" fillId="0" borderId="0" applyFont="0" applyFill="0" applyBorder="0" applyAlignment="0" applyProtection="0"/>
    <xf numFmtId="177" fontId="94" fillId="0" borderId="0"/>
    <xf numFmtId="43" fontId="96" fillId="0" borderId="0" applyFont="0" applyFill="0" applyBorder="0" applyAlignment="0" applyProtection="0"/>
    <xf numFmtId="0" fontId="4" fillId="0" borderId="0"/>
    <xf numFmtId="43" fontId="4" fillId="0" borderId="0" applyFont="0" applyFill="0" applyBorder="0" applyAlignment="0" applyProtection="0"/>
    <xf numFmtId="0" fontId="10" fillId="0" borderId="0"/>
    <xf numFmtId="9" fontId="4" fillId="0" borderId="0" applyFont="0" applyFill="0" applyBorder="0" applyAlignment="0" applyProtection="0"/>
    <xf numFmtId="0" fontId="4" fillId="0" borderId="0"/>
    <xf numFmtId="0" fontId="3" fillId="0" borderId="0"/>
    <xf numFmtId="0" fontId="25" fillId="3" borderId="26">
      <alignment horizontal="left" vertical="center" wrapText="1"/>
    </xf>
    <xf numFmtId="0" fontId="25" fillId="4" borderId="26" applyNumberFormat="0">
      <alignment horizontal="left" vertical="top" wrapText="1"/>
      <protection locked="0"/>
    </xf>
    <xf numFmtId="2" fontId="25" fillId="4" borderId="26">
      <alignment horizontal="left" vertical="center"/>
      <protection locked="0"/>
    </xf>
    <xf numFmtId="2" fontId="76" fillId="17" borderId="26">
      <alignment horizontal="left" vertical="center"/>
      <protection locked="0"/>
    </xf>
    <xf numFmtId="2" fontId="76" fillId="17" borderId="26">
      <alignment horizontal="left" vertical="center"/>
      <protection locked="0"/>
    </xf>
    <xf numFmtId="165" fontId="76" fillId="17" borderId="26">
      <alignment horizontal="left" vertical="top" wrapText="1" indent="2"/>
      <protection locked="0"/>
    </xf>
    <xf numFmtId="165" fontId="76" fillId="17" borderId="26">
      <alignment horizontal="left" vertical="top" wrapText="1" indent="2"/>
      <protection locked="0"/>
    </xf>
    <xf numFmtId="10" fontId="76" fillId="17" borderId="26">
      <alignment horizontal="left" vertical="center"/>
      <protection locked="0"/>
    </xf>
    <xf numFmtId="14" fontId="76" fillId="17" borderId="26">
      <alignment horizontal="left" vertical="center"/>
      <protection locked="0"/>
    </xf>
    <xf numFmtId="14" fontId="76" fillId="17" borderId="26">
      <alignment horizontal="left" vertical="center"/>
      <protection locked="0"/>
    </xf>
    <xf numFmtId="0" fontId="76" fillId="17" borderId="26" applyNumberFormat="0">
      <alignment horizontal="left" vertical="top" wrapText="1"/>
      <protection locked="0"/>
    </xf>
    <xf numFmtId="0" fontId="76" fillId="17" borderId="26" applyNumberFormat="0">
      <alignment horizontal="left" vertical="top" wrapText="1"/>
      <protection locked="0"/>
    </xf>
    <xf numFmtId="0" fontId="76" fillId="17" borderId="26" applyNumberFormat="0">
      <alignment horizontal="left" vertical="top" wrapText="1"/>
      <protection locked="0"/>
    </xf>
    <xf numFmtId="0" fontId="76" fillId="30" borderId="26">
      <alignment horizontal="left" vertical="center" wrapText="1"/>
    </xf>
    <xf numFmtId="0" fontId="76" fillId="30" borderId="26">
      <alignment horizontal="left" vertical="center" wrapText="1"/>
    </xf>
    <xf numFmtId="0" fontId="76" fillId="30" borderId="26">
      <alignment horizontal="left" vertical="center" wrapText="1"/>
    </xf>
    <xf numFmtId="0" fontId="76" fillId="30" borderId="26">
      <alignment horizontal="left" vertical="center" wrapText="1"/>
    </xf>
    <xf numFmtId="0" fontId="77" fillId="30" borderId="26">
      <alignment horizontal="left" vertical="center" wrapText="1"/>
    </xf>
    <xf numFmtId="0" fontId="77" fillId="30" borderId="26">
      <alignment horizontal="left" vertical="center" wrapText="1"/>
    </xf>
    <xf numFmtId="0" fontId="17" fillId="48" borderId="26">
      <alignment horizontal="left" vertical="center" wrapText="1"/>
    </xf>
    <xf numFmtId="0" fontId="17" fillId="48" borderId="26">
      <alignment horizontal="left" vertical="center" wrapText="1"/>
    </xf>
    <xf numFmtId="0" fontId="17" fillId="48" borderId="26">
      <alignment horizontal="left" vertical="center" wrapText="1"/>
    </xf>
    <xf numFmtId="43" fontId="20" fillId="0" borderId="0" applyFont="0" applyFill="0" applyBorder="0" applyAlignment="0" applyProtection="0"/>
    <xf numFmtId="43" fontId="36" fillId="0" borderId="0" applyFont="0" applyFill="0" applyBorder="0" applyAlignment="0" applyProtection="0"/>
    <xf numFmtId="180" fontId="36" fillId="0" borderId="0" applyFont="0" applyFill="0" applyBorder="0" applyAlignment="0" applyProtection="0"/>
    <xf numFmtId="43" fontId="36"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20" fillId="0" borderId="0" applyFont="0" applyFill="0" applyBorder="0" applyAlignment="0" applyProtection="0"/>
    <xf numFmtId="44" fontId="10" fillId="0" borderId="0" applyFont="0" applyFill="0" applyBorder="0" applyAlignment="0" applyProtection="0"/>
    <xf numFmtId="44" fontId="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36" fillId="0" borderId="0" applyFont="0" applyFill="0" applyBorder="0" applyAlignment="0" applyProtection="0"/>
    <xf numFmtId="0" fontId="18" fillId="49" borderId="0">
      <alignment horizontal="center"/>
    </xf>
    <xf numFmtId="0" fontId="16" fillId="50" borderId="26">
      <alignment horizontal="center" vertical="center"/>
    </xf>
    <xf numFmtId="0" fontId="16" fillId="50" borderId="26">
      <alignment horizontal="center" vertical="center"/>
    </xf>
    <xf numFmtId="0" fontId="129" fillId="51" borderId="0" applyNumberFormat="0" applyAlignment="0">
      <protection locked="0"/>
    </xf>
    <xf numFmtId="0" fontId="130" fillId="0" borderId="0" applyNumberFormat="0" applyFill="0" applyBorder="0" applyAlignment="0" applyProtection="0"/>
    <xf numFmtId="0" fontId="11" fillId="0" borderId="0" applyNumberFormat="0" applyFill="0" applyBorder="0" applyAlignment="0" applyProtection="0">
      <alignment vertical="top"/>
      <protection locked="0"/>
    </xf>
    <xf numFmtId="0" fontId="130"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30" fillId="0" borderId="0" applyNumberFormat="0" applyFill="0" applyBorder="0" applyAlignment="0" applyProtection="0"/>
    <xf numFmtId="0" fontId="11" fillId="0" borderId="0" applyNumberFormat="0" applyFill="0" applyBorder="0" applyAlignment="0" applyProtection="0">
      <alignment vertical="top"/>
      <protection locked="0"/>
    </xf>
    <xf numFmtId="0" fontId="76" fillId="0" borderId="0">
      <alignment horizontal="left" vertical="center"/>
    </xf>
    <xf numFmtId="0" fontId="36" fillId="0" borderId="0"/>
    <xf numFmtId="0" fontId="10" fillId="0" borderId="0"/>
    <xf numFmtId="0" fontId="10" fillId="0" borderId="0"/>
    <xf numFmtId="0" fontId="36" fillId="0" borderId="0"/>
    <xf numFmtId="0" fontId="10" fillId="0" borderId="0"/>
    <xf numFmtId="0" fontId="10" fillId="0" borderId="0"/>
    <xf numFmtId="0" fontId="10" fillId="0" borderId="0"/>
    <xf numFmtId="0" fontId="10" fillId="0" borderId="0"/>
    <xf numFmtId="0" fontId="10" fillId="0" borderId="0"/>
    <xf numFmtId="0" fontId="10" fillId="0" borderId="0"/>
    <xf numFmtId="0" fontId="36" fillId="0" borderId="0"/>
    <xf numFmtId="0" fontId="36" fillId="0" borderId="0"/>
    <xf numFmtId="0" fontId="36" fillId="0" borderId="0"/>
    <xf numFmtId="0" fontId="10" fillId="0" borderId="0"/>
    <xf numFmtId="0" fontId="10" fillId="0" borderId="0"/>
    <xf numFmtId="0" fontId="36" fillId="0" borderId="0"/>
    <xf numFmtId="0" fontId="36" fillId="0" borderId="0"/>
    <xf numFmtId="0" fontId="36" fillId="0" borderId="0"/>
    <xf numFmtId="0" fontId="36" fillId="0" borderId="0"/>
    <xf numFmtId="0" fontId="10" fillId="0" borderId="0"/>
    <xf numFmtId="0" fontId="36" fillId="0" borderId="0"/>
    <xf numFmtId="0" fontId="36" fillId="0" borderId="0"/>
    <xf numFmtId="0" fontId="36" fillId="0" borderId="0"/>
    <xf numFmtId="0" fontId="10" fillId="0" borderId="0"/>
    <xf numFmtId="0" fontId="36" fillId="0" borderId="0"/>
    <xf numFmtId="0" fontId="36" fillId="0" borderId="0"/>
    <xf numFmtId="0" fontId="10" fillId="0" borderId="0"/>
    <xf numFmtId="0" fontId="36" fillId="0" borderId="0"/>
    <xf numFmtId="0" fontId="10" fillId="0" borderId="0"/>
    <xf numFmtId="0" fontId="10" fillId="0" borderId="0"/>
    <xf numFmtId="0" fontId="36" fillId="0" borderId="0"/>
    <xf numFmtId="0" fontId="36" fillId="0" borderId="0"/>
    <xf numFmtId="0" fontId="36" fillId="0" borderId="0"/>
    <xf numFmtId="0" fontId="36" fillId="0" borderId="0"/>
    <xf numFmtId="0" fontId="10" fillId="0" borderId="0"/>
    <xf numFmtId="0" fontId="10" fillId="0" borderId="0"/>
    <xf numFmtId="0" fontId="10" fillId="0" borderId="0"/>
    <xf numFmtId="0" fontId="36" fillId="0" borderId="0"/>
    <xf numFmtId="0" fontId="36" fillId="0" borderId="0"/>
    <xf numFmtId="0" fontId="36" fillId="0" borderId="0"/>
    <xf numFmtId="0" fontId="36" fillId="0" borderId="0"/>
    <xf numFmtId="0" fontId="10" fillId="0" borderId="0"/>
    <xf numFmtId="0" fontId="36" fillId="0" borderId="0"/>
    <xf numFmtId="0" fontId="36" fillId="0" borderId="0"/>
    <xf numFmtId="0" fontId="36" fillId="0" borderId="0"/>
    <xf numFmtId="0" fontId="36" fillId="0" borderId="0"/>
    <xf numFmtId="0" fontId="131" fillId="0" borderId="0"/>
    <xf numFmtId="0" fontId="36" fillId="0" borderId="0"/>
    <xf numFmtId="0" fontId="36" fillId="0" borderId="0"/>
    <xf numFmtId="0" fontId="36" fillId="0" borderId="0"/>
    <xf numFmtId="0" fontId="36" fillId="0" borderId="0"/>
    <xf numFmtId="0" fontId="36" fillId="0" borderId="0"/>
    <xf numFmtId="0" fontId="36" fillId="0" borderId="0"/>
    <xf numFmtId="0" fontId="20" fillId="0" borderId="0">
      <alignment vertical="top"/>
    </xf>
    <xf numFmtId="0" fontId="20" fillId="0" borderId="0">
      <alignment vertical="top"/>
    </xf>
    <xf numFmtId="0" fontId="36" fillId="0" borderId="0"/>
    <xf numFmtId="0" fontId="36" fillId="0" borderId="0"/>
    <xf numFmtId="0" fontId="36" fillId="0" borderId="0"/>
    <xf numFmtId="0" fontId="36" fillId="0" borderId="0"/>
    <xf numFmtId="0" fontId="20" fillId="0" borderId="0"/>
    <xf numFmtId="9" fontId="10" fillId="0" borderId="0" applyFont="0" applyFill="0" applyBorder="0" applyAlignment="0" applyProtection="0"/>
  </cellStyleXfs>
  <cellXfs count="4342">
    <xf numFmtId="0" fontId="0" fillId="0" borderId="0" xfId="0"/>
    <xf numFmtId="0" fontId="15" fillId="0" borderId="0" xfId="0" applyFont="1" applyAlignment="1">
      <alignment horizontal="left" vertical="center"/>
    </xf>
    <xf numFmtId="0" fontId="29" fillId="0" borderId="0" xfId="26" applyFont="1" applyBorder="1" applyAlignment="1" applyProtection="1">
      <alignment horizontal="left" vertical="top"/>
    </xf>
    <xf numFmtId="0" fontId="29" fillId="0" borderId="0" xfId="26" applyFont="1" applyFill="1" applyBorder="1" applyAlignment="1" applyProtection="1">
      <alignment horizontal="left" vertical="center"/>
    </xf>
    <xf numFmtId="0" fontId="29" fillId="0" borderId="0" xfId="26" applyFont="1" applyBorder="1" applyAlignment="1" applyProtection="1">
      <alignment horizontal="left" vertical="center"/>
    </xf>
    <xf numFmtId="0" fontId="25" fillId="0" borderId="0" xfId="26" applyFont="1" applyBorder="1" applyAlignment="1" applyProtection="1">
      <alignment vertical="center"/>
    </xf>
    <xf numFmtId="0" fontId="25" fillId="0" borderId="0" xfId="26" quotePrefix="1" applyFont="1" applyBorder="1" applyAlignment="1" applyProtection="1">
      <alignment vertical="top"/>
    </xf>
    <xf numFmtId="0" fontId="25" fillId="0" borderId="0" xfId="26" quotePrefix="1" applyFont="1" applyBorder="1" applyAlignment="1" applyProtection="1">
      <alignment horizontal="left" vertical="top" wrapText="1"/>
    </xf>
    <xf numFmtId="0" fontId="25" fillId="0" borderId="17" xfId="26" applyFont="1" applyBorder="1" applyAlignment="1" applyProtection="1">
      <alignment vertical="center" wrapText="1"/>
    </xf>
    <xf numFmtId="0" fontId="25" fillId="0" borderId="15" xfId="26" applyFont="1" applyBorder="1" applyAlignment="1" applyProtection="1">
      <alignment vertical="center" wrapText="1"/>
    </xf>
    <xf numFmtId="0" fontId="25" fillId="0" borderId="16" xfId="26" applyFont="1" applyBorder="1" applyAlignment="1" applyProtection="1">
      <alignment vertical="center" wrapText="1"/>
    </xf>
    <xf numFmtId="0" fontId="25" fillId="0" borderId="0" xfId="26" applyFont="1" applyFill="1" applyBorder="1" applyAlignment="1" applyProtection="1">
      <alignment horizontal="left" vertical="center"/>
    </xf>
    <xf numFmtId="0" fontId="10" fillId="3" borderId="26" xfId="0" applyFont="1" applyFill="1" applyBorder="1" applyAlignment="1">
      <alignment horizontal="left" vertical="center" wrapText="1"/>
    </xf>
    <xf numFmtId="0" fontId="10" fillId="19" borderId="26" xfId="0" applyFont="1" applyFill="1" applyBorder="1" applyAlignment="1">
      <alignment horizontal="left" vertical="center" wrapText="1"/>
    </xf>
    <xf numFmtId="0" fontId="0" fillId="0" borderId="0" xfId="0" applyProtection="1"/>
    <xf numFmtId="0" fontId="0" fillId="0" borderId="0" xfId="0" applyAlignment="1" applyProtection="1">
      <alignment vertical="center"/>
    </xf>
    <xf numFmtId="0" fontId="0" fillId="7" borderId="0" xfId="0" applyFill="1" applyProtection="1"/>
    <xf numFmtId="0" fontId="25" fillId="0" borderId="0" xfId="44" applyFont="1" applyProtection="1"/>
    <xf numFmtId="0" fontId="7" fillId="0" borderId="0" xfId="44" applyProtection="1"/>
    <xf numFmtId="0" fontId="26" fillId="16" borderId="26" xfId="44" applyFont="1" applyFill="1" applyBorder="1" applyAlignment="1" applyProtection="1">
      <alignment horizontal="center" vertical="center"/>
    </xf>
    <xf numFmtId="0" fontId="26" fillId="16" borderId="26" xfId="44" applyFont="1" applyFill="1" applyBorder="1" applyAlignment="1" applyProtection="1">
      <alignment horizontal="center" vertical="center" wrapText="1"/>
    </xf>
    <xf numFmtId="167" fontId="25" fillId="0" borderId="26" xfId="44" applyNumberFormat="1" applyFont="1" applyBorder="1" applyAlignment="1" applyProtection="1">
      <alignment horizontal="center" vertical="center"/>
    </xf>
    <xf numFmtId="0" fontId="0" fillId="0" borderId="0" xfId="0" applyAlignment="1" applyProtection="1">
      <alignment vertical="top"/>
    </xf>
    <xf numFmtId="49" fontId="0" fillId="0" borderId="0" xfId="0" applyNumberFormat="1" applyProtection="1"/>
    <xf numFmtId="0" fontId="0" fillId="0" borderId="0" xfId="0" applyFill="1" applyProtection="1"/>
    <xf numFmtId="0" fontId="73" fillId="0" borderId="0" xfId="0" applyFont="1" applyFill="1" applyProtection="1"/>
    <xf numFmtId="0" fontId="25" fillId="0" borderId="0" xfId="26" applyFont="1" applyBorder="1" applyAlignment="1" applyProtection="1">
      <alignment horizontal="left" vertical="center"/>
    </xf>
    <xf numFmtId="0" fontId="29" fillId="0" borderId="0" xfId="0" applyFont="1" applyProtection="1"/>
    <xf numFmtId="0" fontId="31" fillId="0" borderId="0" xfId="0" applyFont="1" applyBorder="1" applyAlignment="1" applyProtection="1">
      <alignment vertical="center"/>
    </xf>
    <xf numFmtId="0" fontId="29" fillId="0" borderId="0" xfId="0" applyFont="1" applyBorder="1" applyProtection="1"/>
    <xf numFmtId="0" fontId="33" fillId="0" borderId="0" xfId="0" applyFont="1" applyBorder="1" applyAlignment="1" applyProtection="1">
      <alignment horizontal="center"/>
    </xf>
    <xf numFmtId="0" fontId="82" fillId="7" borderId="0" xfId="0" applyFont="1" applyFill="1" applyAlignment="1" applyProtection="1">
      <alignment vertical="center"/>
    </xf>
    <xf numFmtId="0" fontId="15" fillId="7" borderId="0" xfId="0" quotePrefix="1" applyFont="1" applyFill="1" applyBorder="1" applyAlignment="1" applyProtection="1">
      <alignment horizontal="center" vertical="center" wrapText="1"/>
    </xf>
    <xf numFmtId="0" fontId="15" fillId="7" borderId="0" xfId="0" quotePrefix="1" applyFont="1" applyFill="1" applyBorder="1" applyAlignment="1" applyProtection="1">
      <alignment horizontal="left" vertical="center" wrapText="1" indent="1"/>
    </xf>
    <xf numFmtId="0" fontId="25" fillId="7" borderId="0" xfId="45" applyFill="1" applyBorder="1" applyAlignment="1" applyProtection="1">
      <alignment horizontal="left" vertical="center" wrapText="1" indent="1"/>
    </xf>
    <xf numFmtId="0" fontId="25" fillId="7" borderId="0" xfId="0" applyFont="1" applyFill="1" applyBorder="1" applyAlignment="1" applyProtection="1">
      <alignment horizontal="center" vertical="center"/>
    </xf>
    <xf numFmtId="0" fontId="10" fillId="0" borderId="0" xfId="0" applyFont="1" applyFill="1" applyProtection="1"/>
    <xf numFmtId="0" fontId="61" fillId="0" borderId="0" xfId="8" applyFont="1" applyBorder="1" applyAlignment="1" applyProtection="1">
      <alignment vertical="center" wrapText="1"/>
    </xf>
    <xf numFmtId="0" fontId="61" fillId="0" borderId="0" xfId="8" applyFont="1" applyFill="1" applyBorder="1" applyAlignment="1" applyProtection="1">
      <alignment vertical="center" wrapText="1"/>
    </xf>
    <xf numFmtId="0" fontId="15" fillId="0" borderId="0" xfId="0" applyFont="1" applyProtection="1"/>
    <xf numFmtId="0" fontId="15" fillId="7" borderId="0" xfId="0" applyFont="1" applyFill="1" applyProtection="1"/>
    <xf numFmtId="0" fontId="15" fillId="0" borderId="0" xfId="26" applyFont="1" applyProtection="1"/>
    <xf numFmtId="0" fontId="15" fillId="0" borderId="0" xfId="26" applyFont="1" applyAlignment="1" applyProtection="1">
      <alignment horizontal="center"/>
    </xf>
    <xf numFmtId="0" fontId="15" fillId="0" borderId="0" xfId="26" applyFont="1" applyBorder="1" applyProtection="1"/>
    <xf numFmtId="6" fontId="15" fillId="0" borderId="0" xfId="26" applyNumberFormat="1" applyFont="1" applyBorder="1" applyProtection="1"/>
    <xf numFmtId="171" fontId="15" fillId="0" borderId="0" xfId="53" applyNumberFormat="1" applyFont="1" applyAlignment="1" applyProtection="1">
      <alignment horizontal="center"/>
    </xf>
    <xf numFmtId="171" fontId="15" fillId="0" borderId="0" xfId="53" applyNumberFormat="1" applyFont="1" applyProtection="1"/>
    <xf numFmtId="171" fontId="39" fillId="0" borderId="0" xfId="53" applyNumberFormat="1" applyFont="1" applyAlignment="1" applyProtection="1">
      <alignment horizontal="center"/>
    </xf>
    <xf numFmtId="172" fontId="39" fillId="0" borderId="0" xfId="3" applyNumberFormat="1" applyFont="1" applyAlignment="1" applyProtection="1">
      <alignment horizontal="center"/>
    </xf>
    <xf numFmtId="0" fontId="25" fillId="0" borderId="0" xfId="0" applyFont="1" applyAlignment="1" applyProtection="1">
      <alignment horizontal="center" vertical="center"/>
    </xf>
    <xf numFmtId="0" fontId="15" fillId="0" borderId="0" xfId="0" applyFont="1" applyAlignment="1" applyProtection="1">
      <alignment vertical="center"/>
    </xf>
    <xf numFmtId="0" fontId="28" fillId="0" borderId="0" xfId="0" applyFont="1" applyProtection="1"/>
    <xf numFmtId="0" fontId="15" fillId="0" borderId="0" xfId="50" applyFont="1" applyAlignment="1" applyProtection="1">
      <alignment horizontal="left" vertical="center" wrapText="1"/>
    </xf>
    <xf numFmtId="0" fontId="25" fillId="0" borderId="0" xfId="57" applyFont="1" applyProtection="1"/>
    <xf numFmtId="0" fontId="26" fillId="0" borderId="0" xfId="57" applyFont="1" applyProtection="1"/>
    <xf numFmtId="0" fontId="15" fillId="0" borderId="0" xfId="26" applyFont="1" applyAlignment="1" applyProtection="1">
      <alignment vertical="center"/>
    </xf>
    <xf numFmtId="0" fontId="39" fillId="0" borderId="0" xfId="26" applyFont="1" applyBorder="1" applyAlignment="1" applyProtection="1">
      <alignment vertical="center"/>
    </xf>
    <xf numFmtId="0" fontId="15" fillId="0" borderId="0" xfId="26" applyFont="1" applyBorder="1" applyAlignment="1" applyProtection="1"/>
    <xf numFmtId="0" fontId="15" fillId="0" borderId="0" xfId="26" applyFont="1" applyAlignment="1" applyProtection="1">
      <alignment horizontal="center" vertical="center"/>
    </xf>
    <xf numFmtId="0" fontId="15" fillId="0" borderId="0" xfId="26" applyFont="1" applyBorder="1" applyAlignment="1" applyProtection="1">
      <alignment vertical="center"/>
    </xf>
    <xf numFmtId="0" fontId="15" fillId="7" borderId="0" xfId="26" applyFont="1" applyFill="1" applyProtection="1"/>
    <xf numFmtId="38" fontId="15" fillId="0" borderId="0" xfId="26" applyNumberFormat="1" applyFont="1" applyAlignment="1" applyProtection="1">
      <alignment horizontal="center"/>
    </xf>
    <xf numFmtId="0" fontId="64" fillId="0" borderId="0" xfId="26" applyFont="1" applyBorder="1" applyAlignment="1" applyProtection="1">
      <alignment vertical="center"/>
    </xf>
    <xf numFmtId="0" fontId="39" fillId="7" borderId="0" xfId="26" applyFont="1" applyFill="1" applyBorder="1" applyAlignment="1" applyProtection="1"/>
    <xf numFmtId="0" fontId="15" fillId="0" borderId="0" xfId="26" applyFont="1" applyAlignment="1" applyProtection="1"/>
    <xf numFmtId="0" fontId="39" fillId="7" borderId="0" xfId="26" applyFont="1" applyFill="1" applyBorder="1" applyAlignment="1" applyProtection="1">
      <alignment horizontal="right" vertical="center"/>
    </xf>
    <xf numFmtId="0" fontId="15" fillId="7" borderId="0" xfId="26" applyFont="1" applyFill="1" applyBorder="1" applyProtection="1"/>
    <xf numFmtId="0" fontId="39" fillId="0" borderId="0" xfId="26" applyFont="1" applyBorder="1" applyAlignment="1" applyProtection="1">
      <alignment horizontal="right" vertical="center"/>
    </xf>
    <xf numFmtId="6" fontId="77" fillId="0" borderId="0" xfId="26" applyNumberFormat="1" applyFont="1" applyBorder="1" applyAlignment="1" applyProtection="1">
      <alignment horizontal="center" vertical="center" shrinkToFit="1"/>
    </xf>
    <xf numFmtId="6" fontId="39" fillId="0" borderId="0" xfId="26" applyNumberFormat="1" applyFont="1" applyBorder="1" applyAlignment="1" applyProtection="1">
      <alignment horizontal="center" vertical="center" shrinkToFit="1"/>
    </xf>
    <xf numFmtId="0" fontId="15" fillId="0" borderId="0" xfId="50" applyFont="1" applyBorder="1" applyAlignment="1" applyProtection="1">
      <alignment vertical="top" wrapText="1"/>
    </xf>
    <xf numFmtId="0" fontId="15" fillId="0" borderId="0" xfId="26" applyFont="1" applyAlignment="1" applyProtection="1">
      <alignment horizontal="left" vertical="top"/>
    </xf>
    <xf numFmtId="0" fontId="15" fillId="0" borderId="0" xfId="26" applyFont="1" applyAlignment="1" applyProtection="1">
      <alignment vertical="top"/>
    </xf>
    <xf numFmtId="0" fontId="78" fillId="0" borderId="0" xfId="26" applyFont="1" applyAlignment="1" applyProtection="1">
      <alignment horizontal="left" vertical="top"/>
    </xf>
    <xf numFmtId="0" fontId="15" fillId="0" borderId="0" xfId="26" applyFont="1" applyAlignment="1" applyProtection="1">
      <alignment horizontal="right" vertical="top"/>
    </xf>
    <xf numFmtId="0" fontId="70" fillId="0" borderId="0" xfId="26" applyFont="1" applyAlignment="1" applyProtection="1">
      <alignment horizontal="left" vertical="top"/>
    </xf>
    <xf numFmtId="0" fontId="70" fillId="0" borderId="0" xfId="26" applyFont="1" applyAlignment="1" applyProtection="1">
      <alignment horizontal="right" vertical="top"/>
    </xf>
    <xf numFmtId="0" fontId="15" fillId="7" borderId="0" xfId="26" applyFont="1" applyFill="1" applyBorder="1" applyAlignment="1" applyProtection="1">
      <alignment horizontal="center" vertical="center"/>
    </xf>
    <xf numFmtId="0" fontId="15" fillId="7" borderId="0" xfId="26" applyFont="1" applyFill="1" applyAlignment="1" applyProtection="1">
      <alignment horizontal="center" vertical="center"/>
    </xf>
    <xf numFmtId="0" fontId="76" fillId="0" borderId="0" xfId="26" applyFont="1" applyAlignment="1" applyProtection="1"/>
    <xf numFmtId="38" fontId="20" fillId="0" borderId="0" xfId="26" applyNumberFormat="1" applyFont="1" applyBorder="1" applyAlignment="1" applyProtection="1">
      <alignment horizontal="center"/>
    </xf>
    <xf numFmtId="164" fontId="15" fillId="0" borderId="0" xfId="26" applyNumberFormat="1" applyFont="1" applyAlignment="1" applyProtection="1">
      <alignment horizontal="right"/>
    </xf>
    <xf numFmtId="164" fontId="15" fillId="0" borderId="0" xfId="26" applyNumberFormat="1" applyFont="1" applyBorder="1" applyAlignment="1" applyProtection="1">
      <alignment horizontal="right"/>
    </xf>
    <xf numFmtId="38" fontId="76" fillId="0" borderId="0" xfId="26" applyNumberFormat="1" applyFont="1" applyBorder="1" applyAlignment="1" applyProtection="1">
      <alignment horizontal="center"/>
    </xf>
    <xf numFmtId="38" fontId="76" fillId="0" borderId="0" xfId="26" applyNumberFormat="1" applyFont="1" applyBorder="1" applyAlignment="1" applyProtection="1">
      <alignment horizontal="right"/>
    </xf>
    <xf numFmtId="38" fontId="76" fillId="0" borderId="0" xfId="26" applyNumberFormat="1" applyFont="1" applyAlignment="1" applyProtection="1">
      <alignment horizontal="right"/>
    </xf>
    <xf numFmtId="0" fontId="10" fillId="0" borderId="0" xfId="26" applyFont="1" applyAlignment="1" applyProtection="1">
      <alignment horizontal="center" vertical="center"/>
    </xf>
    <xf numFmtId="37" fontId="15" fillId="0" borderId="0" xfId="26" applyNumberFormat="1" applyFont="1" applyAlignment="1" applyProtection="1">
      <alignment horizontal="right"/>
    </xf>
    <xf numFmtId="37" fontId="15" fillId="0" borderId="0" xfId="26" applyNumberFormat="1" applyFont="1" applyBorder="1" applyAlignment="1" applyProtection="1">
      <alignment horizontal="right"/>
    </xf>
    <xf numFmtId="38" fontId="15" fillId="0" borderId="0" xfId="26" applyNumberFormat="1" applyFont="1" applyBorder="1" applyAlignment="1" applyProtection="1">
      <alignment horizontal="center"/>
    </xf>
    <xf numFmtId="38" fontId="15" fillId="0" borderId="0" xfId="26" applyNumberFormat="1" applyFont="1" applyBorder="1" applyAlignment="1" applyProtection="1">
      <alignment horizontal="right"/>
    </xf>
    <xf numFmtId="38" fontId="15" fillId="0" borderId="0" xfId="26" applyNumberFormat="1" applyFont="1" applyAlignment="1" applyProtection="1">
      <alignment horizontal="right"/>
    </xf>
    <xf numFmtId="37" fontId="15" fillId="0" borderId="0" xfId="26" applyNumberFormat="1" applyFont="1" applyProtection="1"/>
    <xf numFmtId="39" fontId="15" fillId="0" borderId="0" xfId="26" applyNumberFormat="1" applyFont="1" applyAlignment="1" applyProtection="1">
      <alignment horizontal="left"/>
    </xf>
    <xf numFmtId="37" fontId="15" fillId="0" borderId="0" xfId="26" applyNumberFormat="1" applyFont="1" applyBorder="1" applyAlignment="1" applyProtection="1">
      <alignment horizontal="left"/>
    </xf>
    <xf numFmtId="39" fontId="15" fillId="0" borderId="0" xfId="26" applyNumberFormat="1" applyFont="1" applyBorder="1" applyAlignment="1" applyProtection="1">
      <alignment horizontal="left"/>
    </xf>
    <xf numFmtId="0" fontId="39" fillId="7" borderId="0" xfId="26" applyFont="1" applyFill="1" applyAlignment="1" applyProtection="1">
      <alignment vertical="center"/>
    </xf>
    <xf numFmtId="39" fontId="10" fillId="7" borderId="0" xfId="26" applyNumberFormat="1" applyFont="1" applyFill="1" applyBorder="1" applyAlignment="1" applyProtection="1">
      <alignment horizontal="center" vertical="center"/>
    </xf>
    <xf numFmtId="40" fontId="13" fillId="7" borderId="0" xfId="26" applyNumberFormat="1" applyFont="1" applyFill="1" applyBorder="1" applyAlignment="1" applyProtection="1">
      <alignment horizontal="center" vertical="center"/>
    </xf>
    <xf numFmtId="37" fontId="15" fillId="0" borderId="0" xfId="26" applyNumberFormat="1" applyFont="1" applyAlignment="1" applyProtection="1">
      <alignment vertical="center" wrapText="1"/>
    </xf>
    <xf numFmtId="0" fontId="10" fillId="0" borderId="0" xfId="26" applyFont="1" applyProtection="1"/>
    <xf numFmtId="38" fontId="10" fillId="0" borderId="0" xfId="26" applyNumberFormat="1" applyFont="1" applyProtection="1"/>
    <xf numFmtId="172" fontId="15" fillId="0" borderId="0" xfId="3" applyNumberFormat="1" applyFont="1" applyAlignment="1" applyProtection="1">
      <alignment horizontal="center"/>
    </xf>
    <xf numFmtId="0" fontId="25" fillId="0" borderId="0" xfId="8" applyAlignment="1" applyProtection="1">
      <alignment horizontal="left" vertical="center"/>
    </xf>
    <xf numFmtId="0" fontId="30" fillId="0" borderId="0" xfId="8" applyFont="1" applyAlignment="1" applyProtection="1">
      <alignment horizontal="left" vertical="center"/>
    </xf>
    <xf numFmtId="0" fontId="30" fillId="0" borderId="0" xfId="8" applyFont="1" applyFill="1" applyAlignment="1" applyProtection="1">
      <alignment horizontal="left" vertical="center"/>
    </xf>
    <xf numFmtId="0" fontId="25" fillId="0" borderId="0" xfId="8" applyFill="1" applyAlignment="1" applyProtection="1">
      <alignment horizontal="left" vertical="center"/>
    </xf>
    <xf numFmtId="0" fontId="15" fillId="0" borderId="0" xfId="8" applyFont="1" applyAlignment="1" applyProtection="1">
      <alignment horizontal="left" vertical="center"/>
    </xf>
    <xf numFmtId="0" fontId="15" fillId="0" borderId="0" xfId="0" applyFont="1" applyFill="1" applyAlignment="1" applyProtection="1">
      <alignment vertical="center"/>
    </xf>
    <xf numFmtId="0" fontId="30" fillId="0" borderId="0" xfId="0" applyFont="1" applyAlignment="1" applyProtection="1">
      <alignment vertical="center"/>
    </xf>
    <xf numFmtId="0" fontId="10" fillId="0" borderId="0" xfId="0" applyFont="1" applyProtection="1"/>
    <xf numFmtId="0" fontId="29" fillId="0" borderId="0" xfId="26" applyFont="1" applyAlignment="1" applyProtection="1">
      <alignment vertical="center" wrapText="1"/>
    </xf>
    <xf numFmtId="0" fontId="12" fillId="0" borderId="0" xfId="26" applyFont="1" applyProtection="1"/>
    <xf numFmtId="0" fontId="29" fillId="0" borderId="0" xfId="26" applyFont="1" applyAlignment="1" applyProtection="1">
      <alignment horizontal="left" vertical="top" wrapText="1"/>
    </xf>
    <xf numFmtId="0" fontId="29" fillId="0" borderId="0" xfId="26" applyFont="1" applyAlignment="1" applyProtection="1">
      <alignment horizontal="left" vertical="top"/>
    </xf>
    <xf numFmtId="0" fontId="29" fillId="0" borderId="0" xfId="26" applyFont="1" applyAlignment="1" applyProtection="1">
      <alignment horizontal="left" vertical="center"/>
    </xf>
    <xf numFmtId="0" fontId="29" fillId="0" borderId="0" xfId="26" applyFont="1" applyAlignment="1" applyProtection="1">
      <alignment horizontal="left" vertical="center" wrapText="1"/>
    </xf>
    <xf numFmtId="0" fontId="10" fillId="0" borderId="0" xfId="0" applyFont="1" applyAlignment="1" applyProtection="1">
      <alignment vertical="top" wrapText="1"/>
    </xf>
    <xf numFmtId="0" fontId="29" fillId="7" borderId="0" xfId="26" applyFont="1" applyFill="1" applyAlignment="1" applyProtection="1">
      <alignment horizontal="left" vertical="top" wrapText="1"/>
    </xf>
    <xf numFmtId="1" fontId="15" fillId="7" borderId="2" xfId="26" applyNumberFormat="1" applyFont="1" applyFill="1" applyBorder="1" applyAlignment="1" applyProtection="1">
      <alignment horizontal="center"/>
    </xf>
    <xf numFmtId="42" fontId="50" fillId="7" borderId="0" xfId="26" applyNumberFormat="1" applyFont="1" applyFill="1" applyBorder="1" applyAlignment="1" applyProtection="1">
      <alignment horizontal="right"/>
    </xf>
    <xf numFmtId="42" fontId="50" fillId="7" borderId="3" xfId="26" applyNumberFormat="1" applyFont="1" applyFill="1" applyBorder="1" applyAlignment="1" applyProtection="1">
      <alignment horizontal="right"/>
    </xf>
    <xf numFmtId="41" fontId="15" fillId="7" borderId="0" xfId="26" applyNumberFormat="1" applyFont="1" applyFill="1" applyBorder="1" applyAlignment="1" applyProtection="1">
      <alignment horizontal="right"/>
    </xf>
    <xf numFmtId="41" fontId="15" fillId="7" borderId="3" xfId="26" applyNumberFormat="1" applyFont="1" applyFill="1" applyBorder="1" applyAlignment="1" applyProtection="1">
      <alignment horizontal="right"/>
    </xf>
    <xf numFmtId="41" fontId="15" fillId="7" borderId="0" xfId="26" applyNumberFormat="1" applyFont="1" applyFill="1" applyAlignment="1" applyProtection="1">
      <alignment horizontal="right"/>
    </xf>
    <xf numFmtId="0" fontId="39" fillId="7" borderId="0" xfId="21" applyFont="1" applyFill="1" applyAlignment="1" applyProtection="1">
      <alignment horizontal="center" vertical="top"/>
    </xf>
    <xf numFmtId="0" fontId="39" fillId="7" borderId="0" xfId="21" applyFont="1" applyFill="1" applyAlignment="1" applyProtection="1">
      <alignment horizontal="right" vertical="top"/>
    </xf>
    <xf numFmtId="0" fontId="39" fillId="27" borderId="0" xfId="26" applyFont="1" applyFill="1" applyAlignment="1" applyProtection="1">
      <alignment horizontal="center" vertical="top"/>
    </xf>
    <xf numFmtId="1" fontId="15" fillId="7" borderId="5" xfId="26" applyNumberFormat="1" applyFont="1" applyFill="1" applyBorder="1" applyAlignment="1" applyProtection="1">
      <alignment horizontal="center"/>
    </xf>
    <xf numFmtId="41" fontId="15" fillId="7" borderId="4" xfId="26" applyNumberFormat="1" applyFont="1" applyFill="1" applyBorder="1" applyAlignment="1" applyProtection="1">
      <alignment horizontal="right"/>
    </xf>
    <xf numFmtId="41" fontId="15" fillId="7" borderId="6" xfId="26" applyNumberFormat="1" applyFont="1" applyFill="1" applyBorder="1" applyAlignment="1" applyProtection="1">
      <alignment horizontal="right"/>
    </xf>
    <xf numFmtId="1" fontId="15" fillId="7" borderId="0" xfId="26" applyNumberFormat="1" applyFont="1" applyFill="1" applyAlignment="1" applyProtection="1">
      <alignment horizontal="center"/>
    </xf>
    <xf numFmtId="0" fontId="10" fillId="0" borderId="0" xfId="0" applyFont="1" applyFill="1" applyBorder="1" applyProtection="1"/>
    <xf numFmtId="0" fontId="62" fillId="0" borderId="0" xfId="26" applyFont="1" applyAlignment="1" applyProtection="1">
      <alignment vertical="center"/>
    </xf>
    <xf numFmtId="0" fontId="10" fillId="0" borderId="0" xfId="21" applyProtection="1"/>
    <xf numFmtId="0" fontId="10" fillId="0" borderId="0" xfId="21" applyFont="1" applyProtection="1"/>
    <xf numFmtId="0" fontId="10" fillId="0" borderId="0" xfId="21" applyFont="1" applyAlignment="1" applyProtection="1">
      <alignment horizontal="left"/>
    </xf>
    <xf numFmtId="0" fontId="14" fillId="0" borderId="0" xfId="21" applyFont="1" applyProtection="1"/>
    <xf numFmtId="0" fontId="59" fillId="0" borderId="0" xfId="21" applyFont="1" applyAlignment="1" applyProtection="1">
      <alignment horizontal="left"/>
    </xf>
    <xf numFmtId="0" fontId="10" fillId="0" borderId="0" xfId="21" applyAlignment="1" applyProtection="1">
      <alignment horizontal="left"/>
    </xf>
    <xf numFmtId="0" fontId="15" fillId="0" borderId="39" xfId="21" applyFont="1" applyBorder="1" applyAlignment="1" applyProtection="1">
      <alignment vertical="center" wrapText="1"/>
    </xf>
    <xf numFmtId="0" fontId="15" fillId="0" borderId="39" xfId="21" applyFont="1" applyBorder="1" applyProtection="1"/>
    <xf numFmtId="0" fontId="15" fillId="0" borderId="39" xfId="21" applyFont="1" applyBorder="1" applyAlignment="1" applyProtection="1">
      <alignment vertical="center"/>
    </xf>
    <xf numFmtId="0" fontId="77" fillId="24" borderId="32" xfId="59" applyFont="1" applyFill="1" applyBorder="1" applyAlignment="1" applyProtection="1">
      <alignment horizontal="left" vertical="center" wrapText="1"/>
    </xf>
    <xf numFmtId="0" fontId="77" fillId="24" borderId="32" xfId="59" applyFont="1" applyFill="1" applyBorder="1" applyAlignment="1" applyProtection="1">
      <alignment horizontal="center" vertical="center" wrapText="1"/>
    </xf>
    <xf numFmtId="173" fontId="77" fillId="23" borderId="32" xfId="59" applyNumberFormat="1" applyFont="1" applyFill="1" applyBorder="1" applyAlignment="1" applyProtection="1">
      <alignment horizontal="center" vertical="center" wrapText="1"/>
    </xf>
    <xf numFmtId="173" fontId="77" fillId="24" borderId="32" xfId="59" applyNumberFormat="1" applyFont="1" applyFill="1" applyBorder="1" applyAlignment="1" applyProtection="1">
      <alignment horizontal="center" vertical="center" wrapText="1"/>
    </xf>
    <xf numFmtId="0" fontId="25" fillId="0" borderId="0" xfId="61" applyFont="1" applyAlignment="1" applyProtection="1">
      <alignment horizontal="center" vertical="center"/>
    </xf>
    <xf numFmtId="173" fontId="77" fillId="25" borderId="32" xfId="59" applyNumberFormat="1" applyFont="1" applyFill="1" applyBorder="1" applyAlignment="1" applyProtection="1">
      <alignment horizontal="center" vertical="center" wrapText="1"/>
    </xf>
    <xf numFmtId="0" fontId="25" fillId="0" borderId="0" xfId="58" applyFont="1" applyAlignment="1" applyProtection="1">
      <alignment horizontal="center" vertical="center"/>
    </xf>
    <xf numFmtId="0" fontId="10" fillId="7" borderId="0" xfId="0" applyFont="1" applyFill="1" applyAlignment="1" applyProtection="1">
      <alignment horizontal="center"/>
    </xf>
    <xf numFmtId="0" fontId="10" fillId="7" borderId="0" xfId="0" applyFont="1" applyFill="1" applyAlignment="1" applyProtection="1">
      <alignment wrapText="1"/>
    </xf>
    <xf numFmtId="0" fontId="10" fillId="7" borderId="0" xfId="0" applyFont="1" applyFill="1" applyBorder="1" applyAlignment="1" applyProtection="1">
      <alignment horizontal="center"/>
    </xf>
    <xf numFmtId="0" fontId="14" fillId="7" borderId="0" xfId="16" applyFont="1" applyFill="1" applyAlignment="1" applyProtection="1">
      <alignment horizontal="left" vertical="center" wrapText="1"/>
    </xf>
    <xf numFmtId="0" fontId="25" fillId="0" borderId="0" xfId="69" applyFont="1" applyProtection="1"/>
    <xf numFmtId="0" fontId="61" fillId="7" borderId="0" xfId="69" applyFont="1" applyFill="1" applyAlignment="1" applyProtection="1">
      <alignment vertical="center" wrapText="1"/>
    </xf>
    <xf numFmtId="0" fontId="15" fillId="0" borderId="0" xfId="26" applyFont="1" applyFill="1" applyProtection="1"/>
    <xf numFmtId="0" fontId="15" fillId="7" borderId="7" xfId="26" applyFont="1" applyFill="1" applyBorder="1" applyAlignment="1" applyProtection="1">
      <alignment horizontal="center" wrapText="1"/>
    </xf>
    <xf numFmtId="0" fontId="15" fillId="7" borderId="8" xfId="26" quotePrefix="1" applyFont="1" applyFill="1" applyBorder="1" applyAlignment="1" applyProtection="1">
      <alignment horizontal="center" vertical="center" wrapText="1"/>
    </xf>
    <xf numFmtId="0" fontId="15" fillId="7" borderId="9" xfId="26" quotePrefix="1" applyFont="1" applyFill="1" applyBorder="1" applyAlignment="1" applyProtection="1">
      <alignment horizontal="center" vertical="center" wrapText="1"/>
    </xf>
    <xf numFmtId="6" fontId="15" fillId="0" borderId="0" xfId="26" applyNumberFormat="1" applyFont="1" applyFill="1" applyBorder="1" applyProtection="1"/>
    <xf numFmtId="0" fontId="15" fillId="0" borderId="0" xfId="26" applyFont="1" applyFill="1" applyBorder="1" applyProtection="1"/>
    <xf numFmtId="0" fontId="25" fillId="0" borderId="0" xfId="69" applyFont="1" applyFill="1" applyProtection="1"/>
    <xf numFmtId="0" fontId="61" fillId="0" borderId="0" xfId="69" applyFont="1" applyFill="1" applyAlignment="1" applyProtection="1">
      <alignment vertical="center" wrapText="1"/>
    </xf>
    <xf numFmtId="0" fontId="15" fillId="7" borderId="0" xfId="26" applyFont="1" applyFill="1" applyAlignment="1" applyProtection="1">
      <alignment vertical="top"/>
    </xf>
    <xf numFmtId="0" fontId="15" fillId="7" borderId="0" xfId="26" applyFont="1" applyFill="1" applyAlignment="1" applyProtection="1">
      <alignment vertical="center"/>
    </xf>
    <xf numFmtId="0" fontId="10" fillId="7" borderId="0" xfId="26" applyFont="1" applyFill="1" applyAlignment="1" applyProtection="1">
      <alignment horizontal="center" vertical="center"/>
    </xf>
    <xf numFmtId="0" fontId="15" fillId="0" borderId="0" xfId="26" applyFont="1" applyFill="1" applyAlignment="1" applyProtection="1">
      <alignment vertical="center"/>
    </xf>
    <xf numFmtId="0" fontId="50" fillId="0" borderId="0" xfId="16" applyFont="1" applyProtection="1"/>
    <xf numFmtId="0" fontId="10" fillId="0" borderId="0" xfId="0" applyFont="1" applyAlignment="1" applyProtection="1">
      <alignment horizontal="left" vertical="center"/>
    </xf>
    <xf numFmtId="0" fontId="10" fillId="0" borderId="0" xfId="0" applyFont="1" applyFill="1" applyAlignment="1" applyProtection="1">
      <alignment horizontal="left" vertical="center"/>
    </xf>
    <xf numFmtId="0" fontId="86" fillId="0" borderId="0" xfId="0" applyFont="1" applyProtection="1"/>
    <xf numFmtId="0" fontId="30" fillId="0" borderId="0" xfId="0" applyFont="1" applyFill="1" applyAlignment="1" applyProtection="1">
      <alignment vertical="center"/>
    </xf>
    <xf numFmtId="0" fontId="10" fillId="0" borderId="0" xfId="21" applyFont="1" applyFill="1" applyAlignment="1" applyProtection="1">
      <alignment horizontal="left" vertical="center" wrapText="1"/>
    </xf>
    <xf numFmtId="0" fontId="37" fillId="0" borderId="0" xfId="0" applyFont="1" applyFill="1" applyProtection="1"/>
    <xf numFmtId="0" fontId="51" fillId="7" borderId="0" xfId="26" applyFont="1" applyFill="1" applyProtection="1"/>
    <xf numFmtId="0" fontId="0" fillId="7" borderId="0" xfId="0" applyFill="1" applyAlignment="1" applyProtection="1">
      <alignment vertical="top"/>
    </xf>
    <xf numFmtId="0" fontId="15" fillId="0" borderId="0" xfId="26" quotePrefix="1" applyFont="1" applyBorder="1" applyAlignment="1" applyProtection="1">
      <alignment vertical="center" wrapText="1"/>
    </xf>
    <xf numFmtId="0" fontId="25" fillId="0" borderId="0" xfId="26" applyFont="1" applyBorder="1" applyAlignment="1" applyProtection="1">
      <alignment vertical="top"/>
    </xf>
    <xf numFmtId="0" fontId="14" fillId="0" borderId="0" xfId="0" applyFont="1" applyAlignment="1">
      <alignment vertical="center" wrapText="1"/>
    </xf>
    <xf numFmtId="0" fontId="10" fillId="18" borderId="26" xfId="0" applyFont="1" applyFill="1" applyBorder="1" applyAlignment="1">
      <alignment horizontal="left" vertical="center" wrapText="1"/>
    </xf>
    <xf numFmtId="0" fontId="25" fillId="18" borderId="10" xfId="12" applyFill="1">
      <alignment horizontal="left" vertical="center" wrapText="1"/>
    </xf>
    <xf numFmtId="0" fontId="25" fillId="32" borderId="10" xfId="12" applyFill="1">
      <alignment horizontal="left" vertical="center" wrapText="1"/>
    </xf>
    <xf numFmtId="0" fontId="10" fillId="32" borderId="26" xfId="0" applyFont="1" applyFill="1" applyBorder="1" applyAlignment="1">
      <alignment horizontal="left" vertical="center" wrapText="1"/>
    </xf>
    <xf numFmtId="0" fontId="10" fillId="33" borderId="26" xfId="0" applyFont="1" applyFill="1" applyBorder="1" applyAlignment="1">
      <alignment horizontal="left" vertical="center" wrapText="1"/>
    </xf>
    <xf numFmtId="0" fontId="15" fillId="34" borderId="26" xfId="26" applyFont="1" applyFill="1" applyBorder="1" applyAlignment="1">
      <alignment horizontal="left" vertical="center" wrapText="1"/>
    </xf>
    <xf numFmtId="0" fontId="15" fillId="35" borderId="26" xfId="26" applyFont="1" applyFill="1" applyBorder="1" applyAlignment="1">
      <alignment horizontal="left" vertical="center" wrapText="1"/>
    </xf>
    <xf numFmtId="0" fontId="15" fillId="3" borderId="26" xfId="26" applyFont="1" applyFill="1" applyBorder="1" applyAlignment="1">
      <alignment horizontal="left" vertical="center" wrapText="1"/>
    </xf>
    <xf numFmtId="0" fontId="15" fillId="8" borderId="26" xfId="26" applyFont="1" applyFill="1" applyBorder="1" applyAlignment="1">
      <alignment horizontal="left" vertical="center" wrapText="1"/>
    </xf>
    <xf numFmtId="0" fontId="15" fillId="32" borderId="26" xfId="26" applyFont="1" applyFill="1" applyBorder="1" applyAlignment="1">
      <alignment horizontal="left" vertical="center" wrapText="1"/>
    </xf>
    <xf numFmtId="0" fontId="10" fillId="32" borderId="0" xfId="0" applyFont="1" applyFill="1" applyAlignment="1">
      <alignment horizontal="center" vertical="center"/>
    </xf>
    <xf numFmtId="0" fontId="15" fillId="33" borderId="26" xfId="26" applyFont="1" applyFill="1" applyBorder="1" applyAlignment="1">
      <alignment horizontal="left" vertical="center" wrapText="1"/>
    </xf>
    <xf numFmtId="0" fontId="13" fillId="33" borderId="26" xfId="0" applyFont="1" applyFill="1" applyBorder="1" applyAlignment="1">
      <alignment horizontal="center" vertical="center" wrapText="1"/>
    </xf>
    <xf numFmtId="0" fontId="10" fillId="34" borderId="26" xfId="0" applyFont="1" applyFill="1" applyBorder="1" applyAlignment="1">
      <alignment horizontal="left" vertical="center" wrapText="1"/>
    </xf>
    <xf numFmtId="0" fontId="13" fillId="34" borderId="26" xfId="0" applyFont="1" applyFill="1" applyBorder="1" applyAlignment="1">
      <alignment horizontal="left" vertical="center" wrapText="1"/>
    </xf>
    <xf numFmtId="0" fontId="10" fillId="35" borderId="26" xfId="0" applyFont="1" applyFill="1" applyBorder="1" applyAlignment="1">
      <alignment horizontal="left" vertical="center" wrapText="1"/>
    </xf>
    <xf numFmtId="0" fontId="0" fillId="35" borderId="26" xfId="0" applyFill="1" applyBorder="1" applyAlignment="1">
      <alignment horizontal="center" vertical="center"/>
    </xf>
    <xf numFmtId="0" fontId="10" fillId="3" borderId="26" xfId="0" quotePrefix="1" applyFont="1" applyFill="1" applyBorder="1" applyAlignment="1">
      <alignment horizontal="left" vertical="center" wrapText="1"/>
    </xf>
    <xf numFmtId="0" fontId="10" fillId="0" borderId="0" xfId="0" applyFont="1" applyAlignment="1">
      <alignment horizontal="center" vertical="center" wrapText="1"/>
    </xf>
    <xf numFmtId="5" fontId="0" fillId="0" borderId="0" xfId="0" applyNumberFormat="1" applyAlignment="1">
      <alignment horizontal="center" vertical="center" wrapText="1"/>
    </xf>
    <xf numFmtId="0" fontId="0" fillId="0" borderId="0" xfId="0" applyAlignment="1">
      <alignment horizontal="center" vertical="center" wrapText="1"/>
    </xf>
    <xf numFmtId="49" fontId="0" fillId="0" borderId="0" xfId="0" applyNumberFormat="1" applyAlignment="1">
      <alignment horizontal="center" vertical="center" wrapText="1"/>
    </xf>
    <xf numFmtId="49" fontId="10" fillId="0" borderId="0" xfId="0" applyNumberFormat="1" applyFont="1" applyAlignment="1">
      <alignment horizontal="center" vertical="center" wrapText="1"/>
    </xf>
    <xf numFmtId="2" fontId="0" fillId="0" borderId="0" xfId="0" applyNumberFormat="1" applyAlignment="1">
      <alignment horizontal="center" vertical="center" wrapText="1"/>
    </xf>
    <xf numFmtId="1" fontId="0" fillId="0" borderId="0" xfId="0" applyNumberFormat="1" applyAlignment="1">
      <alignment horizontal="center" vertical="center" wrapText="1"/>
    </xf>
    <xf numFmtId="9" fontId="0" fillId="0" borderId="0" xfId="0" applyNumberFormat="1" applyAlignment="1">
      <alignment horizontal="center" vertical="center" wrapText="1"/>
    </xf>
    <xf numFmtId="14" fontId="0" fillId="0" borderId="0" xfId="0" applyNumberFormat="1" applyAlignment="1">
      <alignment horizontal="center" vertical="center" wrapText="1"/>
    </xf>
    <xf numFmtId="3" fontId="0" fillId="0" borderId="0" xfId="0" applyNumberFormat="1" applyAlignment="1">
      <alignment horizontal="center" vertical="center" wrapText="1"/>
    </xf>
    <xf numFmtId="6" fontId="0" fillId="0" borderId="0" xfId="0" applyNumberFormat="1" applyAlignment="1">
      <alignment horizontal="center" vertical="center" wrapText="1"/>
    </xf>
    <xf numFmtId="40" fontId="0" fillId="0" borderId="0" xfId="0" applyNumberFormat="1" applyAlignment="1">
      <alignment horizontal="center" vertical="center" wrapText="1"/>
    </xf>
    <xf numFmtId="38" fontId="0" fillId="0" borderId="0" xfId="0" applyNumberFormat="1" applyAlignment="1">
      <alignment horizontal="center" vertical="center" wrapText="1"/>
    </xf>
    <xf numFmtId="49" fontId="0" fillId="0" borderId="0" xfId="0" applyNumberFormat="1" applyAlignment="1">
      <alignment horizontal="center" vertical="center"/>
    </xf>
    <xf numFmtId="165" fontId="0" fillId="0" borderId="0" xfId="0" applyNumberFormat="1" applyAlignment="1">
      <alignment horizontal="center" vertical="center" wrapText="1"/>
    </xf>
    <xf numFmtId="0" fontId="25" fillId="0" borderId="0" xfId="50" applyFont="1"/>
    <xf numFmtId="173" fontId="77" fillId="23" borderId="34" xfId="59" applyNumberFormat="1" applyFont="1" applyFill="1" applyBorder="1" applyAlignment="1" applyProtection="1">
      <alignment horizontal="center" vertical="center" wrapText="1"/>
    </xf>
    <xf numFmtId="173" fontId="77" fillId="24" borderId="34" xfId="59" applyNumberFormat="1" applyFont="1" applyFill="1" applyBorder="1" applyAlignment="1" applyProtection="1">
      <alignment horizontal="center" vertical="center" wrapText="1"/>
    </xf>
    <xf numFmtId="0" fontId="29" fillId="0" borderId="0" xfId="0" applyFont="1" applyFill="1" applyProtection="1"/>
    <xf numFmtId="0" fontId="15" fillId="7" borderId="0" xfId="0" applyFont="1" applyFill="1" applyAlignment="1">
      <alignment vertical="center" wrapText="1"/>
    </xf>
    <xf numFmtId="0" fontId="29" fillId="0" borderId="0" xfId="26" applyFont="1" applyAlignment="1">
      <alignment horizontal="left" vertical="top" wrapText="1"/>
    </xf>
    <xf numFmtId="0" fontId="29" fillId="7" borderId="0" xfId="26" applyFont="1" applyFill="1" applyAlignment="1">
      <alignment horizontal="left" vertical="top" wrapText="1"/>
    </xf>
    <xf numFmtId="0" fontId="29" fillId="0" borderId="0" xfId="26" applyFont="1" applyAlignment="1">
      <alignment horizontal="left" vertical="top"/>
    </xf>
    <xf numFmtId="0" fontId="25" fillId="0" borderId="0" xfId="26" applyFont="1" applyFill="1" applyBorder="1" applyAlignment="1" applyProtection="1">
      <alignment vertical="top" wrapText="1"/>
    </xf>
    <xf numFmtId="0" fontId="25" fillId="0" borderId="0" xfId="26" applyFont="1" applyFill="1" applyBorder="1" applyAlignment="1" applyProtection="1">
      <alignment horizontal="center" vertical="top"/>
    </xf>
    <xf numFmtId="0" fontId="25" fillId="7" borderId="0" xfId="26" applyFont="1" applyFill="1" applyBorder="1" applyAlignment="1" applyProtection="1">
      <alignment vertical="center"/>
    </xf>
    <xf numFmtId="0" fontId="29" fillId="0" borderId="0" xfId="26" applyFont="1" applyBorder="1" applyAlignment="1" applyProtection="1">
      <alignment horizontal="left" vertical="top" wrapText="1"/>
    </xf>
    <xf numFmtId="165" fontId="26" fillId="0" borderId="39" xfId="26" applyNumberFormat="1" applyFont="1" applyBorder="1" applyAlignment="1" applyProtection="1">
      <alignment horizontal="center" vertical="center"/>
    </xf>
    <xf numFmtId="0" fontId="26" fillId="0" borderId="0" xfId="26" applyFont="1" applyAlignment="1">
      <alignment vertical="top" wrapText="1"/>
    </xf>
    <xf numFmtId="0" fontId="15" fillId="0" borderId="0" xfId="26" applyFont="1" applyAlignment="1">
      <alignment vertical="top"/>
    </xf>
    <xf numFmtId="0" fontId="25" fillId="0" borderId="0" xfId="26" applyFont="1" applyAlignment="1">
      <alignment vertical="top"/>
    </xf>
    <xf numFmtId="0" fontId="26" fillId="0" borderId="0" xfId="26" applyFont="1" applyAlignment="1">
      <alignment vertical="top"/>
    </xf>
    <xf numFmtId="1" fontId="30" fillId="0" borderId="0" xfId="26" applyNumberFormat="1" applyFont="1" applyAlignment="1">
      <alignment horizontal="left" vertical="top" wrapText="1"/>
    </xf>
    <xf numFmtId="1" fontId="10" fillId="0" borderId="0" xfId="26" applyNumberFormat="1" applyFont="1" applyAlignment="1">
      <alignment horizontal="left" vertical="top"/>
    </xf>
    <xf numFmtId="10" fontId="30" fillId="0" borderId="0" xfId="26" applyNumberFormat="1" applyFont="1" applyAlignment="1">
      <alignment horizontal="left" vertical="top" wrapText="1"/>
    </xf>
    <xf numFmtId="165" fontId="30" fillId="0" borderId="0" xfId="26" applyNumberFormat="1" applyFont="1" applyAlignment="1">
      <alignment horizontal="left" vertical="top"/>
    </xf>
    <xf numFmtId="165" fontId="30" fillId="0" borderId="0" xfId="26" applyNumberFormat="1" applyFont="1" applyAlignment="1">
      <alignment horizontal="left" vertical="top" wrapText="1"/>
    </xf>
    <xf numFmtId="0" fontId="29" fillId="0" borderId="0" xfId="26" applyFont="1" applyBorder="1" applyAlignment="1" applyProtection="1">
      <alignment vertical="center" wrapText="1"/>
    </xf>
    <xf numFmtId="0" fontId="10" fillId="18" borderId="26" xfId="0" applyFont="1" applyFill="1" applyBorder="1" applyAlignment="1">
      <alignment horizontal="center" vertical="center" wrapText="1"/>
    </xf>
    <xf numFmtId="0" fontId="10" fillId="19" borderId="26" xfId="0" applyFont="1" applyFill="1" applyBorder="1" applyAlignment="1">
      <alignment horizontal="center" vertical="center" wrapText="1"/>
    </xf>
    <xf numFmtId="0" fontId="0" fillId="0" borderId="0" xfId="0" applyAlignment="1">
      <alignment horizontal="center" vertical="center"/>
    </xf>
    <xf numFmtId="1" fontId="10" fillId="7" borderId="0" xfId="0" applyNumberFormat="1" applyFont="1" applyFill="1" applyAlignment="1">
      <alignment horizontal="center" vertical="center" wrapText="1"/>
    </xf>
    <xf numFmtId="49" fontId="0" fillId="7" borderId="0" xfId="0" applyNumberFormat="1" applyFill="1" applyAlignment="1">
      <alignment horizontal="center" vertical="center" wrapText="1"/>
    </xf>
    <xf numFmtId="44" fontId="0" fillId="0" borderId="0" xfId="0" applyNumberFormat="1" applyAlignment="1">
      <alignment horizontal="center" vertical="center" wrapText="1"/>
    </xf>
    <xf numFmtId="165" fontId="0" fillId="7" borderId="0" xfId="0" applyNumberFormat="1" applyFill="1" applyAlignment="1">
      <alignment horizontal="center" vertical="center" wrapText="1"/>
    </xf>
    <xf numFmtId="165" fontId="0" fillId="0" borderId="0" xfId="0" applyNumberFormat="1" applyAlignment="1">
      <alignment horizontal="center" vertical="center"/>
    </xf>
    <xf numFmtId="166" fontId="0" fillId="0" borderId="0" xfId="0" applyNumberFormat="1" applyAlignment="1">
      <alignment horizontal="center" vertical="center" wrapText="1"/>
    </xf>
    <xf numFmtId="170" fontId="0" fillId="0" borderId="0" xfId="0" applyNumberFormat="1" applyAlignment="1">
      <alignment horizontal="center" vertical="center" wrapText="1"/>
    </xf>
    <xf numFmtId="10" fontId="0" fillId="0" borderId="0" xfId="0" applyNumberFormat="1" applyAlignment="1">
      <alignment horizontal="center" vertical="center" wrapText="1"/>
    </xf>
    <xf numFmtId="0" fontId="25" fillId="18" borderId="46" xfId="12" applyFill="1" applyBorder="1">
      <alignment horizontal="left" vertical="center" wrapText="1"/>
    </xf>
    <xf numFmtId="0" fontId="0" fillId="0" borderId="28" xfId="0" applyBorder="1" applyAlignment="1">
      <alignment horizontal="center" vertical="center" wrapText="1"/>
    </xf>
    <xf numFmtId="0" fontId="10" fillId="33" borderId="26" xfId="0" applyFont="1" applyFill="1" applyBorder="1" applyAlignment="1">
      <alignment horizontal="center" vertical="center" wrapText="1"/>
    </xf>
    <xf numFmtId="0" fontId="93" fillId="18" borderId="10" xfId="12" applyFont="1" applyFill="1">
      <alignment horizontal="left" vertical="center" wrapText="1"/>
    </xf>
    <xf numFmtId="0" fontId="99" fillId="0" borderId="0" xfId="0" applyNumberFormat="1" applyFont="1" applyAlignment="1">
      <alignment horizontal="center" vertical="center" wrapText="1"/>
    </xf>
    <xf numFmtId="0" fontId="97" fillId="0" borderId="0" xfId="0" applyFont="1" applyFill="1" applyProtection="1"/>
    <xf numFmtId="0" fontId="25" fillId="0" borderId="0" xfId="74" applyFont="1"/>
    <xf numFmtId="0" fontId="25" fillId="0" borderId="0" xfId="74" applyFont="1" applyAlignment="1">
      <alignment horizontal="center" vertical="center"/>
    </xf>
    <xf numFmtId="0" fontId="26" fillId="0" borderId="0" xfId="74" applyFont="1" applyAlignment="1">
      <alignment horizontal="center" vertical="center"/>
    </xf>
    <xf numFmtId="0" fontId="25" fillId="0" borderId="0" xfId="74" quotePrefix="1" applyFont="1" applyAlignment="1">
      <alignment horizontal="left" vertical="center"/>
    </xf>
    <xf numFmtId="0" fontId="103" fillId="0" borderId="26" xfId="74" applyFont="1" applyBorder="1" applyAlignment="1">
      <alignment horizontal="center" vertical="center"/>
    </xf>
    <xf numFmtId="0" fontId="15" fillId="0" borderId="26" xfId="74" applyFont="1" applyBorder="1" applyAlignment="1">
      <alignment horizontal="left" vertical="center" indent="1"/>
    </xf>
    <xf numFmtId="0" fontId="100" fillId="0" borderId="0" xfId="79" applyFont="1"/>
    <xf numFmtId="0" fontId="100" fillId="0" borderId="0" xfId="79" applyFont="1" applyBorder="1"/>
    <xf numFmtId="0" fontId="3" fillId="0" borderId="0" xfId="79"/>
    <xf numFmtId="0" fontId="3" fillId="0" borderId="0" xfId="79" applyAlignment="1">
      <alignment horizontal="center"/>
    </xf>
    <xf numFmtId="0" fontId="25" fillId="0" borderId="0" xfId="74" applyNumberFormat="1" applyFont="1" applyFill="1" applyBorder="1" applyAlignment="1">
      <alignment horizontal="left" vertical="center"/>
    </xf>
    <xf numFmtId="0" fontId="25" fillId="0" borderId="0" xfId="74" applyFont="1" applyFill="1" applyBorder="1"/>
    <xf numFmtId="0" fontId="104" fillId="37" borderId="0" xfId="74" applyNumberFormat="1" applyFont="1" applyFill="1" applyBorder="1" applyAlignment="1">
      <alignment horizontal="center" vertical="center"/>
    </xf>
    <xf numFmtId="0" fontId="101" fillId="7" borderId="0" xfId="74" applyFont="1" applyFill="1" applyBorder="1" applyAlignment="1"/>
    <xf numFmtId="0" fontId="103" fillId="0" borderId="46" xfId="74" applyNumberFormat="1" applyFont="1" applyBorder="1" applyAlignment="1">
      <alignment horizontal="center" vertical="center"/>
    </xf>
    <xf numFmtId="0" fontId="103" fillId="0" borderId="46" xfId="74" applyFont="1" applyBorder="1" applyAlignment="1">
      <alignment horizontal="center" vertical="center"/>
    </xf>
    <xf numFmtId="0" fontId="79" fillId="0" borderId="26" xfId="74" applyFont="1" applyBorder="1" applyAlignment="1">
      <alignment horizontal="center" vertical="center"/>
    </xf>
    <xf numFmtId="0" fontId="29" fillId="0" borderId="0" xfId="8" applyFont="1" applyAlignment="1" applyProtection="1">
      <alignment horizontal="left" vertical="center"/>
    </xf>
    <xf numFmtId="0" fontId="30" fillId="7" borderId="0" xfId="0" applyFont="1" applyFill="1" applyAlignment="1" applyProtection="1">
      <alignment vertical="center"/>
    </xf>
    <xf numFmtId="0" fontId="15" fillId="0" borderId="0" xfId="0" applyFont="1" applyAlignment="1" applyProtection="1">
      <alignment horizontal="center" vertical="center"/>
    </xf>
    <xf numFmtId="168" fontId="25" fillId="0" borderId="0" xfId="0" applyNumberFormat="1" applyFont="1" applyFill="1" applyBorder="1" applyAlignment="1">
      <alignment horizontal="left" vertical="center" wrapText="1" indent="1"/>
    </xf>
    <xf numFmtId="0" fontId="55" fillId="0" borderId="0" xfId="0" applyFont="1" applyFill="1" applyBorder="1" applyAlignment="1">
      <alignment horizontal="left" vertical="center" wrapText="1" indent="1"/>
    </xf>
    <xf numFmtId="0" fontId="15" fillId="0" borderId="0" xfId="0" quotePrefix="1" applyFont="1" applyFill="1" applyBorder="1" applyAlignment="1">
      <alignment horizontal="left" vertical="center" wrapText="1" indent="1"/>
    </xf>
    <xf numFmtId="166" fontId="15" fillId="0" borderId="0" xfId="8" applyNumberFormat="1" applyFont="1" applyFill="1" applyBorder="1" applyAlignment="1">
      <alignment horizontal="left" vertical="center" wrapText="1" indent="1"/>
    </xf>
    <xf numFmtId="0" fontId="25" fillId="0" borderId="26" xfId="74" applyNumberFormat="1" applyFont="1" applyBorder="1" applyAlignment="1">
      <alignment horizontal="center" vertical="center"/>
    </xf>
    <xf numFmtId="0" fontId="103" fillId="0" borderId="26" xfId="74" applyNumberFormat="1" applyFont="1" applyBorder="1" applyAlignment="1">
      <alignment horizontal="center" vertical="center"/>
    </xf>
    <xf numFmtId="0" fontId="15" fillId="0" borderId="0" xfId="8" applyFont="1" applyAlignment="1" applyProtection="1">
      <alignment horizontal="center" vertical="center"/>
    </xf>
    <xf numFmtId="0" fontId="25" fillId="0" borderId="0" xfId="8" applyFont="1" applyAlignment="1" applyProtection="1">
      <alignment horizontal="center" vertical="center"/>
    </xf>
    <xf numFmtId="0" fontId="15" fillId="7" borderId="0" xfId="19" applyFont="1" applyFill="1" applyBorder="1" applyAlignment="1" applyProtection="1">
      <alignment horizontal="center" vertical="center" wrapText="1"/>
    </xf>
    <xf numFmtId="165" fontId="15" fillId="4" borderId="26" xfId="26" applyNumberFormat="1" applyFont="1" applyFill="1" applyBorder="1" applyAlignment="1" applyProtection="1">
      <alignment horizontal="center" vertical="center"/>
      <protection locked="0"/>
    </xf>
    <xf numFmtId="0" fontId="15" fillId="4" borderId="26" xfId="26" applyFont="1" applyFill="1" applyBorder="1" applyAlignment="1" applyProtection="1">
      <alignment horizontal="left" vertical="center" wrapText="1" indent="1" shrinkToFit="1"/>
      <protection locked="0"/>
    </xf>
    <xf numFmtId="0" fontId="103" fillId="0" borderId="47" xfId="74" applyFont="1" applyBorder="1" applyAlignment="1">
      <alignment horizontal="center" vertical="center"/>
    </xf>
    <xf numFmtId="0" fontId="15" fillId="0" borderId="0" xfId="0" applyFont="1" applyBorder="1" applyProtection="1"/>
    <xf numFmtId="0" fontId="55" fillId="0" borderId="0" xfId="0" applyFont="1" applyFill="1" applyBorder="1" applyAlignment="1">
      <alignment horizontal="center" vertical="center" wrapText="1"/>
    </xf>
    <xf numFmtId="0" fontId="15" fillId="7" borderId="0" xfId="0" applyFont="1" applyFill="1" applyBorder="1" applyProtection="1"/>
    <xf numFmtId="0" fontId="88" fillId="0" borderId="0" xfId="4" applyFont="1" applyFill="1" applyBorder="1" applyAlignment="1" applyProtection="1">
      <alignment horizontal="left" vertical="center" wrapText="1"/>
    </xf>
    <xf numFmtId="0" fontId="25" fillId="0" borderId="0" xfId="46" applyFont="1" applyFill="1" applyBorder="1" applyAlignment="1" applyProtection="1">
      <alignment horizontal="left" vertical="center" wrapText="1" indent="1"/>
    </xf>
    <xf numFmtId="0" fontId="15" fillId="0" borderId="0" xfId="0" applyFont="1" applyFill="1" applyBorder="1" applyProtection="1"/>
    <xf numFmtId="0" fontId="104" fillId="0" borderId="0" xfId="0" applyFont="1" applyFill="1" applyAlignment="1" applyProtection="1">
      <alignment horizontal="center" vertical="center"/>
    </xf>
    <xf numFmtId="0" fontId="55" fillId="0" borderId="4" xfId="0" applyFont="1" applyBorder="1" applyAlignment="1">
      <alignment horizontal="center" vertical="center" wrapText="1"/>
    </xf>
    <xf numFmtId="0" fontId="79" fillId="0" borderId="26" xfId="74" applyFont="1" applyBorder="1" applyAlignment="1">
      <alignment horizontal="center" vertical="center" wrapText="1"/>
    </xf>
    <xf numFmtId="0" fontId="15" fillId="7" borderId="28" xfId="19" applyFont="1" applyFill="1" applyBorder="1" applyAlignment="1" applyProtection="1">
      <alignment horizontal="left" vertical="center" wrapText="1" indent="1"/>
    </xf>
    <xf numFmtId="0" fontId="51" fillId="7" borderId="28" xfId="0" applyFont="1" applyFill="1" applyBorder="1" applyAlignment="1" applyProtection="1">
      <alignment horizontal="right" vertical="center"/>
    </xf>
    <xf numFmtId="0" fontId="25" fillId="7" borderId="28" xfId="0" applyFont="1" applyFill="1" applyBorder="1" applyAlignment="1" applyProtection="1">
      <alignment horizontal="right" vertical="center"/>
    </xf>
    <xf numFmtId="0" fontId="51" fillId="7" borderId="0" xfId="45" applyFont="1" applyFill="1" applyBorder="1" applyAlignment="1" applyProtection="1">
      <alignment horizontal="right" vertical="center" wrapText="1" indent="1"/>
    </xf>
    <xf numFmtId="0" fontId="108" fillId="7" borderId="0" xfId="0" applyFont="1" applyFill="1" applyBorder="1" applyAlignment="1" applyProtection="1">
      <alignment horizontal="right" vertical="center" indent="1"/>
    </xf>
    <xf numFmtId="0" fontId="25" fillId="7" borderId="0" xfId="0" applyFont="1" applyFill="1" applyBorder="1" applyAlignment="1" applyProtection="1">
      <alignment horizontal="right" vertical="center" indent="1"/>
    </xf>
    <xf numFmtId="0" fontId="15" fillId="7" borderId="28" xfId="0" quotePrefix="1" applyFont="1" applyFill="1" applyBorder="1" applyAlignment="1" applyProtection="1">
      <alignment vertical="center" wrapText="1"/>
    </xf>
    <xf numFmtId="0" fontId="0" fillId="0" borderId="0" xfId="0" applyBorder="1" applyProtection="1"/>
    <xf numFmtId="0" fontId="10" fillId="7" borderId="0" xfId="0" applyFont="1" applyFill="1" applyBorder="1" applyAlignment="1" applyProtection="1">
      <alignment horizontal="left" vertical="center" wrapText="1"/>
    </xf>
    <xf numFmtId="0" fontId="25" fillId="0" borderId="0" xfId="8" applyFont="1" applyAlignment="1" applyProtection="1">
      <alignment vertical="center"/>
    </xf>
    <xf numFmtId="0" fontId="12" fillId="0" borderId="0" xfId="16" applyFont="1" applyAlignment="1" applyProtection="1">
      <alignment vertical="center"/>
    </xf>
    <xf numFmtId="0" fontId="50" fillId="0" borderId="0" xfId="16" applyFont="1" applyAlignment="1" applyProtection="1">
      <alignment vertical="center"/>
    </xf>
    <xf numFmtId="0" fontId="10" fillId="0" borderId="0" xfId="26" applyAlignment="1" applyProtection="1">
      <alignment vertical="center"/>
    </xf>
    <xf numFmtId="0" fontId="10" fillId="0" borderId="0" xfId="26" applyFill="1" applyAlignment="1" applyProtection="1">
      <alignment vertical="center"/>
    </xf>
    <xf numFmtId="0" fontId="50" fillId="0" borderId="0" xfId="26" applyFont="1" applyAlignment="1" applyProtection="1">
      <alignment vertical="center"/>
    </xf>
    <xf numFmtId="0" fontId="10" fillId="0" borderId="0" xfId="26" applyAlignment="1" applyProtection="1">
      <alignment vertical="center" wrapText="1"/>
    </xf>
    <xf numFmtId="0" fontId="14" fillId="0" borderId="0" xfId="16" applyFont="1" applyAlignment="1" applyProtection="1">
      <alignment vertical="center"/>
    </xf>
    <xf numFmtId="0" fontId="13" fillId="0" borderId="0" xfId="26" applyFont="1" applyAlignment="1" applyProtection="1">
      <alignment vertical="center" wrapText="1"/>
    </xf>
    <xf numFmtId="0" fontId="15" fillId="0" borderId="0" xfId="16" applyFont="1" applyAlignment="1" applyProtection="1">
      <alignment vertical="center"/>
    </xf>
    <xf numFmtId="0" fontId="12" fillId="0" borderId="0" xfId="16" applyFont="1" applyBorder="1" applyAlignment="1" applyProtection="1">
      <alignment vertical="center"/>
    </xf>
    <xf numFmtId="0" fontId="50" fillId="0" borderId="0" xfId="16" applyFont="1" applyBorder="1" applyAlignment="1" applyProtection="1">
      <alignment vertical="center"/>
    </xf>
    <xf numFmtId="9" fontId="14" fillId="0" borderId="0" xfId="71" applyFont="1" applyAlignment="1" applyProtection="1">
      <alignment vertical="center"/>
    </xf>
    <xf numFmtId="0" fontId="35" fillId="0" borderId="0" xfId="26" applyFont="1" applyBorder="1" applyAlignment="1" applyProtection="1">
      <alignment vertical="center"/>
    </xf>
    <xf numFmtId="167" fontId="83" fillId="0" borderId="0" xfId="26" applyNumberFormat="1" applyFont="1" applyBorder="1" applyAlignment="1" applyProtection="1">
      <alignment vertical="center"/>
    </xf>
    <xf numFmtId="0" fontId="0" fillId="0" borderId="43" xfId="0" applyBorder="1" applyProtection="1"/>
    <xf numFmtId="0" fontId="15" fillId="0" borderId="0" xfId="50" applyFont="1" applyBorder="1" applyAlignment="1" applyProtection="1">
      <alignment horizontal="center" vertical="top" wrapText="1"/>
    </xf>
    <xf numFmtId="6" fontId="76" fillId="0" borderId="26" xfId="26" applyNumberFormat="1" applyFont="1" applyBorder="1" applyAlignment="1" applyProtection="1">
      <alignment horizontal="left" vertical="center" indent="1" shrinkToFit="1"/>
    </xf>
    <xf numFmtId="6" fontId="15" fillId="0" borderId="26" xfId="26" applyNumberFormat="1" applyFont="1" applyBorder="1" applyAlignment="1" applyProtection="1">
      <alignment horizontal="left" vertical="center" indent="1" shrinkToFit="1"/>
    </xf>
    <xf numFmtId="6" fontId="76" fillId="4" borderId="26" xfId="26" applyNumberFormat="1" applyFont="1" applyFill="1" applyBorder="1" applyAlignment="1" applyProtection="1">
      <alignment horizontal="left" vertical="center" indent="1" shrinkToFit="1"/>
      <protection locked="0"/>
    </xf>
    <xf numFmtId="6" fontId="15" fillId="4" borderId="26" xfId="26" applyNumberFormat="1" applyFont="1" applyFill="1" applyBorder="1" applyAlignment="1" applyProtection="1">
      <alignment horizontal="left" vertical="center" indent="1" shrinkToFit="1"/>
      <protection locked="0"/>
    </xf>
    <xf numFmtId="6" fontId="15" fillId="7" borderId="26" xfId="26" applyNumberFormat="1" applyFont="1" applyFill="1" applyBorder="1" applyAlignment="1" applyProtection="1">
      <alignment horizontal="left" vertical="center" indent="1" shrinkToFit="1"/>
    </xf>
    <xf numFmtId="0" fontId="39" fillId="0" borderId="26" xfId="26" applyFont="1" applyBorder="1" applyAlignment="1" applyProtection="1">
      <alignment horizontal="right" vertical="center" indent="1"/>
    </xf>
    <xf numFmtId="6" fontId="76" fillId="0" borderId="26" xfId="53" applyNumberFormat="1" applyFont="1" applyBorder="1" applyAlignment="1" applyProtection="1">
      <alignment horizontal="left" vertical="center" indent="1" shrinkToFit="1"/>
    </xf>
    <xf numFmtId="164" fontId="76" fillId="4" borderId="26" xfId="55" applyNumberFormat="1" applyFont="1" applyFill="1" applyBorder="1" applyAlignment="1" applyProtection="1">
      <alignment horizontal="left" vertical="center" indent="1" shrinkToFit="1"/>
      <protection locked="0"/>
    </xf>
    <xf numFmtId="6" fontId="15" fillId="27" borderId="26" xfId="26" applyNumberFormat="1" applyFont="1" applyFill="1" applyBorder="1" applyAlignment="1" applyProtection="1">
      <alignment horizontal="left" vertical="center" indent="1" shrinkToFit="1"/>
    </xf>
    <xf numFmtId="0" fontId="15" fillId="4" borderId="26" xfId="26" applyFont="1" applyFill="1" applyBorder="1" applyAlignment="1" applyProtection="1">
      <alignment horizontal="left" vertical="center" indent="1" shrinkToFit="1"/>
      <protection locked="0"/>
    </xf>
    <xf numFmtId="2" fontId="15" fillId="4" borderId="26" xfId="26" applyNumberFormat="1" applyFont="1" applyFill="1" applyBorder="1" applyAlignment="1" applyProtection="1">
      <alignment horizontal="center" vertical="center" shrinkToFit="1"/>
      <protection locked="0"/>
    </xf>
    <xf numFmtId="0" fontId="15" fillId="4" borderId="26" xfId="26" applyFont="1" applyFill="1" applyBorder="1" applyAlignment="1" applyProtection="1">
      <alignment horizontal="left" vertical="center" indent="1"/>
      <protection locked="0"/>
    </xf>
    <xf numFmtId="0" fontId="15" fillId="4" borderId="26" xfId="50" applyFont="1" applyFill="1" applyBorder="1" applyAlignment="1" applyProtection="1">
      <alignment horizontal="left" vertical="center" wrapText="1" indent="1"/>
      <protection locked="0"/>
    </xf>
    <xf numFmtId="0" fontId="25" fillId="0" borderId="0" xfId="57" applyFont="1" applyAlignment="1" applyProtection="1"/>
    <xf numFmtId="0" fontId="26" fillId="0" borderId="0" xfId="57" applyFont="1" applyAlignment="1" applyProtection="1"/>
    <xf numFmtId="0" fontId="25" fillId="7" borderId="0" xfId="57" applyFont="1" applyFill="1" applyBorder="1" applyProtection="1"/>
    <xf numFmtId="0" fontId="15" fillId="0" borderId="0" xfId="26" applyFont="1" applyAlignment="1" applyProtection="1">
      <alignment horizontal="left" vertical="center" indent="1"/>
    </xf>
    <xf numFmtId="0" fontId="15" fillId="7" borderId="0" xfId="26" applyFont="1" applyFill="1" applyBorder="1" applyAlignment="1" applyProtection="1">
      <alignment vertical="top"/>
    </xf>
    <xf numFmtId="0" fontId="26" fillId="7" borderId="0" xfId="8" applyFont="1" applyFill="1" applyBorder="1" applyAlignment="1" applyProtection="1">
      <alignment vertical="center"/>
    </xf>
    <xf numFmtId="0" fontId="25" fillId="0" borderId="0" xfId="26" applyFont="1" applyBorder="1" applyAlignment="1" applyProtection="1">
      <alignment horizontal="left" vertical="top" wrapText="1"/>
    </xf>
    <xf numFmtId="0" fontId="15" fillId="0" borderId="0" xfId="26" applyFont="1" applyBorder="1" applyAlignment="1" applyProtection="1">
      <alignment horizontal="left" vertical="center" wrapText="1"/>
    </xf>
    <xf numFmtId="0" fontId="15" fillId="0" borderId="0" xfId="0" applyFont="1" applyBorder="1" applyAlignment="1" applyProtection="1">
      <alignment horizontal="left" vertical="top" wrapText="1"/>
    </xf>
    <xf numFmtId="0" fontId="25" fillId="0" borderId="0" xfId="26" applyFont="1" applyBorder="1" applyAlignment="1" applyProtection="1">
      <alignment horizontal="left" vertical="top" wrapText="1" indent="1"/>
    </xf>
    <xf numFmtId="0" fontId="25" fillId="0" borderId="0" xfId="26" applyFont="1" applyBorder="1" applyAlignment="1" applyProtection="1">
      <alignment horizontal="left" vertical="top"/>
    </xf>
    <xf numFmtId="0" fontId="15" fillId="4" borderId="26" xfId="26" applyFont="1" applyFill="1" applyBorder="1" applyAlignment="1" applyProtection="1">
      <alignment vertical="center" shrinkToFit="1"/>
      <protection locked="0"/>
    </xf>
    <xf numFmtId="0" fontId="39" fillId="0" borderId="0" xfId="50" applyFont="1" applyBorder="1" applyAlignment="1" applyProtection="1">
      <alignment wrapText="1"/>
    </xf>
    <xf numFmtId="0" fontId="15" fillId="4" borderId="38" xfId="50" applyFont="1" applyFill="1" applyBorder="1" applyAlignment="1" applyProtection="1">
      <alignment vertical="top" wrapText="1"/>
      <protection locked="0"/>
    </xf>
    <xf numFmtId="0" fontId="39" fillId="7" borderId="0" xfId="26" applyFont="1" applyFill="1" applyBorder="1" applyAlignment="1" applyProtection="1">
      <alignment vertical="center"/>
    </xf>
    <xf numFmtId="0" fontId="39" fillId="7" borderId="0" xfId="26" applyFont="1" applyFill="1" applyBorder="1" applyAlignment="1" applyProtection="1">
      <alignment horizontal="right" vertical="center" indent="1"/>
    </xf>
    <xf numFmtId="6" fontId="76" fillId="7" borderId="0" xfId="53" applyNumberFormat="1" applyFont="1" applyFill="1" applyBorder="1" applyAlignment="1" applyProtection="1">
      <alignment horizontal="center" vertical="center" shrinkToFit="1"/>
    </xf>
    <xf numFmtId="0" fontId="15" fillId="7" borderId="0" xfId="50" applyFont="1" applyFill="1" applyBorder="1" applyAlignment="1" applyProtection="1">
      <alignment horizontal="center" vertical="top" wrapText="1"/>
    </xf>
    <xf numFmtId="0" fontId="15" fillId="0" borderId="28" xfId="26" applyFont="1" applyBorder="1" applyAlignment="1" applyProtection="1"/>
    <xf numFmtId="0" fontId="25" fillId="0" borderId="0" xfId="57" applyFont="1" applyBorder="1" applyAlignment="1" applyProtection="1">
      <alignment horizontal="center"/>
    </xf>
    <xf numFmtId="0" fontId="25" fillId="0" borderId="0" xfId="69" applyFont="1" applyBorder="1" applyProtection="1"/>
    <xf numFmtId="0" fontId="39" fillId="0" borderId="0" xfId="69" applyFont="1" applyBorder="1" applyAlignment="1" applyProtection="1">
      <alignment horizontal="right" vertical="center"/>
    </xf>
    <xf numFmtId="0" fontId="15" fillId="0" borderId="0" xfId="69" applyFont="1" applyBorder="1" applyAlignment="1" applyProtection="1">
      <alignment horizontal="left" vertical="center"/>
    </xf>
    <xf numFmtId="0" fontId="15" fillId="0" borderId="0" xfId="69" applyFont="1" applyBorder="1" applyAlignment="1" applyProtection="1">
      <alignment horizontal="center" vertical="center"/>
    </xf>
    <xf numFmtId="0" fontId="0" fillId="0" borderId="0" xfId="0" applyBorder="1"/>
    <xf numFmtId="0" fontId="35" fillId="0" borderId="39" xfId="69" applyFont="1" applyBorder="1" applyAlignment="1" applyProtection="1">
      <alignment horizontal="center" vertical="center"/>
    </xf>
    <xf numFmtId="0" fontId="25" fillId="0" borderId="0" xfId="8" applyFont="1" applyAlignment="1" applyProtection="1">
      <alignment horizontal="left" vertical="center"/>
    </xf>
    <xf numFmtId="0" fontId="25" fillId="7" borderId="0" xfId="8" applyFont="1" applyFill="1" applyAlignment="1" applyProtection="1">
      <alignment horizontal="left" vertical="center"/>
    </xf>
    <xf numFmtId="0" fontId="25" fillId="0" borderId="0" xfId="8" applyFont="1" applyAlignment="1" applyProtection="1">
      <alignment horizontal="left" vertical="center" wrapText="1"/>
    </xf>
    <xf numFmtId="1" fontId="25" fillId="0" borderId="0" xfId="12" applyNumberFormat="1" applyFont="1" applyFill="1" applyBorder="1" applyAlignment="1" applyProtection="1">
      <alignment horizontal="center" vertical="center" wrapText="1"/>
    </xf>
    <xf numFmtId="0" fontId="25" fillId="0" borderId="0" xfId="8" applyFont="1" applyFill="1" applyAlignment="1" applyProtection="1">
      <alignment horizontal="left" vertical="center"/>
    </xf>
    <xf numFmtId="0" fontId="25" fillId="0" borderId="0" xfId="0" applyFont="1" applyAlignment="1" applyProtection="1">
      <alignment horizontal="left" vertical="center"/>
    </xf>
    <xf numFmtId="0" fontId="25" fillId="0" borderId="0" xfId="0" applyFont="1" applyAlignment="1" applyProtection="1">
      <alignment vertical="center"/>
    </xf>
    <xf numFmtId="0" fontId="25" fillId="0" borderId="0" xfId="0" applyFont="1" applyFill="1" applyAlignment="1" applyProtection="1">
      <alignment vertical="center"/>
    </xf>
    <xf numFmtId="0" fontId="25" fillId="0" borderId="0" xfId="0" applyFont="1" applyAlignment="1" applyProtection="1">
      <alignment horizontal="center" vertical="center" wrapText="1"/>
    </xf>
    <xf numFmtId="0" fontId="25" fillId="7" borderId="0" xfId="8" applyFont="1" applyFill="1" applyBorder="1" applyAlignment="1" applyProtection="1">
      <alignment vertical="center"/>
    </xf>
    <xf numFmtId="0" fontId="25" fillId="7" borderId="0" xfId="12" applyFont="1" applyFill="1" applyBorder="1" applyAlignment="1" applyProtection="1">
      <alignment horizontal="left" vertical="center" wrapText="1" indent="2"/>
    </xf>
    <xf numFmtId="0" fontId="25" fillId="7" borderId="0" xfId="12" applyFont="1" applyFill="1" applyBorder="1" applyAlignment="1" applyProtection="1">
      <alignment horizontal="center" vertical="center" wrapText="1"/>
      <protection locked="0"/>
    </xf>
    <xf numFmtId="2" fontId="25" fillId="7" borderId="0" xfId="12" applyNumberFormat="1" applyFont="1" applyFill="1" applyBorder="1" applyAlignment="1" applyProtection="1">
      <alignment horizontal="center" vertical="center" wrapText="1"/>
    </xf>
    <xf numFmtId="0" fontId="25" fillId="0" borderId="0" xfId="8" applyFont="1" applyFill="1" applyBorder="1" applyAlignment="1" applyProtection="1">
      <alignment horizontal="left" vertical="center"/>
    </xf>
    <xf numFmtId="0" fontId="15" fillId="7" borderId="0" xfId="8" applyFont="1" applyFill="1" applyBorder="1" applyAlignment="1" applyProtection="1">
      <alignment horizontal="left" vertical="center"/>
    </xf>
    <xf numFmtId="0" fontId="25" fillId="7" borderId="0" xfId="0" applyFont="1" applyFill="1" applyBorder="1" applyAlignment="1" applyProtection="1">
      <alignment horizontal="right" vertical="center"/>
    </xf>
    <xf numFmtId="0" fontId="25" fillId="7" borderId="0" xfId="45" applyFont="1" applyFill="1" applyBorder="1" applyAlignment="1" applyProtection="1">
      <alignment horizontal="center" vertical="center" wrapText="1"/>
      <protection locked="0"/>
    </xf>
    <xf numFmtId="0" fontId="35" fillId="0" borderId="0" xfId="8" applyFont="1" applyBorder="1" applyAlignment="1" applyProtection="1">
      <alignment horizontal="center" vertical="center" wrapText="1"/>
    </xf>
    <xf numFmtId="0" fontId="63" fillId="0" borderId="0" xfId="8" applyFont="1" applyBorder="1" applyAlignment="1" applyProtection="1">
      <alignment horizontal="center" vertical="center" wrapText="1"/>
    </xf>
    <xf numFmtId="0" fontId="25" fillId="0" borderId="47" xfId="26" applyFont="1" applyBorder="1" applyAlignment="1" applyProtection="1">
      <alignment vertical="top"/>
    </xf>
    <xf numFmtId="0" fontId="25" fillId="0" borderId="28" xfId="26" applyFont="1" applyBorder="1" applyAlignment="1" applyProtection="1">
      <alignment vertical="center"/>
    </xf>
    <xf numFmtId="0" fontId="29" fillId="0" borderId="28" xfId="26" applyFont="1" applyBorder="1" applyAlignment="1" applyProtection="1">
      <alignment horizontal="left" vertical="top"/>
    </xf>
    <xf numFmtId="0" fontId="25" fillId="0" borderId="28" xfId="26" applyFont="1" applyBorder="1" applyAlignment="1" applyProtection="1">
      <alignment vertical="top"/>
    </xf>
    <xf numFmtId="0" fontId="14" fillId="0" borderId="0" xfId="0" applyFont="1" applyBorder="1" applyAlignment="1">
      <alignment wrapText="1"/>
    </xf>
    <xf numFmtId="0" fontId="25" fillId="0" borderId="39" xfId="26" applyFont="1" applyBorder="1" applyAlignment="1" applyProtection="1">
      <alignment vertical="center"/>
    </xf>
    <xf numFmtId="0" fontId="29" fillId="0" borderId="39" xfId="26" applyFont="1" applyBorder="1" applyAlignment="1" applyProtection="1">
      <alignment horizontal="left" vertical="top"/>
    </xf>
    <xf numFmtId="0" fontId="25" fillId="0" borderId="39" xfId="26" applyFont="1" applyFill="1" applyBorder="1" applyAlignment="1" applyProtection="1">
      <alignment horizontal="center" vertical="top"/>
    </xf>
    <xf numFmtId="0" fontId="25" fillId="0" borderId="39" xfId="26" applyFont="1" applyFill="1" applyBorder="1" applyAlignment="1" applyProtection="1">
      <alignment vertical="top" wrapText="1"/>
    </xf>
    <xf numFmtId="0" fontId="29" fillId="0" borderId="0" xfId="26" applyFont="1" applyAlignment="1" applyProtection="1">
      <alignment horizontal="left" vertical="top" wrapText="1" indent="1"/>
    </xf>
    <xf numFmtId="0" fontId="25" fillId="0" borderId="0" xfId="26" applyFont="1" applyFill="1" applyBorder="1" applyAlignment="1" applyProtection="1">
      <alignment horizontal="left" vertical="center" indent="1"/>
    </xf>
    <xf numFmtId="0" fontId="29" fillId="0" borderId="43" xfId="26" applyFont="1" applyBorder="1" applyAlignment="1" applyProtection="1">
      <alignment horizontal="left" vertical="center"/>
    </xf>
    <xf numFmtId="0" fontId="29" fillId="0" borderId="43" xfId="26" applyFont="1" applyBorder="1" applyAlignment="1" applyProtection="1">
      <alignment horizontal="left" vertical="top"/>
    </xf>
    <xf numFmtId="0" fontId="29" fillId="0" borderId="43" xfId="26" applyFont="1" applyBorder="1" applyAlignment="1" applyProtection="1">
      <alignment horizontal="left" vertical="top" wrapText="1"/>
    </xf>
    <xf numFmtId="0" fontId="10" fillId="0" borderId="0" xfId="0" applyFont="1" applyBorder="1" applyAlignment="1" applyProtection="1">
      <alignment vertical="top" wrapText="1"/>
    </xf>
    <xf numFmtId="0" fontId="29" fillId="0" borderId="0" xfId="26" applyFont="1" applyBorder="1" applyAlignment="1" applyProtection="1">
      <alignment horizontal="right" vertical="top" wrapText="1" indent="1"/>
    </xf>
    <xf numFmtId="0" fontId="25" fillId="7" borderId="0" xfId="26" applyFont="1" applyFill="1" applyBorder="1" applyAlignment="1" applyProtection="1">
      <alignment horizontal="center" vertical="center"/>
    </xf>
    <xf numFmtId="2" fontId="26" fillId="0" borderId="0" xfId="26" applyNumberFormat="1" applyFont="1" applyBorder="1" applyAlignment="1" applyProtection="1">
      <alignment horizontal="center" vertical="center"/>
    </xf>
    <xf numFmtId="0" fontId="29" fillId="7" borderId="0" xfId="26" applyFont="1" applyFill="1" applyBorder="1" applyAlignment="1" applyProtection="1">
      <alignment horizontal="left" vertical="top" wrapText="1"/>
    </xf>
    <xf numFmtId="0" fontId="26" fillId="0" borderId="39" xfId="26" applyFont="1" applyBorder="1" applyAlignment="1" applyProtection="1">
      <alignment horizontal="left" vertical="center"/>
    </xf>
    <xf numFmtId="0" fontId="29" fillId="0" borderId="0" xfId="26" applyFont="1" applyAlignment="1" applyProtection="1">
      <alignment horizontal="left" vertical="center" indent="1"/>
    </xf>
    <xf numFmtId="0" fontId="15" fillId="7" borderId="0" xfId="26" applyFont="1" applyFill="1" applyAlignment="1" applyProtection="1">
      <alignment horizontal="right" vertical="center"/>
    </xf>
    <xf numFmtId="0" fontId="115" fillId="7" borderId="0" xfId="26" applyFont="1" applyFill="1" applyBorder="1" applyAlignment="1" applyProtection="1">
      <alignment horizontal="left" vertical="center" wrapText="1"/>
    </xf>
    <xf numFmtId="0" fontId="15" fillId="0" borderId="0" xfId="0" applyFont="1"/>
    <xf numFmtId="0" fontId="15" fillId="0" borderId="0" xfId="26" applyFont="1" applyAlignment="1" applyProtection="1">
      <alignment vertical="center" wrapText="1"/>
    </xf>
    <xf numFmtId="0" fontId="15" fillId="0" borderId="0" xfId="26" applyFont="1" applyAlignment="1" applyProtection="1">
      <alignment horizontal="left" vertical="center" wrapText="1"/>
    </xf>
    <xf numFmtId="0" fontId="15" fillId="0" borderId="0" xfId="26" applyFont="1" applyBorder="1" applyAlignment="1" applyProtection="1">
      <alignment vertical="center" wrapText="1"/>
    </xf>
    <xf numFmtId="0" fontId="25" fillId="0" borderId="0" xfId="58" applyFont="1" applyAlignment="1" applyProtection="1">
      <alignment vertical="center"/>
    </xf>
    <xf numFmtId="0" fontId="25" fillId="0" borderId="0" xfId="59" applyFont="1" applyAlignment="1" applyProtection="1">
      <alignment vertical="center" wrapText="1"/>
    </xf>
    <xf numFmtId="0" fontId="25" fillId="0" borderId="33" xfId="58" applyFont="1" applyBorder="1" applyAlignment="1" applyProtection="1">
      <alignment vertical="center"/>
    </xf>
    <xf numFmtId="0" fontId="15" fillId="0" borderId="0" xfId="56" applyFont="1" applyAlignment="1" applyProtection="1">
      <alignment vertical="center"/>
    </xf>
    <xf numFmtId="0" fontId="77" fillId="23" borderId="34" xfId="59" applyFont="1" applyFill="1" applyBorder="1" applyAlignment="1" applyProtection="1">
      <alignment horizontal="left" vertical="center" wrapText="1"/>
    </xf>
    <xf numFmtId="0" fontId="77" fillId="24" borderId="34" xfId="59" applyFont="1" applyFill="1" applyBorder="1" applyAlignment="1" applyProtection="1">
      <alignment horizontal="left" vertical="center" wrapText="1"/>
    </xf>
    <xf numFmtId="0" fontId="62" fillId="0" borderId="0" xfId="58" applyFont="1" applyAlignment="1" applyProtection="1">
      <alignment vertical="center"/>
    </xf>
    <xf numFmtId="0" fontId="25" fillId="0" borderId="0" xfId="58" applyFont="1" applyAlignment="1" applyProtection="1">
      <alignment horizontal="left" vertical="center"/>
    </xf>
    <xf numFmtId="0" fontId="25" fillId="0" borderId="0" xfId="58" applyFont="1" applyBorder="1" applyAlignment="1" applyProtection="1">
      <alignment vertical="center"/>
    </xf>
    <xf numFmtId="0" fontId="25" fillId="7" borderId="0" xfId="58" applyFont="1" applyFill="1" applyBorder="1" applyAlignment="1" applyProtection="1">
      <alignment vertical="center"/>
    </xf>
    <xf numFmtId="0" fontId="25" fillId="0" borderId="0" xfId="50" applyFont="1" applyBorder="1"/>
    <xf numFmtId="0" fontId="38" fillId="0" borderId="0" xfId="21" applyFont="1" applyBorder="1" applyAlignment="1" applyProtection="1">
      <alignment vertical="center" wrapText="1"/>
    </xf>
    <xf numFmtId="0" fontId="14" fillId="0" borderId="0" xfId="21" applyFont="1" applyBorder="1" applyProtection="1"/>
    <xf numFmtId="0" fontId="38" fillId="0" borderId="0" xfId="21" applyFont="1" applyBorder="1" applyAlignment="1" applyProtection="1">
      <alignment vertical="center"/>
    </xf>
    <xf numFmtId="0" fontId="38" fillId="0" borderId="39" xfId="21" applyFont="1" applyBorder="1" applyAlignment="1" applyProtection="1">
      <alignment vertical="center" wrapText="1"/>
    </xf>
    <xf numFmtId="0" fontId="14" fillId="0" borderId="39" xfId="21" applyFont="1" applyBorder="1" applyProtection="1"/>
    <xf numFmtId="0" fontId="15" fillId="0" borderId="39" xfId="21" applyFont="1" applyBorder="1" applyAlignment="1" applyProtection="1">
      <alignment horizontal="center" vertical="center"/>
    </xf>
    <xf numFmtId="0" fontId="38" fillId="0" borderId="39" xfId="21" applyFont="1" applyBorder="1" applyAlignment="1" applyProtection="1">
      <alignment vertical="center"/>
    </xf>
    <xf numFmtId="0" fontId="25" fillId="0" borderId="0" xfId="26" applyFont="1" applyBorder="1" applyAlignment="1" applyProtection="1">
      <alignment horizontal="center" vertical="top"/>
    </xf>
    <xf numFmtId="0" fontId="25" fillId="0" borderId="39" xfId="26" applyFont="1" applyBorder="1" applyAlignment="1" applyProtection="1">
      <alignment horizontal="center" vertical="top"/>
    </xf>
    <xf numFmtId="0" fontId="29" fillId="0" borderId="0" xfId="26" applyFont="1" applyBorder="1" applyAlignment="1" applyProtection="1">
      <alignment horizontal="left" vertical="center" wrapText="1"/>
    </xf>
    <xf numFmtId="0" fontId="15" fillId="4" borderId="26" xfId="50" applyFont="1" applyFill="1" applyBorder="1" applyAlignment="1" applyProtection="1">
      <alignment vertical="center" wrapText="1"/>
      <protection locked="0"/>
    </xf>
    <xf numFmtId="0" fontId="39" fillId="7" borderId="26" xfId="50" applyFont="1" applyFill="1" applyBorder="1" applyAlignment="1" applyProtection="1">
      <alignment horizontal="center" vertical="center" wrapText="1"/>
    </xf>
    <xf numFmtId="0" fontId="15" fillId="4" borderId="47" xfId="26" applyFont="1" applyFill="1" applyBorder="1" applyAlignment="1" applyProtection="1">
      <alignment horizontal="left" vertical="center" indent="1" shrinkToFit="1"/>
      <protection locked="0"/>
    </xf>
    <xf numFmtId="6" fontId="76" fillId="4" borderId="46" xfId="26" applyNumberFormat="1" applyFont="1" applyFill="1" applyBorder="1" applyAlignment="1" applyProtection="1">
      <alignment horizontal="left" vertical="center" indent="1" shrinkToFit="1"/>
      <protection locked="0"/>
    </xf>
    <xf numFmtId="6" fontId="15" fillId="4" borderId="46" xfId="26" applyNumberFormat="1" applyFont="1" applyFill="1" applyBorder="1" applyAlignment="1" applyProtection="1">
      <alignment horizontal="left" vertical="center" indent="1" shrinkToFit="1"/>
      <protection locked="0"/>
    </xf>
    <xf numFmtId="0" fontId="15" fillId="4" borderId="26" xfId="50" applyFont="1" applyFill="1" applyBorder="1" applyAlignment="1" applyProtection="1">
      <alignment vertical="top" wrapText="1"/>
      <protection locked="0"/>
    </xf>
    <xf numFmtId="0" fontId="15" fillId="7" borderId="2" xfId="26" applyFont="1" applyFill="1" applyBorder="1" applyAlignment="1" applyProtection="1">
      <alignment horizontal="center" wrapText="1"/>
    </xf>
    <xf numFmtId="0" fontId="15" fillId="7" borderId="0" xfId="26" quotePrefix="1" applyFont="1" applyFill="1" applyBorder="1" applyAlignment="1" applyProtection="1">
      <alignment horizontal="center" vertical="center" wrapText="1"/>
    </xf>
    <xf numFmtId="0" fontId="15" fillId="7" borderId="3" xfId="26" quotePrefix="1" applyFont="1" applyFill="1" applyBorder="1" applyAlignment="1" applyProtection="1">
      <alignment horizontal="center" vertical="center" wrapText="1"/>
    </xf>
    <xf numFmtId="0" fontId="35" fillId="0" borderId="39" xfId="0" applyFont="1" applyBorder="1" applyAlignment="1" applyProtection="1">
      <alignment horizontal="center" vertical="center" wrapText="1"/>
    </xf>
    <xf numFmtId="0" fontId="35" fillId="2" borderId="0" xfId="44" applyFont="1" applyFill="1" applyBorder="1" applyAlignment="1" applyProtection="1">
      <alignment horizontal="center" vertical="center" wrapText="1"/>
    </xf>
    <xf numFmtId="0" fontId="25" fillId="0" borderId="0" xfId="8" applyFont="1" applyAlignment="1" applyProtection="1">
      <alignment horizontal="left" vertical="center"/>
      <protection locked="0"/>
    </xf>
    <xf numFmtId="0" fontId="15" fillId="0" borderId="0" xfId="0" applyFont="1" applyAlignment="1" applyProtection="1">
      <alignment horizontal="left" vertical="center"/>
    </xf>
    <xf numFmtId="0" fontId="25" fillId="0" borderId="0" xfId="8" applyFont="1" applyBorder="1" applyAlignment="1" applyProtection="1">
      <alignment vertical="center"/>
    </xf>
    <xf numFmtId="5" fontId="15" fillId="7" borderId="0" xfId="8" applyNumberFormat="1" applyFont="1" applyFill="1" applyAlignment="1" applyProtection="1">
      <alignment horizontal="left" vertical="center" indent="1"/>
    </xf>
    <xf numFmtId="0" fontId="25" fillId="0" borderId="0" xfId="8" applyFont="1" applyBorder="1" applyAlignment="1" applyProtection="1">
      <alignment horizontal="center" vertical="center"/>
    </xf>
    <xf numFmtId="0" fontId="15" fillId="7" borderId="0" xfId="0" applyFont="1" applyFill="1" applyAlignment="1" applyProtection="1">
      <alignment vertical="center"/>
    </xf>
    <xf numFmtId="0" fontId="65" fillId="0" borderId="0" xfId="8" applyFont="1" applyFill="1" applyAlignment="1" applyProtection="1">
      <alignment horizontal="left" vertical="center"/>
    </xf>
    <xf numFmtId="0" fontId="65" fillId="0" borderId="0" xfId="8" applyFont="1" applyAlignment="1" applyProtection="1">
      <alignment horizontal="left" vertical="center"/>
    </xf>
    <xf numFmtId="0" fontId="25" fillId="0" borderId="0" xfId="8" applyFont="1" applyFill="1" applyBorder="1" applyAlignment="1" applyProtection="1">
      <alignment vertical="center"/>
    </xf>
    <xf numFmtId="0" fontId="2" fillId="0" borderId="0" xfId="0" applyFont="1" applyAlignment="1" applyProtection="1">
      <alignment horizontal="left" vertical="center"/>
    </xf>
    <xf numFmtId="0" fontId="15" fillId="0" borderId="0" xfId="0" applyFont="1" applyAlignment="1">
      <alignment horizontal="center" vertical="center"/>
    </xf>
    <xf numFmtId="0" fontId="25" fillId="7" borderId="28" xfId="45" applyFont="1" applyFill="1" applyBorder="1" applyAlignment="1" applyProtection="1">
      <alignment horizontal="left" vertical="center" wrapText="1" indent="1"/>
    </xf>
    <xf numFmtId="0" fontId="25" fillId="7" borderId="0" xfId="0" applyFont="1" applyFill="1" applyAlignment="1" applyProtection="1">
      <alignment vertical="center"/>
    </xf>
    <xf numFmtId="0" fontId="15" fillId="7" borderId="0" xfId="0" applyFont="1" applyFill="1" applyAlignment="1" applyProtection="1">
      <alignment horizontal="left" vertical="center"/>
    </xf>
    <xf numFmtId="0" fontId="62" fillId="0" borderId="0" xfId="8" applyFont="1" applyFill="1" applyAlignment="1" applyProtection="1">
      <alignment horizontal="left" vertical="center"/>
    </xf>
    <xf numFmtId="0" fontId="25" fillId="0" borderId="0" xfId="8" applyFont="1" applyFill="1" applyAlignment="1" applyProtection="1">
      <alignment horizontal="center" vertical="center"/>
    </xf>
    <xf numFmtId="0" fontId="61" fillId="0" borderId="0" xfId="8" applyFont="1" applyFill="1" applyBorder="1" applyAlignment="1" applyProtection="1">
      <alignment horizontal="center" vertical="center" wrapText="1"/>
    </xf>
    <xf numFmtId="0" fontId="25" fillId="7" borderId="0" xfId="0" applyFont="1" applyFill="1" applyAlignment="1" applyProtection="1">
      <alignment horizontal="center" vertical="center"/>
    </xf>
    <xf numFmtId="0" fontId="51" fillId="0" borderId="0" xfId="0" applyFont="1" applyBorder="1" applyAlignment="1" applyProtection="1">
      <alignment vertical="center" wrapText="1"/>
    </xf>
    <xf numFmtId="0" fontId="25" fillId="7" borderId="0" xfId="45" applyFont="1" applyFill="1" applyBorder="1" applyAlignment="1" applyProtection="1">
      <alignment horizontal="left" vertical="center" wrapText="1" indent="1"/>
    </xf>
    <xf numFmtId="0" fontId="25" fillId="7" borderId="0" xfId="45" applyFont="1" applyFill="1" applyBorder="1" applyAlignment="1" applyProtection="1">
      <alignment horizontal="right" vertical="center" wrapText="1" indent="1"/>
    </xf>
    <xf numFmtId="0" fontId="2" fillId="0" borderId="0" xfId="0" applyFont="1" applyAlignment="1" applyProtection="1">
      <alignment vertical="center"/>
    </xf>
    <xf numFmtId="0" fontId="117" fillId="0" borderId="0" xfId="0" applyFont="1" applyAlignment="1" applyProtection="1">
      <alignment horizontal="center" vertical="center" wrapText="1"/>
    </xf>
    <xf numFmtId="0" fontId="62" fillId="0" borderId="0" xfId="0" applyFont="1" applyAlignment="1" applyProtection="1">
      <alignment vertical="center"/>
    </xf>
    <xf numFmtId="0" fontId="15" fillId="0" borderId="0" xfId="0" applyFont="1" applyAlignment="1" applyProtection="1">
      <alignment horizontal="center" vertical="center"/>
    </xf>
    <xf numFmtId="0" fontId="35" fillId="0" borderId="0" xfId="8" applyFont="1" applyBorder="1" applyAlignment="1" applyProtection="1">
      <alignment vertical="center"/>
    </xf>
    <xf numFmtId="0" fontId="25" fillId="0" borderId="0" xfId="8" applyFont="1" applyFill="1" applyBorder="1" applyAlignment="1" applyProtection="1">
      <alignment horizontal="center" vertical="center"/>
    </xf>
    <xf numFmtId="0" fontId="4" fillId="0" borderId="0" xfId="74" applyAlignment="1">
      <alignment horizontal="center" vertical="center"/>
    </xf>
    <xf numFmtId="0" fontId="100" fillId="0" borderId="0" xfId="79" applyFont="1" applyAlignment="1">
      <alignment horizontal="left"/>
    </xf>
    <xf numFmtId="9" fontId="3" fillId="0" borderId="0" xfId="79" applyNumberFormat="1" applyAlignment="1">
      <alignment horizontal="left"/>
    </xf>
    <xf numFmtId="164" fontId="3" fillId="0" borderId="0" xfId="79" applyNumberFormat="1" applyAlignment="1">
      <alignment horizontal="left"/>
    </xf>
    <xf numFmtId="0" fontId="3" fillId="0" borderId="0" xfId="79" applyAlignment="1">
      <alignment horizontal="left"/>
    </xf>
    <xf numFmtId="9" fontId="15" fillId="4" borderId="26" xfId="71" applyFont="1" applyFill="1" applyBorder="1" applyAlignment="1">
      <alignment horizontal="center" vertical="center"/>
    </xf>
    <xf numFmtId="0" fontId="15" fillId="0" borderId="26" xfId="74" applyFont="1" applyFill="1" applyBorder="1" applyAlignment="1">
      <alignment horizontal="center" vertical="center"/>
    </xf>
    <xf numFmtId="0" fontId="25" fillId="0" borderId="0" xfId="74" applyFont="1" applyBorder="1" applyAlignment="1">
      <alignment horizontal="center" vertical="center"/>
    </xf>
    <xf numFmtId="0" fontId="25" fillId="0" borderId="0" xfId="74" applyFont="1" applyFill="1" applyAlignment="1">
      <alignment horizontal="center" vertical="center"/>
    </xf>
    <xf numFmtId="0" fontId="25" fillId="0" borderId="0" xfId="74" applyFont="1" applyAlignment="1">
      <alignment horizontal="left" vertical="center"/>
    </xf>
    <xf numFmtId="0" fontId="25" fillId="0" borderId="0" xfId="74" applyFont="1" applyFill="1" applyAlignment="1">
      <alignment horizontal="center" wrapText="1"/>
    </xf>
    <xf numFmtId="0" fontId="25" fillId="0" borderId="0" xfId="74" applyFont="1" applyAlignment="1">
      <alignment horizontal="center"/>
    </xf>
    <xf numFmtId="0" fontId="15" fillId="0" borderId="0" xfId="74" applyFont="1" applyAlignment="1">
      <alignment horizontal="center" vertical="center"/>
    </xf>
    <xf numFmtId="0" fontId="101" fillId="0" borderId="0" xfId="74" applyFont="1" applyAlignment="1">
      <alignment horizontal="center" vertical="center"/>
    </xf>
    <xf numFmtId="0" fontId="25" fillId="0" borderId="0" xfId="74" applyFont="1" applyAlignment="1">
      <alignment horizontal="center" vertical="center"/>
    </xf>
    <xf numFmtId="0" fontId="25" fillId="8" borderId="26" xfId="74" applyFont="1" applyFill="1" applyBorder="1" applyAlignment="1">
      <alignment horizontal="center" vertical="center" wrapText="1"/>
    </xf>
    <xf numFmtId="0" fontId="120" fillId="7" borderId="26" xfId="74" applyFont="1" applyFill="1" applyBorder="1" applyAlignment="1">
      <alignment horizontal="center" vertical="center"/>
    </xf>
    <xf numFmtId="0" fontId="25" fillId="0" borderId="0" xfId="74" applyFont="1" applyAlignment="1">
      <alignment horizontal="center" vertical="center"/>
    </xf>
    <xf numFmtId="165" fontId="15" fillId="0" borderId="41" xfId="0" applyNumberFormat="1" applyFont="1" applyFill="1" applyBorder="1" applyAlignment="1" applyProtection="1">
      <alignment horizontal="center" vertical="center"/>
    </xf>
    <xf numFmtId="178" fontId="57" fillId="0" borderId="26" xfId="0" applyNumberFormat="1" applyFont="1" applyBorder="1" applyAlignment="1">
      <alignment vertical="center" shrinkToFit="1"/>
    </xf>
    <xf numFmtId="9" fontId="25" fillId="0" borderId="38" xfId="0" applyNumberFormat="1" applyFont="1" applyFill="1" applyBorder="1" applyAlignment="1" applyProtection="1">
      <alignment vertical="center"/>
    </xf>
    <xf numFmtId="0" fontId="25" fillId="0" borderId="0" xfId="74" applyFont="1" applyAlignment="1">
      <alignment horizontal="center" vertical="center"/>
    </xf>
    <xf numFmtId="165" fontId="25" fillId="0" borderId="0" xfId="74" applyNumberFormat="1" applyFont="1" applyAlignment="1">
      <alignment horizontal="center" vertical="center"/>
    </xf>
    <xf numFmtId="165" fontId="51" fillId="7" borderId="0" xfId="74" applyNumberFormat="1" applyFont="1" applyFill="1" applyAlignment="1">
      <alignment horizontal="center" vertical="center"/>
    </xf>
    <xf numFmtId="0" fontId="25" fillId="0" borderId="41" xfId="74" applyFont="1" applyBorder="1" applyAlignment="1">
      <alignment horizontal="center" vertical="center"/>
    </xf>
    <xf numFmtId="165" fontId="25" fillId="0" borderId="26" xfId="74" applyNumberFormat="1" applyFont="1" applyBorder="1" applyAlignment="1">
      <alignment horizontal="center" vertical="center"/>
    </xf>
    <xf numFmtId="165" fontId="25" fillId="0" borderId="26" xfId="74" applyNumberFormat="1" applyFont="1" applyFill="1" applyBorder="1" applyAlignment="1">
      <alignment horizontal="center" vertical="center"/>
    </xf>
    <xf numFmtId="165" fontId="25" fillId="0" borderId="46" xfId="74" applyNumberFormat="1" applyFont="1" applyBorder="1" applyAlignment="1">
      <alignment horizontal="center" vertical="center"/>
    </xf>
    <xf numFmtId="165" fontId="25" fillId="0" borderId="47" xfId="74" applyNumberFormat="1" applyFont="1" applyBorder="1" applyAlignment="1">
      <alignment horizontal="center" vertical="center"/>
    </xf>
    <xf numFmtId="178" fontId="57" fillId="0" borderId="0" xfId="0" applyNumberFormat="1" applyFont="1" applyBorder="1" applyAlignment="1">
      <alignment vertical="top" shrinkToFit="1"/>
    </xf>
    <xf numFmtId="0" fontId="25" fillId="0" borderId="0" xfId="8" applyFont="1" applyAlignment="1" applyProtection="1">
      <alignment horizontal="center" vertical="center"/>
    </xf>
    <xf numFmtId="0" fontId="26" fillId="7" borderId="0" xfId="8" applyFont="1" applyFill="1" applyBorder="1" applyAlignment="1" applyProtection="1">
      <alignment horizontal="center" vertical="center"/>
    </xf>
    <xf numFmtId="0" fontId="25" fillId="35" borderId="26" xfId="74" applyFont="1" applyFill="1" applyBorder="1" applyAlignment="1">
      <alignment horizontal="center" vertical="center" wrapText="1"/>
    </xf>
    <xf numFmtId="0" fontId="25" fillId="34" borderId="26" xfId="74" applyFont="1" applyFill="1" applyBorder="1" applyAlignment="1">
      <alignment horizontal="center" vertical="center" wrapText="1"/>
    </xf>
    <xf numFmtId="165" fontId="25" fillId="4" borderId="26" xfId="74" applyNumberFormat="1" applyFont="1" applyFill="1" applyBorder="1" applyAlignment="1">
      <alignment horizontal="center" vertical="center"/>
    </xf>
    <xf numFmtId="0" fontId="25" fillId="4" borderId="41" xfId="74" applyFont="1" applyFill="1" applyBorder="1" applyAlignment="1">
      <alignment horizontal="center" vertical="center"/>
    </xf>
    <xf numFmtId="0" fontId="25" fillId="4" borderId="26" xfId="74" applyFont="1" applyFill="1" applyBorder="1" applyAlignment="1">
      <alignment horizontal="center" vertical="center"/>
    </xf>
    <xf numFmtId="165" fontId="25" fillId="4" borderId="46" xfId="74" applyNumberFormat="1" applyFont="1" applyFill="1" applyBorder="1" applyAlignment="1">
      <alignment horizontal="center" vertical="center"/>
    </xf>
    <xf numFmtId="165" fontId="25" fillId="4" borderId="47" xfId="74" applyNumberFormat="1" applyFont="1" applyFill="1" applyBorder="1" applyAlignment="1">
      <alignment horizontal="center" vertical="center"/>
    </xf>
    <xf numFmtId="0" fontId="15" fillId="0" borderId="41" xfId="26" applyFont="1" applyBorder="1" applyAlignment="1" applyProtection="1">
      <alignment horizontal="center" vertical="center"/>
    </xf>
    <xf numFmtId="178" fontId="57" fillId="0" borderId="26" xfId="0" applyNumberFormat="1" applyFont="1" applyBorder="1" applyAlignment="1">
      <alignment vertical="top" shrinkToFit="1"/>
    </xf>
    <xf numFmtId="178" fontId="57" fillId="0" borderId="46" xfId="0" applyNumberFormat="1" applyFont="1" applyBorder="1" applyAlignment="1">
      <alignment vertical="top" shrinkToFit="1"/>
    </xf>
    <xf numFmtId="178" fontId="57" fillId="0" borderId="47" xfId="0" applyNumberFormat="1" applyFont="1" applyBorder="1" applyAlignment="1">
      <alignment vertical="top" shrinkToFit="1"/>
    </xf>
    <xf numFmtId="0" fontId="15" fillId="0" borderId="41" xfId="26" applyFont="1" applyBorder="1"/>
    <xf numFmtId="3" fontId="15" fillId="0" borderId="26" xfId="26" applyNumberFormat="1" applyFont="1" applyBorder="1" applyAlignment="1">
      <alignment horizontal="center" vertical="center"/>
    </xf>
    <xf numFmtId="9" fontId="15" fillId="0" borderId="38" xfId="52" applyNumberFormat="1" applyFont="1" applyBorder="1" applyAlignment="1">
      <alignment horizontal="left" vertical="center"/>
    </xf>
    <xf numFmtId="3" fontId="15" fillId="0" borderId="46" xfId="26" applyNumberFormat="1" applyFont="1" applyBorder="1" applyAlignment="1">
      <alignment horizontal="center" vertical="center"/>
    </xf>
    <xf numFmtId="3" fontId="15" fillId="0" borderId="47" xfId="26" applyNumberFormat="1" applyFont="1" applyBorder="1" applyAlignment="1">
      <alignment horizontal="center" vertical="center"/>
    </xf>
    <xf numFmtId="0" fontId="25" fillId="7" borderId="0" xfId="8" applyFont="1" applyFill="1" applyBorder="1" applyAlignment="1" applyProtection="1">
      <alignment horizontal="center" vertical="center" wrapText="1"/>
    </xf>
    <xf numFmtId="0" fontId="25" fillId="4" borderId="26" xfId="8" applyFont="1" applyFill="1" applyBorder="1" applyAlignment="1" applyProtection="1">
      <alignment horizontal="center" vertical="center" wrapText="1"/>
    </xf>
    <xf numFmtId="0" fontId="25" fillId="0" borderId="0" xfId="8" applyFont="1" applyAlignment="1" applyProtection="1">
      <alignment horizontal="center" vertical="center" wrapText="1"/>
    </xf>
    <xf numFmtId="49" fontId="25" fillId="4" borderId="26" xfId="8" applyNumberFormat="1" applyFont="1" applyFill="1" applyBorder="1" applyAlignment="1" applyProtection="1">
      <alignment horizontal="center" vertical="center" wrapText="1"/>
    </xf>
    <xf numFmtId="49" fontId="11" fillId="4" borderId="26" xfId="4" applyNumberFormat="1" applyFill="1" applyBorder="1" applyAlignment="1" applyProtection="1">
      <alignment horizontal="center" vertical="center" wrapText="1"/>
    </xf>
    <xf numFmtId="169" fontId="25" fillId="4" borderId="26" xfId="8" applyNumberFormat="1" applyFont="1" applyFill="1" applyBorder="1" applyAlignment="1" applyProtection="1">
      <alignment horizontal="center" vertical="center" wrapText="1"/>
    </xf>
    <xf numFmtId="0" fontId="25" fillId="7" borderId="46" xfId="8" applyFont="1" applyFill="1" applyBorder="1" applyAlignment="1" applyProtection="1">
      <alignment horizontal="center" vertical="center" wrapText="1"/>
    </xf>
    <xf numFmtId="49" fontId="25" fillId="4" borderId="46" xfId="8" applyNumberFormat="1" applyFont="1" applyFill="1" applyBorder="1" applyAlignment="1" applyProtection="1">
      <alignment horizontal="center" vertical="center" wrapText="1"/>
    </xf>
    <xf numFmtId="0" fontId="25" fillId="4" borderId="46" xfId="8" applyFont="1" applyFill="1" applyBorder="1" applyAlignment="1" applyProtection="1">
      <alignment horizontal="center" vertical="center" wrapText="1"/>
    </xf>
    <xf numFmtId="49" fontId="11" fillId="4" borderId="46" xfId="4" applyNumberFormat="1" applyFill="1" applyBorder="1" applyAlignment="1" applyProtection="1">
      <alignment horizontal="center" vertical="center" wrapText="1"/>
    </xf>
    <xf numFmtId="169" fontId="25" fillId="4" borderId="46" xfId="8" applyNumberFormat="1" applyFont="1" applyFill="1" applyBorder="1" applyAlignment="1" applyProtection="1">
      <alignment horizontal="center" vertical="center" wrapText="1"/>
    </xf>
    <xf numFmtId="0" fontId="25" fillId="4" borderId="47" xfId="8" applyFont="1" applyFill="1" applyBorder="1" applyAlignment="1" applyProtection="1">
      <alignment horizontal="center" vertical="center" wrapText="1"/>
    </xf>
    <xf numFmtId="49" fontId="25" fillId="7" borderId="26" xfId="8" applyNumberFormat="1" applyFont="1" applyFill="1" applyBorder="1" applyAlignment="1" applyProtection="1">
      <alignment horizontal="center" vertical="center" wrapText="1"/>
    </xf>
    <xf numFmtId="49" fontId="11" fillId="7" borderId="26" xfId="4" applyNumberFormat="1" applyFill="1" applyBorder="1" applyAlignment="1" applyProtection="1">
      <alignment horizontal="center" vertical="center" wrapText="1"/>
    </xf>
    <xf numFmtId="169" fontId="25" fillId="7" borderId="26" xfId="8" applyNumberFormat="1" applyFont="1" applyFill="1" applyBorder="1" applyAlignment="1" applyProtection="1">
      <alignment horizontal="center" vertical="center" wrapText="1"/>
    </xf>
    <xf numFmtId="0" fontId="26" fillId="0" borderId="3" xfId="74" applyFont="1" applyBorder="1" applyAlignment="1">
      <alignment vertical="center"/>
    </xf>
    <xf numFmtId="0" fontId="25" fillId="0" borderId="66" xfId="74" applyFont="1" applyBorder="1" applyAlignment="1">
      <alignment vertical="center" wrapText="1"/>
    </xf>
    <xf numFmtId="0" fontId="25" fillId="0" borderId="3" xfId="74" applyFont="1" applyBorder="1" applyAlignment="1">
      <alignment horizontal="center" vertical="center"/>
    </xf>
    <xf numFmtId="0" fontId="25" fillId="0" borderId="67" xfId="74" applyFont="1" applyBorder="1" applyAlignment="1">
      <alignment horizontal="center" vertical="center"/>
    </xf>
    <xf numFmtId="0" fontId="25" fillId="0" borderId="2" xfId="74" applyFont="1" applyBorder="1" applyAlignment="1">
      <alignment horizontal="center" vertical="center"/>
    </xf>
    <xf numFmtId="0" fontId="25" fillId="0" borderId="5" xfId="74" applyFont="1" applyBorder="1" applyAlignment="1">
      <alignment horizontal="center" vertical="center"/>
    </xf>
    <xf numFmtId="0" fontId="25" fillId="4" borderId="60" xfId="74" applyFont="1" applyFill="1" applyBorder="1" applyAlignment="1">
      <alignment horizontal="center" vertical="center"/>
    </xf>
    <xf numFmtId="165" fontId="25" fillId="4" borderId="60" xfId="74" applyNumberFormat="1" applyFont="1" applyFill="1" applyBorder="1" applyAlignment="1">
      <alignment horizontal="center" vertical="center"/>
    </xf>
    <xf numFmtId="0" fontId="25" fillId="0" borderId="6" xfId="74" applyFont="1" applyBorder="1" applyAlignment="1">
      <alignment horizontal="center" vertical="center"/>
    </xf>
    <xf numFmtId="165" fontId="120" fillId="7" borderId="58" xfId="74" applyNumberFormat="1" applyFont="1" applyFill="1" applyBorder="1" applyAlignment="1">
      <alignment horizontal="center" vertical="center"/>
    </xf>
    <xf numFmtId="49" fontId="25" fillId="4" borderId="26" xfId="8" applyNumberFormat="1" applyFont="1" applyFill="1" applyBorder="1" applyAlignment="1" applyProtection="1">
      <alignment horizontal="center" vertical="center"/>
    </xf>
    <xf numFmtId="49" fontId="25" fillId="4" borderId="38" xfId="8" applyNumberFormat="1" applyFont="1" applyFill="1" applyBorder="1" applyAlignment="1" applyProtection="1">
      <alignment horizontal="center" vertical="center"/>
    </xf>
    <xf numFmtId="0" fontId="25" fillId="4" borderId="46" xfId="8" applyFont="1" applyFill="1" applyBorder="1" applyAlignment="1" applyProtection="1">
      <alignment horizontal="center" vertical="center"/>
      <protection locked="0"/>
    </xf>
    <xf numFmtId="49" fontId="25" fillId="4" borderId="46" xfId="8" applyNumberFormat="1" applyFont="1" applyFill="1" applyBorder="1" applyAlignment="1" applyProtection="1">
      <alignment horizontal="center" vertical="center"/>
    </xf>
    <xf numFmtId="0" fontId="25" fillId="4" borderId="47" xfId="8" applyFont="1" applyFill="1" applyBorder="1" applyAlignment="1" applyProtection="1">
      <alignment horizontal="center" vertical="center"/>
      <protection locked="0"/>
    </xf>
    <xf numFmtId="0" fontId="15" fillId="35" borderId="26" xfId="74" applyFont="1" applyFill="1" applyBorder="1" applyAlignment="1">
      <alignment horizontal="center" vertical="center"/>
    </xf>
    <xf numFmtId="0" fontId="15" fillId="35" borderId="26" xfId="8" applyFont="1" applyFill="1" applyBorder="1" applyAlignment="1" applyProtection="1">
      <alignment horizontal="center" vertical="center" wrapText="1"/>
    </xf>
    <xf numFmtId="0" fontId="15" fillId="35" borderId="26" xfId="4" applyFont="1" applyFill="1" applyBorder="1" applyAlignment="1" applyProtection="1">
      <alignment horizontal="center" vertical="center"/>
    </xf>
    <xf numFmtId="165" fontId="15" fillId="35" borderId="26" xfId="74" applyNumberFormat="1" applyFont="1" applyFill="1" applyBorder="1" applyAlignment="1">
      <alignment horizontal="center" vertical="center"/>
    </xf>
    <xf numFmtId="0" fontId="25" fillId="40" borderId="57" xfId="74" applyNumberFormat="1" applyFont="1" applyFill="1" applyBorder="1" applyAlignment="1">
      <alignment horizontal="right" vertical="center"/>
    </xf>
    <xf numFmtId="0" fontId="25" fillId="40" borderId="65" xfId="74" applyNumberFormat="1" applyFont="1" applyFill="1" applyBorder="1" applyAlignment="1">
      <alignment horizontal="right" vertical="center"/>
    </xf>
    <xf numFmtId="0" fontId="25" fillId="0" borderId="57" xfId="74" applyFont="1" applyBorder="1" applyAlignment="1">
      <alignment horizontal="right" vertical="center"/>
    </xf>
    <xf numFmtId="9" fontId="15" fillId="4" borderId="41" xfId="71" applyFont="1" applyFill="1" applyBorder="1" applyAlignment="1">
      <alignment horizontal="center" vertical="center"/>
    </xf>
    <xf numFmtId="0" fontId="15" fillId="4" borderId="41" xfId="74" applyFont="1" applyFill="1" applyBorder="1" applyAlignment="1">
      <alignment horizontal="center" vertical="center"/>
    </xf>
    <xf numFmtId="0" fontId="25" fillId="0" borderId="46" xfId="74" applyFont="1" applyBorder="1" applyAlignment="1">
      <alignment vertical="center"/>
    </xf>
    <xf numFmtId="0" fontId="25" fillId="0" borderId="68" xfId="74" applyFont="1" applyBorder="1" applyAlignment="1">
      <alignment vertical="center"/>
    </xf>
    <xf numFmtId="0" fontId="121" fillId="0" borderId="0" xfId="0" applyFont="1" applyAlignment="1">
      <alignment horizontal="center" vertical="center" wrapText="1"/>
    </xf>
    <xf numFmtId="0" fontId="122" fillId="0" borderId="0" xfId="0" applyFont="1" applyAlignment="1">
      <alignment horizontal="center" vertical="center" wrapText="1"/>
    </xf>
    <xf numFmtId="0" fontId="25" fillId="0" borderId="0" xfId="8" applyFont="1" applyAlignment="1" applyProtection="1">
      <alignment horizontal="center" vertical="center"/>
    </xf>
    <xf numFmtId="0" fontId="15" fillId="7" borderId="41" xfId="26" applyFont="1" applyFill="1" applyBorder="1" applyAlignment="1" applyProtection="1">
      <alignment horizontal="center" vertical="center" wrapText="1"/>
    </xf>
    <xf numFmtId="0" fontId="15" fillId="0" borderId="0" xfId="26" applyFont="1" applyAlignment="1" applyProtection="1">
      <alignment horizontal="center"/>
    </xf>
    <xf numFmtId="0" fontId="35" fillId="0" borderId="0" xfId="26" applyFont="1" applyBorder="1" applyAlignment="1" applyProtection="1">
      <alignment horizontal="center" vertical="center"/>
    </xf>
    <xf numFmtId="0" fontId="15" fillId="7" borderId="26" xfId="21" applyFont="1" applyFill="1" applyBorder="1" applyAlignment="1" applyProtection="1">
      <alignment horizontal="center" vertical="center"/>
      <protection locked="0"/>
    </xf>
    <xf numFmtId="0" fontId="35" fillId="0" borderId="0" xfId="26" applyFont="1" applyBorder="1" applyAlignment="1" applyProtection="1">
      <alignment horizontal="left" vertical="center" indent="1"/>
    </xf>
    <xf numFmtId="0" fontId="15" fillId="7" borderId="0" xfId="26" applyFont="1" applyFill="1" applyAlignment="1" applyProtection="1">
      <alignment horizontal="center"/>
    </xf>
    <xf numFmtId="0" fontId="55" fillId="0" borderId="0" xfId="26" applyFont="1" applyBorder="1" applyAlignment="1" applyProtection="1">
      <alignment horizontal="center" vertical="center"/>
    </xf>
    <xf numFmtId="167" fontId="17" fillId="0" borderId="0" xfId="26" applyNumberFormat="1" applyFont="1" applyBorder="1" applyAlignment="1" applyProtection="1">
      <alignment horizontal="center" vertical="center"/>
    </xf>
    <xf numFmtId="0" fontId="15" fillId="4" borderId="47" xfId="26" applyFont="1" applyFill="1" applyBorder="1" applyAlignment="1" applyProtection="1">
      <alignment horizontal="center" vertical="center"/>
      <protection locked="0"/>
    </xf>
    <xf numFmtId="167" fontId="83" fillId="7" borderId="0" xfId="26" applyNumberFormat="1" applyFont="1" applyFill="1" applyBorder="1" applyAlignment="1" applyProtection="1">
      <alignment horizontal="center" vertical="center"/>
    </xf>
    <xf numFmtId="0" fontId="12" fillId="7" borderId="0" xfId="26" applyFont="1" applyFill="1" applyBorder="1" applyAlignment="1" applyProtection="1">
      <alignment horizontal="center" vertical="center"/>
    </xf>
    <xf numFmtId="171" fontId="15" fillId="0" borderId="0" xfId="53" applyNumberFormat="1" applyFont="1" applyAlignment="1" applyProtection="1">
      <alignment horizontal="left" vertical="center" indent="1"/>
    </xf>
    <xf numFmtId="171" fontId="15" fillId="0" borderId="0" xfId="53" applyNumberFormat="1" applyFont="1" applyAlignment="1" applyProtection="1">
      <alignment horizontal="center" vertical="center"/>
    </xf>
    <xf numFmtId="0" fontId="15" fillId="4" borderId="46" xfId="26" applyFont="1" applyFill="1" applyBorder="1" applyAlignment="1" applyProtection="1">
      <alignment horizontal="center" vertical="center"/>
      <protection locked="0"/>
    </xf>
    <xf numFmtId="165" fontId="15" fillId="4" borderId="46" xfId="26" applyNumberFormat="1" applyFont="1" applyFill="1" applyBorder="1" applyAlignment="1" applyProtection="1">
      <alignment horizontal="center" vertical="center"/>
      <protection locked="0"/>
    </xf>
    <xf numFmtId="14" fontId="15" fillId="4" borderId="47" xfId="26" applyNumberFormat="1" applyFont="1" applyFill="1" applyBorder="1" applyAlignment="1" applyProtection="1">
      <alignment horizontal="center" vertical="center"/>
      <protection locked="0"/>
    </xf>
    <xf numFmtId="0" fontId="15" fillId="7" borderId="26" xfId="26" applyFont="1" applyFill="1" applyBorder="1" applyAlignment="1" applyProtection="1">
      <alignment horizontal="left" vertical="center" indent="1"/>
    </xf>
    <xf numFmtId="0" fontId="15" fillId="7" borderId="26" xfId="26" applyFont="1" applyFill="1" applyBorder="1" applyAlignment="1" applyProtection="1">
      <alignment horizontal="left" vertical="center" indent="1"/>
      <protection locked="0"/>
    </xf>
    <xf numFmtId="0" fontId="15" fillId="4" borderId="46" xfId="26" applyFont="1" applyFill="1" applyBorder="1" applyAlignment="1" applyProtection="1">
      <alignment horizontal="left" vertical="center" wrapText="1" indent="1" shrinkToFit="1"/>
      <protection locked="0"/>
    </xf>
    <xf numFmtId="165" fontId="120" fillId="7" borderId="71" xfId="74" applyNumberFormat="1" applyFont="1" applyFill="1" applyBorder="1" applyAlignment="1">
      <alignment horizontal="center" vertical="center"/>
    </xf>
    <xf numFmtId="165" fontId="15" fillId="4" borderId="38" xfId="26" applyNumberFormat="1" applyFont="1" applyFill="1" applyBorder="1" applyAlignment="1" applyProtection="1">
      <alignment horizontal="center" vertical="center"/>
      <protection locked="0"/>
    </xf>
    <xf numFmtId="165" fontId="15" fillId="4" borderId="71" xfId="26" applyNumberFormat="1" applyFont="1" applyFill="1" applyBorder="1" applyAlignment="1" applyProtection="1">
      <alignment horizontal="center" vertical="center"/>
      <protection locked="0"/>
    </xf>
    <xf numFmtId="10" fontId="15" fillId="4" borderId="67" xfId="26" applyNumberFormat="1" applyFont="1" applyFill="1" applyBorder="1" applyAlignment="1" applyProtection="1">
      <alignment horizontal="center" vertical="center"/>
      <protection locked="0"/>
    </xf>
    <xf numFmtId="165" fontId="15" fillId="4" borderId="64" xfId="26" applyNumberFormat="1" applyFont="1" applyFill="1" applyBorder="1" applyAlignment="1" applyProtection="1">
      <alignment horizontal="center" vertical="center"/>
      <protection locked="0"/>
    </xf>
    <xf numFmtId="10" fontId="15" fillId="4" borderId="57" xfId="26" applyNumberFormat="1" applyFont="1" applyFill="1" applyBorder="1" applyAlignment="1" applyProtection="1">
      <alignment horizontal="center" vertical="center"/>
      <protection locked="0"/>
    </xf>
    <xf numFmtId="165" fontId="15" fillId="4" borderId="58" xfId="26" applyNumberFormat="1" applyFont="1" applyFill="1" applyBorder="1" applyAlignment="1" applyProtection="1">
      <alignment horizontal="center" vertical="center"/>
      <protection locked="0"/>
    </xf>
    <xf numFmtId="10" fontId="15" fillId="4" borderId="65" xfId="26" applyNumberFormat="1" applyFont="1" applyFill="1" applyBorder="1" applyAlignment="1" applyProtection="1">
      <alignment horizontal="center" vertical="center"/>
      <protection locked="0"/>
    </xf>
    <xf numFmtId="0" fontId="15" fillId="4" borderId="64" xfId="26" applyFont="1" applyFill="1" applyBorder="1" applyAlignment="1" applyProtection="1">
      <alignment horizontal="center" vertical="center"/>
      <protection locked="0"/>
    </xf>
    <xf numFmtId="0" fontId="15" fillId="4" borderId="58" xfId="26" applyFont="1" applyFill="1" applyBorder="1" applyAlignment="1" applyProtection="1">
      <alignment horizontal="center" vertical="center"/>
      <protection locked="0"/>
    </xf>
    <xf numFmtId="165" fontId="15" fillId="7" borderId="41" xfId="50" applyNumberFormat="1" applyFont="1" applyFill="1" applyBorder="1" applyAlignment="1" applyProtection="1">
      <alignment horizontal="left" vertical="center" wrapText="1" indent="1"/>
    </xf>
    <xf numFmtId="165" fontId="15" fillId="0" borderId="41" xfId="26" applyNumberFormat="1" applyFont="1" applyBorder="1" applyAlignment="1" applyProtection="1">
      <alignment horizontal="left" vertical="center" indent="1" shrinkToFit="1"/>
    </xf>
    <xf numFmtId="165" fontId="15" fillId="4" borderId="41" xfId="50" applyNumberFormat="1" applyFont="1" applyFill="1" applyBorder="1" applyAlignment="1" applyProtection="1">
      <alignment horizontal="left" vertical="center" wrapText="1" indent="1"/>
      <protection locked="0"/>
    </xf>
    <xf numFmtId="0" fontId="25" fillId="0" borderId="0" xfId="57" applyFont="1" applyFill="1" applyBorder="1" applyProtection="1"/>
    <xf numFmtId="10" fontId="15" fillId="4" borderId="75" xfId="26" applyNumberFormat="1" applyFont="1" applyFill="1" applyBorder="1" applyAlignment="1" applyProtection="1">
      <alignment horizontal="center" vertical="center"/>
      <protection locked="0"/>
    </xf>
    <xf numFmtId="10" fontId="15" fillId="4" borderId="2" xfId="26" applyNumberFormat="1" applyFont="1" applyFill="1" applyBorder="1" applyAlignment="1" applyProtection="1">
      <alignment horizontal="center" vertical="center"/>
      <protection locked="0"/>
    </xf>
    <xf numFmtId="10" fontId="15" fillId="4" borderId="66" xfId="26" applyNumberFormat="1" applyFont="1" applyFill="1" applyBorder="1" applyAlignment="1" applyProtection="1">
      <alignment horizontal="center" vertical="center"/>
      <protection locked="0"/>
    </xf>
    <xf numFmtId="165" fontId="15" fillId="4" borderId="41" xfId="26" applyNumberFormat="1" applyFont="1" applyFill="1" applyBorder="1" applyAlignment="1" applyProtection="1">
      <alignment horizontal="center" vertical="center"/>
      <protection locked="0"/>
    </xf>
    <xf numFmtId="0" fontId="15" fillId="4" borderId="63" xfId="26" applyFont="1" applyFill="1" applyBorder="1" applyAlignment="1" applyProtection="1">
      <alignment horizontal="center" vertical="center"/>
      <protection locked="0"/>
    </xf>
    <xf numFmtId="165" fontId="15" fillId="4" borderId="63" xfId="26" applyNumberFormat="1" applyFont="1" applyFill="1" applyBorder="1" applyAlignment="1" applyProtection="1">
      <alignment horizontal="center" vertical="center"/>
      <protection locked="0"/>
    </xf>
    <xf numFmtId="0" fontId="26" fillId="7" borderId="0" xfId="57" applyFont="1" applyFill="1" applyBorder="1" applyProtection="1"/>
    <xf numFmtId="165" fontId="120" fillId="7" borderId="41" xfId="74" applyNumberFormat="1" applyFont="1" applyFill="1" applyBorder="1" applyAlignment="1">
      <alignment horizontal="center" vertical="center"/>
    </xf>
    <xf numFmtId="0" fontId="26" fillId="7" borderId="0" xfId="57" applyFont="1" applyFill="1" applyBorder="1" applyAlignment="1" applyProtection="1"/>
    <xf numFmtId="0" fontId="55" fillId="7" borderId="0" xfId="57" applyFont="1" applyFill="1" applyBorder="1" applyAlignment="1" applyProtection="1">
      <alignment vertical="top"/>
    </xf>
    <xf numFmtId="9" fontId="25" fillId="0" borderId="0" xfId="74" applyNumberFormat="1" applyFont="1" applyAlignment="1">
      <alignment horizontal="left" vertical="center"/>
    </xf>
    <xf numFmtId="0" fontId="15" fillId="0" borderId="0" xfId="26" applyFont="1" applyProtection="1"/>
    <xf numFmtId="0" fontId="15" fillId="0" borderId="0" xfId="26" applyFont="1" applyAlignment="1" applyProtection="1">
      <alignment horizontal="center"/>
    </xf>
    <xf numFmtId="178" fontId="57" fillId="0" borderId="26" xfId="0" applyNumberFormat="1" applyFont="1" applyBorder="1" applyAlignment="1">
      <alignment horizontal="center" vertical="center" shrinkToFit="1"/>
    </xf>
    <xf numFmtId="10" fontId="15" fillId="4" borderId="59" xfId="26" applyNumberFormat="1" applyFont="1" applyFill="1" applyBorder="1" applyAlignment="1" applyProtection="1">
      <alignment horizontal="center" vertical="center"/>
      <protection locked="0"/>
    </xf>
    <xf numFmtId="165" fontId="15" fillId="4" borderId="60" xfId="26" applyNumberFormat="1" applyFont="1" applyFill="1" applyBorder="1" applyAlignment="1" applyProtection="1">
      <alignment horizontal="center" vertical="center"/>
      <protection locked="0"/>
    </xf>
    <xf numFmtId="0" fontId="15" fillId="4" borderId="61" xfId="26" applyFont="1" applyFill="1" applyBorder="1" applyAlignment="1" applyProtection="1">
      <alignment horizontal="center" vertical="center"/>
      <protection locked="0"/>
    </xf>
    <xf numFmtId="0" fontId="15" fillId="4" borderId="60" xfId="26" applyFont="1" applyFill="1" applyBorder="1" applyAlignment="1" applyProtection="1">
      <alignment horizontal="center" vertical="center"/>
      <protection locked="0"/>
    </xf>
    <xf numFmtId="165" fontId="15" fillId="4" borderId="61" xfId="26" applyNumberFormat="1" applyFont="1" applyFill="1" applyBorder="1" applyAlignment="1" applyProtection="1">
      <alignment horizontal="center" vertical="center"/>
      <protection locked="0"/>
    </xf>
    <xf numFmtId="0" fontId="15" fillId="4" borderId="27" xfId="26" applyFont="1" applyFill="1" applyBorder="1" applyAlignment="1" applyProtection="1">
      <alignment horizontal="center" vertical="center"/>
      <protection locked="0"/>
    </xf>
    <xf numFmtId="0" fontId="25" fillId="7" borderId="26" xfId="74" applyFont="1" applyFill="1" applyBorder="1" applyAlignment="1">
      <alignment horizontal="center" vertical="center" textRotation="90" wrapText="1"/>
    </xf>
    <xf numFmtId="0" fontId="25" fillId="7" borderId="71" xfId="74" applyFont="1" applyFill="1" applyBorder="1" applyAlignment="1">
      <alignment horizontal="center" vertical="center" textRotation="90" wrapText="1"/>
    </xf>
    <xf numFmtId="0" fontId="15" fillId="4" borderId="71" xfId="74" applyFont="1" applyFill="1" applyBorder="1" applyAlignment="1">
      <alignment horizontal="center" vertical="center"/>
    </xf>
    <xf numFmtId="0" fontId="120" fillId="7" borderId="76" xfId="74" applyFont="1" applyFill="1" applyBorder="1" applyAlignment="1">
      <alignment horizontal="center" vertical="center"/>
    </xf>
    <xf numFmtId="0" fontId="25" fillId="7" borderId="76" xfId="74" applyFont="1" applyFill="1" applyBorder="1" applyAlignment="1">
      <alignment horizontal="center" vertical="center" textRotation="90" wrapText="1"/>
    </xf>
    <xf numFmtId="0" fontId="15" fillId="4" borderId="77" xfId="74" applyFont="1" applyFill="1" applyBorder="1" applyAlignment="1">
      <alignment horizontal="center" vertical="center"/>
    </xf>
    <xf numFmtId="0" fontId="15" fillId="4" borderId="76" xfId="74" applyFont="1" applyFill="1" applyBorder="1" applyAlignment="1">
      <alignment horizontal="center" vertical="center"/>
    </xf>
    <xf numFmtId="0" fontId="119" fillId="7" borderId="71" xfId="74" applyFont="1" applyFill="1" applyBorder="1" applyAlignment="1">
      <alignment vertical="center"/>
    </xf>
    <xf numFmtId="165" fontId="120" fillId="7" borderId="57" xfId="74" applyNumberFormat="1" applyFont="1" applyFill="1" applyBorder="1" applyAlignment="1">
      <alignment horizontal="center" vertical="center"/>
    </xf>
    <xf numFmtId="0" fontId="15" fillId="3" borderId="66" xfId="26" applyFont="1" applyFill="1" applyBorder="1" applyAlignment="1" applyProtection="1">
      <alignment horizontal="center" vertical="center" wrapText="1"/>
    </xf>
    <xf numFmtId="0" fontId="15" fillId="3" borderId="41" xfId="26" applyFont="1" applyFill="1" applyBorder="1" applyAlignment="1" applyProtection="1">
      <alignment horizontal="center" vertical="center" wrapText="1"/>
    </xf>
    <xf numFmtId="0" fontId="15" fillId="3" borderId="63" xfId="26" applyFont="1" applyFill="1" applyBorder="1" applyAlignment="1" applyProtection="1">
      <alignment horizontal="center" vertical="center" wrapText="1"/>
    </xf>
    <xf numFmtId="0" fontId="15" fillId="34" borderId="66" xfId="26" applyFont="1" applyFill="1" applyBorder="1" applyAlignment="1" applyProtection="1">
      <alignment horizontal="center" vertical="center"/>
    </xf>
    <xf numFmtId="0" fontId="15" fillId="34" borderId="41" xfId="26" applyFont="1" applyFill="1" applyBorder="1" applyAlignment="1" applyProtection="1">
      <alignment horizontal="center" vertical="center"/>
    </xf>
    <xf numFmtId="0" fontId="15" fillId="34" borderId="41" xfId="26" applyFont="1" applyFill="1" applyBorder="1" applyAlignment="1" applyProtection="1">
      <alignment horizontal="center" vertical="center" textRotation="90" wrapText="1"/>
    </xf>
    <xf numFmtId="0" fontId="15" fillId="34" borderId="41" xfId="26" applyFont="1" applyFill="1" applyBorder="1" applyAlignment="1" applyProtection="1">
      <alignment horizontal="center" vertical="center" wrapText="1"/>
    </xf>
    <xf numFmtId="0" fontId="15" fillId="34" borderId="63" xfId="26" applyFont="1" applyFill="1" applyBorder="1" applyAlignment="1" applyProtection="1">
      <alignment horizontal="center" vertical="center" wrapText="1"/>
    </xf>
    <xf numFmtId="0" fontId="15" fillId="0" borderId="58" xfId="26" applyFont="1" applyBorder="1" applyAlignment="1" applyProtection="1"/>
    <xf numFmtId="0" fontId="15" fillId="7" borderId="57" xfId="26" applyFont="1" applyFill="1" applyBorder="1" applyAlignment="1" applyProtection="1">
      <alignment horizontal="center" vertical="center" wrapText="1"/>
    </xf>
    <xf numFmtId="0" fontId="10" fillId="7" borderId="58" xfId="21" applyFont="1" applyFill="1" applyBorder="1" applyAlignment="1">
      <alignment horizontal="center" vertical="center"/>
    </xf>
    <xf numFmtId="165" fontId="15" fillId="4" borderId="57" xfId="21" applyNumberFormat="1" applyFont="1" applyFill="1" applyBorder="1" applyAlignment="1" applyProtection="1">
      <alignment horizontal="center" vertical="center"/>
      <protection locked="0"/>
    </xf>
    <xf numFmtId="0" fontId="15" fillId="4" borderId="58" xfId="21" applyFont="1" applyFill="1" applyBorder="1" applyAlignment="1" applyProtection="1">
      <alignment horizontal="left" vertical="center"/>
      <protection locked="0"/>
    </xf>
    <xf numFmtId="0" fontId="77" fillId="24" borderId="31" xfId="59" applyFont="1" applyFill="1" applyBorder="1" applyAlignment="1" applyProtection="1">
      <alignment horizontal="left" vertical="center" wrapText="1"/>
    </xf>
    <xf numFmtId="0" fontId="77" fillId="23" borderId="78" xfId="59" applyFont="1" applyFill="1" applyBorder="1" applyAlignment="1" applyProtection="1">
      <alignment horizontal="left" vertical="center" wrapText="1"/>
    </xf>
    <xf numFmtId="167" fontId="77" fillId="3" borderId="26" xfId="59" quotePrefix="1" applyNumberFormat="1" applyFont="1" applyFill="1" applyBorder="1" applyAlignment="1" applyProtection="1">
      <alignment horizontal="center" vertical="center" wrapText="1"/>
    </xf>
    <xf numFmtId="0" fontId="35" fillId="0" borderId="0" xfId="8" applyFont="1" applyBorder="1" applyAlignment="1" applyProtection="1">
      <alignment vertical="top"/>
    </xf>
    <xf numFmtId="14" fontId="15" fillId="4" borderId="41" xfId="26" applyNumberFormat="1" applyFont="1" applyFill="1" applyBorder="1" applyAlignment="1" applyProtection="1">
      <alignment horizontal="center" vertical="center"/>
      <protection locked="0"/>
    </xf>
    <xf numFmtId="0" fontId="15" fillId="4" borderId="41" xfId="26" applyFont="1" applyFill="1" applyBorder="1" applyAlignment="1" applyProtection="1">
      <alignment horizontal="left" vertical="center" wrapText="1" indent="1" shrinkToFit="1"/>
      <protection locked="0"/>
    </xf>
    <xf numFmtId="0" fontId="15" fillId="0" borderId="0" xfId="26" applyFont="1" applyFill="1" applyBorder="1" applyAlignment="1" applyProtection="1">
      <alignment horizontal="center" vertical="center"/>
    </xf>
    <xf numFmtId="167" fontId="83" fillId="0" borderId="0" xfId="26" applyNumberFormat="1" applyFont="1" applyFill="1" applyBorder="1" applyAlignment="1" applyProtection="1">
      <alignment horizontal="center" vertical="center"/>
    </xf>
    <xf numFmtId="167" fontId="51" fillId="0" borderId="0" xfId="13" applyNumberFormat="1" applyFont="1" applyAlignment="1" applyProtection="1">
      <alignment horizontal="center" vertical="center"/>
    </xf>
    <xf numFmtId="0" fontId="26" fillId="0" borderId="0" xfId="13" applyFont="1" applyBorder="1" applyAlignment="1" applyProtection="1">
      <alignment vertical="center" wrapText="1"/>
    </xf>
    <xf numFmtId="0" fontId="114" fillId="7" borderId="0" xfId="0" applyFont="1" applyFill="1" applyBorder="1" applyAlignment="1" applyProtection="1">
      <alignment horizontal="center" vertical="center"/>
    </xf>
    <xf numFmtId="0" fontId="124" fillId="0" borderId="0" xfId="79" applyFont="1" applyAlignment="1">
      <alignment horizontal="center" vertical="center"/>
    </xf>
    <xf numFmtId="0" fontId="25" fillId="0" borderId="0" xfId="8" applyFont="1" applyAlignment="1" applyProtection="1">
      <alignment horizontal="left" vertical="center" indent="2"/>
    </xf>
    <xf numFmtId="10" fontId="25" fillId="0" borderId="26" xfId="74" applyNumberFormat="1" applyFont="1" applyBorder="1" applyAlignment="1">
      <alignment horizontal="center" vertical="center"/>
    </xf>
    <xf numFmtId="1" fontId="25" fillId="0" borderId="0" xfId="8" applyNumberFormat="1" applyFont="1" applyAlignment="1" applyProtection="1">
      <alignment horizontal="center" vertical="center"/>
    </xf>
    <xf numFmtId="0" fontId="25" fillId="33" borderId="26" xfId="8" applyFont="1" applyFill="1" applyBorder="1" applyAlignment="1" applyProtection="1">
      <alignment horizontal="center" vertical="center"/>
    </xf>
    <xf numFmtId="0" fontId="114" fillId="0" borderId="0" xfId="0" applyFont="1" applyAlignment="1" applyProtection="1">
      <alignment horizontal="left" vertical="center"/>
    </xf>
    <xf numFmtId="0" fontId="60" fillId="7" borderId="0" xfId="13" applyFont="1" applyFill="1" applyBorder="1" applyAlignment="1" applyProtection="1">
      <alignment horizontal="left" vertical="center" indent="1"/>
    </xf>
    <xf numFmtId="167" fontId="60" fillId="7" borderId="0" xfId="13" applyNumberFormat="1" applyFont="1" applyFill="1" applyBorder="1" applyAlignment="1" applyProtection="1">
      <alignment horizontal="center" vertical="center"/>
    </xf>
    <xf numFmtId="0" fontId="35" fillId="7" borderId="0" xfId="8" applyFont="1" applyFill="1" applyBorder="1" applyAlignment="1" applyProtection="1">
      <alignment vertical="top"/>
    </xf>
    <xf numFmtId="0" fontId="35" fillId="7" borderId="0" xfId="8" applyFont="1" applyFill="1" applyBorder="1" applyAlignment="1" applyProtection="1">
      <alignment horizontal="center" vertical="center"/>
    </xf>
    <xf numFmtId="0" fontId="39" fillId="7" borderId="0" xfId="8" applyFont="1" applyFill="1" applyBorder="1" applyAlignment="1" applyProtection="1">
      <alignment horizontal="right" vertical="center" indent="1"/>
    </xf>
    <xf numFmtId="2" fontId="104" fillId="7" borderId="0" xfId="8" applyNumberFormat="1" applyFont="1" applyFill="1" applyBorder="1" applyAlignment="1" applyProtection="1">
      <alignment horizontal="center" vertical="center"/>
    </xf>
    <xf numFmtId="0" fontId="25" fillId="0" borderId="26" xfId="74" applyFont="1" applyBorder="1" applyAlignment="1">
      <alignment horizontal="center" vertical="center" textRotation="90" wrapText="1"/>
    </xf>
    <xf numFmtId="0" fontId="25" fillId="14" borderId="0" xfId="8" applyFont="1" applyFill="1" applyAlignment="1" applyProtection="1">
      <alignment horizontal="left" vertical="center"/>
    </xf>
    <xf numFmtId="0" fontId="25" fillId="7" borderId="0" xfId="13" applyFont="1" applyFill="1" applyBorder="1" applyAlignment="1" applyProtection="1">
      <alignment vertical="center"/>
    </xf>
    <xf numFmtId="0" fontId="15" fillId="7" borderId="38" xfId="8" applyFont="1" applyFill="1" applyBorder="1" applyAlignment="1" applyProtection="1">
      <alignment horizontal="right" vertical="center" wrapText="1" indent="1"/>
    </xf>
    <xf numFmtId="0" fontId="15" fillId="7" borderId="26" xfId="8" applyFont="1" applyFill="1" applyBorder="1" applyAlignment="1" applyProtection="1">
      <alignment horizontal="right" vertical="center" wrapText="1" indent="1"/>
    </xf>
    <xf numFmtId="0" fontId="15" fillId="4" borderId="26" xfId="8" applyFont="1" applyFill="1" applyBorder="1" applyAlignment="1" applyProtection="1">
      <alignment horizontal="right" vertical="center" wrapText="1" indent="1"/>
    </xf>
    <xf numFmtId="0" fontId="15" fillId="7" borderId="0" xfId="8" applyFont="1" applyFill="1" applyAlignment="1" applyProtection="1">
      <alignment horizontal="left" vertical="center"/>
    </xf>
    <xf numFmtId="0" fontId="15" fillId="0" borderId="0" xfId="8" applyFont="1" applyFill="1" applyAlignment="1" applyProtection="1">
      <alignment vertical="center"/>
    </xf>
    <xf numFmtId="0" fontId="25" fillId="0" borderId="0" xfId="8" applyFont="1" applyFill="1" applyAlignment="1" applyProtection="1">
      <alignment vertical="center"/>
    </xf>
    <xf numFmtId="0" fontId="25" fillId="7" borderId="0" xfId="74" applyFont="1" applyFill="1"/>
    <xf numFmtId="0" fontId="25" fillId="0" borderId="28" xfId="8" applyFont="1" applyBorder="1" applyAlignment="1" applyProtection="1">
      <alignment vertical="center"/>
    </xf>
    <xf numFmtId="0" fontId="15" fillId="0" borderId="0" xfId="8" applyFont="1" applyBorder="1" applyAlignment="1" applyProtection="1">
      <alignment vertical="center" wrapText="1"/>
    </xf>
    <xf numFmtId="0" fontId="25" fillId="0" borderId="26" xfId="79" applyFont="1" applyBorder="1"/>
    <xf numFmtId="0" fontId="15" fillId="0" borderId="0" xfId="74" applyFont="1" applyBorder="1" applyAlignment="1">
      <alignment vertical="center" wrapText="1"/>
    </xf>
    <xf numFmtId="0" fontId="25" fillId="0" borderId="0" xfId="74" applyFont="1" applyBorder="1" applyAlignment="1">
      <alignment vertical="center" wrapText="1"/>
    </xf>
    <xf numFmtId="0" fontId="39" fillId="0" borderId="26" xfId="57" applyFont="1" applyBorder="1" applyAlignment="1" applyProtection="1">
      <alignment horizontal="center" vertical="center"/>
    </xf>
    <xf numFmtId="0" fontId="15" fillId="0" borderId="26" xfId="57" applyFont="1" applyBorder="1" applyAlignment="1" applyProtection="1">
      <alignment horizontal="center" vertical="center" wrapText="1"/>
    </xf>
    <xf numFmtId="0" fontId="15" fillId="0" borderId="26" xfId="50" applyFont="1" applyBorder="1" applyAlignment="1" applyProtection="1">
      <alignment horizontal="center" vertical="center" wrapText="1"/>
    </xf>
    <xf numFmtId="0" fontId="15" fillId="4" borderId="26" xfId="57" applyFont="1" applyFill="1" applyBorder="1" applyAlignment="1" applyProtection="1">
      <alignment horizontal="center" vertical="center" wrapText="1"/>
      <protection locked="0"/>
    </xf>
    <xf numFmtId="0" fontId="15" fillId="7" borderId="13" xfId="26" applyFont="1" applyFill="1" applyBorder="1" applyAlignment="1" applyProtection="1">
      <alignment horizontal="center" vertical="center" textRotation="90" wrapText="1"/>
    </xf>
    <xf numFmtId="0" fontId="15" fillId="4" borderId="13" xfId="26" applyFont="1" applyFill="1" applyBorder="1" applyAlignment="1" applyProtection="1">
      <alignment horizontal="center" vertical="center"/>
      <protection locked="0"/>
    </xf>
    <xf numFmtId="0" fontId="15" fillId="0" borderId="41" xfId="50" applyFont="1" applyBorder="1" applyAlignment="1" applyProtection="1">
      <alignment horizontal="left" vertical="center" wrapText="1"/>
    </xf>
    <xf numFmtId="0" fontId="35" fillId="7" borderId="27" xfId="57" applyFont="1" applyFill="1" applyBorder="1" applyAlignment="1" applyProtection="1">
      <alignment horizontal="center" vertical="center"/>
    </xf>
    <xf numFmtId="0" fontId="35" fillId="7" borderId="27" xfId="57" applyFont="1" applyFill="1" applyBorder="1" applyAlignment="1" applyProtection="1">
      <alignment vertical="center"/>
    </xf>
    <xf numFmtId="165" fontId="15" fillId="4" borderId="65" xfId="21" applyNumberFormat="1" applyFont="1" applyFill="1" applyBorder="1" applyAlignment="1" applyProtection="1">
      <alignment horizontal="center" vertical="center"/>
      <protection locked="0"/>
    </xf>
    <xf numFmtId="0" fontId="15" fillId="4" borderId="64" xfId="21" applyFont="1" applyFill="1" applyBorder="1" applyAlignment="1" applyProtection="1">
      <alignment horizontal="left" vertical="center"/>
      <protection locked="0"/>
    </xf>
    <xf numFmtId="0" fontId="25" fillId="0" borderId="0" xfId="74" applyFont="1" applyAlignment="1">
      <alignment horizontal="left" vertical="center" indent="1"/>
    </xf>
    <xf numFmtId="0" fontId="26" fillId="0" borderId="0" xfId="74" applyFont="1" applyAlignment="1">
      <alignment horizontal="left" vertical="center" indent="1"/>
    </xf>
    <xf numFmtId="0" fontId="79" fillId="0" borderId="26" xfId="74" applyFont="1" applyBorder="1" applyAlignment="1">
      <alignment horizontal="left" vertical="center" indent="1"/>
    </xf>
    <xf numFmtId="0" fontId="25" fillId="0" borderId="38" xfId="74" applyFont="1" applyBorder="1" applyAlignment="1">
      <alignment horizontal="left" vertical="center" indent="1"/>
    </xf>
    <xf numFmtId="165" fontId="15" fillId="4" borderId="43" xfId="26" applyNumberFormat="1" applyFont="1" applyFill="1" applyBorder="1" applyAlignment="1" applyProtection="1">
      <alignment horizontal="center" vertical="center"/>
      <protection locked="0"/>
    </xf>
    <xf numFmtId="0" fontId="15" fillId="7" borderId="27" xfId="26" applyFont="1" applyFill="1" applyBorder="1" applyProtection="1"/>
    <xf numFmtId="0" fontId="15" fillId="7" borderId="0" xfId="26" applyFont="1" applyFill="1" applyBorder="1" applyAlignment="1" applyProtection="1"/>
    <xf numFmtId="0" fontId="15" fillId="7" borderId="0" xfId="26" applyFont="1" applyFill="1" applyBorder="1" applyAlignment="1" applyProtection="1">
      <alignment horizontal="left" vertical="center"/>
    </xf>
    <xf numFmtId="0" fontId="25" fillId="0" borderId="0" xfId="74" applyFont="1" applyAlignment="1">
      <alignment horizontal="center" vertical="center"/>
    </xf>
    <xf numFmtId="0" fontId="126" fillId="0" borderId="0" xfId="0" applyFont="1" applyAlignment="1">
      <alignment horizontal="left"/>
    </xf>
    <xf numFmtId="0" fontId="25" fillId="0" borderId="71" xfId="74" applyNumberFormat="1" applyFont="1" applyBorder="1" applyAlignment="1">
      <alignment horizontal="center" vertical="center"/>
    </xf>
    <xf numFmtId="0" fontId="25" fillId="0" borderId="38" xfId="8" applyFont="1" applyBorder="1" applyAlignment="1" applyProtection="1">
      <alignment vertical="center"/>
    </xf>
    <xf numFmtId="0" fontId="15" fillId="0" borderId="0" xfId="0" applyFont="1" applyAlignment="1" applyProtection="1">
      <alignment horizontal="center" vertical="center"/>
    </xf>
    <xf numFmtId="0" fontId="25" fillId="0" borderId="0" xfId="8" applyFont="1" applyFill="1" applyBorder="1" applyAlignment="1" applyProtection="1">
      <alignment horizontal="left" vertical="center" indent="1"/>
    </xf>
    <xf numFmtId="0" fontId="15" fillId="0" borderId="0" xfId="0" applyFont="1" applyFill="1" applyProtection="1"/>
    <xf numFmtId="0" fontId="25" fillId="0" borderId="39" xfId="8" applyFont="1" applyFill="1" applyBorder="1" applyAlignment="1" applyProtection="1">
      <alignment vertical="center"/>
    </xf>
    <xf numFmtId="0" fontId="26" fillId="0" borderId="0" xfId="8" applyFont="1" applyAlignment="1" applyProtection="1">
      <alignment horizontal="center" vertical="center"/>
    </xf>
    <xf numFmtId="49" fontId="25" fillId="4" borderId="46" xfId="8" applyNumberFormat="1" applyFont="1" applyFill="1" applyBorder="1" applyAlignment="1" applyProtection="1">
      <alignment horizontal="left" vertical="center" wrapText="1"/>
    </xf>
    <xf numFmtId="49" fontId="25" fillId="4" borderId="26" xfId="8" applyNumberFormat="1" applyFont="1" applyFill="1" applyBorder="1" applyAlignment="1" applyProtection="1">
      <alignment horizontal="left" vertical="center" wrapText="1"/>
    </xf>
    <xf numFmtId="0" fontId="15" fillId="7" borderId="0" xfId="0" applyFont="1" applyFill="1" applyAlignment="1" applyProtection="1">
      <alignment horizontal="left"/>
    </xf>
    <xf numFmtId="0" fontId="15" fillId="0" borderId="0" xfId="0" applyFont="1" applyFill="1" applyAlignment="1" applyProtection="1">
      <alignment horizontal="center" vertical="center"/>
    </xf>
    <xf numFmtId="0" fontId="15" fillId="0" borderId="0" xfId="8" applyFont="1" applyAlignment="1" applyProtection="1">
      <alignment vertical="center"/>
    </xf>
    <xf numFmtId="0" fontId="15" fillId="0" borderId="0" xfId="0" applyFont="1" applyBorder="1" applyAlignment="1">
      <alignment vertical="center"/>
    </xf>
    <xf numFmtId="0" fontId="15" fillId="0" borderId="0" xfId="8" applyFont="1" applyBorder="1" applyAlignment="1" applyProtection="1">
      <alignment vertical="center"/>
    </xf>
    <xf numFmtId="0" fontId="15" fillId="7" borderId="0" xfId="19" applyFont="1" applyFill="1" applyBorder="1" applyAlignment="1" applyProtection="1">
      <alignment vertical="center" wrapText="1"/>
    </xf>
    <xf numFmtId="0" fontId="25" fillId="0" borderId="0" xfId="0" applyFont="1" applyFill="1" applyAlignment="1" applyProtection="1">
      <alignment horizontal="center" vertical="center"/>
    </xf>
    <xf numFmtId="0" fontId="50" fillId="0" borderId="0" xfId="8" applyFont="1" applyAlignment="1" applyProtection="1">
      <alignment horizontal="left" vertical="center"/>
    </xf>
    <xf numFmtId="0" fontId="51" fillId="7" borderId="0" xfId="8" applyFont="1" applyFill="1" applyAlignment="1" applyProtection="1">
      <alignment horizontal="left" vertical="center"/>
    </xf>
    <xf numFmtId="0" fontId="25" fillId="33" borderId="26" xfId="8" applyFont="1" applyFill="1" applyBorder="1" applyAlignment="1" applyProtection="1">
      <alignment horizontal="left" vertical="center"/>
    </xf>
    <xf numFmtId="0" fontId="25" fillId="0" borderId="0" xfId="8" applyFont="1" applyFill="1" applyBorder="1" applyAlignment="1" applyProtection="1">
      <alignment horizontal="left" vertical="center" wrapText="1"/>
    </xf>
    <xf numFmtId="1" fontId="25" fillId="0" borderId="0" xfId="12" applyNumberFormat="1" applyFont="1" applyFill="1" applyBorder="1" applyAlignment="1" applyProtection="1">
      <alignment horizontal="left" vertical="center" wrapText="1"/>
    </xf>
    <xf numFmtId="0" fontId="25" fillId="0" borderId="0" xfId="8" quotePrefix="1" applyFont="1" applyAlignment="1" applyProtection="1">
      <alignment horizontal="left" vertical="center"/>
    </xf>
    <xf numFmtId="1" fontId="25" fillId="0" borderId="0" xfId="8" applyNumberFormat="1" applyFont="1" applyAlignment="1" applyProtection="1">
      <alignment horizontal="left" vertical="center"/>
    </xf>
    <xf numFmtId="0" fontId="114" fillId="7" borderId="0" xfId="0" applyFont="1" applyFill="1" applyBorder="1" applyAlignment="1" applyProtection="1">
      <alignment horizontal="left" vertical="center"/>
    </xf>
    <xf numFmtId="167" fontId="51" fillId="0" borderId="0" xfId="13" applyNumberFormat="1" applyFont="1" applyAlignment="1" applyProtection="1">
      <alignment horizontal="left" vertical="center"/>
    </xf>
    <xf numFmtId="0" fontId="26" fillId="0" borderId="0" xfId="13" applyFont="1" applyBorder="1" applyAlignment="1" applyProtection="1">
      <alignment horizontal="left" vertical="center" wrapText="1"/>
    </xf>
    <xf numFmtId="0" fontId="62" fillId="0" borderId="0" xfId="8" applyFont="1" applyAlignment="1" applyProtection="1">
      <alignment horizontal="left" vertical="center"/>
    </xf>
    <xf numFmtId="0" fontId="25" fillId="0" borderId="43" xfId="0" applyFont="1" applyBorder="1" applyAlignment="1" applyProtection="1">
      <alignment vertical="center"/>
    </xf>
    <xf numFmtId="0" fontId="25" fillId="0" borderId="0" xfId="0" applyFont="1" applyBorder="1" applyAlignment="1" applyProtection="1">
      <alignment vertical="center"/>
    </xf>
    <xf numFmtId="0" fontId="103" fillId="0" borderId="47" xfId="74" applyNumberFormat="1" applyFont="1" applyBorder="1" applyAlignment="1">
      <alignment horizontal="center" vertical="center"/>
    </xf>
    <xf numFmtId="0" fontId="103" fillId="0" borderId="46" xfId="74" applyFont="1" applyFill="1" applyBorder="1" applyAlignment="1">
      <alignment horizontal="center" vertical="center"/>
    </xf>
    <xf numFmtId="167" fontId="60" fillId="0" borderId="0" xfId="13" applyNumberFormat="1" applyFont="1" applyBorder="1" applyAlignment="1" applyProtection="1">
      <alignment horizontal="center" vertical="center"/>
    </xf>
    <xf numFmtId="0" fontId="25" fillId="0" borderId="71" xfId="74" applyFont="1" applyBorder="1" applyAlignment="1">
      <alignment horizontal="left" vertical="center" indent="1"/>
    </xf>
    <xf numFmtId="0" fontId="25" fillId="0" borderId="26" xfId="74" applyFont="1" applyBorder="1" applyAlignment="1">
      <alignment horizontal="center" vertical="center" wrapText="1"/>
    </xf>
    <xf numFmtId="10" fontId="25" fillId="0" borderId="0" xfId="8" applyNumberFormat="1" applyFont="1" applyAlignment="1" applyProtection="1">
      <alignment horizontal="left" vertical="center"/>
    </xf>
    <xf numFmtId="0" fontId="25" fillId="0" borderId="39" xfId="0" applyFont="1" applyBorder="1" applyAlignment="1" applyProtection="1">
      <alignment vertical="center"/>
    </xf>
    <xf numFmtId="0" fontId="15" fillId="0" borderId="0" xfId="0" applyFont="1" applyBorder="1" applyAlignment="1">
      <alignment vertical="top" wrapText="1"/>
    </xf>
    <xf numFmtId="0" fontId="25" fillId="0" borderId="84" xfId="0" applyFont="1" applyBorder="1" applyAlignment="1" applyProtection="1">
      <alignment horizontal="left" vertical="center" indent="3"/>
    </xf>
    <xf numFmtId="0" fontId="15" fillId="0" borderId="0" xfId="26" applyFont="1" applyProtection="1"/>
    <xf numFmtId="0" fontId="15" fillId="0" borderId="0" xfId="26" applyFont="1" applyBorder="1" applyAlignment="1" applyProtection="1">
      <alignment horizontal="center"/>
    </xf>
    <xf numFmtId="0" fontId="15" fillId="0" borderId="0" xfId="26" applyFont="1" applyAlignment="1" applyProtection="1">
      <alignment horizontal="center"/>
    </xf>
    <xf numFmtId="0" fontId="15" fillId="0" borderId="26" xfId="26" applyFont="1" applyBorder="1" applyAlignment="1" applyProtection="1">
      <alignment horizontal="right" vertical="center" indent="1"/>
    </xf>
    <xf numFmtId="10" fontId="14" fillId="0" borderId="0" xfId="0" applyNumberFormat="1" applyFont="1" applyAlignment="1">
      <alignment horizontal="left" vertical="center"/>
    </xf>
    <xf numFmtId="0" fontId="48" fillId="0" borderId="0" xfId="79" applyFont="1" applyAlignment="1">
      <alignment horizontal="left"/>
    </xf>
    <xf numFmtId="0" fontId="48" fillId="0" borderId="0" xfId="26" applyFont="1" applyBorder="1" applyAlignment="1">
      <alignment horizontal="center" vertical="center" wrapText="1"/>
    </xf>
    <xf numFmtId="9" fontId="48" fillId="0" borderId="0" xfId="0" applyNumberFormat="1" applyFont="1" applyFill="1" applyAlignment="1" applyProtection="1">
      <alignment horizontal="center" vertical="center"/>
    </xf>
    <xf numFmtId="0" fontId="15" fillId="0" borderId="0" xfId="0" applyFont="1" applyAlignment="1">
      <alignment horizontal="left" vertical="center" indent="1"/>
    </xf>
    <xf numFmtId="9" fontId="25" fillId="0" borderId="0" xfId="74" applyNumberFormat="1" applyFont="1" applyAlignment="1">
      <alignment horizontal="center" vertical="center"/>
    </xf>
    <xf numFmtId="2" fontId="25" fillId="0" borderId="26" xfId="74" applyNumberFormat="1" applyFont="1" applyBorder="1" applyAlignment="1">
      <alignment horizontal="center" vertical="center"/>
    </xf>
    <xf numFmtId="2" fontId="25" fillId="0" borderId="41" xfId="74" applyNumberFormat="1" applyFont="1" applyBorder="1" applyAlignment="1">
      <alignment horizontal="center" vertical="center"/>
    </xf>
    <xf numFmtId="2" fontId="15" fillId="7" borderId="0" xfId="8" applyNumberFormat="1" applyFont="1" applyFill="1" applyAlignment="1" applyProtection="1">
      <alignment horizontal="center" vertical="center"/>
    </xf>
    <xf numFmtId="2" fontId="25" fillId="7" borderId="0" xfId="0" applyNumberFormat="1" applyFont="1" applyFill="1" applyAlignment="1" applyProtection="1">
      <alignment horizontal="center" vertical="center" wrapText="1"/>
    </xf>
    <xf numFmtId="2" fontId="25" fillId="7" borderId="0" xfId="0" applyNumberFormat="1" applyFont="1" applyFill="1" applyAlignment="1" applyProtection="1">
      <alignment horizontal="center" vertical="center"/>
    </xf>
    <xf numFmtId="175" fontId="25" fillId="7" borderId="0" xfId="0" applyNumberFormat="1" applyFont="1" applyFill="1" applyAlignment="1" applyProtection="1">
      <alignment horizontal="center" vertical="center"/>
    </xf>
    <xf numFmtId="0" fontId="15" fillId="0" borderId="28" xfId="26" applyFont="1" applyFill="1" applyBorder="1" applyAlignment="1" applyProtection="1">
      <alignment horizontal="center" vertical="center"/>
      <protection locked="0"/>
    </xf>
    <xf numFmtId="0" fontId="15" fillId="0" borderId="27" xfId="26" applyFont="1" applyFill="1" applyBorder="1" applyAlignment="1" applyProtection="1">
      <alignment horizontal="center" vertical="center"/>
      <protection locked="0"/>
    </xf>
    <xf numFmtId="0" fontId="55" fillId="7" borderId="0" xfId="13" applyFont="1" applyFill="1" applyBorder="1" applyAlignment="1" applyProtection="1">
      <alignment horizontal="left" vertical="center"/>
    </xf>
    <xf numFmtId="165" fontId="25" fillId="0" borderId="0" xfId="8" applyNumberFormat="1" applyFont="1" applyFill="1" applyBorder="1" applyAlignment="1" applyProtection="1">
      <alignment horizontal="left" vertical="center"/>
    </xf>
    <xf numFmtId="165" fontId="25" fillId="7" borderId="0" xfId="8" applyNumberFormat="1" applyFont="1" applyFill="1" applyBorder="1" applyAlignment="1" applyProtection="1">
      <alignment horizontal="left" vertical="center"/>
    </xf>
    <xf numFmtId="0" fontId="15" fillId="0" borderId="0" xfId="0" quotePrefix="1" applyFont="1" applyBorder="1" applyAlignment="1">
      <alignment vertical="center"/>
    </xf>
    <xf numFmtId="5" fontId="15" fillId="0" borderId="26" xfId="74" applyNumberFormat="1" applyFont="1" applyFill="1" applyBorder="1" applyAlignment="1">
      <alignment horizontal="right" vertical="center"/>
    </xf>
    <xf numFmtId="165" fontId="15" fillId="4" borderId="26" xfId="74" applyNumberFormat="1" applyFont="1" applyFill="1" applyBorder="1" applyAlignment="1" applyProtection="1">
      <alignment horizontal="right" vertical="center"/>
      <protection locked="0"/>
    </xf>
    <xf numFmtId="165" fontId="15" fillId="0" borderId="26" xfId="74" applyNumberFormat="1" applyFont="1" applyBorder="1" applyAlignment="1">
      <alignment horizontal="right" vertical="center"/>
    </xf>
    <xf numFmtId="165" fontId="15" fillId="0" borderId="26" xfId="74" applyNumberFormat="1" applyFont="1" applyFill="1" applyBorder="1" applyAlignment="1">
      <alignment horizontal="right" vertical="center"/>
    </xf>
    <xf numFmtId="165" fontId="15" fillId="4" borderId="26" xfId="74" applyNumberFormat="1" applyFont="1" applyFill="1" applyBorder="1" applyAlignment="1">
      <alignment horizontal="right" vertical="center"/>
    </xf>
    <xf numFmtId="165" fontId="25" fillId="4" borderId="26" xfId="74" applyNumberFormat="1" applyFont="1" applyFill="1" applyBorder="1" applyAlignment="1" applyProtection="1">
      <alignment horizontal="right" vertical="center"/>
      <protection locked="0"/>
    </xf>
    <xf numFmtId="0" fontId="15" fillId="0" borderId="47" xfId="0" quotePrefix="1" applyFont="1" applyBorder="1" applyAlignment="1">
      <alignment horizontal="center" vertical="center"/>
    </xf>
    <xf numFmtId="0" fontId="25" fillId="46" borderId="26" xfId="74" applyFont="1" applyFill="1" applyBorder="1" applyAlignment="1">
      <alignment horizontal="center" vertical="center" textRotation="90" wrapText="1"/>
    </xf>
    <xf numFmtId="0" fontId="25" fillId="46" borderId="76" xfId="74" applyFont="1" applyFill="1" applyBorder="1" applyAlignment="1">
      <alignment horizontal="center" vertical="center" textRotation="90" wrapText="1"/>
    </xf>
    <xf numFmtId="0" fontId="80" fillId="0" borderId="26" xfId="74" applyFont="1" applyFill="1" applyBorder="1" applyAlignment="1" applyProtection="1">
      <alignment horizontal="left" vertical="center" wrapText="1"/>
    </xf>
    <xf numFmtId="0" fontId="15" fillId="7" borderId="26" xfId="26" applyFont="1" applyFill="1" applyBorder="1" applyAlignment="1" applyProtection="1">
      <alignment horizontal="center" vertical="center" textRotation="90" wrapText="1"/>
    </xf>
    <xf numFmtId="0" fontId="25" fillId="7" borderId="26" xfId="46" applyFill="1" applyBorder="1" applyAlignment="1" applyProtection="1">
      <alignment horizontal="center" vertical="center" wrapText="1"/>
      <protection locked="0"/>
    </xf>
    <xf numFmtId="165" fontId="15" fillId="4" borderId="26" xfId="50" applyNumberFormat="1" applyFont="1" applyFill="1" applyBorder="1" applyAlignment="1" applyProtection="1">
      <alignment horizontal="right" vertical="center" wrapText="1"/>
      <protection locked="0"/>
    </xf>
    <xf numFmtId="0" fontId="26" fillId="0" borderId="0" xfId="57" applyFont="1" applyAlignment="1" applyProtection="1">
      <alignment horizontal="right"/>
    </xf>
    <xf numFmtId="0" fontId="15" fillId="0" borderId="26" xfId="50" applyFont="1" applyBorder="1" applyAlignment="1" applyProtection="1">
      <alignment vertical="center" wrapText="1"/>
    </xf>
    <xf numFmtId="0" fontId="15" fillId="0" borderId="0" xfId="50" applyFont="1" applyFill="1" applyBorder="1" applyAlignment="1" applyProtection="1">
      <alignment vertical="center" wrapText="1"/>
    </xf>
    <xf numFmtId="0" fontId="15" fillId="4" borderId="46" xfId="50" applyFont="1" applyFill="1" applyBorder="1" applyAlignment="1" applyProtection="1">
      <alignment vertical="center" wrapText="1"/>
      <protection locked="0"/>
    </xf>
    <xf numFmtId="0" fontId="15" fillId="7" borderId="0" xfId="50" applyFont="1" applyFill="1" applyBorder="1" applyAlignment="1" applyProtection="1">
      <alignment vertical="center" wrapText="1"/>
    </xf>
    <xf numFmtId="0" fontId="26" fillId="0" borderId="0" xfId="57" applyFont="1" applyAlignment="1" applyProtection="1">
      <alignment vertical="center"/>
    </xf>
    <xf numFmtId="0" fontId="25" fillId="7" borderId="0" xfId="57" applyFont="1" applyFill="1" applyBorder="1" applyAlignment="1" applyProtection="1">
      <alignment vertical="center"/>
    </xf>
    <xf numFmtId="0" fontId="15" fillId="7" borderId="0" xfId="50" applyFont="1" applyFill="1" applyBorder="1" applyAlignment="1" applyProtection="1">
      <alignment vertical="center" wrapText="1"/>
      <protection locked="0"/>
    </xf>
    <xf numFmtId="0" fontId="26" fillId="7" borderId="0" xfId="57" applyFont="1" applyFill="1" applyBorder="1" applyAlignment="1" applyProtection="1">
      <alignment vertical="center"/>
    </xf>
    <xf numFmtId="165" fontId="15" fillId="7" borderId="26" xfId="50" applyNumberFormat="1" applyFont="1" applyFill="1" applyBorder="1" applyAlignment="1" applyProtection="1">
      <alignment horizontal="right" vertical="center" wrapText="1"/>
    </xf>
    <xf numFmtId="165" fontId="15" fillId="0" borderId="26" xfId="26" applyNumberFormat="1" applyFont="1" applyBorder="1" applyAlignment="1" applyProtection="1">
      <alignment horizontal="right" vertical="center" shrinkToFit="1"/>
    </xf>
    <xf numFmtId="165" fontId="15" fillId="0" borderId="0" xfId="50" applyNumberFormat="1" applyFont="1" applyFill="1" applyBorder="1" applyAlignment="1" applyProtection="1">
      <alignment horizontal="right" vertical="center" wrapText="1"/>
    </xf>
    <xf numFmtId="165" fontId="15" fillId="0" borderId="0" xfId="26" applyNumberFormat="1" applyFont="1" applyFill="1" applyBorder="1" applyAlignment="1" applyProtection="1">
      <alignment horizontal="right" vertical="center" shrinkToFit="1"/>
    </xf>
    <xf numFmtId="165" fontId="15" fillId="0" borderId="0" xfId="50" applyNumberFormat="1" applyFont="1" applyFill="1" applyBorder="1" applyAlignment="1" applyProtection="1">
      <alignment horizontal="right" vertical="center" wrapText="1"/>
      <protection locked="0"/>
    </xf>
    <xf numFmtId="165" fontId="15" fillId="7" borderId="0" xfId="50" applyNumberFormat="1" applyFont="1" applyFill="1" applyBorder="1" applyAlignment="1" applyProtection="1">
      <alignment horizontal="right" vertical="center" wrapText="1"/>
      <protection locked="0"/>
    </xf>
    <xf numFmtId="165" fontId="15" fillId="7" borderId="46" xfId="50" applyNumberFormat="1" applyFont="1" applyFill="1" applyBorder="1" applyAlignment="1" applyProtection="1">
      <alignment horizontal="right" vertical="center" wrapText="1"/>
    </xf>
    <xf numFmtId="165" fontId="15" fillId="0" borderId="46" xfId="26" applyNumberFormat="1" applyFont="1" applyBorder="1" applyAlignment="1" applyProtection="1">
      <alignment horizontal="right" vertical="center" shrinkToFit="1"/>
    </xf>
    <xf numFmtId="165" fontId="15" fillId="4" borderId="46" xfId="50" applyNumberFormat="1" applyFont="1" applyFill="1" applyBorder="1" applyAlignment="1" applyProtection="1">
      <alignment horizontal="right" vertical="center" wrapText="1"/>
      <protection locked="0"/>
    </xf>
    <xf numFmtId="165" fontId="15" fillId="7" borderId="0" xfId="50" applyNumberFormat="1" applyFont="1" applyFill="1" applyBorder="1" applyAlignment="1" applyProtection="1">
      <alignment horizontal="right" vertical="center" wrapText="1"/>
    </xf>
    <xf numFmtId="165" fontId="15" fillId="7" borderId="0" xfId="26" applyNumberFormat="1" applyFont="1" applyFill="1" applyBorder="1" applyAlignment="1" applyProtection="1">
      <alignment horizontal="right" vertical="center" shrinkToFit="1"/>
    </xf>
    <xf numFmtId="0" fontId="26" fillId="7" borderId="0" xfId="57" applyFont="1" applyFill="1" applyAlignment="1" applyProtection="1">
      <alignment horizontal="right"/>
    </xf>
    <xf numFmtId="0" fontId="50" fillId="7" borderId="39" xfId="50" applyFont="1" applyFill="1" applyBorder="1" applyAlignment="1" applyProtection="1">
      <alignment horizontal="right" wrapText="1"/>
    </xf>
    <xf numFmtId="0" fontId="50" fillId="7" borderId="0" xfId="50" applyFont="1" applyFill="1" applyBorder="1" applyAlignment="1" applyProtection="1">
      <alignment horizontal="right" wrapText="1"/>
    </xf>
    <xf numFmtId="165" fontId="15" fillId="7" borderId="26" xfId="50" applyNumberFormat="1" applyFont="1" applyFill="1" applyBorder="1" applyAlignment="1" applyProtection="1">
      <alignment horizontal="right" vertical="center" wrapText="1"/>
      <protection locked="0"/>
    </xf>
    <xf numFmtId="165" fontId="15" fillId="7" borderId="46" xfId="50" applyNumberFormat="1" applyFont="1" applyFill="1" applyBorder="1" applyAlignment="1" applyProtection="1">
      <alignment horizontal="right" vertical="center" wrapText="1"/>
      <protection locked="0"/>
    </xf>
    <xf numFmtId="165" fontId="15" fillId="7" borderId="27" xfId="50" applyNumberFormat="1" applyFont="1" applyFill="1" applyBorder="1" applyAlignment="1" applyProtection="1">
      <alignment horizontal="right" vertical="center" wrapText="1"/>
    </xf>
    <xf numFmtId="165" fontId="15" fillId="7" borderId="27" xfId="26" applyNumberFormat="1" applyFont="1" applyFill="1" applyBorder="1" applyAlignment="1" applyProtection="1">
      <alignment horizontal="right" vertical="center" shrinkToFit="1"/>
    </xf>
    <xf numFmtId="165" fontId="15" fillId="7" borderId="27" xfId="50" applyNumberFormat="1" applyFont="1" applyFill="1" applyBorder="1" applyAlignment="1" applyProtection="1">
      <alignment horizontal="right" vertical="center" wrapText="1"/>
      <protection locked="0"/>
    </xf>
    <xf numFmtId="165" fontId="15" fillId="7" borderId="41" xfId="50" applyNumberFormat="1" applyFont="1" applyFill="1" applyBorder="1" applyAlignment="1" applyProtection="1">
      <alignment horizontal="right" vertical="center" wrapText="1"/>
    </xf>
    <xf numFmtId="165" fontId="15" fillId="0" borderId="41" xfId="26" applyNumberFormat="1" applyFont="1" applyBorder="1" applyAlignment="1" applyProtection="1">
      <alignment horizontal="right" vertical="center" shrinkToFit="1"/>
    </xf>
    <xf numFmtId="165" fontId="15" fillId="7" borderId="41" xfId="50" applyNumberFormat="1" applyFont="1" applyFill="1" applyBorder="1" applyAlignment="1" applyProtection="1">
      <alignment horizontal="right" vertical="center" wrapText="1"/>
      <protection locked="0"/>
    </xf>
    <xf numFmtId="165" fontId="15" fillId="4" borderId="41" xfId="50" applyNumberFormat="1" applyFont="1" applyFill="1" applyBorder="1" applyAlignment="1" applyProtection="1">
      <alignment horizontal="right" vertical="center" wrapText="1"/>
      <protection locked="0"/>
    </xf>
    <xf numFmtId="6" fontId="15" fillId="0" borderId="84" xfId="26" applyNumberFormat="1" applyFont="1" applyBorder="1" applyProtection="1"/>
    <xf numFmtId="0" fontId="79" fillId="0" borderId="0" xfId="74" applyFont="1" applyAlignment="1">
      <alignment horizontal="center" vertical="center"/>
    </xf>
    <xf numFmtId="38" fontId="15" fillId="4" borderId="26" xfId="26" applyNumberFormat="1" applyFont="1" applyFill="1" applyBorder="1" applyAlignment="1" applyProtection="1">
      <alignment horizontal="left" vertical="center" indent="1" shrinkToFit="1"/>
      <protection locked="0"/>
    </xf>
    <xf numFmtId="38" fontId="15" fillId="0" borderId="26" xfId="26" applyNumberFormat="1" applyFont="1" applyBorder="1" applyAlignment="1" applyProtection="1">
      <alignment horizontal="left" vertical="center" indent="1" shrinkToFit="1"/>
    </xf>
    <xf numFmtId="0" fontId="25" fillId="0" borderId="0" xfId="63" applyFont="1">
      <alignment horizontal="left" vertical="center"/>
    </xf>
    <xf numFmtId="0" fontId="26" fillId="0" borderId="0" xfId="64" quotePrefix="1" applyFont="1" applyBorder="1" applyAlignment="1">
      <alignment horizontal="center" vertical="center"/>
    </xf>
    <xf numFmtId="0" fontId="15" fillId="0" borderId="0" xfId="50" quotePrefix="1" applyFont="1" applyAlignment="1">
      <alignment horizontal="left" vertical="center"/>
    </xf>
    <xf numFmtId="165" fontId="26" fillId="0" borderId="0" xfId="50" applyNumberFormat="1" applyFont="1" applyAlignment="1">
      <alignment horizontal="center" vertical="center"/>
    </xf>
    <xf numFmtId="165" fontId="15" fillId="0" borderId="0" xfId="50" applyNumberFormat="1" applyFont="1" applyBorder="1" applyAlignment="1" applyProtection="1">
      <alignment horizontal="center" vertical="center"/>
      <protection locked="0"/>
    </xf>
    <xf numFmtId="0" fontId="15" fillId="0" borderId="0" xfId="50" applyFont="1" applyBorder="1" applyAlignment="1" applyProtection="1">
      <alignment horizontal="left" vertical="center" wrapText="1" indent="1"/>
      <protection locked="0"/>
    </xf>
    <xf numFmtId="0" fontId="15" fillId="0" borderId="0" xfId="50" applyFont="1" applyBorder="1" applyAlignment="1">
      <alignment horizontal="center" vertical="center"/>
    </xf>
    <xf numFmtId="0" fontId="25" fillId="0" borderId="0" xfId="63" applyFont="1" applyBorder="1" applyAlignment="1">
      <alignment vertical="center"/>
    </xf>
    <xf numFmtId="0" fontId="15" fillId="0" borderId="84" xfId="26" applyFont="1" applyBorder="1" applyAlignment="1" applyProtection="1">
      <alignment vertical="center"/>
    </xf>
    <xf numFmtId="0" fontId="76" fillId="0" borderId="39" xfId="26" applyFont="1" applyBorder="1" applyAlignment="1" applyProtection="1"/>
    <xf numFmtId="0" fontId="79" fillId="0" borderId="0" xfId="26" applyFont="1" applyBorder="1" applyAlignment="1" applyProtection="1">
      <alignment horizontal="center" vertical="center" shrinkToFit="1"/>
    </xf>
    <xf numFmtId="0" fontId="15" fillId="0" borderId="0" xfId="26" applyFont="1" applyBorder="1" applyAlignment="1" applyProtection="1">
      <alignment vertical="top"/>
    </xf>
    <xf numFmtId="0" fontId="15" fillId="0" borderId="0" xfId="26" applyFont="1" applyBorder="1" applyAlignment="1" applyProtection="1">
      <alignment horizontal="right" vertical="top"/>
    </xf>
    <xf numFmtId="0" fontId="75" fillId="0" borderId="0" xfId="26" applyFont="1" applyBorder="1" applyAlignment="1" applyProtection="1">
      <alignment horizontal="right" vertical="top"/>
    </xf>
    <xf numFmtId="0" fontId="15" fillId="4" borderId="46" xfId="26" applyFont="1" applyFill="1" applyBorder="1" applyAlignment="1" applyProtection="1">
      <alignment horizontal="center" vertical="center" shrinkToFit="1"/>
      <protection locked="0"/>
    </xf>
    <xf numFmtId="0" fontId="15" fillId="0" borderId="46" xfId="26" applyFont="1" applyBorder="1" applyAlignment="1" applyProtection="1">
      <alignment horizontal="left" vertical="center" indent="1"/>
    </xf>
    <xf numFmtId="3" fontId="15" fillId="0" borderId="0" xfId="26" applyNumberFormat="1" applyFont="1" applyBorder="1" applyAlignment="1" applyProtection="1">
      <alignment horizontal="left" vertical="center" wrapText="1" indent="1"/>
    </xf>
    <xf numFmtId="6" fontId="76" fillId="0" borderId="0" xfId="26" applyNumberFormat="1" applyFont="1" applyBorder="1" applyAlignment="1" applyProtection="1">
      <alignment horizontal="left" vertical="center" indent="1" shrinkToFit="1"/>
    </xf>
    <xf numFmtId="2" fontId="15" fillId="4" borderId="46" xfId="26" applyNumberFormat="1" applyFont="1" applyFill="1" applyBorder="1" applyAlignment="1" applyProtection="1">
      <alignment horizontal="center" vertical="center" shrinkToFit="1"/>
      <protection locked="0"/>
    </xf>
    <xf numFmtId="0" fontId="15" fillId="4" borderId="46" xfId="26" applyFont="1" applyFill="1" applyBorder="1" applyAlignment="1" applyProtection="1">
      <alignment horizontal="left" vertical="center" indent="1" shrinkToFit="1"/>
      <protection locked="0"/>
    </xf>
    <xf numFmtId="0" fontId="15" fillId="0" borderId="41" xfId="26" applyFont="1" applyBorder="1" applyAlignment="1" applyProtection="1">
      <alignment horizontal="left" vertical="center" indent="1"/>
    </xf>
    <xf numFmtId="6" fontId="62" fillId="0" borderId="0" xfId="26" applyNumberFormat="1" applyFont="1" applyBorder="1" applyProtection="1"/>
    <xf numFmtId="0" fontId="15" fillId="7" borderId="47" xfId="50" applyFont="1" applyFill="1" applyBorder="1" applyAlignment="1" applyProtection="1">
      <alignment horizontal="center" vertical="center" wrapText="1"/>
      <protection locked="0"/>
    </xf>
    <xf numFmtId="0" fontId="39" fillId="7" borderId="0" xfId="26" applyFont="1" applyFill="1" applyBorder="1" applyAlignment="1" applyProtection="1">
      <alignment horizontal="left" vertical="center" indent="1"/>
    </xf>
    <xf numFmtId="0" fontId="39" fillId="38" borderId="0" xfId="26" applyFont="1" applyFill="1" applyBorder="1" applyAlignment="1" applyProtection="1">
      <alignment horizontal="center" vertical="center"/>
    </xf>
    <xf numFmtId="0" fontId="39" fillId="7" borderId="0" xfId="26" applyFont="1" applyFill="1" applyBorder="1" applyAlignment="1" applyProtection="1">
      <alignment horizontal="center" vertical="center"/>
    </xf>
    <xf numFmtId="0" fontId="39" fillId="7" borderId="39" xfId="26" applyFont="1" applyFill="1" applyBorder="1" applyAlignment="1" applyProtection="1">
      <alignment horizontal="left" vertical="center" indent="1"/>
    </xf>
    <xf numFmtId="0" fontId="39" fillId="38" borderId="39" xfId="26" applyFont="1" applyFill="1" applyBorder="1" applyAlignment="1" applyProtection="1">
      <alignment horizontal="center" vertical="center"/>
    </xf>
    <xf numFmtId="0" fontId="15" fillId="0" borderId="84" xfId="26" applyFont="1" applyBorder="1" applyAlignment="1" applyProtection="1">
      <alignment horizontal="left" vertical="center" indent="1"/>
    </xf>
    <xf numFmtId="6" fontId="76" fillId="0" borderId="41" xfId="26" applyNumberFormat="1" applyFont="1" applyBorder="1" applyAlignment="1" applyProtection="1">
      <alignment horizontal="left" vertical="center" indent="1" shrinkToFit="1"/>
    </xf>
    <xf numFmtId="6" fontId="15" fillId="0" borderId="41" xfId="26" applyNumberFormat="1" applyFont="1" applyBorder="1" applyAlignment="1" applyProtection="1">
      <alignment horizontal="left" vertical="center" indent="1" shrinkToFit="1"/>
    </xf>
    <xf numFmtId="0" fontId="15" fillId="4" borderId="41" xfId="50" applyFont="1" applyFill="1" applyBorder="1" applyAlignment="1" applyProtection="1">
      <alignment vertical="center" wrapText="1"/>
      <protection locked="0"/>
    </xf>
    <xf numFmtId="0" fontId="39" fillId="7" borderId="0" xfId="50" applyFont="1" applyFill="1" applyBorder="1" applyAlignment="1" applyProtection="1">
      <alignment horizontal="center" vertical="center" wrapText="1"/>
    </xf>
    <xf numFmtId="0" fontId="39" fillId="7" borderId="39" xfId="50" applyFont="1" applyFill="1" applyBorder="1" applyAlignment="1" applyProtection="1">
      <alignment horizontal="center" vertical="center" wrapText="1"/>
    </xf>
    <xf numFmtId="0" fontId="51" fillId="0" borderId="0" xfId="26" applyFont="1" applyBorder="1" applyAlignment="1" applyProtection="1">
      <alignment horizontal="center"/>
    </xf>
    <xf numFmtId="0" fontId="15" fillId="4" borderId="41" xfId="26" applyFont="1" applyFill="1" applyBorder="1" applyAlignment="1" applyProtection="1">
      <alignment horizontal="center" vertical="center" shrinkToFit="1"/>
      <protection locked="0"/>
    </xf>
    <xf numFmtId="2" fontId="15" fillId="4" borderId="41" xfId="26" applyNumberFormat="1" applyFont="1" applyFill="1" applyBorder="1" applyAlignment="1" applyProtection="1">
      <alignment horizontal="center" vertical="center" shrinkToFit="1"/>
      <protection locked="0"/>
    </xf>
    <xf numFmtId="6" fontId="76" fillId="4" borderId="41" xfId="26" applyNumberFormat="1" applyFont="1" applyFill="1" applyBorder="1" applyAlignment="1" applyProtection="1">
      <alignment horizontal="left" vertical="center" indent="1" shrinkToFit="1"/>
      <protection locked="0"/>
    </xf>
    <xf numFmtId="0" fontId="39" fillId="0" borderId="0" xfId="26" applyFont="1" applyBorder="1" applyAlignment="1" applyProtection="1">
      <alignment horizontal="center" vertical="center" wrapText="1"/>
    </xf>
    <xf numFmtId="0" fontId="15" fillId="4" borderId="41" xfId="26" applyFont="1" applyFill="1" applyBorder="1" applyAlignment="1" applyProtection="1">
      <alignment vertical="center" shrinkToFit="1"/>
      <protection locked="0"/>
    </xf>
    <xf numFmtId="38" fontId="15" fillId="4" borderId="41" xfId="26" applyNumberFormat="1" applyFont="1" applyFill="1" applyBorder="1" applyAlignment="1" applyProtection="1">
      <alignment horizontal="left" vertical="center" indent="1" shrinkToFit="1"/>
      <protection locked="0"/>
    </xf>
    <xf numFmtId="0" fontId="15" fillId="4" borderId="43" xfId="50" applyFont="1" applyFill="1" applyBorder="1" applyAlignment="1" applyProtection="1">
      <alignment vertical="top" wrapText="1"/>
      <protection locked="0"/>
    </xf>
    <xf numFmtId="0" fontId="39" fillId="0" borderId="47" xfId="26" applyFont="1" applyBorder="1" applyAlignment="1" applyProtection="1">
      <alignment vertical="center"/>
    </xf>
    <xf numFmtId="6" fontId="15" fillId="4" borderId="41" xfId="26" applyNumberFormat="1" applyFont="1" applyFill="1" applyBorder="1" applyAlignment="1" applyProtection="1">
      <alignment horizontal="left" vertical="center" indent="1" shrinkToFit="1"/>
      <protection locked="0"/>
    </xf>
    <xf numFmtId="0" fontId="39" fillId="0" borderId="0" xfId="26" applyFont="1" applyBorder="1" applyAlignment="1" applyProtection="1">
      <alignment horizontal="right" vertical="center" indent="1"/>
    </xf>
    <xf numFmtId="6" fontId="15" fillId="0" borderId="0" xfId="26" applyNumberFormat="1" applyFont="1" applyBorder="1" applyAlignment="1" applyProtection="1">
      <alignment horizontal="left" vertical="center" indent="1" shrinkToFit="1"/>
    </xf>
    <xf numFmtId="0" fontId="39" fillId="0" borderId="0" xfId="26" applyFont="1" applyBorder="1" applyAlignment="1" applyProtection="1">
      <alignment horizontal="right" vertical="center" indent="2"/>
    </xf>
    <xf numFmtId="0" fontId="48" fillId="0" borderId="0" xfId="26" applyFont="1" applyBorder="1" applyAlignment="1" applyProtection="1">
      <alignment horizontal="center"/>
    </xf>
    <xf numFmtId="0" fontId="39" fillId="0" borderId="26" xfId="26" applyFont="1" applyBorder="1" applyAlignment="1" applyProtection="1">
      <alignment horizontal="right" vertical="center" indent="2"/>
    </xf>
    <xf numFmtId="38" fontId="48" fillId="0" borderId="0" xfId="26" applyNumberFormat="1" applyFont="1" applyBorder="1" applyAlignment="1" applyProtection="1">
      <alignment horizontal="center" vertical="center"/>
    </xf>
    <xf numFmtId="0" fontId="15" fillId="0" borderId="84" xfId="50" applyFont="1" applyBorder="1" applyAlignment="1" applyProtection="1">
      <alignment vertical="top" wrapText="1"/>
    </xf>
    <xf numFmtId="0" fontId="15" fillId="0" borderId="47" xfId="50" applyFont="1" applyBorder="1" applyAlignment="1" applyProtection="1">
      <alignment vertical="top" wrapText="1"/>
    </xf>
    <xf numFmtId="6" fontId="76" fillId="7" borderId="41" xfId="26" applyNumberFormat="1" applyFont="1" applyFill="1" applyBorder="1" applyAlignment="1" applyProtection="1">
      <alignment horizontal="left" vertical="center" indent="1" shrinkToFit="1"/>
      <protection locked="0"/>
    </xf>
    <xf numFmtId="6" fontId="15" fillId="7" borderId="0" xfId="26" applyNumberFormat="1" applyFont="1" applyFill="1" applyBorder="1" applyProtection="1"/>
    <xf numFmtId="0" fontId="39" fillId="0" borderId="0" xfId="26" applyFont="1" applyFill="1" applyBorder="1" applyAlignment="1" applyProtection="1">
      <alignment horizontal="right" vertical="center" indent="1"/>
    </xf>
    <xf numFmtId="0" fontId="50" fillId="7" borderId="0" xfId="50" applyFont="1" applyFill="1" applyBorder="1" applyAlignment="1" applyProtection="1">
      <alignment horizontal="center" vertical="center" textRotation="90" wrapText="1"/>
    </xf>
    <xf numFmtId="0" fontId="15" fillId="0" borderId="84" xfId="8" applyFont="1" applyBorder="1" applyAlignment="1" applyProtection="1">
      <alignment vertical="center"/>
    </xf>
    <xf numFmtId="0" fontId="15" fillId="0" borderId="43" xfId="8" applyFont="1" applyBorder="1" applyAlignment="1" applyProtection="1">
      <alignment vertical="center"/>
    </xf>
    <xf numFmtId="0" fontId="50" fillId="7" borderId="0" xfId="19" applyFont="1" applyFill="1" applyBorder="1" applyAlignment="1" applyProtection="1">
      <alignment vertical="center" wrapText="1"/>
    </xf>
    <xf numFmtId="0" fontId="15" fillId="7" borderId="43" xfId="19" applyFont="1" applyFill="1" applyBorder="1" applyAlignment="1" applyProtection="1">
      <alignment vertical="center" wrapText="1"/>
    </xf>
    <xf numFmtId="0" fontId="50" fillId="7" borderId="43" xfId="19" applyFont="1" applyFill="1" applyBorder="1" applyAlignment="1" applyProtection="1">
      <alignment vertical="center" wrapText="1"/>
    </xf>
    <xf numFmtId="0" fontId="15" fillId="7" borderId="84" xfId="19" applyFont="1" applyFill="1" applyBorder="1" applyAlignment="1" applyProtection="1">
      <alignment vertical="center" wrapText="1"/>
    </xf>
    <xf numFmtId="0" fontId="25" fillId="14" borderId="0" xfId="69" applyFont="1" applyFill="1" applyProtection="1"/>
    <xf numFmtId="0" fontId="48" fillId="0" borderId="0" xfId="26" applyFont="1" applyBorder="1" applyAlignment="1">
      <alignment vertical="center" wrapText="1"/>
    </xf>
    <xf numFmtId="0" fontId="15" fillId="0" borderId="0" xfId="0" applyFont="1" applyAlignment="1">
      <alignment horizontal="left" vertical="center"/>
    </xf>
    <xf numFmtId="0" fontId="15" fillId="4" borderId="26" xfId="74" applyFont="1" applyFill="1" applyBorder="1" applyAlignment="1">
      <alignment horizontal="center" vertical="center"/>
    </xf>
    <xf numFmtId="0" fontId="15" fillId="0" borderId="0" xfId="26" applyFont="1" applyProtection="1"/>
    <xf numFmtId="10" fontId="28" fillId="7" borderId="71" xfId="74" applyNumberFormat="1" applyFont="1" applyFill="1" applyBorder="1" applyAlignment="1">
      <alignment horizontal="center" vertical="center"/>
    </xf>
    <xf numFmtId="0" fontId="91" fillId="7" borderId="79" xfId="74" applyFont="1" applyFill="1" applyBorder="1" applyAlignment="1">
      <alignment vertical="center" wrapText="1"/>
    </xf>
    <xf numFmtId="10" fontId="28" fillId="7" borderId="41" xfId="74" applyNumberFormat="1" applyFont="1" applyFill="1" applyBorder="1" applyAlignment="1">
      <alignment horizontal="center" vertical="center"/>
    </xf>
    <xf numFmtId="0" fontId="15" fillId="0" borderId="84" xfId="0" applyFont="1" applyBorder="1" applyAlignment="1">
      <alignment vertical="center"/>
    </xf>
    <xf numFmtId="165" fontId="25" fillId="0" borderId="0" xfId="8" applyNumberFormat="1" applyFont="1" applyFill="1" applyBorder="1" applyAlignment="1" applyProtection="1">
      <alignment vertical="center"/>
    </xf>
    <xf numFmtId="165" fontId="25" fillId="7" borderId="0" xfId="8" applyNumberFormat="1" applyFont="1" applyFill="1" applyBorder="1" applyAlignment="1" applyProtection="1">
      <alignment vertical="center"/>
    </xf>
    <xf numFmtId="0" fontId="15" fillId="14" borderId="0" xfId="0" applyFont="1" applyFill="1" applyAlignment="1">
      <alignment horizontal="left" vertical="center"/>
    </xf>
    <xf numFmtId="0" fontId="50" fillId="0" borderId="0" xfId="26" applyFont="1" applyBorder="1" applyAlignment="1" applyProtection="1">
      <alignment vertical="center"/>
    </xf>
    <xf numFmtId="0" fontId="50" fillId="0" borderId="0" xfId="26" applyFont="1" applyBorder="1" applyAlignment="1" applyProtection="1">
      <alignment horizontal="left" vertical="center" indent="1"/>
    </xf>
    <xf numFmtId="0" fontId="50" fillId="0" borderId="0" xfId="26" applyFont="1" applyBorder="1" applyAlignment="1" applyProtection="1">
      <alignment horizontal="center" vertical="center"/>
    </xf>
    <xf numFmtId="167" fontId="17" fillId="0" borderId="0" xfId="26" applyNumberFormat="1" applyFont="1" applyBorder="1" applyAlignment="1" applyProtection="1">
      <alignment vertical="center"/>
    </xf>
    <xf numFmtId="0" fontId="25" fillId="0" borderId="0" xfId="74" quotePrefix="1" applyFont="1" applyBorder="1" applyAlignment="1">
      <alignment vertical="center" wrapText="1"/>
    </xf>
    <xf numFmtId="0" fontId="25" fillId="0" borderId="0" xfId="74" quotePrefix="1" applyFont="1" applyBorder="1" applyAlignment="1">
      <alignment horizontal="center" vertical="center" wrapText="1"/>
    </xf>
    <xf numFmtId="0" fontId="25" fillId="3" borderId="71" xfId="74" applyFont="1" applyFill="1" applyBorder="1" applyAlignment="1">
      <alignment horizontal="center" vertical="center" wrapText="1"/>
    </xf>
    <xf numFmtId="10" fontId="28" fillId="7" borderId="76" xfId="74" applyNumberFormat="1" applyFont="1" applyFill="1" applyBorder="1" applyAlignment="1">
      <alignment horizontal="center" vertical="center"/>
    </xf>
    <xf numFmtId="165" fontId="120" fillId="7" borderId="93" xfId="74" applyNumberFormat="1" applyFont="1" applyFill="1" applyBorder="1" applyAlignment="1">
      <alignment horizontal="center" vertical="center"/>
    </xf>
    <xf numFmtId="0" fontId="25" fillId="3" borderId="93" xfId="74" applyFont="1" applyFill="1" applyBorder="1" applyAlignment="1">
      <alignment horizontal="center" vertical="center" wrapText="1"/>
    </xf>
    <xf numFmtId="165" fontId="120" fillId="7" borderId="94" xfId="74" applyNumberFormat="1" applyFont="1" applyFill="1" applyBorder="1" applyAlignment="1">
      <alignment horizontal="center" vertical="center"/>
    </xf>
    <xf numFmtId="0" fontId="25" fillId="3" borderId="94" xfId="74" applyFont="1" applyFill="1" applyBorder="1" applyAlignment="1">
      <alignment horizontal="center" vertical="center" wrapText="1"/>
    </xf>
    <xf numFmtId="0" fontId="26" fillId="0" borderId="100" xfId="74" applyFont="1" applyBorder="1" applyAlignment="1">
      <alignment vertical="center"/>
    </xf>
    <xf numFmtId="0" fontId="25" fillId="0" borderId="13" xfId="74" applyFont="1" applyBorder="1" applyAlignment="1">
      <alignment horizontal="center" vertical="center" wrapText="1"/>
    </xf>
    <xf numFmtId="165" fontId="25" fillId="4" borderId="99" xfId="74" applyNumberFormat="1" applyFont="1" applyFill="1" applyBorder="1" applyAlignment="1">
      <alignment horizontal="center" vertical="center"/>
    </xf>
    <xf numFmtId="0" fontId="25" fillId="0" borderId="92" xfId="74" applyFont="1" applyBorder="1" applyAlignment="1">
      <alignment vertical="center"/>
    </xf>
    <xf numFmtId="165" fontId="120" fillId="7" borderId="101" xfId="74" applyNumberFormat="1" applyFont="1" applyFill="1" applyBorder="1" applyAlignment="1">
      <alignment horizontal="center" vertical="center"/>
    </xf>
    <xf numFmtId="0" fontId="25" fillId="3" borderId="101" xfId="74" applyFont="1" applyFill="1" applyBorder="1" applyAlignment="1">
      <alignment horizontal="center" vertical="center" wrapText="1"/>
    </xf>
    <xf numFmtId="0" fontId="35" fillId="0" borderId="0" xfId="8" applyFont="1" applyBorder="1" applyAlignment="1" applyProtection="1">
      <alignment vertical="center" wrapText="1"/>
    </xf>
    <xf numFmtId="0" fontId="15" fillId="0" borderId="0" xfId="0" applyFont="1" applyAlignment="1">
      <alignment horizontal="left" vertical="center"/>
    </xf>
    <xf numFmtId="0" fontId="15" fillId="0" borderId="0" xfId="74" quotePrefix="1" applyFont="1" applyBorder="1" applyAlignment="1">
      <alignment vertical="center" wrapText="1"/>
    </xf>
    <xf numFmtId="0" fontId="25" fillId="0" borderId="0" xfId="74" quotePrefix="1" applyFont="1" applyBorder="1" applyAlignment="1">
      <alignment horizontal="center" vertical="center"/>
    </xf>
    <xf numFmtId="0" fontId="103" fillId="0" borderId="99" xfId="74" applyNumberFormat="1" applyFont="1" applyBorder="1" applyAlignment="1">
      <alignment horizontal="center" vertical="center"/>
    </xf>
    <xf numFmtId="0" fontId="103" fillId="0" borderId="99" xfId="74" applyFont="1" applyBorder="1" applyAlignment="1">
      <alignment horizontal="center" vertical="center"/>
    </xf>
    <xf numFmtId="0" fontId="15" fillId="0" borderId="0" xfId="0" applyFont="1" applyAlignment="1">
      <alignment horizontal="left" vertical="center"/>
    </xf>
    <xf numFmtId="0" fontId="25" fillId="14" borderId="0" xfId="8" applyFont="1" applyFill="1" applyAlignment="1" applyProtection="1">
      <alignment horizontal="center" vertical="center"/>
    </xf>
    <xf numFmtId="0" fontId="141" fillId="0" borderId="26" xfId="74" applyFont="1" applyBorder="1" applyAlignment="1">
      <alignment horizontal="center" vertical="center"/>
    </xf>
    <xf numFmtId="0" fontId="142" fillId="0" borderId="99" xfId="74" applyNumberFormat="1" applyFont="1" applyBorder="1" applyAlignment="1">
      <alignment horizontal="center" vertical="center"/>
    </xf>
    <xf numFmtId="0" fontId="142" fillId="0" borderId="26" xfId="74" applyNumberFormat="1" applyFont="1" applyBorder="1" applyAlignment="1">
      <alignment horizontal="center" vertical="center"/>
    </xf>
    <xf numFmtId="0" fontId="142" fillId="0" borderId="26" xfId="74" applyFont="1" applyBorder="1" applyAlignment="1">
      <alignment horizontal="center" vertical="center"/>
    </xf>
    <xf numFmtId="0" fontId="142" fillId="0" borderId="99" xfId="74" applyFont="1" applyBorder="1" applyAlignment="1">
      <alignment horizontal="center" vertical="center"/>
    </xf>
    <xf numFmtId="0" fontId="15" fillId="0" borderId="0" xfId="0" applyFont="1" applyAlignment="1">
      <alignment horizontal="left" vertical="center"/>
    </xf>
    <xf numFmtId="0" fontId="15" fillId="0" borderId="0" xfId="26" applyFont="1" applyProtection="1"/>
    <xf numFmtId="0" fontId="15" fillId="4" borderId="99" xfId="26" applyFont="1" applyFill="1" applyBorder="1" applyAlignment="1" applyProtection="1">
      <alignment horizontal="center" vertical="center"/>
      <protection locked="0"/>
    </xf>
    <xf numFmtId="0" fontId="15" fillId="7" borderId="13" xfId="26" applyFont="1" applyFill="1" applyBorder="1" applyAlignment="1" applyProtection="1">
      <alignment horizontal="center" vertical="center" wrapText="1"/>
    </xf>
    <xf numFmtId="165" fontId="15" fillId="4" borderId="47" xfId="26" applyNumberFormat="1" applyFont="1" applyFill="1" applyBorder="1" applyAlignment="1" applyProtection="1">
      <alignment horizontal="right" vertical="center"/>
      <protection locked="0"/>
    </xf>
    <xf numFmtId="165" fontId="15" fillId="7" borderId="66" xfId="21" applyNumberFormat="1" applyFont="1" applyFill="1" applyBorder="1" applyAlignment="1" applyProtection="1">
      <alignment horizontal="center" vertical="center"/>
      <protection locked="0"/>
    </xf>
    <xf numFmtId="0" fontId="15" fillId="7" borderId="63" xfId="21" applyFont="1" applyFill="1" applyBorder="1" applyAlignment="1" applyProtection="1">
      <alignment horizontal="left" vertical="center"/>
      <protection locked="0"/>
    </xf>
    <xf numFmtId="165" fontId="15" fillId="7" borderId="57" xfId="21" applyNumberFormat="1" applyFont="1" applyFill="1" applyBorder="1" applyAlignment="1" applyProtection="1">
      <alignment horizontal="center" vertical="center"/>
      <protection locked="0"/>
    </xf>
    <xf numFmtId="0" fontId="15" fillId="7" borderId="58" xfId="21" applyFont="1" applyFill="1" applyBorder="1" applyAlignment="1" applyProtection="1">
      <alignment horizontal="left" vertical="center"/>
      <protection locked="0"/>
    </xf>
    <xf numFmtId="165" fontId="15" fillId="7" borderId="59" xfId="21" applyNumberFormat="1" applyFont="1" applyFill="1" applyBorder="1" applyAlignment="1" applyProtection="1">
      <alignment horizontal="center" vertical="center"/>
      <protection locked="0"/>
    </xf>
    <xf numFmtId="0" fontId="15" fillId="7" borderId="61" xfId="21" applyFont="1" applyFill="1" applyBorder="1" applyAlignment="1" applyProtection="1">
      <alignment horizontal="left" vertical="center"/>
      <protection locked="0"/>
    </xf>
    <xf numFmtId="165" fontId="15" fillId="7" borderId="47" xfId="26" applyNumberFormat="1" applyFont="1" applyFill="1" applyBorder="1" applyAlignment="1" applyProtection="1">
      <alignment horizontal="right" vertical="center"/>
      <protection locked="0"/>
    </xf>
    <xf numFmtId="0" fontId="15" fillId="4" borderId="38" xfId="26" applyFont="1" applyFill="1" applyBorder="1" applyAlignment="1" applyProtection="1">
      <alignment horizontal="center" vertical="center"/>
      <protection locked="0"/>
    </xf>
    <xf numFmtId="0" fontId="15" fillId="7" borderId="47" xfId="26" applyFont="1" applyFill="1" applyBorder="1" applyAlignment="1" applyProtection="1">
      <alignment horizontal="left" vertical="center" wrapText="1" indent="1" shrinkToFit="1"/>
      <protection locked="0"/>
    </xf>
    <xf numFmtId="0" fontId="15" fillId="0" borderId="47" xfId="8" applyFont="1" applyFill="1" applyBorder="1" applyAlignment="1" applyProtection="1">
      <alignment vertical="center"/>
    </xf>
    <xf numFmtId="0" fontId="15" fillId="0" borderId="28" xfId="8" applyFont="1" applyFill="1" applyBorder="1" applyAlignment="1" applyProtection="1">
      <alignment vertical="center"/>
    </xf>
    <xf numFmtId="0" fontId="25" fillId="0" borderId="47" xfId="8" applyFont="1" applyFill="1" applyBorder="1" applyAlignment="1" applyProtection="1">
      <alignment horizontal="left" vertical="center"/>
    </xf>
    <xf numFmtId="0" fontId="25" fillId="0" borderId="84" xfId="8" applyFont="1" applyBorder="1" applyAlignment="1" applyProtection="1">
      <alignment horizontal="center" vertical="center"/>
    </xf>
    <xf numFmtId="0" fontId="15" fillId="0" borderId="39" xfId="8" applyFont="1" applyBorder="1" applyAlignment="1" applyProtection="1">
      <alignment horizontal="left" vertical="center"/>
    </xf>
    <xf numFmtId="0" fontId="15" fillId="7" borderId="0" xfId="0" applyFont="1" applyFill="1" applyBorder="1" applyAlignment="1" applyProtection="1">
      <alignment vertical="center"/>
    </xf>
    <xf numFmtId="0" fontId="145" fillId="0" borderId="0" xfId="0" applyFont="1" applyAlignment="1" applyProtection="1">
      <alignment horizontal="center" vertical="center"/>
    </xf>
    <xf numFmtId="0" fontId="15" fillId="7" borderId="28" xfId="0" applyFont="1" applyFill="1" applyBorder="1" applyAlignment="1" applyProtection="1">
      <alignment vertical="center"/>
    </xf>
    <xf numFmtId="0" fontId="70" fillId="7" borderId="0" xfId="0" applyFont="1" applyFill="1" applyBorder="1" applyAlignment="1" applyProtection="1">
      <alignment horizontal="center" vertical="center"/>
    </xf>
    <xf numFmtId="0" fontId="15" fillId="0" borderId="43" xfId="0" applyFont="1" applyBorder="1" applyAlignment="1" applyProtection="1">
      <alignment vertical="center"/>
    </xf>
    <xf numFmtId="0" fontId="15" fillId="0" borderId="39" xfId="0" applyFont="1" applyBorder="1" applyAlignment="1" applyProtection="1">
      <alignment horizontal="left" vertical="center"/>
    </xf>
    <xf numFmtId="0" fontId="15" fillId="0" borderId="84" xfId="0" applyFont="1" applyBorder="1" applyAlignment="1" applyProtection="1">
      <alignment vertical="center"/>
    </xf>
    <xf numFmtId="0" fontId="25" fillId="0" borderId="73" xfId="8" applyFont="1" applyBorder="1" applyAlignment="1" applyProtection="1">
      <alignment horizontal="left" vertical="center"/>
    </xf>
    <xf numFmtId="0" fontId="15" fillId="7" borderId="13" xfId="19" applyFont="1" applyFill="1" applyBorder="1" applyAlignment="1" applyProtection="1">
      <alignment vertical="center" wrapText="1"/>
    </xf>
    <xf numFmtId="0" fontId="50" fillId="7" borderId="39" xfId="0" applyFont="1" applyFill="1" applyBorder="1" applyAlignment="1" applyProtection="1">
      <alignment vertical="center"/>
    </xf>
    <xf numFmtId="0" fontId="10" fillId="0" borderId="47" xfId="8" applyFont="1" applyFill="1" applyBorder="1" applyAlignment="1" applyProtection="1">
      <alignment vertical="center"/>
    </xf>
    <xf numFmtId="0" fontId="10" fillId="0" borderId="28" xfId="8" applyFont="1" applyFill="1" applyBorder="1" applyAlignment="1" applyProtection="1">
      <alignment vertical="center"/>
    </xf>
    <xf numFmtId="0" fontId="10" fillId="0" borderId="38" xfId="8" applyFont="1" applyFill="1" applyBorder="1" applyAlignment="1" applyProtection="1">
      <alignment vertical="center"/>
    </xf>
    <xf numFmtId="0" fontId="15" fillId="7" borderId="70" xfId="26" quotePrefix="1" applyFont="1" applyFill="1" applyBorder="1" applyAlignment="1" applyProtection="1">
      <alignment horizontal="center" vertical="center" wrapText="1"/>
    </xf>
    <xf numFmtId="0" fontId="15" fillId="7" borderId="39" xfId="26" quotePrefix="1" applyFont="1" applyFill="1" applyBorder="1" applyAlignment="1" applyProtection="1">
      <alignment horizontal="center" vertical="center" wrapText="1"/>
    </xf>
    <xf numFmtId="0" fontId="15" fillId="7" borderId="2" xfId="26" quotePrefix="1" applyFont="1" applyFill="1" applyBorder="1" applyAlignment="1" applyProtection="1">
      <alignment horizontal="center" vertical="center" wrapText="1"/>
    </xf>
    <xf numFmtId="42" fontId="50" fillId="7" borderId="2" xfId="26" applyNumberFormat="1" applyFont="1" applyFill="1" applyBorder="1" applyAlignment="1" applyProtection="1">
      <alignment horizontal="right"/>
    </xf>
    <xf numFmtId="0" fontId="25" fillId="34" borderId="26" xfId="74" applyFont="1" applyFill="1" applyBorder="1" applyAlignment="1">
      <alignment horizontal="center" vertical="center" textRotation="90" wrapText="1"/>
    </xf>
    <xf numFmtId="0" fontId="25" fillId="3" borderId="26" xfId="74" applyFont="1" applyFill="1" applyBorder="1" applyAlignment="1">
      <alignment horizontal="center" vertical="center" textRotation="90" wrapText="1"/>
    </xf>
    <xf numFmtId="0" fontId="25" fillId="0" borderId="28" xfId="45" applyFont="1" applyFill="1" applyBorder="1" applyAlignment="1" applyProtection="1">
      <alignment vertical="center"/>
    </xf>
    <xf numFmtId="0" fontId="25" fillId="0" borderId="4" xfId="8" applyFont="1" applyBorder="1" applyAlignment="1" applyProtection="1">
      <alignment horizontal="left" vertical="center"/>
    </xf>
    <xf numFmtId="0" fontId="15" fillId="0" borderId="0" xfId="0" applyFont="1" applyAlignment="1">
      <alignment horizontal="left" vertical="center"/>
    </xf>
    <xf numFmtId="0" fontId="55" fillId="0" borderId="0" xfId="0" applyFont="1" applyAlignment="1">
      <alignment horizontal="center" vertical="center"/>
    </xf>
    <xf numFmtId="0" fontId="25" fillId="7" borderId="0" xfId="8" applyFont="1" applyFill="1" applyAlignment="1" applyProtection="1">
      <alignment vertical="center"/>
    </xf>
    <xf numFmtId="0" fontId="15" fillId="0" borderId="0" xfId="8" applyFont="1" applyFill="1" applyBorder="1" applyAlignment="1" applyProtection="1">
      <alignment vertical="center"/>
    </xf>
    <xf numFmtId="0" fontId="15" fillId="0" borderId="0" xfId="0" applyFont="1" applyAlignment="1">
      <alignment horizontal="left" vertical="center"/>
    </xf>
    <xf numFmtId="0" fontId="143" fillId="7" borderId="0" xfId="0" applyFont="1" applyFill="1" applyAlignment="1">
      <alignment horizontal="center" vertical="center"/>
    </xf>
    <xf numFmtId="0" fontId="143" fillId="0" borderId="0" xfId="0" applyFont="1" applyAlignment="1">
      <alignment horizontal="center" vertical="center"/>
    </xf>
    <xf numFmtId="0" fontId="143" fillId="0" borderId="0" xfId="0" quotePrefix="1" applyFont="1" applyAlignment="1">
      <alignment horizontal="center" vertical="center"/>
    </xf>
    <xf numFmtId="0" fontId="15" fillId="0" borderId="0" xfId="0" applyFont="1" applyAlignment="1">
      <alignment vertical="center"/>
    </xf>
    <xf numFmtId="0" fontId="26" fillId="7" borderId="41" xfId="8" applyFont="1" applyFill="1" applyBorder="1" applyAlignment="1" applyProtection="1">
      <alignment horizontal="center" vertical="center"/>
    </xf>
    <xf numFmtId="0" fontId="26" fillId="7" borderId="41" xfId="8" applyFont="1" applyFill="1" applyBorder="1" applyAlignment="1" applyProtection="1">
      <alignment horizontal="center" vertical="center" wrapText="1"/>
    </xf>
    <xf numFmtId="0" fontId="26" fillId="47" borderId="41" xfId="8" applyFont="1" applyFill="1" applyBorder="1" applyAlignment="1" applyProtection="1">
      <alignment horizontal="center" vertical="center"/>
    </xf>
    <xf numFmtId="0" fontId="26" fillId="47" borderId="41" xfId="8" applyFont="1" applyFill="1" applyBorder="1" applyAlignment="1" applyProtection="1">
      <alignment horizontal="center" vertical="center" wrapText="1"/>
    </xf>
    <xf numFmtId="0" fontId="26" fillId="55" borderId="41" xfId="8" applyFont="1" applyFill="1" applyBorder="1" applyAlignment="1" applyProtection="1">
      <alignment horizontal="center" vertical="center" wrapText="1"/>
    </xf>
    <xf numFmtId="0" fontId="26" fillId="55" borderId="41" xfId="8" applyFont="1" applyFill="1" applyBorder="1" applyAlignment="1" applyProtection="1">
      <alignment horizontal="center" vertical="center"/>
    </xf>
    <xf numFmtId="0" fontId="26" fillId="16" borderId="41" xfId="8" applyFont="1" applyFill="1" applyBorder="1" applyAlignment="1" applyProtection="1">
      <alignment horizontal="center" vertical="center" wrapText="1"/>
    </xf>
    <xf numFmtId="0" fontId="26" fillId="16" borderId="41" xfId="8" applyFont="1" applyFill="1" applyBorder="1" applyAlignment="1" applyProtection="1">
      <alignment horizontal="center" vertical="center"/>
    </xf>
    <xf numFmtId="0" fontId="15" fillId="0" borderId="0" xfId="0" applyFont="1" applyAlignment="1">
      <alignment horizontal="left" vertical="center"/>
    </xf>
    <xf numFmtId="0" fontId="25" fillId="0" borderId="0" xfId="74" applyFont="1" applyAlignment="1">
      <alignment horizontal="center" vertical="center"/>
    </xf>
    <xf numFmtId="0" fontId="15" fillId="0" borderId="99" xfId="74" applyFont="1" applyBorder="1" applyAlignment="1">
      <alignment horizontal="center" vertical="center"/>
    </xf>
    <xf numFmtId="0" fontId="15" fillId="0" borderId="0" xfId="26" applyFont="1" applyProtection="1"/>
    <xf numFmtId="0" fontId="0" fillId="56" borderId="0" xfId="0" applyFill="1" applyProtection="1"/>
    <xf numFmtId="0" fontId="10" fillId="56" borderId="0" xfId="0" applyFont="1" applyFill="1" applyProtection="1"/>
    <xf numFmtId="0" fontId="10" fillId="56" borderId="0" xfId="0" applyFont="1" applyFill="1" applyAlignment="1" applyProtection="1">
      <alignment horizontal="left" vertical="center"/>
    </xf>
    <xf numFmtId="0" fontId="10" fillId="56" borderId="0" xfId="0" applyFont="1" applyFill="1" applyAlignment="1" applyProtection="1">
      <alignment vertical="center"/>
    </xf>
    <xf numFmtId="0" fontId="10" fillId="7" borderId="0" xfId="0" applyFont="1" applyFill="1" applyAlignment="1" applyProtection="1">
      <alignment vertical="center"/>
    </xf>
    <xf numFmtId="0" fontId="0" fillId="56" borderId="0" xfId="0" applyFill="1" applyAlignment="1" applyProtection="1">
      <alignment vertical="top"/>
    </xf>
    <xf numFmtId="0" fontId="145" fillId="0" borderId="0" xfId="0" applyFont="1" applyAlignment="1">
      <alignment horizontal="center" vertical="center"/>
    </xf>
    <xf numFmtId="0" fontId="0" fillId="56" borderId="0" xfId="0" applyFill="1" applyBorder="1" applyAlignment="1" applyProtection="1">
      <alignment horizontal="left" vertical="center"/>
    </xf>
    <xf numFmtId="0" fontId="25" fillId="0" borderId="0" xfId="8" applyFont="1" applyAlignment="1" applyProtection="1">
      <alignment horizontal="center" vertical="center"/>
    </xf>
    <xf numFmtId="0" fontId="25" fillId="7" borderId="0" xfId="8" applyFont="1" applyFill="1" applyBorder="1" applyAlignment="1" applyProtection="1">
      <alignment horizontal="left" vertical="center"/>
    </xf>
    <xf numFmtId="0" fontId="25" fillId="0" borderId="0" xfId="8" applyFont="1" applyBorder="1" applyAlignment="1" applyProtection="1">
      <alignment horizontal="left" vertical="center"/>
    </xf>
    <xf numFmtId="0" fontId="25" fillId="7" borderId="0" xfId="0" applyFont="1" applyFill="1" applyBorder="1" applyAlignment="1" applyProtection="1">
      <alignment vertical="center"/>
    </xf>
    <xf numFmtId="0" fontId="25" fillId="0" borderId="0" xfId="8" applyFont="1" applyFill="1" applyBorder="1" applyAlignment="1" applyProtection="1">
      <alignment horizontal="left" vertical="center"/>
    </xf>
    <xf numFmtId="0" fontId="25" fillId="57" borderId="0" xfId="8" applyFont="1" applyFill="1" applyAlignment="1" applyProtection="1">
      <alignment horizontal="left" vertical="center"/>
    </xf>
    <xf numFmtId="0" fontId="57" fillId="0" borderId="26" xfId="0" applyFont="1" applyFill="1" applyBorder="1" applyAlignment="1" applyProtection="1">
      <alignment horizontal="center" vertical="center" wrapText="1"/>
    </xf>
    <xf numFmtId="0" fontId="56" fillId="0" borderId="26" xfId="0" applyFont="1" applyFill="1" applyBorder="1" applyAlignment="1" applyProtection="1">
      <alignment vertical="center" wrapText="1"/>
    </xf>
    <xf numFmtId="0" fontId="56" fillId="0" borderId="26" xfId="0" applyFont="1" applyFill="1" applyBorder="1" applyAlignment="1" applyProtection="1">
      <alignment horizontal="center" vertical="center" wrapText="1"/>
    </xf>
    <xf numFmtId="0" fontId="15" fillId="0" borderId="71" xfId="74" applyNumberFormat="1" applyFont="1" applyBorder="1" applyAlignment="1">
      <alignment horizontal="center" vertical="center"/>
    </xf>
    <xf numFmtId="0" fontId="15" fillId="0" borderId="26" xfId="74" applyNumberFormat="1" applyFont="1" applyBorder="1" applyAlignment="1">
      <alignment horizontal="center" vertical="center"/>
    </xf>
    <xf numFmtId="0" fontId="15" fillId="0" borderId="71" xfId="74" applyFont="1" applyBorder="1" applyAlignment="1">
      <alignment horizontal="left" vertical="center" indent="1"/>
    </xf>
    <xf numFmtId="0" fontId="15" fillId="7" borderId="0" xfId="8" applyFont="1" applyFill="1" applyAlignment="1" applyProtection="1">
      <alignment vertical="center"/>
    </xf>
    <xf numFmtId="0" fontId="15" fillId="57" borderId="0" xfId="0" applyFont="1" applyFill="1" applyAlignment="1">
      <alignment horizontal="left" vertical="center"/>
    </xf>
    <xf numFmtId="0" fontId="15" fillId="0" borderId="0" xfId="4" applyFont="1" applyBorder="1" applyAlignment="1" applyProtection="1">
      <alignment vertical="center"/>
    </xf>
    <xf numFmtId="0" fontId="143" fillId="0" borderId="0" xfId="0" applyFont="1" applyAlignment="1">
      <alignment horizontal="left" vertical="center"/>
    </xf>
    <xf numFmtId="0" fontId="143" fillId="57" borderId="0" xfId="0" applyFont="1" applyFill="1" applyAlignment="1">
      <alignment horizontal="left" vertical="center"/>
    </xf>
    <xf numFmtId="0" fontId="64" fillId="0" borderId="0" xfId="26" applyFont="1" applyBorder="1" applyAlignment="1" applyProtection="1">
      <alignment horizontal="center" vertical="center"/>
    </xf>
    <xf numFmtId="0" fontId="39" fillId="0" borderId="0" xfId="26" applyFont="1" applyBorder="1" applyAlignment="1" applyProtection="1">
      <alignment horizontal="center" vertical="center"/>
    </xf>
    <xf numFmtId="3" fontId="15" fillId="0" borderId="0" xfId="26" applyNumberFormat="1" applyFont="1" applyAlignment="1" applyProtection="1">
      <alignment horizontal="center" vertical="center" wrapText="1"/>
    </xf>
    <xf numFmtId="0" fontId="15" fillId="0" borderId="0" xfId="26" applyFont="1" applyFill="1" applyAlignment="1" applyProtection="1">
      <alignment horizontal="center" vertical="center"/>
    </xf>
    <xf numFmtId="6" fontId="15" fillId="0" borderId="0" xfId="26" applyNumberFormat="1" applyFont="1" applyAlignment="1" applyProtection="1">
      <alignment horizontal="center" vertical="center"/>
    </xf>
    <xf numFmtId="6" fontId="15" fillId="0" borderId="0" xfId="26" applyNumberFormat="1" applyFont="1" applyBorder="1" applyAlignment="1" applyProtection="1">
      <alignment horizontal="center" vertical="center"/>
    </xf>
    <xf numFmtId="0" fontId="25" fillId="0" borderId="0" xfId="69" applyFont="1" applyAlignment="1" applyProtection="1">
      <alignment horizontal="center" vertical="center"/>
    </xf>
    <xf numFmtId="0" fontId="25" fillId="0" borderId="0" xfId="74" applyFont="1" applyAlignment="1">
      <alignment horizontal="center" vertical="center"/>
    </xf>
    <xf numFmtId="0" fontId="102" fillId="0" borderId="0" xfId="74" applyFont="1" applyAlignment="1" applyProtection="1">
      <alignment horizontal="center" vertical="center"/>
    </xf>
    <xf numFmtId="0" fontId="102" fillId="0" borderId="0" xfId="74" applyFont="1" applyAlignment="1" applyProtection="1">
      <alignment vertical="center"/>
    </xf>
    <xf numFmtId="0" fontId="1" fillId="0" borderId="0" xfId="74" applyFont="1" applyAlignment="1" applyProtection="1">
      <alignment vertical="center"/>
    </xf>
    <xf numFmtId="0" fontId="15" fillId="7" borderId="0" xfId="74" applyFont="1" applyFill="1" applyBorder="1" applyAlignment="1" applyProtection="1">
      <alignment horizontal="left" vertical="center" indent="1"/>
    </xf>
    <xf numFmtId="0" fontId="25" fillId="7" borderId="0" xfId="74" applyFont="1" applyFill="1" applyBorder="1" applyAlignment="1" applyProtection="1">
      <alignment vertical="center"/>
    </xf>
    <xf numFmtId="0" fontId="55" fillId="7" borderId="0" xfId="74" applyFont="1" applyFill="1" applyBorder="1" applyAlignment="1" applyProtection="1">
      <alignment vertical="center" wrapText="1"/>
    </xf>
    <xf numFmtId="0" fontId="102" fillId="7" borderId="0" xfId="74" applyFont="1" applyFill="1" applyBorder="1" applyProtection="1"/>
    <xf numFmtId="0" fontId="102" fillId="0" borderId="0" xfId="74" applyFont="1" applyProtection="1"/>
    <xf numFmtId="0" fontId="25" fillId="0" borderId="0" xfId="74" applyFont="1" applyBorder="1" applyAlignment="1" applyProtection="1">
      <alignment vertical="center"/>
    </xf>
    <xf numFmtId="0" fontId="61" fillId="7" borderId="0" xfId="74" applyFont="1" applyFill="1" applyBorder="1" applyAlignment="1" applyProtection="1">
      <alignment vertical="center"/>
    </xf>
    <xf numFmtId="0" fontId="61" fillId="0" borderId="0" xfId="74" applyFont="1" applyFill="1" applyBorder="1" applyAlignment="1" applyProtection="1">
      <alignment vertical="center"/>
    </xf>
    <xf numFmtId="0" fontId="102" fillId="0" borderId="0" xfId="74" applyFont="1" applyFill="1" applyProtection="1"/>
    <xf numFmtId="0" fontId="61" fillId="7" borderId="0" xfId="74" applyFont="1" applyFill="1" applyBorder="1" applyAlignment="1" applyProtection="1">
      <alignment horizontal="left" vertical="center" indent="1"/>
    </xf>
    <xf numFmtId="0" fontId="34" fillId="7" borderId="0" xfId="47" applyFont="1" applyFill="1" applyBorder="1" applyAlignment="1" applyProtection="1">
      <alignment horizontal="center"/>
    </xf>
    <xf numFmtId="0" fontId="25" fillId="7" borderId="0" xfId="74" applyFont="1" applyFill="1" applyBorder="1" applyProtection="1"/>
    <xf numFmtId="0" fontId="25" fillId="0" borderId="0" xfId="74" applyFont="1" applyBorder="1" applyAlignment="1" applyProtection="1">
      <alignment horizontal="left" vertical="center" indent="1"/>
    </xf>
    <xf numFmtId="0" fontId="25" fillId="7" borderId="0" xfId="74" applyFont="1" applyFill="1" applyBorder="1" applyAlignment="1" applyProtection="1">
      <alignment horizontal="center" vertical="center"/>
    </xf>
    <xf numFmtId="0" fontId="25" fillId="0" borderId="73" xfId="74" applyFont="1" applyBorder="1" applyAlignment="1" applyProtection="1">
      <alignment vertical="center"/>
    </xf>
    <xf numFmtId="0" fontId="34" fillId="7" borderId="73" xfId="47" applyFont="1" applyFill="1" applyBorder="1" applyAlignment="1" applyProtection="1">
      <alignment horizontal="center"/>
    </xf>
    <xf numFmtId="0" fontId="25" fillId="7" borderId="73" xfId="74" applyFont="1" applyFill="1" applyBorder="1" applyProtection="1"/>
    <xf numFmtId="0" fontId="25" fillId="0" borderId="4" xfId="74" applyFont="1" applyBorder="1" applyAlignment="1" applyProtection="1">
      <alignment vertical="center"/>
    </xf>
    <xf numFmtId="0" fontId="34" fillId="7" borderId="4" xfId="47" applyFont="1" applyFill="1" applyBorder="1" applyAlignment="1" applyProtection="1">
      <alignment horizontal="center"/>
    </xf>
    <xf numFmtId="0" fontId="25" fillId="7" borderId="4" xfId="74" applyFont="1" applyFill="1" applyBorder="1" applyProtection="1"/>
    <xf numFmtId="0" fontId="25" fillId="0" borderId="84" xfId="0" applyFont="1" applyBorder="1" applyAlignment="1" applyProtection="1">
      <alignment horizontal="center" vertical="center" wrapText="1"/>
    </xf>
    <xf numFmtId="0" fontId="25" fillId="7" borderId="0" xfId="46" applyFont="1" applyFill="1" applyBorder="1" applyAlignment="1" applyProtection="1">
      <alignment horizontal="center" vertical="center" wrapText="1"/>
    </xf>
    <xf numFmtId="0" fontId="15" fillId="0" borderId="0" xfId="0" applyFont="1" applyBorder="1" applyAlignment="1" applyProtection="1">
      <alignment vertical="center"/>
    </xf>
    <xf numFmtId="0" fontId="26" fillId="0" borderId="0" xfId="26" applyFont="1" applyAlignment="1" applyProtection="1">
      <alignment vertical="center"/>
    </xf>
    <xf numFmtId="0" fontId="25" fillId="0" borderId="83" xfId="26" applyFont="1" applyBorder="1" applyAlignment="1" applyProtection="1">
      <alignment vertical="center"/>
    </xf>
    <xf numFmtId="0" fontId="25" fillId="0" borderId="49" xfId="26" applyFont="1" applyBorder="1" applyAlignment="1" applyProtection="1">
      <alignment vertical="top" wrapText="1"/>
    </xf>
    <xf numFmtId="0" fontId="25" fillId="0" borderId="83" xfId="26" applyFont="1" applyBorder="1" applyAlignment="1" applyProtection="1">
      <alignment vertical="top" wrapText="1"/>
    </xf>
    <xf numFmtId="0" fontId="15" fillId="0" borderId="0" xfId="0" applyFont="1" applyAlignment="1">
      <alignment horizontal="left" vertical="center"/>
    </xf>
    <xf numFmtId="0" fontId="25" fillId="0" borderId="0" xfId="74" applyFont="1" applyAlignment="1">
      <alignment horizontal="center" vertical="center"/>
    </xf>
    <xf numFmtId="0" fontId="103" fillId="0" borderId="26" xfId="74" applyNumberFormat="1" applyFont="1" applyFill="1" applyBorder="1" applyAlignment="1">
      <alignment horizontal="center" vertical="center"/>
    </xf>
    <xf numFmtId="0" fontId="0" fillId="57" borderId="0" xfId="0" applyFill="1" applyProtection="1"/>
    <xf numFmtId="0" fontId="15" fillId="14" borderId="0" xfId="0" applyFont="1" applyFill="1" applyAlignment="1" applyProtection="1">
      <alignment horizontal="center" vertical="center"/>
    </xf>
    <xf numFmtId="0" fontId="15" fillId="14" borderId="0" xfId="0" applyFont="1" applyFill="1" applyProtection="1"/>
    <xf numFmtId="0" fontId="15" fillId="14" borderId="0" xfId="26" applyFont="1" applyFill="1" applyBorder="1" applyProtection="1"/>
    <xf numFmtId="3" fontId="15" fillId="0" borderId="0" xfId="26" applyNumberFormat="1" applyFont="1" applyAlignment="1" applyProtection="1">
      <alignment horizontal="center" vertical="center"/>
    </xf>
    <xf numFmtId="0" fontId="25" fillId="0" borderId="4" xfId="8" applyFont="1" applyBorder="1" applyAlignment="1" applyProtection="1">
      <alignment vertical="center" wrapText="1"/>
    </xf>
    <xf numFmtId="0" fontId="25" fillId="0" borderId="115" xfId="8" applyFont="1" applyBorder="1" applyAlignment="1" applyProtection="1">
      <alignment horizontal="left" vertical="center" wrapText="1"/>
    </xf>
    <xf numFmtId="0" fontId="14" fillId="0" borderId="0" xfId="0" applyFont="1" applyAlignment="1">
      <alignment vertical="center"/>
    </xf>
    <xf numFmtId="0" fontId="15" fillId="59" borderId="0" xfId="0" applyFont="1" applyFill="1" applyProtection="1"/>
    <xf numFmtId="0" fontId="25" fillId="59" borderId="0" xfId="8" applyFont="1" applyFill="1" applyAlignment="1" applyProtection="1">
      <alignment horizontal="left" vertical="center"/>
    </xf>
    <xf numFmtId="0" fontId="143" fillId="0" borderId="0" xfId="0" quotePrefix="1" applyFont="1" applyAlignment="1">
      <alignment vertical="center"/>
    </xf>
    <xf numFmtId="0" fontId="25" fillId="60" borderId="0" xfId="8" applyFont="1" applyFill="1" applyAlignment="1" applyProtection="1">
      <alignment horizontal="left" vertical="center"/>
    </xf>
    <xf numFmtId="0" fontId="25" fillId="61" borderId="0" xfId="8" applyFont="1" applyFill="1" applyAlignment="1" applyProtection="1">
      <alignment horizontal="left" vertical="center"/>
    </xf>
    <xf numFmtId="10" fontId="28" fillId="7" borderId="124" xfId="74" applyNumberFormat="1" applyFont="1" applyFill="1" applyBorder="1" applyAlignment="1">
      <alignment horizontal="center" vertical="center"/>
    </xf>
    <xf numFmtId="10" fontId="28" fillId="7" borderId="125" xfId="74" applyNumberFormat="1" applyFont="1" applyFill="1" applyBorder="1" applyAlignment="1">
      <alignment horizontal="center" vertical="center"/>
    </xf>
    <xf numFmtId="0" fontId="120" fillId="7" borderId="124" xfId="74" applyFont="1" applyFill="1" applyBorder="1" applyAlignment="1">
      <alignment horizontal="center" vertical="center"/>
    </xf>
    <xf numFmtId="0" fontId="25" fillId="7" borderId="124" xfId="74" applyFont="1" applyFill="1" applyBorder="1" applyAlignment="1">
      <alignment horizontal="center" vertical="center" textRotation="90" wrapText="1"/>
    </xf>
    <xf numFmtId="0" fontId="15" fillId="4" borderId="126" xfId="74" applyFont="1" applyFill="1" applyBorder="1" applyAlignment="1">
      <alignment horizontal="center" vertical="center"/>
    </xf>
    <xf numFmtId="0" fontId="25" fillId="46" borderId="124" xfId="74" applyFont="1" applyFill="1" applyBorder="1" applyAlignment="1">
      <alignment horizontal="center" vertical="center" textRotation="90" wrapText="1"/>
    </xf>
    <xf numFmtId="165" fontId="15" fillId="7" borderId="47" xfId="26" applyNumberFormat="1" applyFont="1" applyFill="1" applyBorder="1" applyAlignment="1" applyProtection="1">
      <alignment horizontal="right" vertical="center"/>
    </xf>
    <xf numFmtId="0" fontId="29" fillId="14" borderId="0" xfId="0" applyFont="1" applyFill="1" applyProtection="1"/>
    <xf numFmtId="0" fontId="25" fillId="7" borderId="0" xfId="12" quotePrefix="1" applyFont="1" applyFill="1" applyBorder="1" applyAlignment="1" applyProtection="1">
      <alignment horizontal="center" vertical="center" wrapText="1"/>
    </xf>
    <xf numFmtId="0" fontId="50" fillId="7" borderId="0" xfId="12" quotePrefix="1" applyFont="1" applyFill="1" applyBorder="1" applyAlignment="1" applyProtection="1">
      <alignment horizontal="left" vertical="center" wrapText="1"/>
    </xf>
    <xf numFmtId="0" fontId="25" fillId="0" borderId="84" xfId="8" applyFont="1" applyBorder="1" applyAlignment="1" applyProtection="1">
      <alignment vertical="center"/>
    </xf>
    <xf numFmtId="0" fontId="25" fillId="0" borderId="43" xfId="8" applyFont="1" applyBorder="1" applyAlignment="1" applyProtection="1">
      <alignment vertical="center"/>
    </xf>
    <xf numFmtId="0" fontId="55" fillId="0" borderId="47" xfId="8" applyFont="1" applyBorder="1" applyAlignment="1" applyProtection="1">
      <alignment horizontal="center" vertical="center"/>
    </xf>
    <xf numFmtId="0" fontId="50" fillId="7" borderId="0" xfId="12" quotePrefix="1" applyFont="1" applyFill="1" applyBorder="1" applyAlignment="1" applyProtection="1">
      <alignment horizontal="center" vertical="center" wrapText="1"/>
    </xf>
    <xf numFmtId="0" fontId="25" fillId="0" borderId="0" xfId="8" applyFont="1" applyAlignment="1" applyProtection="1">
      <alignment horizontal="left" vertical="center"/>
    </xf>
    <xf numFmtId="0" fontId="157" fillId="0" borderId="26" xfId="74" applyFont="1" applyBorder="1" applyAlignment="1">
      <alignment horizontal="left" vertical="center" indent="1"/>
    </xf>
    <xf numFmtId="0" fontId="50" fillId="7" borderId="0" xfId="12" applyFont="1" applyFill="1" applyBorder="1" applyAlignment="1" applyProtection="1">
      <alignment horizontal="center" vertical="center" wrapText="1"/>
    </xf>
    <xf numFmtId="0" fontId="25" fillId="0" borderId="0" xfId="13" applyFont="1" applyBorder="1" applyAlignment="1" applyProtection="1">
      <alignment vertical="center" wrapText="1"/>
    </xf>
    <xf numFmtId="0" fontId="25" fillId="7" borderId="84" xfId="12" applyFont="1" applyFill="1" applyBorder="1" applyAlignment="1" applyProtection="1">
      <alignment vertical="center" wrapText="1"/>
    </xf>
    <xf numFmtId="0" fontId="50" fillId="7" borderId="0" xfId="8" quotePrefix="1" applyFont="1" applyFill="1" applyBorder="1" applyAlignment="1" applyProtection="1">
      <alignment horizontal="center" vertical="center"/>
    </xf>
    <xf numFmtId="0" fontId="25" fillId="7" borderId="39" xfId="12" applyFont="1" applyFill="1" applyBorder="1" applyAlignment="1" applyProtection="1">
      <alignment vertical="center" wrapText="1"/>
    </xf>
    <xf numFmtId="0" fontId="50" fillId="7" borderId="39" xfId="12" quotePrefix="1" applyFont="1" applyFill="1" applyBorder="1" applyAlignment="1" applyProtection="1">
      <alignment horizontal="center" vertical="center" wrapText="1"/>
    </xf>
    <xf numFmtId="0" fontId="50" fillId="0" borderId="0" xfId="8" quotePrefix="1" applyFont="1" applyBorder="1" applyAlignment="1" applyProtection="1">
      <alignment horizontal="center" vertical="center"/>
    </xf>
    <xf numFmtId="0" fontId="25" fillId="7" borderId="84" xfId="8" applyFont="1" applyFill="1" applyBorder="1" applyAlignment="1" applyProtection="1">
      <alignment vertical="center"/>
    </xf>
    <xf numFmtId="0" fontId="25" fillId="7" borderId="84" xfId="8" applyFont="1" applyFill="1" applyBorder="1" applyAlignment="1" applyProtection="1">
      <alignment horizontal="left" vertical="center"/>
    </xf>
    <xf numFmtId="0" fontId="25" fillId="7" borderId="13" xfId="8" applyFont="1" applyFill="1" applyBorder="1" applyAlignment="1" applyProtection="1">
      <alignment horizontal="left" vertical="center"/>
    </xf>
    <xf numFmtId="0" fontId="50" fillId="0" borderId="0" xfId="0" applyFont="1" applyBorder="1" applyAlignment="1">
      <alignment horizontal="center" vertical="center" wrapText="1"/>
    </xf>
    <xf numFmtId="0" fontId="55" fillId="0" borderId="47" xfId="8" quotePrefix="1" applyFont="1" applyBorder="1" applyAlignment="1" applyProtection="1">
      <alignment horizontal="center" vertical="center"/>
    </xf>
    <xf numFmtId="0" fontId="50" fillId="7" borderId="0" xfId="8" quotePrefix="1" applyFont="1" applyFill="1" applyBorder="1" applyAlignment="1" applyProtection="1">
      <alignment horizontal="center" vertical="center" wrapText="1"/>
    </xf>
    <xf numFmtId="0" fontId="25" fillId="0" borderId="84" xfId="0" applyFont="1" applyBorder="1" applyAlignment="1" applyProtection="1">
      <alignment horizontal="left" vertical="center"/>
    </xf>
    <xf numFmtId="0" fontId="50" fillId="0" borderId="0" xfId="12" applyFont="1" applyFill="1" applyBorder="1" applyAlignment="1" applyProtection="1">
      <alignment horizontal="center" vertical="center" wrapText="1"/>
    </xf>
    <xf numFmtId="0" fontId="50" fillId="0" borderId="0" xfId="12" applyFont="1" applyFill="1" applyBorder="1" applyAlignment="1" applyProtection="1">
      <alignment vertical="center" wrapText="1"/>
    </xf>
    <xf numFmtId="0" fontId="26" fillId="0" borderId="0" xfId="12" applyFont="1" applyFill="1" applyBorder="1" applyAlignment="1" applyProtection="1">
      <alignment vertical="center" wrapText="1"/>
    </xf>
    <xf numFmtId="0" fontId="25" fillId="0" borderId="84" xfId="8" applyFont="1" applyBorder="1" applyAlignment="1" applyProtection="1">
      <alignment horizontal="left" vertical="center" indent="2"/>
    </xf>
    <xf numFmtId="0" fontId="50" fillId="0" borderId="0" xfId="8" applyFont="1" applyBorder="1" applyAlignment="1" applyProtection="1">
      <alignment vertical="center"/>
    </xf>
    <xf numFmtId="0" fontId="25" fillId="14" borderId="0" xfId="8" applyFont="1" applyFill="1" applyBorder="1" applyAlignment="1" applyProtection="1">
      <alignment horizontal="left" vertical="center"/>
    </xf>
    <xf numFmtId="0" fontId="50" fillId="0" borderId="0" xfId="0" quotePrefix="1" applyFont="1" applyBorder="1" applyAlignment="1" applyProtection="1">
      <alignment horizontal="center" vertical="center" wrapText="1"/>
    </xf>
    <xf numFmtId="0" fontId="15" fillId="7" borderId="0" xfId="8" applyFont="1" applyFill="1" applyBorder="1" applyAlignment="1" applyProtection="1">
      <alignment vertical="center"/>
    </xf>
    <xf numFmtId="0" fontId="25" fillId="0" borderId="71" xfId="0" applyFont="1" applyBorder="1" applyAlignment="1" applyProtection="1">
      <alignment vertical="center"/>
    </xf>
    <xf numFmtId="0" fontId="50" fillId="0" borderId="0" xfId="0" applyFont="1" applyBorder="1" applyAlignment="1" applyProtection="1">
      <alignment horizontal="center" vertical="center" wrapText="1"/>
    </xf>
    <xf numFmtId="0" fontId="10" fillId="56" borderId="0" xfId="0" applyFont="1" applyFill="1" applyAlignment="1" applyProtection="1">
      <alignment vertical="center" wrapText="1"/>
    </xf>
    <xf numFmtId="0" fontId="25" fillId="0" borderId="84" xfId="0" applyFont="1" applyBorder="1" applyAlignment="1" applyProtection="1">
      <alignment vertical="center"/>
    </xf>
    <xf numFmtId="0" fontId="25" fillId="0" borderId="47" xfId="0" applyFont="1" applyBorder="1" applyAlignment="1" applyProtection="1">
      <alignment vertical="center"/>
    </xf>
    <xf numFmtId="0" fontId="15" fillId="0" borderId="0" xfId="0" applyFont="1" applyBorder="1" applyAlignment="1">
      <alignment horizontal="center" vertical="center" wrapText="1"/>
    </xf>
    <xf numFmtId="0" fontId="25" fillId="0" borderId="47" xfId="8" applyFont="1" applyBorder="1" applyAlignment="1" applyProtection="1">
      <alignment vertical="center"/>
    </xf>
    <xf numFmtId="0" fontId="50" fillId="0" borderId="0" xfId="0" applyFont="1" applyBorder="1" applyAlignment="1" applyProtection="1">
      <alignment vertical="center" wrapText="1"/>
    </xf>
    <xf numFmtId="0" fontId="25" fillId="0" borderId="28" xfId="0" applyFont="1" applyBorder="1" applyAlignment="1" applyProtection="1">
      <alignment vertical="center" wrapText="1"/>
    </xf>
    <xf numFmtId="0" fontId="25" fillId="0" borderId="71" xfId="0" applyFont="1" applyBorder="1" applyAlignment="1" applyProtection="1">
      <alignment vertical="center" wrapText="1"/>
    </xf>
    <xf numFmtId="0" fontId="55" fillId="0" borderId="47" xfId="0" applyFont="1" applyBorder="1" applyAlignment="1" applyProtection="1">
      <alignment horizontal="center" vertical="center"/>
    </xf>
    <xf numFmtId="0" fontId="15" fillId="57" borderId="0" xfId="8" applyFont="1" applyFill="1" applyAlignment="1" applyProtection="1">
      <alignment horizontal="left" vertical="center"/>
    </xf>
    <xf numFmtId="0" fontId="50" fillId="0" borderId="28" xfId="0" applyFont="1" applyBorder="1" applyAlignment="1" applyProtection="1">
      <alignment horizontal="center" vertical="center"/>
    </xf>
    <xf numFmtId="0" fontId="25" fillId="0" borderId="99" xfId="0" applyFont="1" applyBorder="1" applyAlignment="1" applyProtection="1">
      <alignment vertical="center"/>
    </xf>
    <xf numFmtId="0" fontId="50" fillId="0" borderId="84" xfId="8" quotePrefix="1" applyFont="1" applyBorder="1" applyAlignment="1" applyProtection="1">
      <alignment horizontal="center" vertical="center"/>
    </xf>
    <xf numFmtId="0" fontId="50" fillId="0" borderId="0" xfId="8" applyFont="1" applyBorder="1" applyAlignment="1" applyProtection="1">
      <alignment horizontal="center" vertical="center"/>
    </xf>
    <xf numFmtId="0" fontId="15" fillId="0" borderId="84" xfId="8" applyFont="1" applyBorder="1" applyAlignment="1" applyProtection="1">
      <alignment horizontal="left" vertical="center"/>
    </xf>
    <xf numFmtId="0" fontId="25" fillId="0" borderId="13" xfId="0" applyFont="1" applyBorder="1" applyAlignment="1" applyProtection="1">
      <alignment vertical="center"/>
    </xf>
    <xf numFmtId="0" fontId="61" fillId="0" borderId="26" xfId="8" applyFont="1" applyBorder="1" applyAlignment="1">
      <alignment horizontal="center" vertical="center"/>
    </xf>
    <xf numFmtId="0" fontId="50" fillId="0" borderId="84" xfId="0" quotePrefix="1" applyFont="1" applyBorder="1" applyAlignment="1" applyProtection="1">
      <alignment horizontal="center" vertical="center"/>
    </xf>
    <xf numFmtId="0" fontId="15" fillId="0" borderId="84" xfId="0" applyFont="1" applyBorder="1" applyAlignment="1">
      <alignment vertical="center" wrapText="1"/>
    </xf>
    <xf numFmtId="0" fontId="15" fillId="0" borderId="39" xfId="0" applyFont="1" applyBorder="1" applyAlignment="1">
      <alignment vertical="top" wrapText="1"/>
    </xf>
    <xf numFmtId="0" fontId="54" fillId="0" borderId="0" xfId="4" applyFont="1" applyBorder="1" applyAlignment="1" applyProtection="1">
      <alignment vertical="top" wrapText="1"/>
    </xf>
    <xf numFmtId="0" fontId="50" fillId="0" borderId="0" xfId="0" applyFont="1" applyBorder="1" applyAlignment="1">
      <alignment vertical="center" wrapText="1"/>
    </xf>
    <xf numFmtId="0" fontId="15" fillId="0" borderId="0" xfId="0" applyFont="1" applyAlignment="1">
      <alignment horizontal="left" vertical="center"/>
    </xf>
    <xf numFmtId="0" fontId="50" fillId="0" borderId="47" xfId="8" quotePrefix="1" applyFont="1" applyBorder="1" applyAlignment="1" applyProtection="1">
      <alignment horizontal="center" vertical="center"/>
    </xf>
    <xf numFmtId="0" fontId="25" fillId="0" borderId="84" xfId="0" applyFont="1" applyBorder="1" applyAlignment="1" applyProtection="1">
      <alignment vertical="center" wrapText="1"/>
    </xf>
    <xf numFmtId="0" fontId="25" fillId="0" borderId="0" xfId="0" applyFont="1" applyAlignment="1">
      <alignment horizontal="left" vertical="center" wrapText="1"/>
    </xf>
    <xf numFmtId="0" fontId="25" fillId="0" borderId="0" xfId="0" applyFont="1" applyAlignment="1">
      <alignment horizontal="left" vertical="center"/>
    </xf>
    <xf numFmtId="0" fontId="15" fillId="7" borderId="0" xfId="0" applyFont="1" applyFill="1" applyProtection="1">
      <protection hidden="1"/>
    </xf>
    <xf numFmtId="0" fontId="15" fillId="0" borderId="0" xfId="0" applyFont="1" applyAlignment="1">
      <alignment horizontal="center" vertical="top"/>
    </xf>
    <xf numFmtId="0" fontId="25" fillId="0" borderId="0" xfId="8" applyFont="1">
      <alignment horizontal="left" vertical="center"/>
    </xf>
    <xf numFmtId="0" fontId="25" fillId="0" borderId="0" xfId="8" applyFont="1" applyProtection="1">
      <alignment horizontal="left" vertical="center"/>
    </xf>
    <xf numFmtId="0" fontId="76" fillId="0" borderId="0" xfId="125" applyFont="1">
      <alignment horizontal="left" vertical="center"/>
    </xf>
    <xf numFmtId="0" fontId="15" fillId="0" borderId="0" xfId="125" applyFont="1">
      <alignment horizontal="left" vertical="center"/>
    </xf>
    <xf numFmtId="0" fontId="25" fillId="0" borderId="0" xfId="0" applyFont="1" applyAlignment="1">
      <alignment vertical="top"/>
    </xf>
    <xf numFmtId="2" fontId="25" fillId="0" borderId="0" xfId="0" applyNumberFormat="1" applyFont="1" applyAlignment="1">
      <alignment vertical="top"/>
    </xf>
    <xf numFmtId="6" fontId="25" fillId="0" borderId="0" xfId="0" applyNumberFormat="1" applyFont="1" applyAlignment="1">
      <alignment vertical="top"/>
    </xf>
    <xf numFmtId="9" fontId="25" fillId="0" borderId="0" xfId="8" applyNumberFormat="1" applyFont="1" applyAlignment="1">
      <alignment vertical="top"/>
    </xf>
    <xf numFmtId="2" fontId="25" fillId="0" borderId="0" xfId="8" applyNumberFormat="1" applyFont="1" applyAlignment="1">
      <alignment vertical="top"/>
    </xf>
    <xf numFmtId="0" fontId="76" fillId="0" borderId="0" xfId="125" applyFont="1" applyAlignment="1">
      <alignment horizontal="left" vertical="center" wrapText="1"/>
    </xf>
    <xf numFmtId="0" fontId="29" fillId="0" borderId="84" xfId="26" applyFont="1" applyBorder="1" applyAlignment="1" applyProtection="1">
      <alignment horizontal="left" vertical="top" wrapText="1"/>
    </xf>
    <xf numFmtId="0" fontId="29" fillId="0" borderId="0" xfId="26" applyFont="1" applyBorder="1" applyAlignment="1" applyProtection="1">
      <alignment vertical="top" wrapText="1"/>
    </xf>
    <xf numFmtId="0" fontId="29" fillId="0" borderId="84" xfId="26" applyFont="1" applyBorder="1" applyAlignment="1" applyProtection="1">
      <alignment vertical="top" wrapText="1"/>
    </xf>
    <xf numFmtId="0" fontId="29" fillId="60" borderId="43" xfId="26" applyFont="1" applyFill="1" applyBorder="1" applyAlignment="1" applyProtection="1">
      <alignment horizontal="left" vertical="top" wrapText="1"/>
    </xf>
    <xf numFmtId="0" fontId="29" fillId="0" borderId="0" xfId="26" applyFont="1" applyBorder="1" applyAlignment="1" applyProtection="1">
      <alignment vertical="top"/>
    </xf>
    <xf numFmtId="0" fontId="29" fillId="0" borderId="43" xfId="26" applyFont="1" applyBorder="1" applyAlignment="1" applyProtection="1">
      <alignment vertical="top" wrapText="1"/>
    </xf>
    <xf numFmtId="0" fontId="38" fillId="60" borderId="43" xfId="26" applyFont="1" applyFill="1" applyBorder="1" applyAlignment="1" applyProtection="1">
      <alignment horizontal="left" vertical="top" wrapText="1"/>
    </xf>
    <xf numFmtId="0" fontId="38" fillId="0" borderId="0" xfId="26" applyFont="1" applyFill="1" applyBorder="1" applyAlignment="1" applyProtection="1">
      <alignment vertical="top"/>
    </xf>
    <xf numFmtId="0" fontId="29" fillId="60" borderId="0" xfId="26" applyFont="1" applyFill="1" applyBorder="1" applyAlignment="1" applyProtection="1">
      <alignment vertical="top" wrapText="1"/>
    </xf>
    <xf numFmtId="0" fontId="29" fillId="7" borderId="0" xfId="26" applyFont="1" applyFill="1" applyBorder="1" applyAlignment="1" applyProtection="1">
      <alignment vertical="top" wrapText="1"/>
    </xf>
    <xf numFmtId="0" fontId="15" fillId="0" borderId="0" xfId="0" applyFont="1" applyBorder="1" applyAlignment="1">
      <alignment wrapText="1"/>
    </xf>
    <xf numFmtId="0" fontId="15" fillId="7" borderId="0" xfId="0" applyNumberFormat="1" applyFont="1" applyFill="1" applyBorder="1" applyAlignment="1">
      <alignment wrapText="1"/>
    </xf>
    <xf numFmtId="0" fontId="25" fillId="0" borderId="0" xfId="8" applyFont="1" applyAlignment="1" applyProtection="1">
      <alignment horizontal="center" vertical="center"/>
    </xf>
    <xf numFmtId="0" fontId="25" fillId="0" borderId="0" xfId="0" applyFont="1" applyAlignment="1" applyProtection="1">
      <alignment horizontal="left" vertical="center"/>
    </xf>
    <xf numFmtId="0" fontId="25" fillId="0" borderId="84" xfId="0" applyFont="1" applyBorder="1" applyAlignment="1" applyProtection="1">
      <alignment horizontal="left" vertical="center" wrapText="1"/>
    </xf>
    <xf numFmtId="0" fontId="25" fillId="0" borderId="43" xfId="0" applyFont="1" applyBorder="1" applyAlignment="1" applyProtection="1">
      <alignment horizontal="center" vertical="center"/>
    </xf>
    <xf numFmtId="0" fontId="15" fillId="0" borderId="0" xfId="0" applyFont="1" applyBorder="1" applyAlignment="1">
      <alignment horizontal="left" vertical="center" indent="1"/>
    </xf>
    <xf numFmtId="0" fontId="50" fillId="0" borderId="47" xfId="0" applyFont="1" applyBorder="1" applyAlignment="1" applyProtection="1">
      <alignment horizontal="center" vertical="center"/>
    </xf>
    <xf numFmtId="0" fontId="50" fillId="0" borderId="0" xfId="0" quotePrefix="1" applyFont="1" applyBorder="1" applyAlignment="1" applyProtection="1">
      <alignment horizontal="center" vertical="center"/>
    </xf>
    <xf numFmtId="0" fontId="50" fillId="0" borderId="0" xfId="0" applyFont="1" applyBorder="1" applyAlignment="1" applyProtection="1">
      <alignment horizontal="center" vertical="center"/>
    </xf>
    <xf numFmtId="0" fontId="25" fillId="0" borderId="0" xfId="0" applyFont="1" applyBorder="1" applyAlignment="1" applyProtection="1"/>
    <xf numFmtId="0" fontId="15" fillId="0" borderId="0" xfId="0" applyFont="1" applyBorder="1" applyAlignment="1"/>
    <xf numFmtId="0" fontId="15" fillId="7" borderId="43" xfId="0" applyNumberFormat="1" applyFont="1" applyFill="1" applyBorder="1" applyAlignment="1">
      <alignment wrapText="1"/>
    </xf>
    <xf numFmtId="0" fontId="141" fillId="0" borderId="46" xfId="74" applyFont="1" applyBorder="1" applyAlignment="1">
      <alignment horizontal="center" vertical="center"/>
    </xf>
    <xf numFmtId="0" fontId="142" fillId="0" borderId="47" xfId="74" applyNumberFormat="1" applyFont="1" applyBorder="1" applyAlignment="1">
      <alignment horizontal="center" vertical="center"/>
    </xf>
    <xf numFmtId="0" fontId="103" fillId="0" borderId="46" xfId="74" applyNumberFormat="1" applyFont="1" applyFill="1" applyBorder="1" applyAlignment="1">
      <alignment horizontal="center" vertical="center"/>
    </xf>
    <xf numFmtId="0" fontId="142" fillId="0" borderId="46" xfId="74" applyNumberFormat="1" applyFont="1" applyBorder="1" applyAlignment="1">
      <alignment horizontal="center" vertical="center"/>
    </xf>
    <xf numFmtId="0" fontId="142" fillId="0" borderId="46" xfId="74" applyFont="1" applyBorder="1" applyAlignment="1">
      <alignment horizontal="center" vertical="center"/>
    </xf>
    <xf numFmtId="0" fontId="142" fillId="0" borderId="47" xfId="74" applyFont="1" applyBorder="1" applyAlignment="1">
      <alignment horizontal="center" vertical="center"/>
    </xf>
    <xf numFmtId="0" fontId="25" fillId="0" borderId="0" xfId="0" applyFont="1" applyBorder="1" applyAlignment="1" applyProtection="1">
      <alignment vertical="top"/>
    </xf>
    <xf numFmtId="0" fontId="50" fillId="0" borderId="28" xfId="0" quotePrefix="1" applyFont="1" applyBorder="1" applyAlignment="1" applyProtection="1">
      <alignment horizontal="center" vertical="center"/>
    </xf>
    <xf numFmtId="0" fontId="57" fillId="0" borderId="0" xfId="0" applyFont="1" applyAlignment="1">
      <alignment horizontal="left" vertical="center" indent="11"/>
    </xf>
    <xf numFmtId="0" fontId="15" fillId="0" borderId="0" xfId="0" applyFont="1" applyAlignment="1">
      <alignment horizontal="left" vertical="center" indent="11"/>
    </xf>
    <xf numFmtId="0" fontId="55" fillId="0" borderId="0" xfId="8" applyFont="1" applyAlignment="1" applyProtection="1">
      <alignment horizontal="center" vertical="center"/>
    </xf>
    <xf numFmtId="0" fontId="14" fillId="0" borderId="0" xfId="0" applyFont="1" applyBorder="1" applyAlignment="1">
      <alignment vertical="center"/>
    </xf>
    <xf numFmtId="0" fontId="50" fillId="0" borderId="84" xfId="0" quotePrefix="1" applyFont="1" applyBorder="1" applyAlignment="1" applyProtection="1">
      <alignment horizontal="center" vertical="center" wrapText="1"/>
    </xf>
    <xf numFmtId="0" fontId="25" fillId="0" borderId="0" xfId="8" applyFont="1" applyAlignment="1" applyProtection="1">
      <alignment horizontal="center" vertical="center"/>
    </xf>
    <xf numFmtId="0" fontId="55" fillId="0" borderId="39" xfId="0" applyFont="1" applyBorder="1" applyAlignment="1">
      <alignment horizontal="left" vertical="center" wrapText="1"/>
    </xf>
    <xf numFmtId="0" fontId="25" fillId="0" borderId="38" xfId="74" applyFont="1" applyBorder="1" applyAlignment="1">
      <alignment horizontal="center" vertical="center"/>
    </xf>
    <xf numFmtId="0" fontId="25" fillId="0" borderId="84" xfId="74" applyFont="1" applyBorder="1" applyAlignment="1">
      <alignment horizontal="left" vertical="center"/>
    </xf>
    <xf numFmtId="9" fontId="25" fillId="0" borderId="84" xfId="79" applyNumberFormat="1" applyFont="1" applyBorder="1" applyAlignment="1">
      <alignment horizontal="left"/>
    </xf>
    <xf numFmtId="10" fontId="25" fillId="0" borderId="0" xfId="74" applyNumberFormat="1" applyFont="1" applyBorder="1" applyAlignment="1">
      <alignment horizontal="center" vertical="center"/>
    </xf>
    <xf numFmtId="0" fontId="25" fillId="0" borderId="13" xfId="74" applyFont="1" applyBorder="1" applyAlignment="1">
      <alignment horizontal="left" vertical="center"/>
    </xf>
    <xf numFmtId="0" fontId="25" fillId="0" borderId="39" xfId="74" applyFont="1" applyBorder="1" applyAlignment="1">
      <alignment horizontal="center" vertical="center"/>
    </xf>
    <xf numFmtId="10" fontId="25" fillId="0" borderId="39" xfId="74" applyNumberFormat="1" applyFont="1" applyBorder="1" applyAlignment="1">
      <alignment horizontal="center" vertical="center"/>
    </xf>
    <xf numFmtId="14" fontId="15" fillId="47" borderId="27" xfId="26" applyNumberFormat="1" applyFont="1" applyFill="1" applyBorder="1" applyAlignment="1" applyProtection="1">
      <alignment horizontal="center" vertical="center"/>
    </xf>
    <xf numFmtId="0" fontId="15" fillId="47" borderId="27" xfId="26" applyFont="1" applyFill="1" applyBorder="1" applyAlignment="1" applyProtection="1">
      <alignment horizontal="center" vertical="center" wrapText="1" shrinkToFit="1"/>
    </xf>
    <xf numFmtId="0" fontId="15" fillId="47" borderId="27" xfId="21" applyFont="1" applyFill="1" applyBorder="1" applyAlignment="1" applyProtection="1">
      <alignment horizontal="center" vertical="center"/>
    </xf>
    <xf numFmtId="0" fontId="15" fillId="47" borderId="27" xfId="26" applyFont="1" applyFill="1" applyBorder="1" applyAlignment="1" applyProtection="1">
      <alignment horizontal="center" vertical="center"/>
    </xf>
    <xf numFmtId="10" fontId="15" fillId="47" borderId="27" xfId="26" applyNumberFormat="1" applyFont="1" applyFill="1" applyBorder="1" applyAlignment="1" applyProtection="1">
      <alignment horizontal="center" vertical="center"/>
    </xf>
    <xf numFmtId="165" fontId="15" fillId="47" borderId="27" xfId="26" applyNumberFormat="1" applyFont="1" applyFill="1" applyBorder="1" applyAlignment="1" applyProtection="1">
      <alignment horizontal="center" vertical="center"/>
    </xf>
    <xf numFmtId="165" fontId="15" fillId="47" borderId="27" xfId="21" applyNumberFormat="1" applyFont="1" applyFill="1" applyBorder="1" applyAlignment="1" applyProtection="1">
      <alignment horizontal="center" vertical="center"/>
    </xf>
    <xf numFmtId="0" fontId="15" fillId="47" borderId="71" xfId="21" applyFont="1" applyFill="1" applyBorder="1" applyAlignment="1" applyProtection="1">
      <alignment horizontal="center" vertical="center"/>
    </xf>
    <xf numFmtId="0" fontId="55" fillId="7" borderId="0" xfId="8" applyFont="1" applyFill="1" applyAlignment="1" applyProtection="1">
      <alignment horizontal="center" vertical="center"/>
    </xf>
    <xf numFmtId="0" fontId="50" fillId="0" borderId="0" xfId="8" applyFont="1" applyAlignment="1" applyProtection="1">
      <alignment horizontal="center" vertical="center"/>
    </xf>
    <xf numFmtId="0" fontId="25" fillId="7" borderId="43" xfId="8" applyFont="1" applyFill="1" applyBorder="1" applyAlignment="1" applyProtection="1">
      <alignment horizontal="center" vertical="center"/>
    </xf>
    <xf numFmtId="0" fontId="50" fillId="0" borderId="13" xfId="0" applyFont="1" applyBorder="1" applyAlignment="1">
      <alignment horizontal="center" vertical="center" wrapText="1"/>
    </xf>
    <xf numFmtId="0" fontId="55" fillId="0" borderId="0" xfId="0" applyFont="1" applyAlignment="1" applyProtection="1">
      <alignment horizontal="center" vertical="center"/>
    </xf>
    <xf numFmtId="0" fontId="55" fillId="0" borderId="47" xfId="0" applyFont="1" applyBorder="1" applyAlignment="1">
      <alignment horizontal="center" vertical="center" wrapText="1"/>
    </xf>
    <xf numFmtId="0" fontId="55" fillId="0" borderId="84" xfId="0" applyFont="1" applyBorder="1" applyAlignment="1">
      <alignment horizontal="center" vertical="center" wrapText="1"/>
    </xf>
    <xf numFmtId="0" fontId="55" fillId="7" borderId="0" xfId="8" applyFont="1" applyFill="1" applyAlignment="1" applyProtection="1">
      <alignment vertical="center"/>
    </xf>
    <xf numFmtId="0" fontId="55" fillId="0" borderId="0" xfId="8" applyFont="1" applyAlignment="1" applyProtection="1">
      <alignment horizontal="left" vertical="center"/>
    </xf>
    <xf numFmtId="0" fontId="25" fillId="0" borderId="26" xfId="8" applyFont="1" applyBorder="1" applyAlignment="1" applyProtection="1">
      <alignment vertical="center"/>
    </xf>
    <xf numFmtId="0" fontId="162" fillId="0" borderId="0" xfId="8" applyFont="1" applyBorder="1" applyAlignment="1" applyProtection="1">
      <alignment horizontal="center" vertical="center"/>
    </xf>
    <xf numFmtId="0" fontId="162" fillId="0" borderId="0" xfId="8" applyFont="1" applyBorder="1" applyAlignment="1" applyProtection="1">
      <alignment vertical="top"/>
    </xf>
    <xf numFmtId="0" fontId="162" fillId="7" borderId="0" xfId="8" applyFont="1" applyFill="1" applyBorder="1" applyAlignment="1" applyProtection="1">
      <alignment horizontal="center" vertical="center"/>
    </xf>
    <xf numFmtId="0" fontId="162" fillId="7" borderId="0" xfId="8" applyFont="1" applyFill="1" applyBorder="1" applyAlignment="1" applyProtection="1">
      <alignment vertical="top"/>
    </xf>
    <xf numFmtId="0" fontId="50" fillId="7" borderId="28" xfId="8" quotePrefix="1" applyFont="1" applyFill="1" applyBorder="1" applyAlignment="1" applyProtection="1">
      <alignment horizontal="center" vertical="center" wrapText="1"/>
    </xf>
    <xf numFmtId="0" fontId="15" fillId="0" borderId="0" xfId="0" applyFont="1" applyAlignment="1">
      <alignment horizontal="left" vertical="center"/>
    </xf>
    <xf numFmtId="0" fontId="15" fillId="7" borderId="103" xfId="74" applyFont="1" applyFill="1" applyBorder="1" applyAlignment="1">
      <alignment horizontal="center" vertical="center"/>
    </xf>
    <xf numFmtId="0" fontId="15" fillId="7" borderId="93" xfId="74" applyFont="1" applyFill="1" applyBorder="1" applyAlignment="1">
      <alignment horizontal="center" vertical="center"/>
    </xf>
    <xf numFmtId="10" fontId="28" fillId="7" borderId="26" xfId="74" applyNumberFormat="1" applyFont="1" applyFill="1" applyBorder="1" applyAlignment="1">
      <alignment horizontal="center" vertical="center"/>
    </xf>
    <xf numFmtId="0" fontId="25" fillId="0" borderId="43" xfId="8" applyFont="1" applyFill="1" applyBorder="1" applyAlignment="1" applyProtection="1">
      <alignment vertical="center"/>
    </xf>
    <xf numFmtId="0" fontId="15" fillId="0" borderId="84" xfId="0" applyFont="1" applyBorder="1" applyAlignment="1">
      <alignment horizontal="left" vertical="center" indent="1"/>
    </xf>
    <xf numFmtId="0" fontId="55" fillId="7" borderId="0" xfId="0" applyFont="1" applyFill="1" applyBorder="1" applyAlignment="1" applyProtection="1">
      <alignment horizontal="center" wrapText="1"/>
    </xf>
    <xf numFmtId="0" fontId="25" fillId="0" borderId="0" xfId="46" applyFont="1" applyFill="1" applyBorder="1" applyAlignment="1" applyProtection="1">
      <alignment vertical="center" wrapText="1"/>
    </xf>
    <xf numFmtId="0" fontId="15" fillId="0" borderId="0" xfId="0" applyFont="1" applyAlignment="1">
      <alignment horizontal="left" vertical="center"/>
    </xf>
    <xf numFmtId="0" fontId="25" fillId="0" borderId="0" xfId="74" applyFont="1" applyAlignment="1">
      <alignment horizontal="center" vertical="center"/>
    </xf>
    <xf numFmtId="0" fontId="15" fillId="0" borderId="0" xfId="4" applyFont="1" applyBorder="1" applyAlignment="1" applyProtection="1">
      <alignment horizontal="left" vertical="center"/>
    </xf>
    <xf numFmtId="0" fontId="143" fillId="0" borderId="0" xfId="0" applyFont="1" applyBorder="1" applyAlignment="1">
      <alignment horizontal="center" vertical="center"/>
    </xf>
    <xf numFmtId="0" fontId="15" fillId="0" borderId="0" xfId="8" applyFont="1" applyFill="1" applyAlignment="1" applyProtection="1">
      <alignment horizontal="center" vertical="center"/>
    </xf>
    <xf numFmtId="0" fontId="25" fillId="0" borderId="0" xfId="0" applyFont="1" applyFill="1" applyBorder="1" applyAlignment="1" applyProtection="1">
      <alignment horizontal="center" vertical="center"/>
    </xf>
    <xf numFmtId="0" fontId="15" fillId="0" borderId="0" xfId="19" applyFont="1" applyFill="1" applyBorder="1" applyAlignment="1" applyProtection="1">
      <alignment vertical="center" wrapText="1"/>
    </xf>
    <xf numFmtId="0" fontId="143" fillId="0" borderId="0" xfId="0" quotePrefix="1" applyFont="1" applyBorder="1" applyAlignment="1">
      <alignment horizontal="center" vertical="center"/>
    </xf>
    <xf numFmtId="0" fontId="15" fillId="0" borderId="0" xfId="0" applyFont="1" applyAlignment="1">
      <alignment horizontal="left" vertical="center"/>
    </xf>
    <xf numFmtId="0" fontId="55" fillId="0" borderId="0" xfId="0" applyFont="1" applyBorder="1" applyAlignment="1">
      <alignment horizontal="center" vertical="center"/>
    </xf>
    <xf numFmtId="0" fontId="143" fillId="0" borderId="0" xfId="46" applyFont="1" applyFill="1" applyBorder="1" applyAlignment="1" applyProtection="1">
      <alignment horizontal="center" vertical="center" wrapText="1"/>
    </xf>
    <xf numFmtId="0" fontId="143" fillId="7" borderId="0" xfId="0" quotePrefix="1" applyFont="1" applyFill="1" applyAlignment="1">
      <alignment horizontal="center" vertical="center"/>
    </xf>
    <xf numFmtId="0" fontId="15" fillId="7" borderId="0" xfId="0" applyFont="1" applyFill="1" applyBorder="1" applyAlignment="1">
      <alignment horizontal="left" vertical="center"/>
    </xf>
    <xf numFmtId="0" fontId="15" fillId="7" borderId="0" xfId="8" applyFont="1" applyFill="1" applyBorder="1" applyAlignment="1" applyProtection="1">
      <alignment vertical="center" wrapText="1"/>
    </xf>
    <xf numFmtId="0" fontId="15" fillId="0" borderId="39" xfId="4" applyFont="1" applyBorder="1" applyAlignment="1" applyProtection="1">
      <alignment horizontal="left" vertical="center"/>
    </xf>
    <xf numFmtId="0" fontId="15" fillId="7" borderId="39" xfId="0" applyFont="1" applyFill="1" applyBorder="1" applyAlignment="1">
      <alignment horizontal="left" vertical="center"/>
    </xf>
    <xf numFmtId="0" fontId="15" fillId="7" borderId="39" xfId="8" applyFont="1" applyFill="1" applyBorder="1" applyAlignment="1" applyProtection="1">
      <alignment vertical="center" wrapText="1"/>
    </xf>
    <xf numFmtId="0" fontId="15" fillId="7" borderId="0" xfId="0" applyFont="1" applyFill="1" applyAlignment="1">
      <alignment vertical="center"/>
    </xf>
    <xf numFmtId="10" fontId="28" fillId="7" borderId="133" xfId="74" applyNumberFormat="1" applyFont="1" applyFill="1" applyBorder="1" applyAlignment="1">
      <alignment horizontal="center" vertical="center"/>
    </xf>
    <xf numFmtId="0" fontId="10" fillId="0" borderId="84" xfId="8" applyFont="1" applyFill="1" applyBorder="1" applyAlignment="1" applyProtection="1">
      <alignment vertical="center"/>
    </xf>
    <xf numFmtId="0" fontId="10" fillId="0" borderId="0" xfId="8" applyFont="1" applyFill="1" applyBorder="1" applyAlignment="1" applyProtection="1">
      <alignment vertical="center"/>
    </xf>
    <xf numFmtId="0" fontId="10" fillId="0" borderId="43" xfId="8" applyFont="1" applyFill="1" applyBorder="1" applyAlignment="1" applyProtection="1">
      <alignment vertical="center"/>
    </xf>
    <xf numFmtId="9" fontId="15" fillId="4" borderId="136" xfId="71" applyFont="1" applyFill="1" applyBorder="1" applyAlignment="1">
      <alignment horizontal="center" vertical="center"/>
    </xf>
    <xf numFmtId="0" fontId="15" fillId="4" borderId="137" xfId="74" applyFont="1" applyFill="1" applyBorder="1" applyAlignment="1">
      <alignment horizontal="center" vertical="center"/>
    </xf>
    <xf numFmtId="0" fontId="15" fillId="4" borderId="138" xfId="74" applyFont="1" applyFill="1" applyBorder="1" applyAlignment="1">
      <alignment horizontal="center" vertical="center"/>
    </xf>
    <xf numFmtId="0" fontId="15" fillId="4" borderId="136" xfId="74" applyFont="1" applyFill="1" applyBorder="1" applyAlignment="1">
      <alignment horizontal="center" vertical="center"/>
    </xf>
    <xf numFmtId="0" fontId="15" fillId="4" borderId="139" xfId="74" applyFont="1" applyFill="1" applyBorder="1" applyAlignment="1">
      <alignment horizontal="center" vertical="center"/>
    </xf>
    <xf numFmtId="0" fontId="15" fillId="0" borderId="132" xfId="74" applyFont="1" applyBorder="1" applyAlignment="1">
      <alignment horizontal="center" vertical="center"/>
    </xf>
    <xf numFmtId="0" fontId="15" fillId="7" borderId="132" xfId="74" applyFont="1" applyFill="1" applyBorder="1" applyAlignment="1">
      <alignment horizontal="center" vertical="center"/>
    </xf>
    <xf numFmtId="0" fontId="101" fillId="0" borderId="132" xfId="74" applyFont="1" applyBorder="1" applyAlignment="1">
      <alignment horizontal="center" vertical="center"/>
    </xf>
    <xf numFmtId="0" fontId="15" fillId="46" borderId="140" xfId="74" applyFont="1" applyFill="1" applyBorder="1" applyAlignment="1">
      <alignment vertical="center" wrapText="1"/>
    </xf>
    <xf numFmtId="10" fontId="28" fillId="7" borderId="93" xfId="74" applyNumberFormat="1" applyFont="1" applyFill="1" applyBorder="1" applyAlignment="1">
      <alignment horizontal="center" vertical="center"/>
    </xf>
    <xf numFmtId="0" fontId="120" fillId="7" borderId="93" xfId="74" applyFont="1" applyFill="1" applyBorder="1" applyAlignment="1">
      <alignment horizontal="center" vertical="center"/>
    </xf>
    <xf numFmtId="0" fontId="79" fillId="45" borderId="93" xfId="74" applyFont="1" applyFill="1" applyBorder="1" applyAlignment="1">
      <alignment horizontal="center" vertical="center" textRotation="90" wrapText="1"/>
    </xf>
    <xf numFmtId="0" fontId="15" fillId="7" borderId="141" xfId="74" applyFont="1" applyFill="1" applyBorder="1" applyAlignment="1">
      <alignment horizontal="center" vertical="center"/>
    </xf>
    <xf numFmtId="0" fontId="25" fillId="0" borderId="127" xfId="74" applyFont="1" applyBorder="1" applyAlignment="1">
      <alignment horizontal="center" vertical="center"/>
    </xf>
    <xf numFmtId="165" fontId="120" fillId="7" borderId="148" xfId="74" applyNumberFormat="1" applyFont="1" applyFill="1" applyBorder="1" applyAlignment="1">
      <alignment horizontal="center" vertical="center"/>
    </xf>
    <xf numFmtId="0" fontId="25" fillId="3" borderId="148" xfId="74" applyFont="1" applyFill="1" applyBorder="1" applyAlignment="1">
      <alignment horizontal="center" vertical="center" wrapText="1"/>
    </xf>
    <xf numFmtId="165" fontId="15" fillId="4" borderId="152" xfId="74" applyNumberFormat="1" applyFont="1" applyFill="1" applyBorder="1" applyAlignment="1">
      <alignment horizontal="center" vertical="center"/>
    </xf>
    <xf numFmtId="5" fontId="15" fillId="0" borderId="153" xfId="74" applyNumberFormat="1" applyFont="1" applyFill="1" applyBorder="1" applyAlignment="1">
      <alignment horizontal="right" vertical="center"/>
    </xf>
    <xf numFmtId="165" fontId="15" fillId="4" borderId="153" xfId="74" applyNumberFormat="1" applyFont="1" applyFill="1" applyBorder="1" applyAlignment="1" applyProtection="1">
      <alignment horizontal="right" vertical="center"/>
      <protection locked="0"/>
    </xf>
    <xf numFmtId="165" fontId="25" fillId="4" borderId="153" xfId="74" applyNumberFormat="1" applyFont="1" applyFill="1" applyBorder="1" applyAlignment="1" applyProtection="1">
      <alignment horizontal="right" vertical="center"/>
      <protection locked="0"/>
    </xf>
    <xf numFmtId="165" fontId="15" fillId="0" borderId="153" xfId="74" applyNumberFormat="1" applyFont="1" applyBorder="1" applyAlignment="1">
      <alignment horizontal="right" vertical="center"/>
    </xf>
    <xf numFmtId="0" fontId="15" fillId="35" borderId="157" xfId="8" applyFont="1" applyFill="1" applyBorder="1" applyAlignment="1" applyProtection="1">
      <alignment horizontal="center" vertical="center" wrapText="1"/>
    </xf>
    <xf numFmtId="0" fontId="15" fillId="35" borderId="148" xfId="74" applyFont="1" applyFill="1" applyBorder="1" applyAlignment="1">
      <alignment horizontal="center" vertical="center"/>
    </xf>
    <xf numFmtId="165" fontId="15" fillId="35" borderId="157" xfId="74" applyNumberFormat="1" applyFont="1" applyFill="1" applyBorder="1" applyAlignment="1">
      <alignment horizontal="center" vertical="center"/>
    </xf>
    <xf numFmtId="165" fontId="15" fillId="35" borderId="148" xfId="74" applyNumberFormat="1" applyFont="1" applyFill="1" applyBorder="1" applyAlignment="1">
      <alignment horizontal="center" vertical="center"/>
    </xf>
    <xf numFmtId="0" fontId="118" fillId="0" borderId="157" xfId="74" applyFont="1" applyBorder="1" applyAlignment="1">
      <alignment horizontal="center" vertical="center"/>
    </xf>
    <xf numFmtId="0" fontId="25" fillId="35" borderId="157" xfId="74" applyFont="1" applyFill="1" applyBorder="1" applyAlignment="1">
      <alignment horizontal="center" vertical="center" textRotation="90" wrapText="1"/>
    </xf>
    <xf numFmtId="165" fontId="15" fillId="4" borderId="157" xfId="74" applyNumberFormat="1" applyFont="1" applyFill="1" applyBorder="1" applyAlignment="1">
      <alignment horizontal="center" vertical="center"/>
    </xf>
    <xf numFmtId="0" fontId="25" fillId="35" borderId="99" xfId="74" applyFont="1" applyFill="1" applyBorder="1" applyAlignment="1">
      <alignment horizontal="center" vertical="center" wrapText="1"/>
    </xf>
    <xf numFmtId="165" fontId="15" fillId="0" borderId="99" xfId="74" applyNumberFormat="1" applyFont="1" applyBorder="1" applyAlignment="1">
      <alignment horizontal="right" vertical="center"/>
    </xf>
    <xf numFmtId="165" fontId="15" fillId="0" borderId="159" xfId="74" applyNumberFormat="1" applyFont="1" applyBorder="1" applyAlignment="1">
      <alignment horizontal="right" vertical="center"/>
    </xf>
    <xf numFmtId="0" fontId="25" fillId="34" borderId="160" xfId="74" applyFont="1" applyFill="1" applyBorder="1" applyAlignment="1">
      <alignment horizontal="center" vertical="center" wrapText="1"/>
    </xf>
    <xf numFmtId="165" fontId="15" fillId="4" borderId="160" xfId="74" applyNumberFormat="1" applyFont="1" applyFill="1" applyBorder="1" applyAlignment="1">
      <alignment horizontal="right" vertical="center"/>
    </xf>
    <xf numFmtId="165" fontId="15" fillId="4" borderId="161" xfId="74" applyNumberFormat="1" applyFont="1" applyFill="1" applyBorder="1" applyAlignment="1">
      <alignment horizontal="right" vertical="center"/>
    </xf>
    <xf numFmtId="165" fontId="15" fillId="0" borderId="162" xfId="74" applyNumberFormat="1" applyFont="1" applyBorder="1" applyAlignment="1">
      <alignment horizontal="right" vertical="center"/>
    </xf>
    <xf numFmtId="0" fontId="15" fillId="4" borderId="162" xfId="74" applyFont="1" applyFill="1" applyBorder="1" applyAlignment="1">
      <alignment horizontal="center" vertical="center"/>
    </xf>
    <xf numFmtId="165" fontId="15" fillId="0" borderId="162" xfId="74" applyNumberFormat="1" applyFont="1" applyFill="1" applyBorder="1" applyAlignment="1">
      <alignment horizontal="right" vertical="center"/>
    </xf>
    <xf numFmtId="165" fontId="15" fillId="4" borderId="162" xfId="74" applyNumberFormat="1" applyFont="1" applyFill="1" applyBorder="1" applyAlignment="1">
      <alignment horizontal="right" vertical="center"/>
    </xf>
    <xf numFmtId="165" fontId="120" fillId="7" borderId="163" xfId="74" applyNumberFormat="1" applyFont="1" applyFill="1" applyBorder="1" applyAlignment="1">
      <alignment horizontal="center" vertical="center"/>
    </xf>
    <xf numFmtId="0" fontId="25" fillId="34" borderId="163" xfId="74" applyFont="1" applyFill="1" applyBorder="1" applyAlignment="1">
      <alignment horizontal="center" vertical="center" wrapText="1"/>
    </xf>
    <xf numFmtId="165" fontId="15" fillId="0" borderId="163" xfId="74" applyNumberFormat="1" applyFont="1" applyFill="1" applyBorder="1" applyAlignment="1">
      <alignment horizontal="right" vertical="center"/>
    </xf>
    <xf numFmtId="165" fontId="15" fillId="0" borderId="164" xfId="74" applyNumberFormat="1" applyFont="1" applyFill="1" applyBorder="1" applyAlignment="1">
      <alignment horizontal="right" vertical="center"/>
    </xf>
    <xf numFmtId="0" fontId="25" fillId="0" borderId="165" xfId="74" applyFont="1" applyBorder="1" applyAlignment="1">
      <alignment vertical="center" wrapText="1"/>
    </xf>
    <xf numFmtId="0" fontId="25" fillId="0" borderId="167" xfId="74" applyFont="1" applyBorder="1" applyAlignment="1">
      <alignment vertical="center" wrapText="1"/>
    </xf>
    <xf numFmtId="0" fontId="15" fillId="0" borderId="127" xfId="8" applyFont="1" applyBorder="1" applyAlignment="1" applyProtection="1">
      <alignment vertical="center" wrapText="1"/>
    </xf>
    <xf numFmtId="0" fontId="163" fillId="0" borderId="0" xfId="0" applyFont="1" applyBorder="1" applyAlignment="1">
      <alignment vertical="center"/>
    </xf>
    <xf numFmtId="0" fontId="15" fillId="0" borderId="0" xfId="0" applyFont="1" applyFill="1" applyAlignment="1">
      <alignment horizontal="left" vertical="center"/>
    </xf>
    <xf numFmtId="0" fontId="15" fillId="14" borderId="0" xfId="0" applyFont="1" applyFill="1" applyAlignment="1">
      <alignment vertical="center"/>
    </xf>
    <xf numFmtId="0" fontId="15" fillId="7" borderId="0" xfId="60" applyFont="1" applyFill="1" applyBorder="1" applyAlignment="1" applyProtection="1">
      <alignment vertical="center" wrapText="1"/>
    </xf>
    <xf numFmtId="0" fontId="39" fillId="0" borderId="0" xfId="58" applyFont="1" applyBorder="1" applyAlignment="1" applyProtection="1">
      <alignment vertical="center"/>
    </xf>
    <xf numFmtId="165" fontId="39" fillId="0" borderId="0" xfId="60" applyNumberFormat="1" applyFont="1" applyBorder="1" applyAlignment="1" applyProtection="1">
      <alignment vertical="center"/>
    </xf>
    <xf numFmtId="0" fontId="39" fillId="0" borderId="0" xfId="60" applyFont="1" applyBorder="1" applyAlignment="1" applyProtection="1">
      <alignment horizontal="right" vertical="center" indent="1"/>
    </xf>
    <xf numFmtId="0" fontId="15" fillId="0" borderId="0" xfId="58" applyFont="1" applyBorder="1" applyAlignment="1" applyProtection="1">
      <alignment vertical="top" wrapText="1"/>
    </xf>
    <xf numFmtId="0" fontId="15" fillId="0" borderId="0" xfId="62" applyFont="1" applyBorder="1" applyAlignment="1" applyProtection="1">
      <alignment horizontal="center" vertical="center"/>
    </xf>
    <xf numFmtId="4" fontId="52" fillId="0" borderId="47" xfId="60" applyNumberFormat="1" applyFont="1" applyBorder="1" applyAlignment="1" applyProtection="1">
      <alignment vertical="center" wrapText="1"/>
    </xf>
    <xf numFmtId="4" fontId="52" fillId="0" borderId="28" xfId="60" applyNumberFormat="1" applyFont="1" applyBorder="1" applyAlignment="1" applyProtection="1">
      <alignment vertical="center" wrapText="1"/>
    </xf>
    <xf numFmtId="4" fontId="52" fillId="0" borderId="38" xfId="60" applyNumberFormat="1" applyFont="1" applyBorder="1" applyAlignment="1" applyProtection="1">
      <alignment vertical="center" wrapText="1"/>
    </xf>
    <xf numFmtId="4" fontId="52" fillId="0" borderId="13" xfId="60" applyNumberFormat="1" applyFont="1" applyBorder="1" applyAlignment="1" applyProtection="1">
      <alignment vertical="center" wrapText="1"/>
    </xf>
    <xf numFmtId="4" fontId="52" fillId="0" borderId="39" xfId="60" applyNumberFormat="1" applyFont="1" applyBorder="1" applyAlignment="1" applyProtection="1">
      <alignment vertical="center" wrapText="1"/>
    </xf>
    <xf numFmtId="0" fontId="39" fillId="0" borderId="26" xfId="60" applyFont="1" applyBorder="1" applyAlignment="1" applyProtection="1">
      <alignment vertical="center" wrapText="1"/>
    </xf>
    <xf numFmtId="0" fontId="39" fillId="0" borderId="26" xfId="60" applyFont="1" applyBorder="1" applyAlignment="1" applyProtection="1">
      <alignment horizontal="center" vertical="center" wrapText="1"/>
    </xf>
    <xf numFmtId="0" fontId="19" fillId="0" borderId="0" xfId="60" applyFont="1" applyFill="1" applyBorder="1" applyAlignment="1" applyProtection="1">
      <alignment vertical="center" wrapText="1"/>
    </xf>
    <xf numFmtId="0" fontId="25" fillId="7" borderId="0" xfId="58" applyFont="1" applyFill="1" applyAlignment="1" applyProtection="1">
      <alignment vertical="center"/>
    </xf>
    <xf numFmtId="0" fontId="39" fillId="0" borderId="0" xfId="60" applyFont="1" applyBorder="1" applyAlignment="1" applyProtection="1">
      <alignment vertical="center" textRotation="90"/>
    </xf>
    <xf numFmtId="0" fontId="15" fillId="0" borderId="0" xfId="26" applyFont="1" applyProtection="1"/>
    <xf numFmtId="0" fontId="15" fillId="0" borderId="0" xfId="0" applyFont="1" applyAlignment="1">
      <alignment horizontal="left" vertical="center"/>
    </xf>
    <xf numFmtId="0" fontId="15" fillId="0" borderId="0" xfId="63" applyFont="1" applyBorder="1" applyAlignment="1">
      <alignment horizontal="center" vertical="center" wrapText="1"/>
    </xf>
    <xf numFmtId="0" fontId="15" fillId="0" borderId="0" xfId="63" applyFont="1" applyBorder="1" applyAlignment="1">
      <alignment horizontal="center" vertical="center"/>
    </xf>
    <xf numFmtId="0" fontId="50" fillId="7" borderId="28" xfId="50" applyFont="1" applyFill="1" applyBorder="1" applyAlignment="1">
      <alignment vertical="center"/>
    </xf>
    <xf numFmtId="0" fontId="50" fillId="7" borderId="38" xfId="50" applyFont="1" applyFill="1" applyBorder="1" applyAlignment="1">
      <alignment vertical="center"/>
    </xf>
    <xf numFmtId="0" fontId="15" fillId="0" borderId="0" xfId="50" applyFont="1" applyBorder="1" applyAlignment="1">
      <alignment vertical="center"/>
    </xf>
    <xf numFmtId="0" fontId="15" fillId="0" borderId="0" xfId="50" quotePrefix="1" applyFont="1" applyBorder="1" applyAlignment="1">
      <alignment vertical="center"/>
    </xf>
    <xf numFmtId="0" fontId="50" fillId="0" borderId="28" xfId="63" applyFont="1" applyBorder="1" applyAlignment="1">
      <alignment vertical="center" wrapText="1"/>
    </xf>
    <xf numFmtId="0" fontId="50" fillId="0" borderId="38" xfId="63" applyFont="1" applyBorder="1" applyAlignment="1">
      <alignment vertical="center" wrapText="1"/>
    </xf>
    <xf numFmtId="0" fontId="15" fillId="0" borderId="99" xfId="74" applyNumberFormat="1" applyFont="1" applyBorder="1" applyAlignment="1">
      <alignment horizontal="center" vertical="center"/>
    </xf>
    <xf numFmtId="0" fontId="1" fillId="0" borderId="0" xfId="74" applyFont="1" applyBorder="1"/>
    <xf numFmtId="0" fontId="1" fillId="0" borderId="0" xfId="74" applyFont="1" applyBorder="1" applyAlignment="1">
      <alignment horizontal="right"/>
    </xf>
    <xf numFmtId="0" fontId="1" fillId="0" borderId="0" xfId="74" applyFont="1"/>
    <xf numFmtId="0" fontId="1" fillId="0" borderId="0" xfId="74" applyFont="1" applyFill="1"/>
    <xf numFmtId="0" fontId="1" fillId="7" borderId="0" xfId="74" applyFont="1" applyFill="1" applyProtection="1"/>
    <xf numFmtId="0" fontId="1" fillId="0" borderId="0" xfId="74" applyFont="1" applyFill="1" applyBorder="1" applyAlignment="1" applyProtection="1">
      <alignment horizontal="left" vertical="center" wrapText="1" indent="1"/>
    </xf>
    <xf numFmtId="0" fontId="1" fillId="0" borderId="0" xfId="74" applyFont="1" applyFill="1" applyProtection="1"/>
    <xf numFmtId="0" fontId="1" fillId="0" borderId="0" xfId="74" applyFont="1" applyProtection="1"/>
    <xf numFmtId="0" fontId="1" fillId="7" borderId="0" xfId="74" applyFont="1" applyFill="1" applyBorder="1" applyProtection="1"/>
    <xf numFmtId="0" fontId="1" fillId="0" borderId="0" xfId="0" applyFont="1" applyFill="1" applyAlignment="1" applyProtection="1">
      <alignment horizontal="center" vertical="center"/>
    </xf>
    <xf numFmtId="0" fontId="1" fillId="0" borderId="0" xfId="0" applyFont="1" applyFill="1" applyAlignment="1" applyProtection="1">
      <alignment horizontal="left" vertical="center"/>
    </xf>
    <xf numFmtId="0" fontId="1" fillId="0" borderId="84" xfId="0" applyFont="1" applyBorder="1" applyAlignment="1" applyProtection="1">
      <alignment horizontal="center" vertical="center"/>
    </xf>
    <xf numFmtId="0" fontId="1" fillId="0" borderId="0" xfId="0" applyFont="1" applyBorder="1" applyAlignment="1" applyProtection="1">
      <alignment horizontal="left" vertical="center"/>
    </xf>
    <xf numFmtId="0" fontId="1" fillId="0" borderId="43" xfId="0" applyFont="1" applyBorder="1" applyAlignment="1" applyProtection="1">
      <alignment horizontal="left" vertical="center"/>
    </xf>
    <xf numFmtId="0" fontId="1" fillId="0" borderId="0" xfId="0" applyFont="1" applyAlignment="1" applyProtection="1">
      <alignment horizontal="left" vertical="center"/>
    </xf>
    <xf numFmtId="0" fontId="25" fillId="0" borderId="84" xfId="0" applyFont="1" applyFill="1" applyBorder="1" applyAlignment="1" applyProtection="1">
      <alignment vertical="center" wrapText="1"/>
    </xf>
    <xf numFmtId="0" fontId="1" fillId="0" borderId="0" xfId="0" applyFont="1" applyAlignment="1" applyProtection="1">
      <alignment vertical="center"/>
    </xf>
    <xf numFmtId="0" fontId="1" fillId="7" borderId="0" xfId="0" applyFont="1" applyFill="1" applyAlignment="1" applyProtection="1">
      <alignment horizontal="left" vertical="center"/>
    </xf>
    <xf numFmtId="0" fontId="1" fillId="0" borderId="0" xfId="0" applyFont="1" applyAlignment="1" applyProtection="1">
      <alignment horizontal="center" vertical="center"/>
    </xf>
    <xf numFmtId="0" fontId="10" fillId="0" borderId="84" xfId="0" applyFont="1" applyFill="1" applyBorder="1" applyAlignment="1" applyProtection="1">
      <alignment horizontal="left" vertical="center"/>
    </xf>
    <xf numFmtId="0" fontId="1" fillId="7" borderId="0" xfId="0" applyFont="1" applyFill="1" applyAlignment="1" applyProtection="1">
      <alignment horizontal="center" vertical="center"/>
    </xf>
    <xf numFmtId="0" fontId="1" fillId="7" borderId="0" xfId="0" applyFont="1" applyFill="1" applyBorder="1" applyAlignment="1" applyProtection="1">
      <alignment horizontal="center" vertical="center"/>
    </xf>
    <xf numFmtId="0" fontId="15" fillId="7" borderId="84" xfId="8" applyFont="1" applyFill="1" applyBorder="1" applyAlignment="1" applyProtection="1">
      <alignment vertical="center"/>
    </xf>
    <xf numFmtId="0" fontId="29" fillId="0" borderId="84" xfId="26" applyFont="1" applyBorder="1" applyAlignment="1" applyProtection="1">
      <alignment vertical="center" wrapText="1"/>
    </xf>
    <xf numFmtId="0" fontId="25" fillId="0" borderId="84" xfId="26" applyFont="1" applyBorder="1" applyAlignment="1" applyProtection="1">
      <alignment vertical="top"/>
    </xf>
    <xf numFmtId="0" fontId="29" fillId="0" borderId="84" xfId="26" applyFont="1" applyBorder="1" applyAlignment="1" applyProtection="1">
      <alignment horizontal="left" vertical="top"/>
    </xf>
    <xf numFmtId="0" fontId="25" fillId="0" borderId="84" xfId="26" applyFont="1" applyBorder="1" applyAlignment="1" applyProtection="1">
      <alignment horizontal="center" vertical="top"/>
    </xf>
    <xf numFmtId="0" fontId="25" fillId="0" borderId="13" xfId="26" applyFont="1" applyBorder="1" applyAlignment="1" applyProtection="1">
      <alignment horizontal="center" vertical="top"/>
    </xf>
    <xf numFmtId="0" fontId="14" fillId="0" borderId="84" xfId="0" applyFont="1" applyBorder="1" applyAlignment="1">
      <alignment vertical="center" wrapText="1"/>
    </xf>
    <xf numFmtId="0" fontId="29" fillId="0" borderId="84" xfId="26" applyFont="1" applyBorder="1" applyAlignment="1" applyProtection="1">
      <alignment horizontal="left" vertical="center"/>
    </xf>
    <xf numFmtId="0" fontId="29" fillId="0" borderId="84" xfId="26" applyFont="1" applyBorder="1" applyAlignment="1" applyProtection="1">
      <alignment horizontal="left" vertical="center" wrapText="1"/>
    </xf>
    <xf numFmtId="0" fontId="29" fillId="0" borderId="43" xfId="26" applyFont="1" applyBorder="1" applyAlignment="1" applyProtection="1">
      <alignment horizontal="left" vertical="center" wrapText="1"/>
    </xf>
    <xf numFmtId="0" fontId="28" fillId="0" borderId="84" xfId="0" applyFont="1" applyBorder="1" applyProtection="1"/>
    <xf numFmtId="0" fontId="10" fillId="0" borderId="84" xfId="0" applyFont="1" applyBorder="1" applyAlignment="1" applyProtection="1">
      <alignment vertical="top" wrapText="1"/>
    </xf>
    <xf numFmtId="0" fontId="29" fillId="7" borderId="84" xfId="26" applyFont="1" applyFill="1" applyBorder="1" applyAlignment="1" applyProtection="1">
      <alignment horizontal="left" vertical="top" wrapText="1"/>
    </xf>
    <xf numFmtId="0" fontId="26" fillId="0" borderId="13" xfId="26" applyFont="1" applyBorder="1" applyAlignment="1" applyProtection="1">
      <alignment horizontal="center" vertical="center"/>
    </xf>
    <xf numFmtId="0" fontId="29" fillId="0" borderId="84" xfId="26" applyFont="1" applyBorder="1" applyAlignment="1" applyProtection="1">
      <alignment horizontal="left" vertical="top" wrapText="1" indent="1"/>
    </xf>
    <xf numFmtId="0" fontId="29" fillId="0" borderId="84" xfId="26" applyFont="1" applyFill="1" applyBorder="1" applyAlignment="1" applyProtection="1">
      <alignment horizontal="left" vertical="center"/>
    </xf>
    <xf numFmtId="0" fontId="29" fillId="0" borderId="84" xfId="26" applyFont="1" applyFill="1" applyBorder="1" applyAlignment="1" applyProtection="1">
      <alignment horizontal="left" vertical="top"/>
    </xf>
    <xf numFmtId="0" fontId="0" fillId="0" borderId="84" xfId="0" applyBorder="1" applyProtection="1"/>
    <xf numFmtId="0" fontId="25" fillId="0" borderId="84" xfId="26" applyFont="1" applyFill="1" applyBorder="1" applyAlignment="1" applyProtection="1">
      <alignment horizontal="left" vertical="top"/>
    </xf>
    <xf numFmtId="0" fontId="25" fillId="0" borderId="84" xfId="26" applyFont="1" applyFill="1" applyBorder="1" applyAlignment="1" applyProtection="1">
      <alignment horizontal="left" vertical="center"/>
    </xf>
    <xf numFmtId="0" fontId="26" fillId="16" borderId="13" xfId="8" applyFont="1" applyFill="1" applyBorder="1" applyAlignment="1" applyProtection="1">
      <alignment horizontal="center" vertical="center" wrapText="1"/>
    </xf>
    <xf numFmtId="0" fontId="26" fillId="7" borderId="13" xfId="8" applyFont="1" applyFill="1" applyBorder="1" applyAlignment="1" applyProtection="1">
      <alignment horizontal="center" vertical="center"/>
    </xf>
    <xf numFmtId="49" fontId="25" fillId="4" borderId="71" xfId="8" applyNumberFormat="1" applyFont="1" applyFill="1" applyBorder="1" applyAlignment="1" applyProtection="1">
      <alignment horizontal="center" vertical="center"/>
    </xf>
    <xf numFmtId="165" fontId="15" fillId="0" borderId="13" xfId="0" applyNumberFormat="1" applyFont="1" applyFill="1" applyBorder="1" applyAlignment="1" applyProtection="1">
      <alignment horizontal="center" vertical="center"/>
    </xf>
    <xf numFmtId="0" fontId="15" fillId="0" borderId="13" xfId="26" applyFont="1" applyBorder="1"/>
    <xf numFmtId="0" fontId="25" fillId="0" borderId="71" xfId="0" applyFont="1" applyFill="1" applyBorder="1" applyAlignment="1" applyProtection="1">
      <alignment vertical="center"/>
    </xf>
    <xf numFmtId="178" fontId="57" fillId="0" borderId="99" xfId="0" applyNumberFormat="1" applyFont="1" applyBorder="1" applyAlignment="1">
      <alignment vertical="center" shrinkToFit="1"/>
    </xf>
    <xf numFmtId="9" fontId="15" fillId="0" borderId="71" xfId="52" applyNumberFormat="1" applyFont="1" applyBorder="1" applyAlignment="1">
      <alignment horizontal="left" vertical="center"/>
    </xf>
    <xf numFmtId="3" fontId="15" fillId="0" borderId="99" xfId="26" applyNumberFormat="1" applyFont="1" applyBorder="1" applyAlignment="1">
      <alignment horizontal="center" vertical="center"/>
    </xf>
    <xf numFmtId="178" fontId="57" fillId="0" borderId="99" xfId="0" applyNumberFormat="1" applyFont="1" applyBorder="1" applyAlignment="1">
      <alignment vertical="top" shrinkToFit="1"/>
    </xf>
    <xf numFmtId="9" fontId="25" fillId="0" borderId="71" xfId="0" applyNumberFormat="1" applyFont="1" applyFill="1" applyBorder="1" applyAlignment="1" applyProtection="1">
      <alignment vertical="center"/>
    </xf>
    <xf numFmtId="0" fontId="25" fillId="7" borderId="132" xfId="74" applyFont="1" applyFill="1" applyBorder="1" applyAlignment="1">
      <alignment horizontal="center" vertical="center" wrapText="1"/>
    </xf>
    <xf numFmtId="0" fontId="25" fillId="7" borderId="132" xfId="74" applyFont="1" applyFill="1" applyBorder="1" applyAlignment="1">
      <alignment horizontal="center" vertical="center"/>
    </xf>
    <xf numFmtId="0" fontId="25" fillId="0" borderId="132" xfId="74" applyFont="1" applyFill="1" applyBorder="1" applyAlignment="1">
      <alignment horizontal="center" vertical="center"/>
    </xf>
    <xf numFmtId="0" fontId="25" fillId="8" borderId="71" xfId="74" applyFont="1" applyFill="1" applyBorder="1" applyAlignment="1">
      <alignment horizontal="center" vertical="center" wrapText="1"/>
    </xf>
    <xf numFmtId="178" fontId="57" fillId="0" borderId="99" xfId="0" applyNumberFormat="1" applyFont="1" applyBorder="1" applyAlignment="1">
      <alignment horizontal="center" vertical="center" shrinkToFit="1"/>
    </xf>
    <xf numFmtId="0" fontId="15" fillId="0" borderId="71" xfId="74" applyFont="1" applyFill="1" applyBorder="1" applyAlignment="1">
      <alignment horizontal="center" vertical="center"/>
    </xf>
    <xf numFmtId="0" fontId="25" fillId="0" borderId="13" xfId="74" applyFont="1" applyBorder="1" applyAlignment="1">
      <alignment horizontal="center" vertical="center"/>
    </xf>
    <xf numFmtId="165" fontId="25" fillId="0" borderId="99" xfId="74" applyNumberFormat="1" applyFont="1" applyBorder="1" applyAlignment="1">
      <alignment horizontal="center" vertical="center"/>
    </xf>
    <xf numFmtId="165" fontId="25" fillId="0" borderId="99" xfId="74" applyNumberFormat="1" applyFont="1" applyFill="1" applyBorder="1" applyAlignment="1">
      <alignment horizontal="center" vertical="center"/>
    </xf>
    <xf numFmtId="178" fontId="57" fillId="0" borderId="46" xfId="0" applyNumberFormat="1" applyFont="1" applyBorder="1" applyAlignment="1">
      <alignment vertical="center" shrinkToFit="1"/>
    </xf>
    <xf numFmtId="178" fontId="57" fillId="0" borderId="47" xfId="0" applyNumberFormat="1" applyFont="1" applyBorder="1" applyAlignment="1">
      <alignment vertical="center" shrinkToFit="1"/>
    </xf>
    <xf numFmtId="0" fontId="15" fillId="0" borderId="13" xfId="0" quotePrefix="1" applyFont="1" applyBorder="1" applyAlignment="1">
      <alignment horizontal="center" vertical="center"/>
    </xf>
    <xf numFmtId="0" fontId="15" fillId="0" borderId="13" xfId="0" applyFont="1" applyBorder="1" applyAlignment="1">
      <alignment vertical="center"/>
    </xf>
    <xf numFmtId="0" fontId="1" fillId="0" borderId="0" xfId="79" applyFont="1"/>
    <xf numFmtId="9" fontId="1" fillId="0" borderId="0" xfId="79" applyNumberFormat="1" applyFont="1" applyAlignment="1">
      <alignment horizontal="left"/>
    </xf>
    <xf numFmtId="0" fontId="63" fillId="7" borderId="99" xfId="57" applyFont="1" applyFill="1" applyBorder="1" applyAlignment="1" applyProtection="1">
      <alignment vertical="center"/>
    </xf>
    <xf numFmtId="0" fontId="35" fillId="7" borderId="84" xfId="57" applyFont="1" applyFill="1" applyBorder="1" applyAlignment="1" applyProtection="1">
      <alignment horizontal="left" vertical="center"/>
    </xf>
    <xf numFmtId="165" fontId="15" fillId="7" borderId="99" xfId="74" applyNumberFormat="1" applyFont="1" applyFill="1" applyBorder="1" applyAlignment="1">
      <alignment horizontal="right" vertical="center"/>
    </xf>
    <xf numFmtId="165" fontId="120" fillId="7" borderId="99" xfId="74" applyNumberFormat="1" applyFont="1" applyFill="1" applyBorder="1" applyAlignment="1">
      <alignment horizontal="right" vertical="center"/>
    </xf>
    <xf numFmtId="0" fontId="15" fillId="35" borderId="99" xfId="26" applyFont="1" applyFill="1" applyBorder="1" applyAlignment="1" applyProtection="1">
      <alignment horizontal="center" vertical="center" wrapText="1"/>
    </xf>
    <xf numFmtId="0" fontId="15" fillId="0" borderId="46" xfId="74" applyFont="1" applyFill="1" applyBorder="1" applyAlignment="1" applyProtection="1">
      <alignment horizontal="center" vertical="center"/>
    </xf>
    <xf numFmtId="0" fontId="15" fillId="4" borderId="46" xfId="21" applyFont="1" applyFill="1" applyBorder="1" applyAlignment="1" applyProtection="1">
      <alignment horizontal="center" vertical="center"/>
      <protection locked="0"/>
    </xf>
    <xf numFmtId="165" fontId="15" fillId="7" borderId="99" xfId="26" applyNumberFormat="1" applyFont="1" applyFill="1" applyBorder="1" applyAlignment="1" applyProtection="1">
      <alignment horizontal="right" vertical="center"/>
      <protection locked="0"/>
    </xf>
    <xf numFmtId="0" fontId="15" fillId="4" borderId="92" xfId="26" applyFont="1" applyFill="1" applyBorder="1" applyAlignment="1" applyProtection="1">
      <alignment horizontal="left" vertical="center" wrapText="1" indent="1" shrinkToFit="1"/>
      <protection locked="0"/>
    </xf>
    <xf numFmtId="14" fontId="15" fillId="4" borderId="99" xfId="26" applyNumberFormat="1" applyFont="1" applyFill="1" applyBorder="1" applyAlignment="1" applyProtection="1">
      <alignment horizontal="center" vertical="center"/>
      <protection locked="0"/>
    </xf>
    <xf numFmtId="0" fontId="15" fillId="4" borderId="13" xfId="26" applyFont="1" applyFill="1" applyBorder="1" applyAlignment="1" applyProtection="1">
      <alignment horizontal="left" vertical="center" indent="1"/>
      <protection locked="0"/>
    </xf>
    <xf numFmtId="0" fontId="15" fillId="4" borderId="100" xfId="26" applyFont="1" applyFill="1" applyBorder="1" applyAlignment="1" applyProtection="1">
      <alignment horizontal="center" vertical="center"/>
      <protection locked="0"/>
    </xf>
    <xf numFmtId="0" fontId="15" fillId="4" borderId="92" xfId="26" applyFont="1" applyFill="1" applyBorder="1" applyAlignment="1" applyProtection="1">
      <alignment horizontal="center" vertical="center"/>
      <protection locked="0"/>
    </xf>
    <xf numFmtId="0" fontId="15" fillId="4" borderId="84" xfId="26" applyFont="1" applyFill="1" applyBorder="1" applyAlignment="1" applyProtection="1">
      <alignment horizontal="center" vertical="center"/>
      <protection locked="0"/>
    </xf>
    <xf numFmtId="165" fontId="15" fillId="4" borderId="92" xfId="26" applyNumberFormat="1" applyFont="1" applyFill="1" applyBorder="1" applyAlignment="1" applyProtection="1">
      <alignment horizontal="center" vertical="center"/>
      <protection locked="0"/>
    </xf>
    <xf numFmtId="165" fontId="15" fillId="4" borderId="100" xfId="26" applyNumberFormat="1" applyFont="1" applyFill="1" applyBorder="1" applyAlignment="1" applyProtection="1">
      <alignment horizontal="center" vertical="center"/>
      <protection locked="0"/>
    </xf>
    <xf numFmtId="0" fontId="15" fillId="7" borderId="99" xfId="26" applyFont="1" applyFill="1" applyBorder="1" applyAlignment="1" applyProtection="1">
      <alignment horizontal="left" vertical="center" indent="1" shrinkToFit="1"/>
    </xf>
    <xf numFmtId="0" fontId="55" fillId="47" borderId="99" xfId="74" applyFont="1" applyFill="1" applyBorder="1" applyAlignment="1" applyProtection="1">
      <alignment horizontal="left" vertical="center"/>
    </xf>
    <xf numFmtId="14" fontId="15" fillId="4" borderId="92" xfId="26" applyNumberFormat="1" applyFont="1" applyFill="1" applyBorder="1" applyAlignment="1" applyProtection="1">
      <alignment horizontal="center" vertical="center"/>
      <protection locked="0"/>
    </xf>
    <xf numFmtId="0" fontId="15" fillId="4" borderId="99" xfId="26" applyFont="1" applyFill="1" applyBorder="1" applyAlignment="1" applyProtection="1">
      <alignment horizontal="left" vertical="center" indent="1"/>
      <protection locked="0"/>
    </xf>
    <xf numFmtId="6" fontId="76" fillId="4" borderId="13" xfId="26" applyNumberFormat="1" applyFont="1" applyFill="1" applyBorder="1" applyAlignment="1" applyProtection="1">
      <alignment horizontal="left" vertical="center" indent="1" shrinkToFit="1"/>
      <protection locked="0"/>
    </xf>
    <xf numFmtId="0" fontId="15" fillId="0" borderId="84" xfId="26" applyFont="1" applyBorder="1" applyProtection="1"/>
    <xf numFmtId="6" fontId="76" fillId="4" borderId="99" xfId="26" applyNumberFormat="1" applyFont="1" applyFill="1" applyBorder="1" applyAlignment="1" applyProtection="1">
      <alignment horizontal="left" vertical="center" indent="1" shrinkToFit="1"/>
      <protection locked="0"/>
    </xf>
    <xf numFmtId="0" fontId="51" fillId="0" borderId="84" xfId="26" applyFont="1" applyBorder="1" applyAlignment="1" applyProtection="1">
      <alignment horizontal="center" vertical="center"/>
    </xf>
    <xf numFmtId="0" fontId="15" fillId="0" borderId="71" xfId="50" applyFont="1" applyBorder="1" applyAlignment="1" applyProtection="1">
      <alignment vertical="top" wrapText="1"/>
    </xf>
    <xf numFmtId="9" fontId="15" fillId="0" borderId="84" xfId="26" applyNumberFormat="1" applyFont="1" applyBorder="1" applyProtection="1"/>
    <xf numFmtId="0" fontId="15" fillId="0" borderId="13" xfId="26" applyFont="1" applyBorder="1" applyAlignment="1" applyProtection="1">
      <alignment horizontal="left" vertical="center" indent="1"/>
    </xf>
    <xf numFmtId="6" fontId="76" fillId="0" borderId="46" xfId="26" applyNumberFormat="1" applyFont="1" applyBorder="1" applyAlignment="1" applyProtection="1">
      <alignment horizontal="left" vertical="center" indent="1" shrinkToFit="1"/>
    </xf>
    <xf numFmtId="6" fontId="62" fillId="0" borderId="84" xfId="26" applyNumberFormat="1" applyFont="1" applyBorder="1" applyProtection="1"/>
    <xf numFmtId="6" fontId="15" fillId="27" borderId="47" xfId="26" applyNumberFormat="1" applyFont="1" applyFill="1" applyBorder="1" applyAlignment="1" applyProtection="1">
      <alignment horizontal="left" vertical="center" indent="1" shrinkToFit="1"/>
    </xf>
    <xf numFmtId="6" fontId="76" fillId="7" borderId="99" xfId="53" applyNumberFormat="1" applyFont="1" applyFill="1" applyBorder="1" applyAlignment="1" applyProtection="1">
      <alignment horizontal="left" vertical="center" indent="1" shrinkToFit="1"/>
    </xf>
    <xf numFmtId="6" fontId="76" fillId="0" borderId="99" xfId="26" applyNumberFormat="1" applyFont="1" applyBorder="1" applyAlignment="1" applyProtection="1">
      <alignment horizontal="left" vertical="center" indent="1" shrinkToFit="1"/>
    </xf>
    <xf numFmtId="6" fontId="15" fillId="4" borderId="13" xfId="26" applyNumberFormat="1" applyFont="1" applyFill="1" applyBorder="1" applyAlignment="1" applyProtection="1">
      <alignment horizontal="left" vertical="center" indent="1" shrinkToFit="1"/>
      <protection locked="0"/>
    </xf>
    <xf numFmtId="6" fontId="15" fillId="4" borderId="99" xfId="26" applyNumberFormat="1" applyFont="1" applyFill="1" applyBorder="1" applyAlignment="1" applyProtection="1">
      <alignment horizontal="left" vertical="center" indent="1" shrinkToFit="1"/>
      <protection locked="0"/>
    </xf>
    <xf numFmtId="6" fontId="48" fillId="0" borderId="84" xfId="26" applyNumberFormat="1" applyFont="1" applyBorder="1" applyProtection="1"/>
    <xf numFmtId="38" fontId="48" fillId="0" borderId="84" xfId="26" applyNumberFormat="1" applyFont="1" applyBorder="1" applyAlignment="1" applyProtection="1">
      <alignment horizontal="center" vertical="center"/>
    </xf>
    <xf numFmtId="6" fontId="39" fillId="0" borderId="84" xfId="26" applyNumberFormat="1" applyFont="1" applyBorder="1" applyProtection="1"/>
    <xf numFmtId="0" fontId="15" fillId="4" borderId="99" xfId="26" applyFont="1" applyFill="1" applyBorder="1" applyAlignment="1" applyProtection="1">
      <alignment horizontal="left" vertical="center" indent="1" shrinkToFit="1"/>
      <protection locked="0"/>
    </xf>
    <xf numFmtId="6" fontId="15" fillId="0" borderId="99" xfId="26" applyNumberFormat="1" applyFont="1" applyBorder="1" applyAlignment="1" applyProtection="1">
      <alignment horizontal="left" vertical="center" indent="1" shrinkToFit="1"/>
    </xf>
    <xf numFmtId="6" fontId="15" fillId="0" borderId="84" xfId="26" applyNumberFormat="1" applyFont="1" applyFill="1" applyBorder="1" applyProtection="1"/>
    <xf numFmtId="0" fontId="39" fillId="7" borderId="99" xfId="26" applyFont="1" applyFill="1" applyBorder="1" applyAlignment="1" applyProtection="1">
      <alignment horizontal="center" vertical="center"/>
    </xf>
    <xf numFmtId="6" fontId="15" fillId="0" borderId="13" xfId="26" applyNumberFormat="1" applyFont="1" applyBorder="1" applyAlignment="1" applyProtection="1">
      <alignment horizontal="left" vertical="center" indent="1" shrinkToFit="1"/>
    </xf>
    <xf numFmtId="0" fontId="15" fillId="8" borderId="99" xfId="0" quotePrefix="1" applyFont="1" applyFill="1" applyBorder="1" applyAlignment="1" applyProtection="1">
      <alignment horizontal="center" vertical="center" wrapText="1"/>
    </xf>
    <xf numFmtId="0" fontId="108" fillId="8" borderId="99" xfId="0" applyFont="1" applyFill="1" applyBorder="1" applyAlignment="1" applyProtection="1">
      <alignment horizontal="center" vertical="center" wrapText="1"/>
    </xf>
    <xf numFmtId="0" fontId="15" fillId="4" borderId="71" xfId="0" applyFont="1" applyFill="1" applyBorder="1" applyAlignment="1" applyProtection="1">
      <alignment horizontal="left" vertical="top"/>
    </xf>
    <xf numFmtId="0" fontId="26" fillId="0" borderId="84" xfId="64" quotePrefix="1" applyFont="1" applyBorder="1" applyAlignment="1">
      <alignment horizontal="center" vertical="center"/>
    </xf>
    <xf numFmtId="0" fontId="26" fillId="0" borderId="13" xfId="64" quotePrefix="1" applyFont="1" applyBorder="1" applyAlignment="1">
      <alignment horizontal="center" vertical="center"/>
    </xf>
    <xf numFmtId="0" fontId="98" fillId="0" borderId="84" xfId="50" applyFont="1" applyBorder="1" applyAlignment="1">
      <alignment horizontal="center" vertical="center"/>
    </xf>
    <xf numFmtId="0" fontId="26" fillId="0" borderId="84" xfId="63" applyFont="1" applyBorder="1" applyAlignment="1">
      <alignment horizontal="center" vertical="center"/>
    </xf>
    <xf numFmtId="0" fontId="39" fillId="0" borderId="84" xfId="63" applyFont="1" applyBorder="1" applyAlignment="1">
      <alignment horizontal="center" vertical="center" wrapText="1"/>
    </xf>
    <xf numFmtId="0" fontId="39" fillId="0" borderId="84" xfId="63" applyFont="1" applyBorder="1" applyAlignment="1">
      <alignment horizontal="center" vertical="center"/>
    </xf>
    <xf numFmtId="0" fontId="26" fillId="0" borderId="84" xfId="63" applyFont="1" applyBorder="1" applyAlignment="1">
      <alignment horizontal="center"/>
    </xf>
    <xf numFmtId="0" fontId="25" fillId="0" borderId="84" xfId="63" applyFont="1" applyBorder="1" applyAlignment="1">
      <alignment horizontal="center" vertical="center"/>
    </xf>
    <xf numFmtId="0" fontId="15" fillId="0" borderId="47" xfId="0" applyFont="1" applyBorder="1" applyAlignment="1" applyProtection="1">
      <alignment vertical="center"/>
    </xf>
    <xf numFmtId="0" fontId="15" fillId="0" borderId="38" xfId="0" applyFont="1" applyBorder="1" applyAlignment="1" applyProtection="1">
      <alignment vertical="center"/>
    </xf>
    <xf numFmtId="0" fontId="15" fillId="7" borderId="92" xfId="21" applyFont="1" applyFill="1" applyBorder="1" applyAlignment="1" applyProtection="1">
      <alignment vertical="center" wrapText="1"/>
    </xf>
    <xf numFmtId="0" fontId="14" fillId="7" borderId="92" xfId="21" applyFont="1" applyFill="1" applyBorder="1" applyAlignment="1" applyProtection="1">
      <alignment horizontal="center"/>
    </xf>
    <xf numFmtId="0" fontId="14" fillId="7" borderId="92" xfId="21" applyFont="1" applyFill="1" applyBorder="1" applyProtection="1"/>
    <xf numFmtId="0" fontId="15" fillId="7" borderId="92" xfId="21" applyFont="1" applyFill="1" applyBorder="1" applyAlignment="1" applyProtection="1">
      <alignment horizontal="center"/>
    </xf>
    <xf numFmtId="0" fontId="15" fillId="7" borderId="92" xfId="21" applyFont="1" applyFill="1" applyBorder="1" applyProtection="1"/>
    <xf numFmtId="0" fontId="26" fillId="16" borderId="71" xfId="44" applyFont="1" applyFill="1" applyBorder="1" applyAlignment="1" applyProtection="1">
      <alignment horizontal="center" vertical="center"/>
    </xf>
    <xf numFmtId="0" fontId="25" fillId="0" borderId="71" xfId="44" applyFont="1" applyBorder="1" applyAlignment="1" applyProtection="1">
      <alignment horizontal="center" vertical="center" wrapText="1"/>
    </xf>
    <xf numFmtId="0" fontId="51" fillId="0" borderId="0" xfId="0" applyFont="1" applyFill="1" applyAlignment="1">
      <alignment vertical="center"/>
    </xf>
    <xf numFmtId="0" fontId="15" fillId="0" borderId="0" xfId="0" applyFont="1" applyFill="1" applyAlignment="1">
      <alignment vertical="center"/>
    </xf>
    <xf numFmtId="165" fontId="15" fillId="0" borderId="28" xfId="0" applyNumberFormat="1" applyFont="1" applyBorder="1" applyAlignment="1">
      <alignment vertical="center" wrapText="1"/>
    </xf>
    <xf numFmtId="0" fontId="15" fillId="7" borderId="28" xfId="0" applyFont="1" applyFill="1" applyBorder="1" applyAlignment="1">
      <alignment vertical="center"/>
    </xf>
    <xf numFmtId="0" fontId="15" fillId="7" borderId="38" xfId="0" applyFont="1" applyFill="1" applyBorder="1" applyAlignment="1">
      <alignment vertical="center"/>
    </xf>
    <xf numFmtId="0" fontId="15" fillId="7" borderId="39" xfId="0" applyFont="1" applyFill="1" applyBorder="1" applyAlignment="1">
      <alignment vertical="center"/>
    </xf>
    <xf numFmtId="0" fontId="15" fillId="7" borderId="170" xfId="0" applyFont="1" applyFill="1" applyBorder="1" applyAlignment="1">
      <alignment vertical="center"/>
    </xf>
    <xf numFmtId="0" fontId="143" fillId="0" borderId="0" xfId="0" quotePrefix="1" applyFont="1" applyAlignment="1">
      <alignment horizontal="center" vertical="center" wrapText="1"/>
    </xf>
    <xf numFmtId="0" fontId="50" fillId="0" borderId="0" xfId="0" quotePrefix="1" applyFont="1" applyAlignment="1">
      <alignment horizontal="left" vertical="center"/>
    </xf>
    <xf numFmtId="0" fontId="15" fillId="0" borderId="0" xfId="50" applyFont="1" applyBorder="1" applyAlignment="1" applyProtection="1">
      <alignment vertical="center"/>
      <protection locked="0"/>
    </xf>
    <xf numFmtId="0" fontId="26" fillId="0" borderId="0" xfId="63" applyFont="1" applyBorder="1" applyAlignment="1">
      <alignment horizontal="center" vertical="center"/>
    </xf>
    <xf numFmtId="0" fontId="98" fillId="0" borderId="0" xfId="50" applyFont="1" applyBorder="1" applyAlignment="1">
      <alignment horizontal="center" vertical="center"/>
    </xf>
    <xf numFmtId="0" fontId="15" fillId="0" borderId="0" xfId="0" applyFont="1" applyAlignment="1"/>
    <xf numFmtId="165" fontId="15" fillId="0" borderId="0" xfId="50" quotePrefix="1" applyNumberFormat="1" applyFont="1" applyBorder="1" applyAlignment="1">
      <alignment horizontal="left" vertical="center" indent="1"/>
    </xf>
    <xf numFmtId="165" fontId="15" fillId="0" borderId="0" xfId="50" applyNumberFormat="1" applyFont="1" applyBorder="1" applyAlignment="1">
      <alignment horizontal="left" vertical="center" indent="1"/>
    </xf>
    <xf numFmtId="0" fontId="39" fillId="0" borderId="0" xfId="63" applyFont="1" applyBorder="1" applyAlignment="1">
      <alignment vertical="center"/>
    </xf>
    <xf numFmtId="0" fontId="79" fillId="7" borderId="0" xfId="50" applyFont="1" applyFill="1" applyBorder="1" applyAlignment="1" applyProtection="1">
      <alignment vertical="center" wrapText="1"/>
      <protection locked="0"/>
    </xf>
    <xf numFmtId="0" fontId="15" fillId="0" borderId="0" xfId="0" applyFont="1" applyBorder="1"/>
    <xf numFmtId="0" fontId="10" fillId="33" borderId="39" xfId="0" applyFont="1" applyFill="1" applyBorder="1" applyAlignment="1">
      <alignment horizontal="left" vertical="center"/>
    </xf>
    <xf numFmtId="0" fontId="25" fillId="0" borderId="46" xfId="74" applyFont="1" applyBorder="1" applyAlignment="1">
      <alignment horizontal="center" vertical="center"/>
    </xf>
    <xf numFmtId="0" fontId="32" fillId="0" borderId="0" xfId="0" applyFont="1" applyBorder="1" applyAlignment="1" applyProtection="1">
      <alignment horizontal="center"/>
    </xf>
    <xf numFmtId="0" fontId="15" fillId="0" borderId="0" xfId="0" applyFont="1" applyFill="1" applyBorder="1" applyAlignment="1">
      <alignment horizontal="left" vertical="center" wrapText="1" indent="1"/>
    </xf>
    <xf numFmtId="0" fontId="25" fillId="0" borderId="0" xfId="8" applyFont="1" applyAlignment="1" applyProtection="1">
      <alignment horizontal="center" vertical="center"/>
    </xf>
    <xf numFmtId="0" fontId="25" fillId="8" borderId="99" xfId="45" applyFont="1" applyFill="1" applyBorder="1" applyAlignment="1" applyProtection="1">
      <alignment horizontal="left" vertical="center" wrapText="1" indent="1"/>
    </xf>
    <xf numFmtId="0" fontId="25" fillId="8" borderId="27" xfId="45" applyFont="1" applyFill="1" applyBorder="1" applyAlignment="1" applyProtection="1">
      <alignment horizontal="left" vertical="center" wrapText="1" indent="1"/>
    </xf>
    <xf numFmtId="0" fontId="25" fillId="8" borderId="71" xfId="45" applyFont="1" applyFill="1" applyBorder="1" applyAlignment="1" applyProtection="1">
      <alignment horizontal="left" vertical="center" wrapText="1" indent="1"/>
    </xf>
    <xf numFmtId="0" fontId="25" fillId="0" borderId="0" xfId="8" applyFont="1" applyAlignment="1" applyProtection="1">
      <alignment horizontal="left" vertical="center" wrapText="1"/>
    </xf>
    <xf numFmtId="0" fontId="25" fillId="4" borderId="26" xfId="0" applyFont="1" applyFill="1" applyBorder="1" applyAlignment="1" applyProtection="1">
      <alignment horizontal="center" vertical="center"/>
      <protection locked="0"/>
    </xf>
    <xf numFmtId="0" fontId="25" fillId="7" borderId="0" xfId="12" applyFont="1" applyFill="1" applyBorder="1" applyAlignment="1" applyProtection="1">
      <alignment vertical="center" wrapText="1"/>
    </xf>
    <xf numFmtId="0" fontId="55" fillId="7" borderId="0" xfId="19" applyFont="1" applyFill="1" applyBorder="1" applyAlignment="1" applyProtection="1">
      <alignment vertical="center" wrapText="1"/>
    </xf>
    <xf numFmtId="0" fontId="25" fillId="7" borderId="0" xfId="8" applyFont="1" applyFill="1" applyBorder="1" applyAlignment="1" applyProtection="1">
      <alignment horizontal="left" vertical="center"/>
    </xf>
    <xf numFmtId="0" fontId="15" fillId="7" borderId="0" xfId="0" applyFont="1" applyFill="1" applyBorder="1" applyAlignment="1" applyProtection="1">
      <alignment horizontal="center" vertical="center"/>
    </xf>
    <xf numFmtId="0" fontId="55" fillId="7" borderId="0" xfId="0" applyFont="1" applyFill="1" applyBorder="1" applyAlignment="1" applyProtection="1">
      <alignment vertical="center" wrapText="1"/>
    </xf>
    <xf numFmtId="0" fontId="25" fillId="0" borderId="0" xfId="8" applyFont="1" applyBorder="1" applyAlignment="1" applyProtection="1">
      <alignment horizontal="left" vertical="center"/>
    </xf>
    <xf numFmtId="0" fontId="25" fillId="0" borderId="47" xfId="8" applyFont="1" applyBorder="1" applyAlignment="1" applyProtection="1">
      <alignment horizontal="left" vertical="center"/>
    </xf>
    <xf numFmtId="0" fontId="25" fillId="0" borderId="28" xfId="8" applyFont="1" applyBorder="1" applyAlignment="1" applyProtection="1">
      <alignment horizontal="left" vertical="center"/>
    </xf>
    <xf numFmtId="0" fontId="25" fillId="0" borderId="38" xfId="8" applyFont="1" applyBorder="1" applyAlignment="1" applyProtection="1">
      <alignment horizontal="left" vertical="center"/>
    </xf>
    <xf numFmtId="0" fontId="25" fillId="0" borderId="13" xfId="8" applyFont="1" applyBorder="1" applyAlignment="1" applyProtection="1">
      <alignment vertical="center"/>
    </xf>
    <xf numFmtId="0" fontId="25" fillId="0" borderId="39" xfId="8" applyFont="1" applyBorder="1" applyAlignment="1" applyProtection="1">
      <alignment vertical="center"/>
    </xf>
    <xf numFmtId="0" fontId="25" fillId="4" borderId="26" xfId="8" applyFont="1" applyFill="1" applyBorder="1" applyAlignment="1" applyProtection="1">
      <alignment horizontal="center" vertical="center"/>
      <protection locked="0"/>
    </xf>
    <xf numFmtId="0" fontId="15" fillId="7" borderId="0" xfId="74" applyFont="1" applyFill="1" applyBorder="1" applyAlignment="1" applyProtection="1">
      <alignment vertical="center"/>
    </xf>
    <xf numFmtId="0" fontId="25" fillId="7" borderId="26" xfId="8" applyFont="1" applyFill="1" applyBorder="1" applyAlignment="1" applyProtection="1">
      <alignment horizontal="center" vertical="center" wrapText="1"/>
    </xf>
    <xf numFmtId="0" fontId="25" fillId="4" borderId="99" xfId="8" applyFont="1" applyFill="1" applyBorder="1" applyAlignment="1" applyProtection="1">
      <alignment horizontal="center" vertical="center"/>
      <protection locked="0"/>
    </xf>
    <xf numFmtId="0" fontId="15" fillId="0" borderId="84" xfId="0" applyFont="1" applyBorder="1" applyAlignment="1" applyProtection="1">
      <alignment horizontal="center" vertical="center"/>
    </xf>
    <xf numFmtId="0" fontId="55" fillId="7" borderId="39" xfId="19" applyFont="1" applyFill="1" applyBorder="1" applyAlignment="1" applyProtection="1">
      <alignment vertical="center" wrapText="1"/>
    </xf>
    <xf numFmtId="0" fontId="15" fillId="7" borderId="39" xfId="0" applyFont="1" applyFill="1" applyBorder="1" applyAlignment="1" applyProtection="1">
      <alignment vertical="center"/>
    </xf>
    <xf numFmtId="0" fontId="25" fillId="7" borderId="0" xfId="8" applyFont="1" applyFill="1" applyAlignment="1" applyProtection="1">
      <alignment horizontal="center" vertical="center"/>
    </xf>
    <xf numFmtId="0" fontId="25" fillId="7" borderId="0" xfId="8" applyFont="1" applyFill="1" applyBorder="1" applyAlignment="1" applyProtection="1">
      <alignment horizontal="center" vertical="center"/>
    </xf>
    <xf numFmtId="0" fontId="15" fillId="0" borderId="0" xfId="0" applyFont="1" applyBorder="1" applyAlignment="1" applyProtection="1">
      <alignment vertical="center" wrapText="1"/>
    </xf>
    <xf numFmtId="0" fontId="25" fillId="7" borderId="84" xfId="0" applyFont="1" applyFill="1" applyBorder="1" applyAlignment="1" applyProtection="1">
      <alignment vertical="center"/>
    </xf>
    <xf numFmtId="0" fontId="25" fillId="7" borderId="0" xfId="0" applyFont="1" applyFill="1" applyBorder="1" applyAlignment="1" applyProtection="1">
      <alignment vertical="center"/>
    </xf>
    <xf numFmtId="0" fontId="25" fillId="0" borderId="84" xfId="8" applyFont="1" applyBorder="1" applyAlignment="1" applyProtection="1">
      <alignment horizontal="left" vertical="center"/>
    </xf>
    <xf numFmtId="0" fontId="25" fillId="0" borderId="43" xfId="8" applyFont="1" applyBorder="1" applyAlignment="1" applyProtection="1">
      <alignment horizontal="left" vertical="center"/>
    </xf>
    <xf numFmtId="0" fontId="25" fillId="0" borderId="13" xfId="8" applyFont="1" applyBorder="1" applyAlignment="1" applyProtection="1">
      <alignment horizontal="left" vertical="center"/>
    </xf>
    <xf numFmtId="0" fontId="25" fillId="0" borderId="39" xfId="8" applyFont="1" applyBorder="1" applyAlignment="1" applyProtection="1">
      <alignment horizontal="left" vertical="center"/>
    </xf>
    <xf numFmtId="0" fontId="25" fillId="0" borderId="0" xfId="26" applyFont="1" applyBorder="1" applyAlignment="1" applyProtection="1">
      <alignment vertical="center" wrapText="1"/>
    </xf>
    <xf numFmtId="0" fontId="25" fillId="0" borderId="0" xfId="0" applyFont="1" applyBorder="1" applyAlignment="1" applyProtection="1">
      <alignment vertical="center" wrapText="1"/>
    </xf>
    <xf numFmtId="0" fontId="25" fillId="0" borderId="43" xfId="0" applyFont="1" applyBorder="1" applyAlignment="1" applyProtection="1">
      <alignment vertical="center" wrapText="1"/>
    </xf>
    <xf numFmtId="0" fontId="25" fillId="0" borderId="39" xfId="0" applyFont="1" applyBorder="1" applyAlignment="1" applyProtection="1">
      <alignment horizontal="center" vertical="center"/>
    </xf>
    <xf numFmtId="0" fontId="15" fillId="0" borderId="0" xfId="0" applyFont="1" applyBorder="1" applyAlignment="1" applyProtection="1">
      <alignment horizontal="left" vertical="center"/>
    </xf>
    <xf numFmtId="0" fontId="15" fillId="0" borderId="0" xfId="0" applyFont="1" applyAlignment="1">
      <alignment horizontal="left" vertical="center"/>
    </xf>
    <xf numFmtId="0" fontId="15" fillId="0" borderId="13" xfId="0" applyFont="1" applyBorder="1" applyAlignment="1" applyProtection="1">
      <alignment horizontal="center" vertical="center"/>
    </xf>
    <xf numFmtId="0" fontId="50" fillId="0" borderId="0" xfId="8" applyFont="1" applyBorder="1" applyAlignment="1" applyProtection="1">
      <alignment horizontal="left" vertical="center"/>
    </xf>
    <xf numFmtId="0" fontId="25" fillId="0" borderId="26" xfId="8" applyFont="1" applyBorder="1" applyAlignment="1" applyProtection="1">
      <alignment horizontal="center" vertical="center"/>
    </xf>
    <xf numFmtId="0" fontId="15" fillId="8" borderId="99" xfId="19" applyFont="1" applyFill="1" applyBorder="1" applyAlignment="1" applyProtection="1">
      <alignment horizontal="left" vertical="center" wrapText="1"/>
    </xf>
    <xf numFmtId="0" fontId="15" fillId="8" borderId="27" xfId="19" applyFont="1" applyFill="1" applyBorder="1" applyAlignment="1" applyProtection="1">
      <alignment horizontal="left" vertical="center" wrapText="1"/>
    </xf>
    <xf numFmtId="0" fontId="15" fillId="8" borderId="71" xfId="19" applyFont="1" applyFill="1" applyBorder="1" applyAlignment="1" applyProtection="1">
      <alignment horizontal="left" vertical="center" wrapText="1"/>
    </xf>
    <xf numFmtId="0" fontId="25" fillId="0" borderId="0" xfId="8" applyFont="1" applyFill="1" applyBorder="1" applyAlignment="1" applyProtection="1">
      <alignment horizontal="left" vertical="center"/>
    </xf>
    <xf numFmtId="0" fontId="15" fillId="8" borderId="99" xfId="19" applyFont="1" applyFill="1" applyBorder="1" applyAlignment="1" applyProtection="1">
      <alignment horizontal="center" vertical="center" wrapText="1"/>
    </xf>
    <xf numFmtId="0" fontId="15" fillId="8" borderId="27" xfId="19" applyFont="1" applyFill="1" applyBorder="1" applyAlignment="1" applyProtection="1">
      <alignment horizontal="center" vertical="center" wrapText="1"/>
    </xf>
    <xf numFmtId="0" fontId="15" fillId="8" borderId="71" xfId="19" applyFont="1" applyFill="1" applyBorder="1" applyAlignment="1" applyProtection="1">
      <alignment horizontal="center" vertical="center" wrapText="1"/>
    </xf>
    <xf numFmtId="0" fontId="63" fillId="7" borderId="0" xfId="0" applyFont="1" applyFill="1" applyBorder="1" applyAlignment="1" applyProtection="1">
      <alignment horizontal="left" vertical="center" indent="1"/>
    </xf>
    <xf numFmtId="0" fontId="15" fillId="7" borderId="28" xfId="0" quotePrefix="1" applyFont="1" applyFill="1" applyBorder="1" applyAlignment="1" applyProtection="1">
      <alignment horizontal="center" vertical="center" wrapText="1"/>
    </xf>
    <xf numFmtId="0" fontId="0" fillId="7" borderId="0" xfId="0" applyFill="1" applyAlignment="1" applyProtection="1">
      <alignment horizontal="left" vertical="center" wrapText="1"/>
    </xf>
    <xf numFmtId="0" fontId="15" fillId="0" borderId="0" xfId="0" applyFont="1" applyBorder="1" applyAlignment="1">
      <alignment horizontal="left" vertical="center"/>
    </xf>
    <xf numFmtId="0" fontId="15" fillId="0" borderId="0" xfId="0" applyFont="1" applyAlignment="1">
      <alignment horizontal="left" vertical="center" wrapText="1"/>
    </xf>
    <xf numFmtId="0" fontId="15" fillId="7" borderId="0" xfId="0" applyFont="1" applyFill="1" applyAlignment="1">
      <alignment horizontal="left" vertical="center"/>
    </xf>
    <xf numFmtId="0" fontId="15" fillId="0" borderId="39" xfId="0" applyFont="1" applyBorder="1" applyAlignment="1">
      <alignment horizontal="left" vertical="center"/>
    </xf>
    <xf numFmtId="0" fontId="163" fillId="0" borderId="0" xfId="0" applyFont="1" applyBorder="1" applyAlignment="1">
      <alignment horizontal="left" vertical="center"/>
    </xf>
    <xf numFmtId="0" fontId="15" fillId="0" borderId="43" xfId="0" applyFont="1" applyBorder="1" applyAlignment="1">
      <alignment horizontal="left" vertical="center" wrapText="1"/>
    </xf>
    <xf numFmtId="0" fontId="15" fillId="0" borderId="4" xfId="0" applyFont="1" applyBorder="1" applyAlignment="1">
      <alignment horizontal="left" vertical="center"/>
    </xf>
    <xf numFmtId="0" fontId="15" fillId="0" borderId="0" xfId="0" applyFont="1" applyBorder="1" applyAlignment="1">
      <alignment horizontal="left" vertical="center" wrapText="1"/>
    </xf>
    <xf numFmtId="0" fontId="15" fillId="0" borderId="0" xfId="0" applyFont="1" applyAlignment="1">
      <alignment vertical="center"/>
    </xf>
    <xf numFmtId="0" fontId="14" fillId="0" borderId="0" xfId="0" applyFont="1" applyAlignment="1">
      <alignment horizontal="left" vertical="center"/>
    </xf>
    <xf numFmtId="0" fontId="15" fillId="0" borderId="0" xfId="0" applyFont="1" applyAlignment="1">
      <alignment vertical="center" wrapText="1"/>
    </xf>
    <xf numFmtId="0" fontId="15" fillId="0" borderId="0" xfId="0" applyFont="1" applyAlignment="1">
      <alignment horizontal="center" vertical="center"/>
    </xf>
    <xf numFmtId="0" fontId="25" fillId="0" borderId="0" xfId="0" applyFont="1" applyBorder="1" applyAlignment="1" applyProtection="1">
      <alignment horizontal="left" vertical="center" wrapText="1"/>
    </xf>
    <xf numFmtId="0" fontId="25" fillId="0" borderId="0" xfId="0" applyFont="1" applyBorder="1" applyAlignment="1" applyProtection="1">
      <alignment horizontal="left" vertical="center"/>
    </xf>
    <xf numFmtId="0" fontId="25" fillId="0" borderId="43" xfId="0" applyFont="1" applyBorder="1" applyAlignment="1" applyProtection="1">
      <alignment horizontal="left" vertical="center" wrapText="1"/>
    </xf>
    <xf numFmtId="0" fontId="50" fillId="0" borderId="0" xfId="12" applyFont="1" applyFill="1" applyBorder="1" applyAlignment="1" applyProtection="1">
      <alignment horizontal="left" vertical="center" wrapText="1"/>
    </xf>
    <xf numFmtId="0" fontId="50" fillId="0" borderId="43" xfId="12" applyFont="1" applyFill="1" applyBorder="1" applyAlignment="1" applyProtection="1">
      <alignment horizontal="left" vertical="center" wrapText="1"/>
    </xf>
    <xf numFmtId="167" fontId="25" fillId="4" borderId="99" xfId="12" applyNumberFormat="1" applyFont="1" applyFill="1" applyBorder="1" applyAlignment="1" applyProtection="1">
      <alignment horizontal="center" vertical="center" wrapText="1"/>
      <protection locked="0"/>
    </xf>
    <xf numFmtId="167" fontId="25" fillId="4" borderId="27" xfId="12" applyNumberFormat="1" applyFont="1" applyFill="1" applyBorder="1" applyAlignment="1" applyProtection="1">
      <alignment horizontal="center" vertical="center" wrapText="1"/>
      <protection locked="0"/>
    </xf>
    <xf numFmtId="167" fontId="25" fillId="4" borderId="71" xfId="12" applyNumberFormat="1" applyFont="1" applyFill="1" applyBorder="1" applyAlignment="1" applyProtection="1">
      <alignment horizontal="center" vertical="center" wrapText="1"/>
      <protection locked="0"/>
    </xf>
    <xf numFmtId="0" fontId="25" fillId="0" borderId="0" xfId="12" applyFont="1" applyFill="1" applyBorder="1" applyAlignment="1" applyProtection="1">
      <alignment vertical="center" wrapText="1"/>
    </xf>
    <xf numFmtId="0" fontId="25" fillId="0" borderId="0" xfId="13" applyFont="1" applyBorder="1" applyAlignment="1" applyProtection="1">
      <alignment horizontal="center" vertical="center" wrapText="1"/>
    </xf>
    <xf numFmtId="0" fontId="25" fillId="0" borderId="0" xfId="13" applyFont="1" applyBorder="1" applyAlignment="1" applyProtection="1">
      <alignment horizontal="left" vertical="center" wrapText="1"/>
    </xf>
    <xf numFmtId="0" fontId="25" fillId="0" borderId="0" xfId="0" applyFont="1" applyBorder="1" applyAlignment="1" applyProtection="1">
      <alignment horizontal="center" vertical="center"/>
    </xf>
    <xf numFmtId="0" fontId="15" fillId="0" borderId="0" xfId="8" applyFont="1" applyBorder="1" applyAlignment="1" applyProtection="1">
      <alignment horizontal="left" vertical="center"/>
    </xf>
    <xf numFmtId="0" fontId="15" fillId="0" borderId="84" xfId="0" applyFont="1" applyBorder="1" applyAlignment="1">
      <alignment horizontal="left" vertical="center" wrapText="1"/>
    </xf>
    <xf numFmtId="0" fontId="25" fillId="0" borderId="39" xfId="0" applyFont="1" applyBorder="1" applyAlignment="1" applyProtection="1">
      <alignment horizontal="left" vertical="center"/>
    </xf>
    <xf numFmtId="0" fontId="25" fillId="0" borderId="0" xfId="0" applyFont="1" applyBorder="1" applyAlignment="1" applyProtection="1">
      <alignment horizontal="left" vertical="center" indent="3"/>
    </xf>
    <xf numFmtId="0" fontId="35" fillId="0" borderId="0" xfId="8" applyFont="1" applyBorder="1" applyAlignment="1" applyProtection="1">
      <alignment horizontal="left" vertical="center"/>
    </xf>
    <xf numFmtId="0" fontId="25" fillId="7" borderId="0" xfId="0" applyFont="1" applyFill="1" applyAlignment="1" applyProtection="1">
      <alignment horizontal="left" vertical="center" wrapText="1"/>
    </xf>
    <xf numFmtId="0" fontId="25" fillId="7" borderId="0" xfId="0" applyFont="1" applyFill="1" applyAlignment="1" applyProtection="1">
      <alignment horizontal="left" vertical="center"/>
    </xf>
    <xf numFmtId="0" fontId="15" fillId="0" borderId="0" xfId="0" applyFont="1" applyBorder="1" applyAlignment="1">
      <alignment vertical="center" wrapText="1"/>
    </xf>
    <xf numFmtId="0" fontId="55" fillId="0" borderId="0" xfId="0" applyFont="1" applyBorder="1" applyAlignment="1">
      <alignment horizontal="left" vertical="center" wrapText="1"/>
    </xf>
    <xf numFmtId="0" fontId="25" fillId="0" borderId="0" xfId="26" applyFont="1" applyBorder="1" applyAlignment="1" applyProtection="1">
      <alignment horizontal="left" vertical="center" wrapText="1" indent="1"/>
    </xf>
    <xf numFmtId="0" fontId="25" fillId="0" borderId="84" xfId="26" applyFont="1" applyBorder="1" applyAlignment="1" applyProtection="1">
      <alignment vertical="center" wrapText="1"/>
    </xf>
    <xf numFmtId="0" fontId="14" fillId="0" borderId="0" xfId="0" applyFont="1" applyAlignment="1">
      <alignment wrapText="1"/>
    </xf>
    <xf numFmtId="0" fontId="15" fillId="0" borderId="0" xfId="26" applyFont="1" applyBorder="1" applyAlignment="1" applyProtection="1">
      <alignment horizontal="left" vertical="center" wrapText="1" indent="1"/>
    </xf>
    <xf numFmtId="0" fontId="25" fillId="0" borderId="0" xfId="26" applyFont="1" applyBorder="1" applyAlignment="1" applyProtection="1">
      <alignment horizontal="left" vertical="center" wrapText="1"/>
    </xf>
    <xf numFmtId="0" fontId="25" fillId="0" borderId="84" xfId="26" applyFont="1" applyBorder="1" applyAlignment="1" applyProtection="1">
      <alignment horizontal="left" vertical="center"/>
    </xf>
    <xf numFmtId="0" fontId="25" fillId="0" borderId="0" xfId="26" applyFont="1" applyBorder="1" applyAlignment="1" applyProtection="1">
      <alignment horizontal="left" vertical="center"/>
    </xf>
    <xf numFmtId="0" fontId="25" fillId="0" borderId="0" xfId="26" applyFont="1" applyBorder="1" applyAlignment="1" applyProtection="1">
      <alignment horizontal="left" vertical="center" indent="1"/>
    </xf>
    <xf numFmtId="0" fontId="25" fillId="0" borderId="39" xfId="26" applyFont="1" applyBorder="1" applyAlignment="1" applyProtection="1">
      <alignment horizontal="left" vertical="center" wrapText="1"/>
    </xf>
    <xf numFmtId="0" fontId="15" fillId="0" borderId="26" xfId="26" applyFont="1" applyBorder="1" applyAlignment="1" applyProtection="1">
      <alignment horizontal="left" vertical="center" indent="1"/>
    </xf>
    <xf numFmtId="0" fontId="15" fillId="0" borderId="26" xfId="74" applyFont="1" applyBorder="1" applyAlignment="1">
      <alignment horizontal="center" vertical="center"/>
    </xf>
    <xf numFmtId="10" fontId="15" fillId="0" borderId="0" xfId="8" applyNumberFormat="1" applyFont="1" applyBorder="1" applyAlignment="1" applyProtection="1">
      <alignment horizontal="center" vertical="center" wrapText="1"/>
    </xf>
    <xf numFmtId="0" fontId="25" fillId="0" borderId="0" xfId="74" applyFont="1" applyAlignment="1">
      <alignment horizontal="center" vertical="center"/>
    </xf>
    <xf numFmtId="0" fontId="25" fillId="0" borderId="26" xfId="74" applyFont="1" applyBorder="1" applyAlignment="1">
      <alignment horizontal="center" vertical="center"/>
    </xf>
    <xf numFmtId="0" fontId="15" fillId="4" borderId="26" xfId="26" applyFont="1" applyFill="1" applyBorder="1" applyAlignment="1" applyProtection="1">
      <alignment horizontal="center" vertical="center" shrinkToFit="1"/>
      <protection locked="0"/>
    </xf>
    <xf numFmtId="165" fontId="120" fillId="7" borderId="26" xfId="74" applyNumberFormat="1" applyFont="1" applyFill="1" applyBorder="1" applyAlignment="1">
      <alignment horizontal="center" vertical="center"/>
    </xf>
    <xf numFmtId="0" fontId="25" fillId="0" borderId="0" xfId="74" applyFont="1" applyAlignment="1">
      <alignment horizontal="center"/>
    </xf>
    <xf numFmtId="0" fontId="25" fillId="0" borderId="41" xfId="74" applyFont="1" applyBorder="1" applyAlignment="1">
      <alignment horizontal="center" vertical="center" wrapText="1"/>
    </xf>
    <xf numFmtId="0" fontId="25" fillId="0" borderId="0" xfId="74" applyFont="1" applyBorder="1" applyAlignment="1">
      <alignment horizontal="center" vertical="center" wrapText="1"/>
    </xf>
    <xf numFmtId="0" fontId="15" fillId="0" borderId="99" xfId="8" applyFont="1" applyFill="1" applyBorder="1" applyAlignment="1" applyProtection="1">
      <alignment horizontal="left" vertical="center" indent="1"/>
    </xf>
    <xf numFmtId="0" fontId="15" fillId="0" borderId="27" xfId="8" applyFont="1" applyFill="1" applyBorder="1" applyAlignment="1" applyProtection="1">
      <alignment horizontal="left" vertical="center" indent="1"/>
    </xf>
    <xf numFmtId="0" fontId="15" fillId="0" borderId="71" xfId="8" applyFont="1" applyFill="1" applyBorder="1" applyAlignment="1" applyProtection="1">
      <alignment horizontal="left" vertical="center" indent="1"/>
    </xf>
    <xf numFmtId="0" fontId="56" fillId="0" borderId="99" xfId="0" applyFont="1" applyFill="1" applyBorder="1" applyAlignment="1" applyProtection="1">
      <alignment horizontal="center" vertical="center" wrapText="1"/>
    </xf>
    <xf numFmtId="0" fontId="35" fillId="7" borderId="0" xfId="0" applyFont="1" applyFill="1" applyBorder="1" applyAlignment="1" applyProtection="1">
      <alignment horizontal="center" vertical="center" wrapText="1"/>
    </xf>
    <xf numFmtId="0" fontId="15" fillId="0" borderId="0" xfId="26" applyFont="1" applyAlignment="1" applyProtection="1"/>
    <xf numFmtId="0" fontId="35" fillId="0" borderId="0" xfId="8" applyFont="1" applyBorder="1" applyAlignment="1" applyProtection="1">
      <alignment horizontal="center" vertical="center"/>
    </xf>
    <xf numFmtId="0" fontId="15" fillId="4" borderId="26" xfId="26" applyFont="1" applyFill="1" applyBorder="1" applyAlignment="1" applyProtection="1">
      <alignment horizontal="left" vertical="top"/>
    </xf>
    <xf numFmtId="0" fontId="15" fillId="0" borderId="0" xfId="26" applyFont="1" applyBorder="1" applyAlignment="1" applyProtection="1">
      <alignment horizontal="center" vertical="center"/>
    </xf>
    <xf numFmtId="0" fontId="15" fillId="0" borderId="13" xfId="26" applyFont="1" applyBorder="1" applyAlignment="1" applyProtection="1">
      <alignment horizontal="center" vertical="center"/>
    </xf>
    <xf numFmtId="0" fontId="39" fillId="7" borderId="39" xfId="26" applyFont="1" applyFill="1" applyBorder="1" applyAlignment="1" applyProtection="1">
      <alignment horizontal="center" vertical="center"/>
    </xf>
    <xf numFmtId="0" fontId="15" fillId="0" borderId="0" xfId="26" applyFont="1" applyBorder="1" applyAlignment="1" applyProtection="1">
      <alignment horizontal="right" vertical="center" indent="1"/>
    </xf>
    <xf numFmtId="0" fontId="39" fillId="7" borderId="39" xfId="26" applyFont="1" applyFill="1" applyBorder="1" applyAlignment="1" applyProtection="1">
      <alignment horizontal="center" vertical="center" wrapText="1"/>
    </xf>
    <xf numFmtId="38" fontId="10" fillId="0" borderId="0" xfId="26" applyNumberFormat="1" applyFont="1" applyAlignment="1" applyProtection="1">
      <alignment horizontal="center"/>
    </xf>
    <xf numFmtId="0" fontId="15" fillId="4" borderId="26" xfId="26" applyFont="1" applyFill="1" applyBorder="1" applyAlignment="1" applyProtection="1">
      <alignment horizontal="center" vertical="center"/>
      <protection locked="0"/>
    </xf>
    <xf numFmtId="0" fontId="15" fillId="7" borderId="0" xfId="56" applyFont="1" applyFill="1" applyBorder="1" applyAlignment="1" applyProtection="1">
      <alignment horizontal="center" vertical="center"/>
    </xf>
    <xf numFmtId="0" fontId="39" fillId="0" borderId="26" xfId="60" applyFont="1" applyBorder="1" applyAlignment="1" applyProtection="1">
      <alignment horizontal="center" vertical="center"/>
    </xf>
    <xf numFmtId="0" fontId="25" fillId="0" borderId="0" xfId="58" applyFont="1" applyBorder="1" applyAlignment="1" applyProtection="1">
      <alignment horizontal="center" vertical="center"/>
    </xf>
    <xf numFmtId="0" fontId="15" fillId="0" borderId="0" xfId="0" applyFont="1" applyBorder="1" applyAlignment="1">
      <alignment horizontal="center" vertical="center"/>
    </xf>
    <xf numFmtId="0" fontId="15" fillId="0" borderId="13" xfId="69" applyFont="1" applyBorder="1" applyAlignment="1" applyProtection="1">
      <alignment horizontal="center" vertical="center"/>
    </xf>
    <xf numFmtId="0" fontId="35" fillId="0" borderId="0" xfId="26" applyFont="1" applyFill="1" applyBorder="1" applyAlignment="1" applyProtection="1">
      <alignment horizontal="center" vertical="center"/>
    </xf>
    <xf numFmtId="0" fontId="35" fillId="0" borderId="0" xfId="0" applyFont="1" applyBorder="1" applyAlignment="1" applyProtection="1">
      <alignment horizontal="center" vertical="center" wrapText="1"/>
    </xf>
    <xf numFmtId="0" fontId="15" fillId="0" borderId="0" xfId="26" applyFont="1" applyBorder="1" applyAlignment="1" applyProtection="1">
      <alignment horizontal="center"/>
    </xf>
    <xf numFmtId="0" fontId="15" fillId="0" borderId="99" xfId="26" applyFont="1" applyBorder="1" applyAlignment="1" applyProtection="1">
      <alignment horizontal="left" vertical="center" indent="1"/>
    </xf>
    <xf numFmtId="0" fontId="15" fillId="0" borderId="0" xfId="26" applyFont="1" applyAlignment="1" applyProtection="1">
      <alignment horizontal="center"/>
    </xf>
    <xf numFmtId="0" fontId="15" fillId="0" borderId="47" xfId="26" applyFont="1" applyBorder="1" applyAlignment="1" applyProtection="1">
      <alignment horizontal="left" vertical="center" indent="1"/>
    </xf>
    <xf numFmtId="0" fontId="15" fillId="0" borderId="0" xfId="26" applyFont="1" applyBorder="1" applyAlignment="1" applyProtection="1">
      <alignment horizontal="left" vertical="center" indent="1"/>
    </xf>
    <xf numFmtId="14" fontId="15" fillId="4" borderId="26" xfId="26" applyNumberFormat="1" applyFont="1" applyFill="1" applyBorder="1" applyAlignment="1" applyProtection="1">
      <alignment horizontal="center" vertical="center"/>
      <protection locked="0"/>
    </xf>
    <xf numFmtId="0" fontId="15" fillId="4" borderId="41" xfId="26" applyFont="1" applyFill="1" applyBorder="1" applyAlignment="1" applyProtection="1">
      <alignment horizontal="center" vertical="center"/>
      <protection locked="0"/>
    </xf>
    <xf numFmtId="0" fontId="11" fillId="0" borderId="0" xfId="4" applyBorder="1" applyAlignment="1" applyProtection="1">
      <alignment horizontal="center" vertical="center"/>
    </xf>
    <xf numFmtId="0" fontId="11" fillId="0" borderId="0" xfId="4" applyAlignment="1" applyProtection="1">
      <alignment horizontal="center" vertical="center"/>
    </xf>
    <xf numFmtId="0" fontId="15" fillId="0" borderId="13" xfId="21" applyFont="1" applyBorder="1" applyAlignment="1" applyProtection="1">
      <alignment horizontal="center" vertical="center" wrapText="1"/>
    </xf>
    <xf numFmtId="0" fontId="15" fillId="0" borderId="39" xfId="21" applyFont="1" applyBorder="1" applyAlignment="1" applyProtection="1">
      <alignment horizontal="center" vertical="center" wrapText="1"/>
    </xf>
    <xf numFmtId="0" fontId="25" fillId="0" borderId="26" xfId="44" applyFont="1" applyBorder="1" applyAlignment="1" applyProtection="1">
      <alignment horizontal="center" vertical="center"/>
    </xf>
    <xf numFmtId="0" fontId="14" fillId="0" borderId="0" xfId="44" applyFont="1" applyFill="1" applyBorder="1" applyAlignment="1" applyProtection="1">
      <alignment horizontal="center" vertical="center" wrapText="1"/>
    </xf>
    <xf numFmtId="0" fontId="15" fillId="0" borderId="170" xfId="8" applyFont="1" applyBorder="1" applyAlignment="1" applyProtection="1">
      <alignment horizontal="left" vertical="center"/>
    </xf>
    <xf numFmtId="0" fontId="15" fillId="7" borderId="170" xfId="0" applyFont="1" applyFill="1" applyBorder="1" applyAlignment="1" applyProtection="1">
      <alignment vertical="center"/>
    </xf>
    <xf numFmtId="0" fontId="25" fillId="0" borderId="170" xfId="8" applyFont="1" applyBorder="1" applyAlignment="1" applyProtection="1">
      <alignment vertical="center"/>
    </xf>
    <xf numFmtId="0" fontId="15" fillId="0" borderId="170" xfId="0" applyFont="1" applyBorder="1" applyAlignment="1">
      <alignment vertical="top" wrapText="1"/>
    </xf>
    <xf numFmtId="0" fontId="25" fillId="47" borderId="170" xfId="8" applyFont="1" applyFill="1" applyBorder="1" applyAlignment="1" applyProtection="1">
      <alignment horizontal="center" vertical="center" wrapText="1"/>
    </xf>
    <xf numFmtId="0" fontId="26" fillId="7" borderId="170" xfId="8" applyFont="1" applyFill="1" applyBorder="1" applyAlignment="1" applyProtection="1">
      <alignment horizontal="center" vertical="center" wrapText="1"/>
    </xf>
    <xf numFmtId="0" fontId="25" fillId="0" borderId="170" xfId="74" applyFont="1" applyBorder="1" applyAlignment="1">
      <alignment horizontal="center" vertical="center"/>
    </xf>
    <xf numFmtId="9" fontId="15" fillId="0" borderId="170" xfId="0" applyNumberFormat="1" applyFont="1" applyFill="1" applyBorder="1" applyAlignment="1" applyProtection="1">
      <alignment horizontal="center" vertical="center"/>
    </xf>
    <xf numFmtId="0" fontId="15" fillId="0" borderId="170" xfId="26" applyFont="1" applyBorder="1" applyAlignment="1">
      <alignment horizontal="left"/>
    </xf>
    <xf numFmtId="0" fontId="15" fillId="4" borderId="170" xfId="74" applyFont="1" applyFill="1" applyBorder="1" applyAlignment="1">
      <alignment horizontal="center" vertical="center"/>
    </xf>
    <xf numFmtId="0" fontId="15" fillId="7" borderId="170" xfId="26" applyFont="1" applyFill="1" applyBorder="1" applyAlignment="1" applyProtection="1">
      <alignment horizontal="center" vertical="center" wrapText="1"/>
    </xf>
    <xf numFmtId="165" fontId="15" fillId="4" borderId="170" xfId="26" applyNumberFormat="1" applyFont="1" applyFill="1" applyBorder="1" applyAlignment="1" applyProtection="1">
      <alignment horizontal="center" vertical="center"/>
      <protection locked="0"/>
    </xf>
    <xf numFmtId="0" fontId="15" fillId="0" borderId="170" xfId="26" applyFont="1" applyBorder="1" applyAlignment="1" applyProtection="1">
      <alignment horizontal="center" vertical="center"/>
    </xf>
    <xf numFmtId="4" fontId="52" fillId="0" borderId="170" xfId="60" applyNumberFormat="1" applyFont="1" applyBorder="1" applyAlignment="1" applyProtection="1">
      <alignment vertical="center" wrapText="1"/>
    </xf>
    <xf numFmtId="0" fontId="15" fillId="7" borderId="170" xfId="26" quotePrefix="1" applyFont="1" applyFill="1" applyBorder="1" applyAlignment="1" applyProtection="1">
      <alignment horizontal="center" vertical="center" wrapText="1"/>
    </xf>
    <xf numFmtId="0" fontId="15" fillId="0" borderId="170" xfId="21" applyFont="1" applyBorder="1" applyAlignment="1" applyProtection="1">
      <alignment horizontal="center" vertical="center"/>
    </xf>
    <xf numFmtId="0" fontId="25" fillId="0" borderId="26" xfId="74" applyFont="1" applyBorder="1" applyAlignment="1">
      <alignment horizontal="center" vertical="center"/>
    </xf>
    <xf numFmtId="165" fontId="25" fillId="0" borderId="0" xfId="64" applyNumberFormat="1" applyFont="1" applyBorder="1" applyAlignment="1">
      <alignment vertical="center"/>
    </xf>
    <xf numFmtId="0" fontId="15" fillId="7" borderId="0" xfId="50" applyFont="1" applyFill="1" applyBorder="1" applyAlignment="1">
      <alignment vertical="center" wrapText="1"/>
    </xf>
    <xf numFmtId="0" fontId="15" fillId="0" borderId="43" xfId="0" applyFont="1" applyBorder="1"/>
    <xf numFmtId="0" fontId="15" fillId="0" borderId="39" xfId="0" applyFont="1" applyBorder="1"/>
    <xf numFmtId="0" fontId="15" fillId="0" borderId="170" xfId="0" applyFont="1" applyBorder="1"/>
    <xf numFmtId="0" fontId="15" fillId="0" borderId="0" xfId="66" applyFont="1" applyBorder="1" applyAlignment="1">
      <alignment horizontal="left" vertical="top" wrapText="1" indent="2"/>
    </xf>
    <xf numFmtId="0" fontId="15" fillId="0" borderId="0" xfId="0" applyFont="1" applyBorder="1" applyAlignment="1">
      <alignment horizontal="left" indent="1"/>
    </xf>
    <xf numFmtId="165" fontId="15" fillId="0" borderId="0" xfId="50" applyNumberFormat="1" applyFont="1" applyBorder="1" applyAlignment="1">
      <alignment horizontal="left" vertical="center" indent="2"/>
    </xf>
    <xf numFmtId="0" fontId="39" fillId="0" borderId="39" xfId="50" quotePrefix="1" applyFont="1" applyBorder="1" applyAlignment="1">
      <alignment vertical="center"/>
    </xf>
    <xf numFmtId="0" fontId="15" fillId="0" borderId="43" xfId="0" applyFont="1" applyBorder="1" applyAlignment="1">
      <alignment horizontal="left" indent="1"/>
    </xf>
    <xf numFmtId="0" fontId="25" fillId="0" borderId="0" xfId="63" applyFont="1" applyBorder="1" applyAlignment="1"/>
    <xf numFmtId="0" fontId="142" fillId="0" borderId="26" xfId="74" applyNumberFormat="1" applyFont="1" applyFill="1" applyBorder="1" applyAlignment="1">
      <alignment horizontal="center" vertical="center"/>
    </xf>
    <xf numFmtId="0" fontId="39" fillId="0" borderId="0" xfId="63" applyFont="1" applyBorder="1" applyAlignment="1">
      <alignment horizontal="right" vertical="center" indent="1"/>
    </xf>
    <xf numFmtId="0" fontId="39" fillId="0" borderId="0" xfId="63" applyFont="1" applyBorder="1" applyAlignment="1">
      <alignment horizontal="left" vertical="center"/>
    </xf>
    <xf numFmtId="0" fontId="25" fillId="0" borderId="0" xfId="8" applyFont="1" applyAlignment="1" applyProtection="1">
      <alignment horizontal="center" vertical="center"/>
    </xf>
    <xf numFmtId="0" fontId="25" fillId="0" borderId="0" xfId="8" applyFont="1" applyBorder="1" applyAlignment="1" applyProtection="1">
      <alignment horizontal="left" vertical="center"/>
    </xf>
    <xf numFmtId="0" fontId="25" fillId="7" borderId="0" xfId="8" applyFont="1" applyFill="1" applyAlignment="1" applyProtection="1">
      <alignment horizontal="center" vertical="center"/>
    </xf>
    <xf numFmtId="0" fontId="15" fillId="0" borderId="0" xfId="0" applyFont="1" applyBorder="1" applyAlignment="1">
      <alignment horizontal="left" vertical="center"/>
    </xf>
    <xf numFmtId="0" fontId="15" fillId="0" borderId="0" xfId="0" applyFont="1" applyAlignment="1">
      <alignment vertical="center" wrapText="1"/>
    </xf>
    <xf numFmtId="0" fontId="15" fillId="0" borderId="0" xfId="0" applyFont="1" applyBorder="1" applyAlignment="1">
      <alignment vertical="center" wrapText="1"/>
    </xf>
    <xf numFmtId="0" fontId="25" fillId="0" borderId="0" xfId="74" applyFont="1" applyAlignment="1">
      <alignment horizontal="center" vertical="center"/>
    </xf>
    <xf numFmtId="0" fontId="25" fillId="0" borderId="26" xfId="74" applyFont="1" applyBorder="1" applyAlignment="1">
      <alignment horizontal="center" vertical="center"/>
    </xf>
    <xf numFmtId="165" fontId="15" fillId="7" borderId="93" xfId="74" applyNumberFormat="1" applyFont="1" applyFill="1" applyBorder="1" applyAlignment="1">
      <alignment horizontal="left" vertical="center" indent="1"/>
    </xf>
    <xf numFmtId="165" fontId="25" fillId="0" borderId="101" xfId="74" quotePrefix="1" applyNumberFormat="1" applyFont="1" applyBorder="1" applyAlignment="1">
      <alignment horizontal="left" vertical="center" indent="1"/>
    </xf>
    <xf numFmtId="165" fontId="15" fillId="7" borderId="94" xfId="74" applyNumberFormat="1" applyFont="1" applyFill="1" applyBorder="1" applyAlignment="1">
      <alignment horizontal="left" vertical="center" wrapText="1" indent="1"/>
    </xf>
    <xf numFmtId="165" fontId="15" fillId="7" borderId="71" xfId="74" applyNumberFormat="1" applyFont="1" applyFill="1" applyBorder="1" applyAlignment="1">
      <alignment horizontal="left" vertical="center" indent="1"/>
    </xf>
    <xf numFmtId="165" fontId="15" fillId="7" borderId="148" xfId="74" applyNumberFormat="1" applyFont="1" applyFill="1" applyBorder="1" applyAlignment="1">
      <alignment horizontal="left" vertical="center" indent="1"/>
    </xf>
    <xf numFmtId="165" fontId="15" fillId="7" borderId="143" xfId="74" applyNumberFormat="1" applyFont="1" applyFill="1" applyBorder="1" applyAlignment="1">
      <alignment horizontal="left" vertical="center" indent="1"/>
    </xf>
    <xf numFmtId="165" fontId="25" fillId="0" borderId="144" xfId="74" quotePrefix="1" applyNumberFormat="1" applyFont="1" applyBorder="1" applyAlignment="1">
      <alignment horizontal="left" vertical="center" indent="1"/>
    </xf>
    <xf numFmtId="165" fontId="15" fillId="7" borderId="145" xfId="74" applyNumberFormat="1" applyFont="1" applyFill="1" applyBorder="1" applyAlignment="1">
      <alignment horizontal="left" vertical="center" indent="1"/>
    </xf>
    <xf numFmtId="165" fontId="15" fillId="7" borderId="143" xfId="74" applyNumberFormat="1" applyFont="1" applyFill="1" applyBorder="1" applyAlignment="1">
      <alignment horizontal="left" vertical="center" wrapText="1" indent="1"/>
    </xf>
    <xf numFmtId="165" fontId="15" fillId="7" borderId="146" xfId="74" applyNumberFormat="1" applyFont="1" applyFill="1" applyBorder="1" applyAlignment="1">
      <alignment horizontal="left" vertical="center" indent="1"/>
    </xf>
    <xf numFmtId="165" fontId="15" fillId="7" borderId="149" xfId="74" applyNumberFormat="1" applyFont="1" applyFill="1" applyBorder="1" applyAlignment="1">
      <alignment horizontal="left" vertical="center" indent="1"/>
    </xf>
    <xf numFmtId="0" fontId="25" fillId="0" borderId="0" xfId="63" applyFont="1" applyBorder="1" applyAlignment="1">
      <alignment horizontal="center" vertical="center"/>
    </xf>
    <xf numFmtId="0" fontId="15" fillId="0" borderId="84" xfId="0" applyFont="1" applyBorder="1" applyAlignment="1"/>
    <xf numFmtId="0" fontId="15" fillId="0" borderId="43" xfId="0" applyFont="1" applyBorder="1" applyAlignment="1"/>
    <xf numFmtId="0" fontId="39" fillId="0" borderId="84" xfId="0" applyFont="1" applyBorder="1" applyAlignment="1"/>
    <xf numFmtId="5" fontId="25" fillId="0" borderId="0" xfId="63" applyNumberFormat="1" applyFont="1" applyBorder="1" applyAlignment="1">
      <alignment horizontal="left" vertical="center" indent="1"/>
    </xf>
    <xf numFmtId="6" fontId="25" fillId="0" borderId="0" xfId="63" applyNumberFormat="1" applyFont="1" applyBorder="1" applyAlignment="1" applyProtection="1">
      <alignment vertical="center"/>
      <protection locked="0"/>
    </xf>
    <xf numFmtId="5" fontId="25" fillId="0" borderId="0" xfId="67" applyNumberFormat="1" applyFont="1" applyBorder="1" applyAlignment="1">
      <alignment horizontal="left" vertical="center" indent="1"/>
    </xf>
    <xf numFmtId="0" fontId="15" fillId="0" borderId="0" xfId="0" applyFont="1" applyFill="1"/>
    <xf numFmtId="0" fontId="79" fillId="0" borderId="0" xfId="50" applyFont="1" applyFill="1" applyBorder="1" applyAlignment="1" applyProtection="1">
      <alignment vertical="center" wrapText="1"/>
      <protection locked="0"/>
    </xf>
    <xf numFmtId="0" fontId="15" fillId="0" borderId="0" xfId="0" applyFont="1" applyFill="1" applyAlignment="1"/>
    <xf numFmtId="0" fontId="39" fillId="0" borderId="13" xfId="63" applyFont="1" applyBorder="1" applyAlignment="1">
      <alignment horizontal="center" vertical="center"/>
    </xf>
    <xf numFmtId="0" fontId="39" fillId="0" borderId="39" xfId="63" applyFont="1" applyBorder="1" applyAlignment="1">
      <alignment vertical="center"/>
    </xf>
    <xf numFmtId="0" fontId="25" fillId="0" borderId="39" xfId="63" applyFont="1" applyBorder="1" applyAlignment="1">
      <alignment vertical="center"/>
    </xf>
    <xf numFmtId="0" fontId="25" fillId="0" borderId="39" xfId="63" applyFont="1" applyBorder="1" applyAlignment="1"/>
    <xf numFmtId="0" fontId="15" fillId="0" borderId="39" xfId="0" applyFont="1" applyBorder="1" applyAlignment="1"/>
    <xf numFmtId="0" fontId="15" fillId="0" borderId="170" xfId="0" applyFont="1" applyBorder="1" applyAlignment="1"/>
    <xf numFmtId="5" fontId="25" fillId="0" borderId="0" xfId="67" applyNumberFormat="1" applyFont="1" applyBorder="1" applyAlignment="1">
      <alignment horizontal="center" vertical="center"/>
    </xf>
    <xf numFmtId="5" fontId="15" fillId="7" borderId="84" xfId="50" applyNumberFormat="1" applyFont="1" applyFill="1" applyBorder="1" applyAlignment="1">
      <alignment vertical="center" wrapText="1"/>
    </xf>
    <xf numFmtId="5" fontId="15" fillId="7" borderId="0" xfId="50" applyNumberFormat="1" applyFont="1" applyFill="1" applyBorder="1" applyAlignment="1">
      <alignment vertical="center" wrapText="1"/>
    </xf>
    <xf numFmtId="0" fontId="25" fillId="0" borderId="0" xfId="74" applyFont="1" applyFill="1" applyBorder="1" applyAlignment="1" applyProtection="1">
      <alignment vertical="center"/>
    </xf>
    <xf numFmtId="0" fontId="34" fillId="0" borderId="0" xfId="47" applyFont="1" applyFill="1" applyBorder="1" applyAlignment="1" applyProtection="1">
      <alignment horizontal="center"/>
    </xf>
    <xf numFmtId="0" fontId="25" fillId="0" borderId="0" xfId="74" applyFont="1" applyFill="1" applyBorder="1" applyProtection="1"/>
    <xf numFmtId="0" fontId="15" fillId="0" borderId="26" xfId="0" applyFont="1" applyBorder="1" applyAlignment="1">
      <alignment horizontal="left" vertical="center" indent="1"/>
    </xf>
    <xf numFmtId="2" fontId="25" fillId="0" borderId="26" xfId="79" applyNumberFormat="1" applyFont="1" applyBorder="1" applyAlignment="1">
      <alignment horizontal="left" vertical="center"/>
    </xf>
    <xf numFmtId="2" fontId="25" fillId="0" borderId="46" xfId="79" applyNumberFormat="1" applyFont="1" applyBorder="1" applyAlignment="1">
      <alignment horizontal="left" vertical="center"/>
    </xf>
    <xf numFmtId="2" fontId="25" fillId="0" borderId="92" xfId="79" applyNumberFormat="1" applyFont="1" applyBorder="1" applyAlignment="1">
      <alignment horizontal="left" vertical="center"/>
    </xf>
    <xf numFmtId="2" fontId="25" fillId="0" borderId="0" xfId="74" applyNumberFormat="1" applyFont="1" applyAlignment="1">
      <alignment horizontal="center" vertical="center"/>
    </xf>
    <xf numFmtId="2" fontId="25" fillId="0" borderId="26" xfId="79" applyNumberFormat="1" applyFont="1" applyBorder="1" applyAlignment="1">
      <alignment horizontal="center" vertical="center"/>
    </xf>
    <xf numFmtId="0" fontId="15" fillId="0" borderId="0" xfId="0" applyFont="1" applyBorder="1" applyAlignment="1">
      <alignment vertical="center" wrapText="1"/>
    </xf>
    <xf numFmtId="0" fontId="15" fillId="7" borderId="0" xfId="0" applyFont="1" applyFill="1" applyBorder="1" applyAlignment="1">
      <alignment vertical="center"/>
    </xf>
    <xf numFmtId="0" fontId="143" fillId="0" borderId="0" xfId="8" applyFont="1" applyFill="1" applyAlignment="1" applyProtection="1">
      <alignment horizontal="center" vertical="center"/>
    </xf>
    <xf numFmtId="0" fontId="10" fillId="18" borderId="99" xfId="0" applyFont="1" applyFill="1" applyBorder="1" applyAlignment="1">
      <alignment horizontal="left" vertical="center"/>
    </xf>
    <xf numFmtId="0" fontId="10" fillId="18" borderId="27" xfId="0" applyFont="1" applyFill="1" applyBorder="1" applyAlignment="1">
      <alignment horizontal="left" vertical="center"/>
    </xf>
    <xf numFmtId="0" fontId="10" fillId="32" borderId="27" xfId="0" applyFont="1" applyFill="1" applyBorder="1" applyAlignment="1">
      <alignment horizontal="left" vertical="center"/>
    </xf>
    <xf numFmtId="0" fontId="10" fillId="33" borderId="39" xfId="0" applyFont="1" applyFill="1" applyBorder="1" applyAlignment="1">
      <alignment horizontal="left" vertical="center"/>
    </xf>
    <xf numFmtId="0" fontId="10" fillId="19" borderId="39" xfId="0" applyFont="1" applyFill="1" applyBorder="1" applyAlignment="1">
      <alignment horizontal="left" vertical="center"/>
    </xf>
    <xf numFmtId="0" fontId="10" fillId="34" borderId="39" xfId="0" applyFont="1" applyFill="1" applyBorder="1" applyAlignment="1">
      <alignment horizontal="left"/>
    </xf>
    <xf numFmtId="0" fontId="10" fillId="35" borderId="39" xfId="0" applyFont="1" applyFill="1" applyBorder="1" applyAlignment="1">
      <alignment horizontal="left"/>
    </xf>
    <xf numFmtId="0" fontId="10" fillId="3" borderId="39" xfId="0" applyFont="1" applyFill="1" applyBorder="1" applyAlignment="1">
      <alignment horizontal="left"/>
    </xf>
    <xf numFmtId="0" fontId="10" fillId="34" borderId="39" xfId="0" applyFont="1" applyFill="1" applyBorder="1" applyAlignment="1">
      <alignment horizontal="left" vertical="center"/>
    </xf>
    <xf numFmtId="0" fontId="10" fillId="35" borderId="39" xfId="0" applyFont="1" applyFill="1" applyBorder="1" applyAlignment="1">
      <alignment horizontal="left" vertical="center"/>
    </xf>
    <xf numFmtId="0" fontId="30" fillId="3" borderId="39" xfId="0" applyFont="1" applyFill="1" applyBorder="1" applyAlignment="1">
      <alignment horizontal="left" vertical="center"/>
    </xf>
    <xf numFmtId="0" fontId="10" fillId="8" borderId="39" xfId="0" applyFont="1" applyFill="1" applyBorder="1" applyAlignment="1">
      <alignment horizontal="left" vertical="center"/>
    </xf>
    <xf numFmtId="0" fontId="10" fillId="33" borderId="0" xfId="0" applyFont="1" applyFill="1" applyAlignment="1">
      <alignment horizontal="left" vertical="center"/>
    </xf>
    <xf numFmtId="0" fontId="10" fillId="19" borderId="0" xfId="0" applyFont="1" applyFill="1" applyAlignment="1">
      <alignment horizontal="left"/>
    </xf>
    <xf numFmtId="0" fontId="49" fillId="0" borderId="26" xfId="74" applyFont="1" applyBorder="1" applyAlignment="1">
      <alignment horizontal="center" vertical="center" wrapText="1"/>
    </xf>
    <xf numFmtId="0" fontId="25" fillId="0" borderId="46" xfId="74" applyFont="1" applyBorder="1" applyAlignment="1">
      <alignment horizontal="center" vertical="center"/>
    </xf>
    <xf numFmtId="0" fontId="49" fillId="0" borderId="26" xfId="74" applyFont="1" applyBorder="1" applyAlignment="1">
      <alignment horizontal="center"/>
    </xf>
    <xf numFmtId="0" fontId="104" fillId="31" borderId="0" xfId="0" applyFont="1" applyFill="1" applyAlignment="1" applyProtection="1">
      <alignment horizontal="center" vertical="center"/>
    </xf>
    <xf numFmtId="0" fontId="90" fillId="7" borderId="0" xfId="0" applyFont="1" applyFill="1" applyBorder="1" applyAlignment="1" applyProtection="1">
      <alignment horizontal="left"/>
    </xf>
    <xf numFmtId="0" fontId="105" fillId="0" borderId="0" xfId="0" applyFont="1" applyBorder="1" applyAlignment="1" applyProtection="1">
      <alignment horizontal="center"/>
    </xf>
    <xf numFmtId="0" fontId="81" fillId="0" borderId="0" xfId="0" applyFont="1" applyBorder="1" applyAlignment="1" applyProtection="1">
      <alignment horizontal="center" vertical="center"/>
    </xf>
    <xf numFmtId="0" fontId="32" fillId="0" borderId="0" xfId="0" applyFont="1" applyBorder="1" applyAlignment="1" applyProtection="1">
      <alignment horizontal="center"/>
    </xf>
    <xf numFmtId="0" fontId="32" fillId="0" borderId="0" xfId="0" applyFont="1" applyBorder="1" applyAlignment="1" applyProtection="1">
      <alignment horizontal="center" vertical="center"/>
    </xf>
    <xf numFmtId="0" fontId="135" fillId="0" borderId="0" xfId="0" applyFont="1" applyBorder="1" applyAlignment="1" applyProtection="1">
      <alignment horizontal="center" vertical="center"/>
    </xf>
    <xf numFmtId="0" fontId="105" fillId="0" borderId="0" xfId="0" applyFont="1" applyBorder="1" applyAlignment="1" applyProtection="1">
      <alignment horizontal="center" vertical="center" wrapText="1"/>
    </xf>
    <xf numFmtId="0" fontId="136" fillId="0" borderId="0" xfId="0" applyFont="1" applyFill="1" applyBorder="1" applyAlignment="1" applyProtection="1">
      <alignment horizontal="center" vertical="center" wrapText="1"/>
    </xf>
    <xf numFmtId="0" fontId="33" fillId="0" borderId="0" xfId="0" applyFont="1" applyBorder="1" applyAlignment="1" applyProtection="1">
      <alignment horizontal="center" vertical="center"/>
    </xf>
    <xf numFmtId="0" fontId="16" fillId="0" borderId="0" xfId="0" applyFont="1" applyBorder="1" applyAlignment="1" applyProtection="1">
      <alignment horizontal="center" vertical="center"/>
    </xf>
    <xf numFmtId="0" fontId="11" fillId="0" borderId="0" xfId="4" applyFill="1" applyAlignment="1" applyProtection="1">
      <alignment horizontal="center"/>
    </xf>
    <xf numFmtId="49" fontId="12" fillId="0" borderId="0" xfId="0" applyNumberFormat="1" applyFont="1" applyFill="1" applyBorder="1" applyAlignment="1" applyProtection="1">
      <alignment horizontal="center"/>
    </xf>
    <xf numFmtId="0" fontId="83" fillId="0" borderId="0" xfId="0" applyFont="1" applyBorder="1" applyAlignment="1" applyProtection="1">
      <alignment horizontal="right" vertical="center"/>
    </xf>
    <xf numFmtId="167" fontId="107" fillId="0" borderId="0" xfId="0" applyNumberFormat="1" applyFont="1" applyBorder="1" applyAlignment="1" applyProtection="1">
      <alignment horizontal="center" vertical="center"/>
    </xf>
    <xf numFmtId="0" fontId="35" fillId="0" borderId="4" xfId="0" applyFont="1" applyBorder="1" applyAlignment="1">
      <alignment horizontal="center" vertical="center" wrapText="1"/>
    </xf>
    <xf numFmtId="0" fontId="25" fillId="0" borderId="0" xfId="74" applyFont="1" applyBorder="1" applyAlignment="1">
      <alignment horizontal="left" vertical="center" wrapText="1" indent="1"/>
    </xf>
    <xf numFmtId="0" fontId="15" fillId="0" borderId="0" xfId="0" applyFont="1" applyBorder="1" applyAlignment="1">
      <alignment horizontal="left" vertical="center" wrapText="1" indent="1"/>
    </xf>
    <xf numFmtId="168" fontId="25" fillId="0" borderId="0" xfId="0" applyNumberFormat="1" applyFont="1" applyBorder="1" applyAlignment="1">
      <alignment horizontal="left" vertical="center" wrapText="1" indent="1"/>
    </xf>
    <xf numFmtId="0" fontId="50" fillId="0" borderId="0" xfId="0" applyFont="1" applyBorder="1" applyAlignment="1">
      <alignment horizontal="left" vertical="center" wrapText="1" indent="1"/>
    </xf>
    <xf numFmtId="0" fontId="55" fillId="0" borderId="0" xfId="0" applyFont="1" applyBorder="1" applyAlignment="1">
      <alignment horizontal="left" vertical="center" wrapText="1" indent="1"/>
    </xf>
    <xf numFmtId="0" fontId="25" fillId="4" borderId="48" xfId="46" applyFont="1" applyBorder="1" applyAlignment="1" applyProtection="1">
      <alignment horizontal="left" vertical="center" wrapText="1" indent="1"/>
    </xf>
    <xf numFmtId="0" fontId="15" fillId="2" borderId="0" xfId="0" applyFont="1" applyFill="1" applyBorder="1" applyAlignment="1">
      <alignment horizontal="left" vertical="center" wrapText="1" indent="1"/>
    </xf>
    <xf numFmtId="0" fontId="15" fillId="4" borderId="83" xfId="0" applyFont="1" applyFill="1" applyBorder="1" applyAlignment="1">
      <alignment horizontal="left" vertical="center" wrapText="1" indent="1"/>
    </xf>
    <xf numFmtId="0" fontId="15" fillId="12" borderId="49" xfId="0" quotePrefix="1" applyFont="1" applyFill="1" applyBorder="1" applyAlignment="1">
      <alignment horizontal="left" vertical="center" wrapText="1" indent="1"/>
    </xf>
    <xf numFmtId="166" fontId="15" fillId="3" borderId="49" xfId="8" applyNumberFormat="1" applyFont="1" applyFill="1" applyBorder="1" applyAlignment="1">
      <alignment horizontal="left" vertical="center" wrapText="1" indent="1"/>
    </xf>
    <xf numFmtId="0" fontId="15" fillId="0" borderId="0" xfId="0" applyFont="1" applyFill="1" applyBorder="1" applyAlignment="1">
      <alignment horizontal="left" vertical="center" wrapText="1" indent="1"/>
    </xf>
    <xf numFmtId="0" fontId="88" fillId="0" borderId="0" xfId="4" applyFont="1" applyBorder="1" applyAlignment="1" applyProtection="1">
      <alignment horizontal="left" vertical="center" wrapText="1"/>
    </xf>
    <xf numFmtId="0" fontId="25" fillId="0" borderId="0" xfId="8" applyFont="1" applyAlignment="1" applyProtection="1">
      <alignment horizontal="center" vertical="center"/>
    </xf>
    <xf numFmtId="0" fontId="15" fillId="7" borderId="0" xfId="74" applyFont="1" applyFill="1" applyBorder="1" applyAlignment="1" applyProtection="1">
      <alignment horizontal="left" vertical="center" wrapText="1"/>
    </xf>
    <xf numFmtId="0" fontId="15" fillId="8" borderId="99" xfId="19" applyFont="1" applyFill="1" applyBorder="1" applyAlignment="1" applyProtection="1">
      <alignment vertical="center" wrapText="1"/>
    </xf>
    <xf numFmtId="0" fontId="15" fillId="8" borderId="27" xfId="19" applyFont="1" applyFill="1" applyBorder="1" applyAlignment="1" applyProtection="1">
      <alignment vertical="center" wrapText="1"/>
    </xf>
    <xf numFmtId="0" fontId="15" fillId="8" borderId="71" xfId="19" applyFont="1" applyFill="1" applyBorder="1" applyAlignment="1" applyProtection="1">
      <alignment vertical="center" wrapText="1"/>
    </xf>
    <xf numFmtId="0" fontId="25" fillId="8" borderId="99" xfId="45" applyFont="1" applyFill="1" applyBorder="1" applyAlignment="1" applyProtection="1">
      <alignment horizontal="left" vertical="center" wrapText="1" indent="1"/>
    </xf>
    <xf numFmtId="0" fontId="25" fillId="8" borderId="27" xfId="45" applyFont="1" applyFill="1" applyBorder="1" applyAlignment="1" applyProtection="1">
      <alignment horizontal="left" vertical="center" wrapText="1" indent="1"/>
    </xf>
    <xf numFmtId="0" fontId="25" fillId="8" borderId="71" xfId="45" applyFont="1" applyFill="1" applyBorder="1" applyAlignment="1" applyProtection="1">
      <alignment horizontal="left" vertical="center" wrapText="1" indent="1"/>
    </xf>
    <xf numFmtId="0" fontId="61" fillId="7" borderId="99" xfId="0" applyFont="1" applyFill="1" applyBorder="1" applyAlignment="1" applyProtection="1">
      <alignment horizontal="right" vertical="center"/>
    </xf>
    <xf numFmtId="0" fontId="25" fillId="0" borderId="27" xfId="0" applyFont="1" applyBorder="1" applyAlignment="1" applyProtection="1">
      <alignment horizontal="right" vertical="center"/>
    </xf>
    <xf numFmtId="0" fontId="25" fillId="0" borderId="71" xfId="0" applyFont="1" applyBorder="1" applyAlignment="1" applyProtection="1">
      <alignment horizontal="right" vertical="center"/>
    </xf>
    <xf numFmtId="0" fontId="25" fillId="4" borderId="99" xfId="46" applyFont="1" applyBorder="1" applyAlignment="1" applyProtection="1">
      <alignment horizontal="center" vertical="center" wrapText="1"/>
      <protection locked="0"/>
    </xf>
    <xf numFmtId="0" fontId="25" fillId="4" borderId="71" xfId="46" applyFont="1" applyBorder="1" applyAlignment="1" applyProtection="1">
      <alignment horizontal="center" vertical="center" wrapText="1"/>
      <protection locked="0"/>
    </xf>
    <xf numFmtId="0" fontId="25" fillId="0" borderId="0" xfId="8" applyFont="1" applyAlignment="1" applyProtection="1">
      <alignment horizontal="left" vertical="center" wrapText="1"/>
    </xf>
    <xf numFmtId="0" fontId="25" fillId="4" borderId="26" xfId="0" applyFont="1" applyFill="1" applyBorder="1" applyAlignment="1" applyProtection="1">
      <alignment horizontal="center" vertical="center"/>
      <protection locked="0"/>
    </xf>
    <xf numFmtId="0" fontId="15" fillId="12" borderId="99" xfId="0" quotePrefix="1" applyFont="1" applyFill="1" applyBorder="1" applyAlignment="1" applyProtection="1">
      <alignment horizontal="left" vertical="center" wrapText="1"/>
    </xf>
    <xf numFmtId="0" fontId="15" fillId="12" borderId="27" xfId="0" quotePrefix="1" applyFont="1" applyFill="1" applyBorder="1" applyAlignment="1" applyProtection="1">
      <alignment horizontal="left" vertical="center" wrapText="1"/>
    </xf>
    <xf numFmtId="0" fontId="15" fillId="12" borderId="71" xfId="0" quotePrefix="1" applyFont="1" applyFill="1" applyBorder="1" applyAlignment="1" applyProtection="1">
      <alignment horizontal="left" vertical="center" wrapText="1"/>
    </xf>
    <xf numFmtId="0" fontId="15" fillId="12" borderId="99" xfId="0" quotePrefix="1" applyFont="1" applyFill="1" applyBorder="1" applyAlignment="1" applyProtection="1">
      <alignment horizontal="center" vertical="center" wrapText="1"/>
    </xf>
    <xf numFmtId="0" fontId="15" fillId="12" borderId="27" xfId="0" quotePrefix="1" applyFont="1" applyFill="1" applyBorder="1" applyAlignment="1" applyProtection="1">
      <alignment horizontal="center" vertical="center" wrapText="1"/>
    </xf>
    <xf numFmtId="0" fontId="15" fillId="12" borderId="71" xfId="0" quotePrefix="1" applyFont="1" applyFill="1" applyBorder="1" applyAlignment="1" applyProtection="1">
      <alignment horizontal="center" vertical="center" wrapText="1"/>
    </xf>
    <xf numFmtId="179" fontId="25" fillId="4" borderId="26" xfId="8" applyNumberFormat="1" applyFill="1" applyBorder="1" applyAlignment="1" applyProtection="1">
      <alignment horizontal="center" vertical="center"/>
      <protection locked="0"/>
    </xf>
    <xf numFmtId="0" fontId="25" fillId="7" borderId="26" xfId="8" applyFont="1" applyFill="1" applyBorder="1" applyAlignment="1" applyProtection="1">
      <alignment horizontal="center" vertical="center"/>
    </xf>
    <xf numFmtId="0" fontId="15" fillId="8" borderId="26" xfId="19" applyFont="1" applyFill="1" applyBorder="1" applyAlignment="1" applyProtection="1">
      <alignment horizontal="center" vertical="center" wrapText="1"/>
    </xf>
    <xf numFmtId="0" fontId="15" fillId="4" borderId="26" xfId="0" applyFont="1" applyFill="1" applyBorder="1" applyAlignment="1" applyProtection="1">
      <alignment horizontal="center" vertical="center" shrinkToFit="1"/>
      <protection locked="0"/>
    </xf>
    <xf numFmtId="0" fontId="15" fillId="4" borderId="26" xfId="0" applyFont="1" applyFill="1" applyBorder="1" applyAlignment="1" applyProtection="1">
      <alignment horizontal="center" vertical="center"/>
      <protection locked="0"/>
    </xf>
    <xf numFmtId="0" fontId="15" fillId="4" borderId="99" xfId="0" applyFont="1" applyFill="1" applyBorder="1" applyAlignment="1" applyProtection="1">
      <alignment horizontal="center" vertical="center"/>
      <protection locked="0"/>
    </xf>
    <xf numFmtId="0" fontId="15" fillId="12" borderId="99" xfId="0" quotePrefix="1" applyFont="1" applyFill="1" applyBorder="1" applyAlignment="1" applyProtection="1">
      <alignment horizontal="left" vertical="center" wrapText="1" indent="1"/>
    </xf>
    <xf numFmtId="0" fontId="15" fillId="12" borderId="27" xfId="0" quotePrefix="1" applyFont="1" applyFill="1" applyBorder="1" applyAlignment="1" applyProtection="1">
      <alignment horizontal="left" vertical="center" wrapText="1" indent="1"/>
    </xf>
    <xf numFmtId="0" fontId="25" fillId="7" borderId="26" xfId="45" applyFont="1" applyFill="1" applyBorder="1" applyAlignment="1" applyProtection="1">
      <alignment vertical="center" wrapText="1"/>
    </xf>
    <xf numFmtId="0" fontId="25" fillId="4" borderId="26" xfId="45" applyFont="1" applyFill="1" applyBorder="1" applyAlignment="1" applyProtection="1">
      <alignment horizontal="center" vertical="center" wrapText="1"/>
      <protection locked="0"/>
    </xf>
    <xf numFmtId="0" fontId="15" fillId="4" borderId="27" xfId="0" applyFont="1" applyFill="1" applyBorder="1" applyAlignment="1" applyProtection="1">
      <alignment horizontal="center" vertical="center"/>
      <protection locked="0"/>
    </xf>
    <xf numFmtId="0" fontId="15" fillId="7" borderId="26" xfId="6" applyFont="1" applyFill="1" applyBorder="1" applyAlignment="1" applyProtection="1">
      <alignment horizontal="center" vertical="center"/>
    </xf>
    <xf numFmtId="0" fontId="15" fillId="12" borderId="47" xfId="0" quotePrefix="1" applyFont="1" applyFill="1" applyBorder="1" applyAlignment="1" applyProtection="1">
      <alignment horizontal="left" vertical="center" wrapText="1" indent="1"/>
    </xf>
    <xf numFmtId="0" fontId="15" fillId="12" borderId="28" xfId="0" quotePrefix="1" applyFont="1" applyFill="1" applyBorder="1" applyAlignment="1" applyProtection="1">
      <alignment horizontal="left" vertical="center" wrapText="1" indent="1"/>
    </xf>
    <xf numFmtId="0" fontId="15" fillId="12" borderId="38" xfId="0" quotePrefix="1" applyFont="1" applyFill="1" applyBorder="1" applyAlignment="1" applyProtection="1">
      <alignment horizontal="left" vertical="center" wrapText="1" indent="1"/>
    </xf>
    <xf numFmtId="1" fontId="25" fillId="7" borderId="84" xfId="12" applyNumberFormat="1" applyFont="1" applyFill="1" applyBorder="1" applyAlignment="1" applyProtection="1">
      <alignment horizontal="left" vertical="center" wrapText="1"/>
    </xf>
    <xf numFmtId="1" fontId="25" fillId="7" borderId="0" xfId="12" applyNumberFormat="1" applyFont="1" applyFill="1" applyBorder="1" applyAlignment="1" applyProtection="1">
      <alignment horizontal="left" vertical="center" wrapText="1"/>
    </xf>
    <xf numFmtId="1" fontId="25" fillId="7" borderId="43" xfId="12" applyNumberFormat="1" applyFont="1" applyFill="1" applyBorder="1" applyAlignment="1" applyProtection="1">
      <alignment horizontal="left" vertical="center" wrapText="1"/>
    </xf>
    <xf numFmtId="0" fontId="15" fillId="0" borderId="0" xfId="0" applyFont="1" applyFill="1" applyBorder="1" applyAlignment="1" applyProtection="1">
      <alignment horizontal="left" vertical="center" wrapText="1" shrinkToFit="1" readingOrder="1"/>
    </xf>
    <xf numFmtId="0" fontId="15" fillId="47" borderId="26" xfId="74" applyFont="1" applyFill="1" applyBorder="1" applyAlignment="1" applyProtection="1">
      <alignment horizontal="left" vertical="center" indent="1"/>
    </xf>
    <xf numFmtId="0" fontId="25" fillId="12" borderId="26" xfId="45" applyFont="1" applyFill="1" applyBorder="1" applyAlignment="1" applyProtection="1">
      <alignment horizontal="left" vertical="center" wrapText="1" indent="1"/>
    </xf>
    <xf numFmtId="0" fontId="25" fillId="4" borderId="111" xfId="26" applyFont="1" applyFill="1" applyBorder="1" applyAlignment="1" applyProtection="1">
      <alignment horizontal="right" vertical="center" wrapText="1" indent="1"/>
      <protection locked="0"/>
    </xf>
    <xf numFmtId="0" fontId="25" fillId="4" borderId="110" xfId="26" applyFont="1" applyFill="1" applyBorder="1" applyAlignment="1" applyProtection="1">
      <alignment horizontal="right" vertical="center" wrapText="1" indent="1"/>
      <protection locked="0"/>
    </xf>
    <xf numFmtId="0" fontId="25" fillId="4" borderId="86" xfId="26" applyFont="1" applyFill="1" applyBorder="1" applyAlignment="1" applyProtection="1">
      <alignment horizontal="center" vertical="center"/>
      <protection locked="0"/>
    </xf>
    <xf numFmtId="0" fontId="25" fillId="4" borderId="87" xfId="26" applyFont="1" applyFill="1" applyBorder="1" applyAlignment="1" applyProtection="1">
      <alignment horizontal="center" vertical="center"/>
      <protection locked="0"/>
    </xf>
    <xf numFmtId="0" fontId="25" fillId="4" borderId="88" xfId="26" applyFont="1" applyFill="1" applyBorder="1" applyAlignment="1" applyProtection="1">
      <alignment horizontal="center" vertical="center"/>
      <protection locked="0"/>
    </xf>
    <xf numFmtId="14" fontId="25" fillId="4" borderId="86" xfId="46" applyNumberFormat="1" applyBorder="1" applyAlignment="1" applyProtection="1">
      <alignment horizontal="center" vertical="center" wrapText="1"/>
      <protection locked="0"/>
    </xf>
    <xf numFmtId="14" fontId="25" fillId="4" borderId="87" xfId="46" applyNumberFormat="1" applyBorder="1" applyAlignment="1" applyProtection="1">
      <alignment horizontal="center" vertical="center" wrapText="1"/>
      <protection locked="0"/>
    </xf>
    <xf numFmtId="14" fontId="25" fillId="4" borderId="88" xfId="46" applyNumberFormat="1" applyBorder="1" applyAlignment="1" applyProtection="1">
      <alignment horizontal="center" vertical="center" wrapText="1"/>
      <protection locked="0"/>
    </xf>
    <xf numFmtId="0" fontId="15" fillId="4" borderId="0" xfId="0" applyFont="1" applyFill="1" applyAlignment="1" applyProtection="1">
      <alignment horizontal="left" vertical="top"/>
      <protection locked="0"/>
    </xf>
    <xf numFmtId="0" fontId="25" fillId="7" borderId="0" xfId="12" applyFont="1" applyFill="1" applyBorder="1" applyAlignment="1" applyProtection="1">
      <alignment vertical="center" wrapText="1"/>
    </xf>
    <xf numFmtId="0" fontId="25" fillId="4" borderId="26" xfId="46" applyFont="1" applyBorder="1" applyAlignment="1" applyProtection="1">
      <alignment horizontal="center" vertical="center" wrapText="1"/>
      <protection locked="0"/>
    </xf>
    <xf numFmtId="0" fontId="15" fillId="12" borderId="26" xfId="0" quotePrefix="1" applyFont="1" applyFill="1" applyBorder="1" applyAlignment="1" applyProtection="1">
      <alignment horizontal="left" vertical="center" wrapText="1"/>
    </xf>
    <xf numFmtId="0" fontId="15" fillId="8" borderId="26" xfId="19" applyFont="1" applyFill="1" applyBorder="1" applyAlignment="1" applyProtection="1">
      <alignment horizontal="left" vertical="center" wrapText="1"/>
    </xf>
    <xf numFmtId="0" fontId="25" fillId="8" borderId="26" xfId="45" applyFont="1" applyFill="1" applyBorder="1" applyAlignment="1" applyProtection="1">
      <alignment vertical="center" wrapText="1"/>
    </xf>
    <xf numFmtId="0" fontId="61" fillId="7" borderId="26" xfId="0" applyFont="1" applyFill="1" applyBorder="1" applyAlignment="1" applyProtection="1">
      <alignment horizontal="right" vertical="center"/>
    </xf>
    <xf numFmtId="0" fontId="25" fillId="0" borderId="26" xfId="0" applyFont="1" applyBorder="1" applyAlignment="1" applyProtection="1">
      <alignment horizontal="right" vertical="center"/>
    </xf>
    <xf numFmtId="0" fontId="25" fillId="0" borderId="0" xfId="26" applyFont="1" applyAlignment="1" applyProtection="1">
      <alignment horizontal="right" vertical="center" wrapText="1" indent="1"/>
    </xf>
    <xf numFmtId="0" fontId="15" fillId="0" borderId="99" xfId="74" applyFont="1" applyBorder="1" applyAlignment="1" applyProtection="1">
      <alignment horizontal="left" vertical="center" wrapText="1"/>
    </xf>
    <xf numFmtId="0" fontId="15" fillId="0" borderId="27" xfId="74" applyFont="1" applyBorder="1" applyAlignment="1" applyProtection="1">
      <alignment horizontal="left" vertical="center" wrapText="1"/>
    </xf>
    <xf numFmtId="14" fontId="25" fillId="4" borderId="105" xfId="46" applyNumberFormat="1" applyBorder="1" applyAlignment="1" applyProtection="1">
      <alignment horizontal="right" vertical="center" wrapText="1" indent="1"/>
      <protection locked="0"/>
    </xf>
    <xf numFmtId="14" fontId="25" fillId="4" borderId="106" xfId="46" applyNumberFormat="1" applyBorder="1" applyAlignment="1" applyProtection="1">
      <alignment horizontal="right" vertical="center" wrapText="1" indent="1"/>
      <protection locked="0"/>
    </xf>
    <xf numFmtId="0" fontId="55" fillId="7" borderId="0" xfId="19" applyFont="1" applyFill="1" applyBorder="1" applyAlignment="1" applyProtection="1">
      <alignment vertical="center" wrapText="1"/>
    </xf>
    <xf numFmtId="0" fontId="15" fillId="0" borderId="0" xfId="35" applyFont="1" applyAlignment="1" applyProtection="1">
      <alignment horizontal="left" vertical="top" wrapText="1"/>
    </xf>
    <xf numFmtId="0" fontId="26" fillId="0" borderId="0" xfId="26" applyFont="1" applyAlignment="1" applyProtection="1">
      <alignment horizontal="center" vertical="center"/>
    </xf>
    <xf numFmtId="0" fontId="26" fillId="0" borderId="0" xfId="46" applyFont="1" applyFill="1" applyBorder="1" applyAlignment="1" applyProtection="1">
      <alignment horizontal="center" vertical="top" wrapText="1"/>
    </xf>
    <xf numFmtId="0" fontId="25" fillId="0" borderId="85" xfId="26" applyFont="1" applyBorder="1" applyAlignment="1" applyProtection="1">
      <alignment horizontal="right" vertical="center" wrapText="1" indent="1"/>
    </xf>
    <xf numFmtId="0" fontId="26" fillId="0" borderId="0" xfId="26" applyFont="1" applyAlignment="1" applyProtection="1">
      <alignment horizontal="left" vertical="center"/>
    </xf>
    <xf numFmtId="0" fontId="55" fillId="7" borderId="0" xfId="0" applyFont="1" applyFill="1" applyBorder="1" applyAlignment="1" applyProtection="1">
      <alignment vertical="center" wrapText="1"/>
    </xf>
    <xf numFmtId="0" fontId="25" fillId="4" borderId="26" xfId="45" applyFont="1" applyFill="1" applyBorder="1" applyAlignment="1" applyProtection="1">
      <alignment horizontal="left" vertical="center" wrapText="1" indent="1"/>
      <protection locked="0"/>
    </xf>
    <xf numFmtId="14" fontId="25" fillId="4" borderId="26" xfId="45" applyNumberFormat="1" applyFont="1" applyFill="1" applyBorder="1" applyAlignment="1" applyProtection="1">
      <alignment horizontal="center" vertical="center" wrapText="1"/>
      <protection locked="0"/>
    </xf>
    <xf numFmtId="0" fontId="25" fillId="7" borderId="99" xfId="45" applyFont="1" applyFill="1" applyBorder="1" applyAlignment="1" applyProtection="1">
      <alignment horizontal="left" vertical="center" wrapText="1" indent="1"/>
    </xf>
    <xf numFmtId="0" fontId="25" fillId="7" borderId="27" xfId="45" applyFont="1" applyFill="1" applyBorder="1" applyAlignment="1" applyProtection="1">
      <alignment horizontal="left" vertical="center" wrapText="1" indent="1"/>
    </xf>
    <xf numFmtId="0" fontId="25" fillId="7" borderId="71" xfId="45" applyFont="1" applyFill="1" applyBorder="1" applyAlignment="1" applyProtection="1">
      <alignment horizontal="left" vertical="center" wrapText="1" indent="1"/>
    </xf>
    <xf numFmtId="0" fontId="15" fillId="12" borderId="71" xfId="0" quotePrefix="1" applyFont="1" applyFill="1" applyBorder="1" applyAlignment="1" applyProtection="1">
      <alignment horizontal="left" vertical="center" wrapText="1" indent="1"/>
    </xf>
    <xf numFmtId="0" fontId="61" fillId="7" borderId="99" xfId="0" applyFont="1" applyFill="1" applyBorder="1" applyAlignment="1" applyProtection="1">
      <alignment horizontal="center" vertical="center"/>
    </xf>
    <xf numFmtId="0" fontId="25" fillId="0" borderId="27" xfId="0" applyFont="1" applyBorder="1" applyAlignment="1" applyProtection="1">
      <alignment horizontal="center" vertical="center"/>
    </xf>
    <xf numFmtId="0" fontId="25" fillId="0" borderId="71" xfId="0" applyFont="1" applyBorder="1" applyAlignment="1" applyProtection="1">
      <alignment horizontal="center" vertical="center"/>
    </xf>
    <xf numFmtId="0" fontId="25" fillId="0" borderId="47" xfId="45" applyFont="1" applyFill="1" applyBorder="1" applyAlignment="1" applyProtection="1">
      <alignment vertical="center" wrapText="1"/>
    </xf>
    <xf numFmtId="0" fontId="25" fillId="0" borderId="28" xfId="45" applyFont="1" applyFill="1" applyBorder="1" applyAlignment="1" applyProtection="1">
      <alignment vertical="center" wrapText="1"/>
    </xf>
    <xf numFmtId="0" fontId="25" fillId="0" borderId="26" xfId="8" applyBorder="1" applyAlignment="1" applyProtection="1">
      <alignment horizontal="right" vertical="center" indent="1"/>
    </xf>
    <xf numFmtId="0" fontId="25" fillId="0" borderId="99" xfId="8" applyBorder="1" applyAlignment="1" applyProtection="1">
      <alignment horizontal="right" vertical="center" indent="1"/>
    </xf>
    <xf numFmtId="0" fontId="25" fillId="0" borderId="27" xfId="8" applyBorder="1" applyAlignment="1" applyProtection="1">
      <alignment horizontal="right" vertical="center" indent="1"/>
    </xf>
    <xf numFmtId="0" fontId="25" fillId="0" borderId="71" xfId="8" applyBorder="1" applyAlignment="1" applyProtection="1">
      <alignment horizontal="right" vertical="center" indent="1"/>
    </xf>
    <xf numFmtId="0" fontId="151" fillId="7" borderId="84" xfId="8" applyFont="1" applyFill="1" applyBorder="1" applyAlignment="1" applyProtection="1">
      <alignment horizontal="left" vertical="center" indent="1"/>
    </xf>
    <xf numFmtId="0" fontId="151" fillId="7" borderId="0" xfId="8" applyFont="1" applyFill="1" applyAlignment="1" applyProtection="1">
      <alignment horizontal="left" vertical="center" indent="1"/>
    </xf>
    <xf numFmtId="0" fontId="50" fillId="0" borderId="0" xfId="8" applyFont="1" applyBorder="1" applyAlignment="1" applyProtection="1">
      <alignment horizontal="left" vertical="center"/>
    </xf>
    <xf numFmtId="0" fontId="88" fillId="12" borderId="99" xfId="4" applyFont="1" applyFill="1" applyBorder="1" applyAlignment="1" applyProtection="1">
      <alignment horizontal="left" vertical="center" wrapText="1" indent="1"/>
    </xf>
    <xf numFmtId="0" fontId="88" fillId="12" borderId="27" xfId="4" applyFont="1" applyFill="1" applyBorder="1" applyAlignment="1" applyProtection="1">
      <alignment horizontal="left" vertical="center" wrapText="1" indent="1"/>
    </xf>
    <xf numFmtId="0" fontId="88" fillId="12" borderId="71" xfId="4" applyFont="1" applyFill="1" applyBorder="1" applyAlignment="1" applyProtection="1">
      <alignment horizontal="left" vertical="center" wrapText="1" indent="1"/>
    </xf>
    <xf numFmtId="0" fontId="61" fillId="7" borderId="99" xfId="45" applyFont="1" applyFill="1" applyBorder="1" applyAlignment="1" applyProtection="1">
      <alignment horizontal="center" vertical="center" wrapText="1"/>
    </xf>
    <xf numFmtId="0" fontId="51" fillId="7" borderId="27" xfId="45" applyFont="1" applyFill="1" applyBorder="1" applyAlignment="1" applyProtection="1">
      <alignment horizontal="center" vertical="center" wrapText="1"/>
    </xf>
    <xf numFmtId="0" fontId="51" fillId="7" borderId="71" xfId="45" applyFont="1" applyFill="1" applyBorder="1" applyAlignment="1" applyProtection="1">
      <alignment horizontal="center" vertical="center" wrapText="1"/>
    </xf>
    <xf numFmtId="0" fontId="15" fillId="4" borderId="40" xfId="0" applyFont="1" applyFill="1" applyBorder="1" applyAlignment="1" applyProtection="1">
      <alignment horizontal="center" vertical="center" shrinkToFit="1"/>
      <protection locked="0"/>
    </xf>
    <xf numFmtId="0" fontId="15" fillId="4" borderId="39" xfId="0" applyFont="1" applyFill="1" applyBorder="1" applyAlignment="1" applyProtection="1">
      <alignment horizontal="center" vertical="center" shrinkToFit="1"/>
      <protection locked="0"/>
    </xf>
    <xf numFmtId="0" fontId="15" fillId="4" borderId="41" xfId="8" applyFont="1" applyFill="1" applyBorder="1" applyAlignment="1" applyProtection="1">
      <alignment horizontal="left" vertical="center"/>
      <protection locked="0"/>
    </xf>
    <xf numFmtId="0" fontId="15" fillId="0" borderId="26" xfId="8" applyFont="1" applyBorder="1" applyAlignment="1" applyProtection="1">
      <alignment horizontal="left" vertical="center"/>
    </xf>
    <xf numFmtId="0" fontId="15" fillId="4" borderId="13" xfId="0" applyFont="1" applyFill="1" applyBorder="1" applyAlignment="1" applyProtection="1">
      <alignment horizontal="center" vertical="center"/>
      <protection locked="0"/>
    </xf>
    <xf numFmtId="0" fontId="15" fillId="4" borderId="39" xfId="0" applyFont="1" applyFill="1" applyBorder="1" applyAlignment="1" applyProtection="1">
      <alignment horizontal="center" vertical="center"/>
      <protection locked="0"/>
    </xf>
    <xf numFmtId="0" fontId="61" fillId="0" borderId="0" xfId="8" applyFont="1" applyAlignment="1" applyProtection="1">
      <alignment horizontal="left" vertical="top" wrapText="1"/>
    </xf>
    <xf numFmtId="0" fontId="143" fillId="0" borderId="0" xfId="8" applyFont="1" applyAlignment="1" applyProtection="1">
      <alignment horizontal="left" vertical="top" wrapText="1"/>
    </xf>
    <xf numFmtId="0" fontId="55" fillId="0" borderId="4" xfId="74" applyFont="1" applyBorder="1" applyAlignment="1" applyProtection="1">
      <alignment horizontal="left" vertical="center" wrapText="1" indent="1"/>
    </xf>
    <xf numFmtId="0" fontId="55" fillId="7" borderId="0" xfId="0" applyFont="1" applyFill="1" applyBorder="1" applyAlignment="1" applyProtection="1">
      <alignment horizontal="left" vertical="center" wrapText="1"/>
    </xf>
    <xf numFmtId="0" fontId="55" fillId="7" borderId="0" xfId="19" applyFont="1" applyFill="1" applyBorder="1" applyAlignment="1" applyProtection="1">
      <alignment horizontal="left" vertical="center" wrapText="1"/>
    </xf>
    <xf numFmtId="0" fontId="26" fillId="5" borderId="117" xfId="8" applyFont="1" applyFill="1" applyBorder="1" applyAlignment="1" applyProtection="1">
      <alignment horizontal="center" vertical="center" wrapText="1"/>
    </xf>
    <xf numFmtId="0" fontId="26" fillId="5" borderId="118" xfId="8" applyFont="1" applyFill="1" applyBorder="1" applyAlignment="1" applyProtection="1">
      <alignment horizontal="center" vertical="center" wrapText="1"/>
    </xf>
    <xf numFmtId="0" fontId="26" fillId="5" borderId="119" xfId="8" applyFont="1" applyFill="1" applyBorder="1" applyAlignment="1" applyProtection="1">
      <alignment horizontal="center" vertical="center" wrapText="1"/>
    </xf>
    <xf numFmtId="0" fontId="26" fillId="5" borderId="120" xfId="8" applyFont="1" applyFill="1" applyBorder="1" applyAlignment="1" applyProtection="1">
      <alignment horizontal="center" vertical="center" wrapText="1"/>
    </xf>
    <xf numFmtId="0" fontId="26" fillId="5" borderId="115" xfId="8" applyFont="1" applyFill="1" applyBorder="1" applyAlignment="1" applyProtection="1">
      <alignment horizontal="center" vertical="center" wrapText="1"/>
    </xf>
    <xf numFmtId="0" fontId="26" fillId="5" borderId="121" xfId="8" applyFont="1" applyFill="1" applyBorder="1" applyAlignment="1" applyProtection="1">
      <alignment horizontal="center" vertical="center" wrapText="1"/>
    </xf>
    <xf numFmtId="0" fontId="15" fillId="7" borderId="84" xfId="0" applyFont="1" applyFill="1" applyBorder="1" applyAlignment="1" applyProtection="1">
      <alignment horizontal="left" vertical="center" indent="1"/>
    </xf>
    <xf numFmtId="0" fontId="15" fillId="7" borderId="0" xfId="0" applyFont="1" applyFill="1" applyBorder="1" applyAlignment="1" applyProtection="1">
      <alignment horizontal="left" vertical="center" indent="1"/>
    </xf>
    <xf numFmtId="0" fontId="15" fillId="7" borderId="43" xfId="0" applyFont="1" applyFill="1" applyBorder="1" applyAlignment="1" applyProtection="1">
      <alignment horizontal="left" vertical="center" indent="1"/>
    </xf>
    <xf numFmtId="0" fontId="15" fillId="7" borderId="39" xfId="0" applyFont="1" applyFill="1" applyBorder="1" applyAlignment="1" applyProtection="1">
      <alignment horizontal="left" vertical="center" indent="1"/>
    </xf>
    <xf numFmtId="0" fontId="15" fillId="7" borderId="170" xfId="0" applyFont="1" applyFill="1" applyBorder="1" applyAlignment="1" applyProtection="1">
      <alignment horizontal="left" vertical="center" indent="1"/>
    </xf>
    <xf numFmtId="0" fontId="25" fillId="4" borderId="26" xfId="8" applyFont="1" applyFill="1" applyBorder="1" applyAlignment="1" applyProtection="1">
      <alignment horizontal="center" vertical="center"/>
      <protection locked="0"/>
    </xf>
    <xf numFmtId="0" fontId="25" fillId="0" borderId="0" xfId="8" applyFont="1" applyBorder="1" applyAlignment="1" applyProtection="1">
      <alignment horizontal="left" vertical="center" wrapText="1"/>
    </xf>
    <xf numFmtId="0" fontId="15" fillId="8" borderId="26" xfId="19" applyFont="1" applyFill="1" applyBorder="1" applyAlignment="1" applyProtection="1">
      <alignment horizontal="left" vertical="center" wrapText="1" indent="1"/>
    </xf>
    <xf numFmtId="0" fontId="25" fillId="7" borderId="26" xfId="8" applyFont="1" applyFill="1" applyBorder="1" applyAlignment="1" applyProtection="1">
      <alignment vertical="center"/>
    </xf>
    <xf numFmtId="0" fontId="25" fillId="4" borderId="26" xfId="8" applyFont="1" applyFill="1" applyBorder="1" applyAlignment="1" applyProtection="1">
      <alignment horizontal="left" vertical="center" indent="1"/>
      <protection locked="0"/>
    </xf>
    <xf numFmtId="0" fontId="25" fillId="7" borderId="26" xfId="8" applyFont="1" applyFill="1" applyBorder="1" applyAlignment="1" applyProtection="1">
      <alignment horizontal="left" vertical="center"/>
    </xf>
    <xf numFmtId="0" fontId="25" fillId="0" borderId="99" xfId="12" applyFont="1" applyFill="1" applyBorder="1" applyAlignment="1" applyProtection="1">
      <alignment horizontal="left" vertical="center" wrapText="1"/>
    </xf>
    <xf numFmtId="0" fontId="25" fillId="0" borderId="27" xfId="12" applyFont="1" applyFill="1" applyBorder="1" applyAlignment="1" applyProtection="1">
      <alignment horizontal="left" vertical="center" wrapText="1"/>
    </xf>
    <xf numFmtId="176" fontId="25" fillId="4" borderId="99" xfId="12" applyNumberFormat="1" applyFont="1" applyFill="1" applyBorder="1" applyAlignment="1" applyProtection="1">
      <alignment horizontal="center" vertical="center" wrapText="1"/>
      <protection locked="0"/>
    </xf>
    <xf numFmtId="176" fontId="25" fillId="4" borderId="27" xfId="12" applyNumberFormat="1" applyFont="1" applyFill="1" applyBorder="1" applyAlignment="1" applyProtection="1">
      <alignment horizontal="center" vertical="center" wrapText="1"/>
      <protection locked="0"/>
    </xf>
    <xf numFmtId="176" fontId="25" fillId="4" borderId="71" xfId="12" applyNumberFormat="1" applyFont="1" applyFill="1" applyBorder="1" applyAlignment="1" applyProtection="1">
      <alignment horizontal="center" vertical="center" wrapText="1"/>
      <protection locked="0"/>
    </xf>
    <xf numFmtId="0" fontId="25" fillId="4" borderId="46" xfId="0" applyFont="1" applyFill="1" applyBorder="1" applyAlignment="1" applyProtection="1">
      <alignment horizontal="center" vertical="center"/>
      <protection locked="0"/>
    </xf>
    <xf numFmtId="0" fontId="25" fillId="4" borderId="99" xfId="8" applyFont="1" applyFill="1" applyBorder="1" applyAlignment="1" applyProtection="1">
      <alignment horizontal="left" vertical="center" wrapText="1" indent="1"/>
      <protection locked="0"/>
    </xf>
    <xf numFmtId="0" fontId="25" fillId="4" borderId="27" xfId="8" applyFont="1" applyFill="1" applyBorder="1" applyAlignment="1" applyProtection="1">
      <alignment horizontal="left" vertical="center" wrapText="1" indent="1"/>
      <protection locked="0"/>
    </xf>
    <xf numFmtId="0" fontId="25" fillId="4" borderId="71" xfId="8" applyFont="1" applyFill="1" applyBorder="1" applyAlignment="1" applyProtection="1">
      <alignment horizontal="left" vertical="center" wrapText="1" indent="1"/>
      <protection locked="0"/>
    </xf>
    <xf numFmtId="0" fontId="61" fillId="0" borderId="0" xfId="74" applyFont="1" applyBorder="1" applyAlignment="1" applyProtection="1">
      <alignment horizontal="center" vertical="top" wrapText="1"/>
    </xf>
    <xf numFmtId="0" fontId="15" fillId="4" borderId="26" xfId="74" applyFont="1" applyFill="1" applyBorder="1" applyAlignment="1" applyProtection="1">
      <alignment horizontal="center" vertical="center"/>
      <protection locked="0"/>
    </xf>
    <xf numFmtId="0" fontId="15" fillId="4" borderId="26" xfId="74" applyFont="1" applyFill="1" applyBorder="1" applyAlignment="1" applyProtection="1">
      <alignment horizontal="center" vertical="center"/>
    </xf>
    <xf numFmtId="0" fontId="127" fillId="0" borderId="0" xfId="74" applyFont="1" applyBorder="1" applyAlignment="1" applyProtection="1">
      <alignment vertical="center" wrapText="1"/>
    </xf>
    <xf numFmtId="0" fontId="25" fillId="47" borderId="26" xfId="74" applyFont="1" applyFill="1" applyBorder="1" applyAlignment="1" applyProtection="1">
      <alignment horizontal="left" vertical="center" indent="1"/>
    </xf>
    <xf numFmtId="0" fontId="15" fillId="7" borderId="0" xfId="74" applyFont="1" applyFill="1" applyBorder="1" applyAlignment="1" applyProtection="1">
      <alignment vertical="center"/>
    </xf>
    <xf numFmtId="0" fontId="25" fillId="0" borderId="0" xfId="8" applyFont="1" applyBorder="1" applyAlignment="1" applyProtection="1">
      <alignment horizontal="left" vertical="center"/>
    </xf>
    <xf numFmtId="0" fontId="15" fillId="12" borderId="26" xfId="0" quotePrefix="1" applyFont="1" applyFill="1" applyBorder="1" applyAlignment="1" applyProtection="1">
      <alignment horizontal="center" vertical="center" wrapText="1"/>
    </xf>
    <xf numFmtId="0" fontId="15" fillId="4" borderId="41" xfId="0" applyFont="1" applyFill="1" applyBorder="1" applyAlignment="1" applyProtection="1">
      <alignment horizontal="left" vertical="top" wrapText="1" indent="1" shrinkToFit="1" readingOrder="1"/>
      <protection locked="0"/>
    </xf>
    <xf numFmtId="0" fontId="25" fillId="0" borderId="13" xfId="45" applyFont="1" applyFill="1" applyBorder="1" applyAlignment="1" applyProtection="1">
      <alignment horizontal="left" vertical="center" indent="1" shrinkToFit="1"/>
    </xf>
    <xf numFmtId="0" fontId="25" fillId="0" borderId="39" xfId="45" applyFont="1" applyFill="1" applyBorder="1" applyAlignment="1" applyProtection="1">
      <alignment horizontal="left" vertical="center" indent="1" shrinkToFit="1"/>
    </xf>
    <xf numFmtId="0" fontId="25" fillId="0" borderId="170" xfId="45" applyFont="1" applyFill="1" applyBorder="1" applyAlignment="1" applyProtection="1">
      <alignment horizontal="left" vertical="center" indent="1" shrinkToFit="1"/>
    </xf>
    <xf numFmtId="0" fontId="25" fillId="4" borderId="99" xfId="46" applyFont="1" applyBorder="1" applyAlignment="1" applyProtection="1">
      <alignment horizontal="left" vertical="center" indent="1" shrinkToFit="1"/>
      <protection locked="0"/>
    </xf>
    <xf numFmtId="0" fontId="25" fillId="4" borderId="27" xfId="46" applyFont="1" applyBorder="1" applyAlignment="1" applyProtection="1">
      <alignment horizontal="left" vertical="center" indent="1" shrinkToFit="1"/>
      <protection locked="0"/>
    </xf>
    <xf numFmtId="0" fontId="25" fillId="4" borderId="71" xfId="46" applyFont="1" applyBorder="1" applyAlignment="1" applyProtection="1">
      <alignment horizontal="left" vertical="center" indent="1" shrinkToFit="1"/>
      <protection locked="0"/>
    </xf>
    <xf numFmtId="0" fontId="15" fillId="12" borderId="26" xfId="0" quotePrefix="1" applyFont="1" applyFill="1" applyBorder="1" applyAlignment="1" applyProtection="1">
      <alignment horizontal="left" vertical="center" wrapText="1" indent="1"/>
    </xf>
    <xf numFmtId="0" fontId="50" fillId="7" borderId="26" xfId="0" applyFont="1" applyFill="1" applyBorder="1" applyAlignment="1" applyProtection="1">
      <alignment horizontal="left" vertical="center"/>
    </xf>
    <xf numFmtId="0" fontId="50" fillId="7" borderId="46" xfId="0" applyFont="1" applyFill="1" applyBorder="1" applyAlignment="1" applyProtection="1">
      <alignment horizontal="left" vertical="center"/>
    </xf>
    <xf numFmtId="0" fontId="25" fillId="12" borderId="99" xfId="45" applyFont="1" applyFill="1" applyBorder="1" applyAlignment="1" applyProtection="1">
      <alignment horizontal="left" vertical="center" wrapText="1" indent="1"/>
    </xf>
    <xf numFmtId="0" fontId="25" fillId="12" borderId="27" xfId="45" applyFont="1" applyFill="1" applyBorder="1" applyAlignment="1" applyProtection="1">
      <alignment horizontal="left" vertical="center" wrapText="1" indent="1"/>
    </xf>
    <xf numFmtId="0" fontId="25" fillId="12" borderId="71" xfId="45" applyFont="1" applyFill="1" applyBorder="1" applyAlignment="1" applyProtection="1">
      <alignment horizontal="left" vertical="center" wrapText="1" indent="1"/>
    </xf>
    <xf numFmtId="0" fontId="25" fillId="0" borderId="38" xfId="45" applyFont="1" applyFill="1" applyBorder="1" applyAlignment="1" applyProtection="1">
      <alignment vertical="center" wrapText="1"/>
    </xf>
    <xf numFmtId="0" fontId="15" fillId="12" borderId="26" xfId="19" applyFont="1" applyFill="1" applyBorder="1" applyAlignment="1" applyProtection="1">
      <alignment horizontal="center" vertical="center" wrapText="1"/>
    </xf>
    <xf numFmtId="0" fontId="151" fillId="0" borderId="84" xfId="8" applyFont="1" applyBorder="1" applyAlignment="1" applyProtection="1">
      <alignment horizontal="left" vertical="center" indent="1"/>
    </xf>
    <xf numFmtId="0" fontId="151" fillId="0" borderId="0" xfId="8" applyFont="1" applyAlignment="1" applyProtection="1">
      <alignment horizontal="left" vertical="center" indent="1"/>
    </xf>
    <xf numFmtId="0" fontId="15" fillId="0" borderId="0" xfId="0" applyFont="1" applyFill="1" applyBorder="1" applyAlignment="1" applyProtection="1">
      <alignment vertical="center" wrapText="1" shrinkToFit="1" readingOrder="1"/>
    </xf>
    <xf numFmtId="0" fontId="15" fillId="12" borderId="99" xfId="19" applyFont="1" applyFill="1" applyBorder="1" applyAlignment="1" applyProtection="1">
      <alignment horizontal="center" vertical="center" wrapText="1"/>
    </xf>
    <xf numFmtId="0" fontId="15" fillId="12" borderId="27" xfId="19" applyFont="1" applyFill="1" applyBorder="1" applyAlignment="1" applyProtection="1">
      <alignment horizontal="center" vertical="center" wrapText="1"/>
    </xf>
    <xf numFmtId="0" fontId="15" fillId="12" borderId="71" xfId="19" applyFont="1" applyFill="1" applyBorder="1" applyAlignment="1" applyProtection="1">
      <alignment horizontal="center" vertical="center" wrapText="1"/>
    </xf>
    <xf numFmtId="0" fontId="25" fillId="4" borderId="26" xfId="46" applyFont="1" applyFill="1" applyBorder="1" applyAlignment="1" applyProtection="1">
      <alignment horizontal="center" vertical="center" wrapText="1"/>
      <protection locked="0"/>
    </xf>
    <xf numFmtId="0" fontId="15" fillId="0" borderId="99" xfId="45" applyFont="1" applyFill="1" applyBorder="1" applyAlignment="1" applyProtection="1">
      <alignment vertical="center" wrapText="1"/>
    </xf>
    <xf numFmtId="0" fontId="15" fillId="0" borderId="27" xfId="45" applyFont="1" applyFill="1" applyBorder="1" applyAlignment="1" applyProtection="1">
      <alignment vertical="center" wrapText="1"/>
    </xf>
    <xf numFmtId="0" fontId="15" fillId="0" borderId="71" xfId="45" applyFont="1" applyFill="1" applyBorder="1" applyAlignment="1" applyProtection="1">
      <alignment vertical="center" wrapText="1"/>
    </xf>
    <xf numFmtId="0" fontId="144" fillId="0" borderId="84" xfId="8" applyFont="1" applyBorder="1" applyAlignment="1" applyProtection="1">
      <alignment horizontal="left" vertical="center" indent="1"/>
    </xf>
    <xf numFmtId="0" fontId="144" fillId="0" borderId="0" xfId="8" applyFont="1" applyAlignment="1" applyProtection="1">
      <alignment horizontal="left" vertical="center" indent="1"/>
    </xf>
    <xf numFmtId="0" fontId="25" fillId="4" borderId="99" xfId="0" applyFont="1" applyFill="1" applyBorder="1" applyAlignment="1" applyProtection="1">
      <alignment horizontal="center" vertical="center"/>
      <protection locked="0"/>
    </xf>
    <xf numFmtId="0" fontId="25" fillId="4" borderId="71" xfId="0" applyFont="1" applyFill="1" applyBorder="1" applyAlignment="1" applyProtection="1">
      <alignment horizontal="center" vertical="center"/>
      <protection locked="0"/>
    </xf>
    <xf numFmtId="0" fontId="25" fillId="7" borderId="26" xfId="8" applyFont="1" applyFill="1" applyBorder="1" applyAlignment="1" applyProtection="1">
      <alignment horizontal="center" vertical="center" wrapText="1"/>
    </xf>
    <xf numFmtId="0" fontId="88" fillId="12" borderId="26" xfId="4" applyFont="1" applyFill="1" applyBorder="1" applyAlignment="1" applyProtection="1">
      <alignment horizontal="left" vertical="center" wrapText="1" indent="1"/>
    </xf>
    <xf numFmtId="0" fontId="25" fillId="0" borderId="27" xfId="45" applyFont="1" applyFill="1" applyBorder="1" applyAlignment="1" applyProtection="1">
      <alignment horizontal="right" vertical="center" indent="1"/>
    </xf>
    <xf numFmtId="0" fontId="25" fillId="0" borderId="71" xfId="45" applyFont="1" applyFill="1" applyBorder="1" applyAlignment="1" applyProtection="1">
      <alignment horizontal="right" vertical="center" indent="1"/>
    </xf>
    <xf numFmtId="0" fontId="25" fillId="0" borderId="13" xfId="8" applyFont="1" applyBorder="1" applyAlignment="1" applyProtection="1">
      <alignment vertical="center"/>
    </xf>
    <xf numFmtId="0" fontId="25" fillId="0" borderId="39" xfId="8" applyFont="1" applyBorder="1" applyAlignment="1" applyProtection="1">
      <alignment vertical="center"/>
    </xf>
    <xf numFmtId="0" fontId="25" fillId="0" borderId="27" xfId="8" applyFont="1" applyBorder="1" applyAlignment="1" applyProtection="1">
      <alignment vertical="center"/>
    </xf>
    <xf numFmtId="0" fontId="25" fillId="4" borderId="26" xfId="8" applyFont="1" applyFill="1" applyBorder="1" applyAlignment="1" applyProtection="1">
      <alignment horizontal="left" vertical="center" wrapText="1" indent="1"/>
      <protection locked="0"/>
    </xf>
    <xf numFmtId="0" fontId="25" fillId="7" borderId="39" xfId="0" applyFont="1" applyFill="1" applyBorder="1" applyAlignment="1" applyProtection="1">
      <alignment vertical="center" wrapText="1"/>
    </xf>
    <xf numFmtId="0" fontId="25" fillId="7" borderId="0" xfId="8" applyFont="1" applyFill="1" applyBorder="1" applyAlignment="1" applyProtection="1">
      <alignment horizontal="left" vertical="center"/>
    </xf>
    <xf numFmtId="0" fontId="25" fillId="7" borderId="43" xfId="8" applyFont="1" applyFill="1" applyBorder="1" applyAlignment="1" applyProtection="1">
      <alignment horizontal="left" vertical="center"/>
    </xf>
    <xf numFmtId="0" fontId="25" fillId="7" borderId="0" xfId="8" applyFont="1" applyFill="1" applyBorder="1" applyAlignment="1" applyProtection="1">
      <alignment horizontal="left" vertical="center" wrapText="1"/>
    </xf>
    <xf numFmtId="0" fontId="25" fillId="0" borderId="28" xfId="74" applyFont="1" applyBorder="1" applyAlignment="1" applyProtection="1">
      <alignment horizontal="left" vertical="center"/>
    </xf>
    <xf numFmtId="0" fontId="143" fillId="0" borderId="0" xfId="74" applyFont="1" applyBorder="1" applyAlignment="1" applyProtection="1">
      <alignment horizontal="left" vertical="center"/>
    </xf>
    <xf numFmtId="0" fontId="143" fillId="0" borderId="43" xfId="74" applyFont="1" applyBorder="1" applyAlignment="1" applyProtection="1">
      <alignment horizontal="left" vertical="center"/>
    </xf>
    <xf numFmtId="0" fontId="25" fillId="4" borderId="99" xfId="8" applyFont="1" applyFill="1" applyBorder="1" applyAlignment="1" applyProtection="1">
      <alignment horizontal="left" vertical="center"/>
      <protection locked="0"/>
    </xf>
    <xf numFmtId="0" fontId="25" fillId="4" borderId="27" xfId="8" applyFont="1" applyFill="1" applyBorder="1" applyAlignment="1" applyProtection="1">
      <alignment horizontal="left" vertical="center"/>
      <protection locked="0"/>
    </xf>
    <xf numFmtId="0" fontId="25" fillId="4" borderId="71" xfId="8" applyFont="1" applyFill="1" applyBorder="1" applyAlignment="1" applyProtection="1">
      <alignment horizontal="left" vertical="center"/>
      <protection locked="0"/>
    </xf>
    <xf numFmtId="0" fontId="25" fillId="47" borderId="26" xfId="74" applyFont="1" applyFill="1" applyBorder="1" applyAlignment="1" applyProtection="1">
      <alignment horizontal="right" vertical="center" indent="1"/>
    </xf>
    <xf numFmtId="0" fontId="25" fillId="47" borderId="26" xfId="74" applyFont="1" applyFill="1" applyBorder="1" applyAlignment="1" applyProtection="1">
      <alignment horizontal="center" vertical="center"/>
    </xf>
    <xf numFmtId="165" fontId="25" fillId="4" borderId="99" xfId="13" applyNumberFormat="1" applyFont="1" applyFill="1" applyBorder="1" applyAlignment="1" applyProtection="1">
      <alignment horizontal="left" vertical="center" indent="1"/>
      <protection locked="0"/>
    </xf>
    <xf numFmtId="165" fontId="25" fillId="4" borderId="27" xfId="13" applyNumberFormat="1" applyFont="1" applyFill="1" applyBorder="1" applyAlignment="1" applyProtection="1">
      <alignment horizontal="left" vertical="center" indent="1"/>
      <protection locked="0"/>
    </xf>
    <xf numFmtId="165" fontId="25" fillId="4" borderId="71" xfId="13" applyNumberFormat="1" applyFont="1" applyFill="1" applyBorder="1" applyAlignment="1" applyProtection="1">
      <alignment horizontal="left" vertical="center" indent="1"/>
      <protection locked="0"/>
    </xf>
    <xf numFmtId="0" fontId="25" fillId="4" borderId="99" xfId="46" applyFont="1" applyBorder="1" applyAlignment="1" applyProtection="1">
      <alignment horizontal="left" vertical="center" indent="1"/>
      <protection locked="0"/>
    </xf>
    <xf numFmtId="0" fontId="25" fillId="4" borderId="27" xfId="46" applyFont="1" applyBorder="1" applyAlignment="1" applyProtection="1">
      <alignment horizontal="left" vertical="center" indent="1"/>
      <protection locked="0"/>
    </xf>
    <xf numFmtId="0" fontId="25" fillId="4" borderId="71" xfId="46" applyFont="1" applyBorder="1" applyAlignment="1" applyProtection="1">
      <alignment horizontal="left" vertical="center" indent="1"/>
      <protection locked="0"/>
    </xf>
    <xf numFmtId="0" fontId="25" fillId="0" borderId="99" xfId="45" applyFont="1" applyFill="1" applyBorder="1" applyAlignment="1" applyProtection="1">
      <alignment horizontal="right" vertical="center" indent="1"/>
    </xf>
    <xf numFmtId="0" fontId="61" fillId="7" borderId="13" xfId="0" applyFont="1" applyFill="1" applyBorder="1" applyAlignment="1" applyProtection="1">
      <alignment horizontal="right" vertical="center"/>
    </xf>
    <xf numFmtId="0" fontId="25" fillId="0" borderId="39" xfId="0" applyFont="1" applyBorder="1" applyAlignment="1" applyProtection="1">
      <alignment horizontal="right" vertical="center"/>
    </xf>
    <xf numFmtId="0" fontId="25" fillId="0" borderId="170" xfId="0" applyFont="1" applyBorder="1" applyAlignment="1" applyProtection="1">
      <alignment horizontal="right" vertical="center"/>
    </xf>
    <xf numFmtId="0" fontId="25" fillId="4" borderId="99" xfId="46" applyFont="1" applyFill="1" applyBorder="1" applyAlignment="1" applyProtection="1">
      <alignment horizontal="center" vertical="center" wrapText="1"/>
      <protection locked="0"/>
    </xf>
    <xf numFmtId="0" fontId="25" fillId="4" borderId="71" xfId="46" applyFont="1" applyFill="1" applyBorder="1" applyAlignment="1" applyProtection="1">
      <alignment horizontal="center" vertical="center" wrapText="1"/>
      <protection locked="0"/>
    </xf>
    <xf numFmtId="0" fontId="143" fillId="0" borderId="0" xfId="0" applyFont="1" applyFill="1" applyBorder="1" applyAlignment="1" applyProtection="1">
      <alignment horizontal="left" vertical="center" wrapText="1" shrinkToFit="1" readingOrder="1"/>
    </xf>
    <xf numFmtId="0" fontId="143" fillId="0" borderId="43" xfId="0" applyFont="1" applyFill="1" applyBorder="1" applyAlignment="1" applyProtection="1">
      <alignment horizontal="left" vertical="center" wrapText="1" shrinkToFit="1" readingOrder="1"/>
    </xf>
    <xf numFmtId="0" fontId="25" fillId="7" borderId="0" xfId="13" applyFont="1" applyFill="1" applyBorder="1" applyAlignment="1" applyProtection="1">
      <alignment vertical="center" wrapText="1"/>
    </xf>
    <xf numFmtId="0" fontId="15" fillId="7" borderId="0" xfId="0" applyFont="1" applyFill="1" applyBorder="1" applyAlignment="1" applyProtection="1">
      <alignment vertical="center" wrapText="1"/>
    </xf>
    <xf numFmtId="0" fontId="25" fillId="0" borderId="28" xfId="45" applyFont="1" applyFill="1" applyBorder="1" applyAlignment="1" applyProtection="1">
      <alignment horizontal="right" vertical="center" indent="1"/>
    </xf>
    <xf numFmtId="0" fontId="25" fillId="0" borderId="84" xfId="46" applyFont="1" applyFill="1" applyBorder="1" applyAlignment="1" applyProtection="1">
      <alignment vertical="center"/>
    </xf>
    <xf numFmtId="0" fontId="25" fillId="0" borderId="0" xfId="46" applyFont="1" applyFill="1" applyBorder="1" applyAlignment="1" applyProtection="1">
      <alignment vertical="center"/>
    </xf>
    <xf numFmtId="0" fontId="25" fillId="0" borderId="43" xfId="46" applyFont="1" applyFill="1" applyBorder="1" applyAlignment="1" applyProtection="1">
      <alignment vertical="center"/>
    </xf>
    <xf numFmtId="0" fontId="25" fillId="4" borderId="170" xfId="46" applyFont="1" applyFill="1" applyBorder="1" applyAlignment="1" applyProtection="1">
      <alignment horizontal="center" vertical="center" wrapText="1"/>
      <protection locked="0"/>
    </xf>
    <xf numFmtId="0" fontId="25" fillId="4" borderId="41" xfId="46" applyFont="1" applyFill="1" applyBorder="1" applyAlignment="1" applyProtection="1">
      <alignment horizontal="center" vertical="center" wrapText="1"/>
      <protection locked="0"/>
    </xf>
    <xf numFmtId="1" fontId="15" fillId="7" borderId="39" xfId="12" applyNumberFormat="1" applyFont="1" applyFill="1" applyBorder="1" applyAlignment="1" applyProtection="1">
      <alignment horizontal="left" vertical="center" wrapText="1" indent="1"/>
    </xf>
    <xf numFmtId="0" fontId="15" fillId="7" borderId="0" xfId="0" applyFont="1" applyFill="1" applyBorder="1" applyAlignment="1" applyProtection="1">
      <alignment horizontal="center" vertical="center"/>
    </xf>
    <xf numFmtId="0" fontId="15" fillId="7" borderId="26" xfId="0" applyFont="1" applyFill="1" applyBorder="1" applyAlignment="1" applyProtection="1">
      <alignment horizontal="center" vertical="center" shrinkToFit="1"/>
    </xf>
    <xf numFmtId="0" fontId="15" fillId="0" borderId="28" xfId="0" applyFont="1" applyBorder="1" applyAlignment="1" applyProtection="1">
      <alignment horizontal="center" vertical="center"/>
    </xf>
    <xf numFmtId="165" fontId="25" fillId="4" borderId="99" xfId="13" applyNumberFormat="1" applyFont="1" applyFill="1" applyBorder="1" applyAlignment="1" applyProtection="1">
      <alignment horizontal="center" vertical="center"/>
      <protection locked="0"/>
    </xf>
    <xf numFmtId="165" fontId="25" fillId="4" borderId="27" xfId="13" applyNumberFormat="1" applyFont="1" applyFill="1" applyBorder="1" applyAlignment="1" applyProtection="1">
      <alignment horizontal="center" vertical="center"/>
      <protection locked="0"/>
    </xf>
    <xf numFmtId="165" fontId="25" fillId="4" borderId="71" xfId="13" applyNumberFormat="1" applyFont="1" applyFill="1" applyBorder="1" applyAlignment="1" applyProtection="1">
      <alignment horizontal="center" vertical="center"/>
      <protection locked="0"/>
    </xf>
    <xf numFmtId="14" fontId="25" fillId="4" borderId="99" xfId="13" applyNumberFormat="1" applyFont="1" applyFill="1" applyBorder="1" applyAlignment="1" applyProtection="1">
      <alignment horizontal="left" vertical="center" indent="1"/>
      <protection locked="0"/>
    </xf>
    <xf numFmtId="14" fontId="25" fillId="4" borderId="27" xfId="13" applyNumberFormat="1" applyFont="1" applyFill="1" applyBorder="1" applyAlignment="1" applyProtection="1">
      <alignment horizontal="left" vertical="center" indent="1"/>
      <protection locked="0"/>
    </xf>
    <xf numFmtId="14" fontId="25" fillId="4" borderId="71" xfId="13" applyNumberFormat="1" applyFont="1" applyFill="1" applyBorder="1" applyAlignment="1" applyProtection="1">
      <alignment horizontal="left" vertical="center" indent="1"/>
      <protection locked="0"/>
    </xf>
    <xf numFmtId="0" fontId="25" fillId="7" borderId="99" xfId="8" applyFont="1" applyFill="1" applyBorder="1" applyAlignment="1" applyProtection="1">
      <alignment horizontal="center" vertical="center"/>
    </xf>
    <xf numFmtId="0" fontId="25" fillId="7" borderId="27" xfId="8" applyFont="1" applyFill="1" applyBorder="1" applyAlignment="1" applyProtection="1">
      <alignment horizontal="center" vertical="center"/>
    </xf>
    <xf numFmtId="0" fontId="25" fillId="7" borderId="71" xfId="8" applyFont="1" applyFill="1" applyBorder="1" applyAlignment="1" applyProtection="1">
      <alignment horizontal="center" vertical="center"/>
    </xf>
    <xf numFmtId="0" fontId="15" fillId="7" borderId="13" xfId="0" applyFont="1" applyFill="1" applyBorder="1" applyAlignment="1" applyProtection="1">
      <alignment horizontal="left" vertical="center" indent="1"/>
    </xf>
    <xf numFmtId="0" fontId="25" fillId="4" borderId="41" xfId="8" applyFont="1" applyFill="1" applyBorder="1" applyAlignment="1" applyProtection="1">
      <alignment horizontal="left" vertical="center" indent="1"/>
      <protection locked="0"/>
    </xf>
    <xf numFmtId="0" fontId="25" fillId="4" borderId="99" xfId="8" applyFont="1" applyFill="1" applyBorder="1" applyAlignment="1" applyProtection="1">
      <alignment horizontal="center" vertical="center"/>
      <protection locked="0"/>
    </xf>
    <xf numFmtId="0" fontId="25" fillId="4" borderId="27" xfId="8" applyFont="1" applyFill="1" applyBorder="1" applyAlignment="1" applyProtection="1">
      <alignment horizontal="center" vertical="center"/>
      <protection locked="0"/>
    </xf>
    <xf numFmtId="0" fontId="25" fillId="4" borderId="71" xfId="8" applyFont="1" applyFill="1" applyBorder="1" applyAlignment="1" applyProtection="1">
      <alignment horizontal="center" vertical="center"/>
      <protection locked="0"/>
    </xf>
    <xf numFmtId="0" fontId="25" fillId="7" borderId="99" xfId="45" applyFont="1" applyFill="1" applyBorder="1" applyAlignment="1" applyProtection="1">
      <alignment vertical="center" wrapText="1"/>
    </xf>
    <xf numFmtId="0" fontId="25" fillId="7" borderId="27" xfId="45" applyFont="1" applyFill="1" applyBorder="1" applyAlignment="1" applyProtection="1">
      <alignment vertical="center" wrapText="1"/>
    </xf>
    <xf numFmtId="0" fontId="25" fillId="7" borderId="71" xfId="45" applyFont="1" applyFill="1" applyBorder="1" applyAlignment="1" applyProtection="1">
      <alignment vertical="center" wrapText="1"/>
    </xf>
    <xf numFmtId="0" fontId="50" fillId="7" borderId="39" xfId="0" applyFont="1" applyFill="1" applyBorder="1" applyAlignment="1" applyProtection="1">
      <alignment horizontal="center" vertical="center"/>
    </xf>
    <xf numFmtId="0" fontId="15" fillId="7" borderId="39" xfId="0" applyFont="1" applyFill="1" applyBorder="1" applyAlignment="1" applyProtection="1">
      <alignment horizontal="center" vertical="center"/>
    </xf>
    <xf numFmtId="0" fontId="15" fillId="0" borderId="0" xfId="8" applyFont="1" applyBorder="1" applyAlignment="1" applyProtection="1">
      <alignment horizontal="center" vertical="center"/>
    </xf>
    <xf numFmtId="0" fontId="15" fillId="4" borderId="41" xfId="0" applyFont="1" applyFill="1" applyBorder="1" applyAlignment="1" applyProtection="1">
      <alignment horizontal="left" vertical="top" wrapText="1" indent="1"/>
      <protection locked="0"/>
    </xf>
    <xf numFmtId="0" fontId="15" fillId="7" borderId="170" xfId="0" applyFont="1" applyFill="1" applyBorder="1" applyAlignment="1" applyProtection="1">
      <alignment horizontal="center" vertical="center"/>
    </xf>
    <xf numFmtId="0" fontId="15" fillId="4" borderId="99" xfId="0" applyFont="1" applyFill="1" applyBorder="1" applyAlignment="1" applyProtection="1">
      <alignment horizontal="center" vertical="center" shrinkToFit="1"/>
      <protection locked="0"/>
    </xf>
    <xf numFmtId="0" fontId="15" fillId="4" borderId="71" xfId="0" applyFont="1" applyFill="1" applyBorder="1" applyAlignment="1" applyProtection="1">
      <alignment horizontal="center" vertical="center" shrinkToFit="1"/>
      <protection locked="0"/>
    </xf>
    <xf numFmtId="0" fontId="15" fillId="7" borderId="0" xfId="0" applyFont="1" applyFill="1" applyBorder="1" applyAlignment="1" applyProtection="1">
      <alignment horizontal="right" vertical="center" indent="1"/>
    </xf>
    <xf numFmtId="0" fontId="15" fillId="7" borderId="43" xfId="0" applyFont="1" applyFill="1" applyBorder="1" applyAlignment="1" applyProtection="1">
      <alignment horizontal="right" vertical="center" indent="1"/>
    </xf>
    <xf numFmtId="0" fontId="15" fillId="7" borderId="0" xfId="51" applyFont="1" applyFill="1" applyBorder="1" applyAlignment="1" applyProtection="1">
      <alignment horizontal="right" vertical="center" indent="1"/>
    </xf>
    <xf numFmtId="0" fontId="15" fillId="4" borderId="13" xfId="0" applyFont="1" applyFill="1" applyBorder="1" applyAlignment="1" applyProtection="1">
      <alignment horizontal="center" vertical="center" shrinkToFit="1"/>
      <protection locked="0"/>
    </xf>
    <xf numFmtId="0" fontId="15" fillId="4" borderId="170" xfId="0" applyFont="1" applyFill="1" applyBorder="1" applyAlignment="1" applyProtection="1">
      <alignment horizontal="center" vertical="center" shrinkToFit="1"/>
      <protection locked="0"/>
    </xf>
    <xf numFmtId="0" fontId="15" fillId="4" borderId="41" xfId="0" applyFont="1" applyFill="1" applyBorder="1" applyAlignment="1" applyProtection="1">
      <alignment horizontal="center" vertical="center" shrinkToFit="1"/>
      <protection locked="0"/>
    </xf>
    <xf numFmtId="0" fontId="15" fillId="0" borderId="13" xfId="0" applyFont="1" applyBorder="1" applyAlignment="1" applyProtection="1">
      <alignment horizontal="left" vertical="center" indent="1"/>
    </xf>
    <xf numFmtId="0" fontId="15" fillId="0" borderId="39" xfId="0" applyFont="1" applyBorder="1" applyAlignment="1" applyProtection="1">
      <alignment horizontal="left" vertical="center" indent="1"/>
    </xf>
    <xf numFmtId="0" fontId="15" fillId="7" borderId="28" xfId="51" applyFont="1" applyFill="1" applyBorder="1" applyAlignment="1" applyProtection="1">
      <alignment horizontal="right" vertical="center" indent="1"/>
    </xf>
    <xf numFmtId="0" fontId="61" fillId="7" borderId="26" xfId="45" applyFont="1" applyFill="1" applyBorder="1" applyAlignment="1" applyProtection="1">
      <alignment horizontal="center" vertical="center" wrapText="1"/>
    </xf>
    <xf numFmtId="0" fontId="25" fillId="0" borderId="26" xfId="45" applyFont="1" applyFill="1" applyBorder="1" applyAlignment="1" applyProtection="1">
      <alignment horizontal="center" vertical="center" wrapText="1"/>
    </xf>
    <xf numFmtId="0" fontId="55" fillId="0" borderId="39" xfId="8" applyFont="1" applyBorder="1" applyAlignment="1" applyProtection="1">
      <alignment horizontal="left" vertical="center" indent="1"/>
    </xf>
    <xf numFmtId="0" fontId="25" fillId="0" borderId="39" xfId="45" applyFont="1" applyFill="1" applyBorder="1" applyAlignment="1" applyProtection="1">
      <alignment horizontal="right" vertical="center" indent="1"/>
    </xf>
    <xf numFmtId="0" fontId="25" fillId="0" borderId="170" xfId="45" applyFont="1" applyFill="1" applyBorder="1" applyAlignment="1" applyProtection="1">
      <alignment horizontal="right" vertical="center" indent="1"/>
    </xf>
    <xf numFmtId="3" fontId="15" fillId="4" borderId="26" xfId="0" applyNumberFormat="1" applyFont="1" applyFill="1" applyBorder="1" applyAlignment="1" applyProtection="1">
      <alignment horizontal="center" vertical="center" shrinkToFit="1"/>
      <protection locked="0"/>
    </xf>
    <xf numFmtId="170" fontId="15" fillId="4" borderId="26" xfId="0" applyNumberFormat="1" applyFont="1" applyFill="1" applyBorder="1" applyAlignment="1" applyProtection="1">
      <alignment horizontal="center" vertical="center" shrinkToFit="1"/>
      <protection locked="0"/>
    </xf>
    <xf numFmtId="0" fontId="50" fillId="7" borderId="0" xfId="0" applyFont="1" applyFill="1" applyBorder="1" applyAlignment="1" applyProtection="1">
      <alignment horizontal="left" vertical="center" indent="1"/>
    </xf>
    <xf numFmtId="0" fontId="50" fillId="7" borderId="27" xfId="0" applyFont="1" applyFill="1" applyBorder="1" applyAlignment="1" applyProtection="1">
      <alignment horizontal="left" vertical="center" indent="1"/>
    </xf>
    <xf numFmtId="0" fontId="15" fillId="4" borderId="99" xfId="0" applyFont="1" applyFill="1" applyBorder="1" applyAlignment="1" applyProtection="1">
      <alignment horizontal="left" vertical="center" indent="1" shrinkToFit="1"/>
      <protection locked="0"/>
    </xf>
    <xf numFmtId="0" fontId="15" fillId="4" borderId="27" xfId="0" applyFont="1" applyFill="1" applyBorder="1" applyAlignment="1" applyProtection="1">
      <alignment horizontal="left" vertical="center" indent="1" shrinkToFit="1"/>
      <protection locked="0"/>
    </xf>
    <xf numFmtId="0" fontId="15" fillId="4" borderId="71" xfId="0" applyFont="1" applyFill="1" applyBorder="1" applyAlignment="1" applyProtection="1">
      <alignment horizontal="left" vertical="center" indent="1" shrinkToFit="1"/>
      <protection locked="0"/>
    </xf>
    <xf numFmtId="3" fontId="15" fillId="4" borderId="41" xfId="0" applyNumberFormat="1" applyFont="1" applyFill="1" applyBorder="1" applyAlignment="1" applyProtection="1">
      <alignment horizontal="center" vertical="center" shrinkToFit="1"/>
      <protection locked="0"/>
    </xf>
    <xf numFmtId="0" fontId="15" fillId="0" borderId="28" xfId="0" applyFont="1" applyBorder="1" applyAlignment="1" applyProtection="1">
      <alignment horizontal="left" vertical="center"/>
    </xf>
    <xf numFmtId="3" fontId="15" fillId="4" borderId="43" xfId="0" applyNumberFormat="1" applyFont="1" applyFill="1" applyBorder="1" applyAlignment="1" applyProtection="1">
      <alignment horizontal="center" vertical="center" shrinkToFit="1"/>
      <protection locked="0"/>
    </xf>
    <xf numFmtId="3" fontId="15" fillId="4" borderId="92" xfId="0" applyNumberFormat="1" applyFont="1" applyFill="1" applyBorder="1" applyAlignment="1" applyProtection="1">
      <alignment horizontal="center" vertical="center" shrinkToFit="1"/>
      <protection locked="0"/>
    </xf>
    <xf numFmtId="0" fontId="15" fillId="0" borderId="0" xfId="0" applyFont="1" applyBorder="1" applyAlignment="1" applyProtection="1">
      <alignment horizontal="right" vertical="center" indent="1"/>
    </xf>
    <xf numFmtId="0" fontId="50" fillId="7" borderId="39" xfId="0" applyFont="1" applyFill="1" applyBorder="1" applyAlignment="1" applyProtection="1">
      <alignment horizontal="left" vertical="center" indent="1"/>
    </xf>
    <xf numFmtId="3" fontId="15" fillId="0" borderId="26" xfId="0" applyNumberFormat="1" applyFont="1" applyBorder="1" applyAlignment="1" applyProtection="1">
      <alignment horizontal="center" vertical="center"/>
    </xf>
    <xf numFmtId="165" fontId="15" fillId="0" borderId="26" xfId="0" applyNumberFormat="1" applyFont="1" applyBorder="1" applyAlignment="1" applyProtection="1">
      <alignment horizontal="center" vertical="center"/>
    </xf>
    <xf numFmtId="165" fontId="15" fillId="0" borderId="41" xfId="0" applyNumberFormat="1" applyFont="1" applyBorder="1" applyAlignment="1" applyProtection="1">
      <alignment horizontal="left" vertical="center" indent="1" shrinkToFit="1"/>
    </xf>
    <xf numFmtId="165" fontId="15" fillId="0" borderId="26" xfId="0" applyNumberFormat="1" applyFont="1" applyBorder="1" applyAlignment="1" applyProtection="1">
      <alignment horizontal="left" vertical="center" indent="1" shrinkToFit="1"/>
    </xf>
    <xf numFmtId="0" fontId="15" fillId="0" borderId="0" xfId="0" applyFont="1" applyBorder="1" applyAlignment="1" applyProtection="1">
      <alignment horizontal="center" vertical="center"/>
    </xf>
    <xf numFmtId="0" fontId="15" fillId="4" borderId="41" xfId="0" applyFont="1" applyFill="1" applyBorder="1" applyAlignment="1" applyProtection="1">
      <alignment horizontal="left" vertical="center"/>
      <protection locked="0"/>
    </xf>
    <xf numFmtId="0" fontId="15" fillId="0" borderId="43" xfId="0" applyFont="1" applyBorder="1" applyAlignment="1" applyProtection="1">
      <alignment horizontal="center" vertical="center"/>
    </xf>
    <xf numFmtId="0" fontId="15" fillId="0" borderId="43" xfId="0" applyFont="1" applyBorder="1" applyAlignment="1" applyProtection="1">
      <alignment horizontal="right" vertical="center" indent="1"/>
    </xf>
    <xf numFmtId="3" fontId="15" fillId="0" borderId="71" xfId="0" applyNumberFormat="1" applyFont="1" applyBorder="1" applyAlignment="1" applyProtection="1">
      <alignment horizontal="center" vertical="center"/>
    </xf>
    <xf numFmtId="0" fontId="15" fillId="0" borderId="84" xfId="0" applyFont="1" applyBorder="1" applyAlignment="1" applyProtection="1">
      <alignment horizontal="left" vertical="center" indent="1"/>
    </xf>
    <xf numFmtId="0" fontId="15" fillId="0" borderId="0" xfId="0" applyFont="1" applyBorder="1" applyAlignment="1" applyProtection="1">
      <alignment horizontal="left" vertical="center" indent="1"/>
    </xf>
    <xf numFmtId="0" fontId="15" fillId="4" borderId="99" xfId="0" applyFont="1" applyFill="1" applyBorder="1" applyAlignment="1" applyProtection="1">
      <alignment horizontal="left" vertical="center"/>
      <protection locked="0"/>
    </xf>
    <xf numFmtId="0" fontId="15" fillId="4" borderId="27" xfId="0" applyFont="1" applyFill="1" applyBorder="1" applyAlignment="1" applyProtection="1">
      <alignment horizontal="left" vertical="center"/>
      <protection locked="0"/>
    </xf>
    <xf numFmtId="0" fontId="15" fillId="4" borderId="71" xfId="0" applyFont="1" applyFill="1" applyBorder="1" applyAlignment="1" applyProtection="1">
      <alignment horizontal="left" vertical="center"/>
      <protection locked="0"/>
    </xf>
    <xf numFmtId="3" fontId="39" fillId="0" borderId="170" xfId="0" applyNumberFormat="1" applyFont="1" applyBorder="1" applyAlignment="1" applyProtection="1">
      <alignment horizontal="center" vertical="center"/>
    </xf>
    <xf numFmtId="3" fontId="39" fillId="0" borderId="41" xfId="0" applyNumberFormat="1" applyFont="1" applyBorder="1" applyAlignment="1" applyProtection="1">
      <alignment horizontal="center" vertical="center"/>
    </xf>
    <xf numFmtId="3" fontId="61" fillId="0" borderId="26" xfId="0" applyNumberFormat="1" applyFont="1" applyBorder="1" applyAlignment="1" applyProtection="1">
      <alignment horizontal="left" vertical="center" indent="1"/>
    </xf>
    <xf numFmtId="0" fontId="15" fillId="7" borderId="39" xfId="7" applyFont="1" applyFill="1" applyBorder="1" applyAlignment="1" applyProtection="1">
      <alignment horizontal="center" vertical="center"/>
    </xf>
    <xf numFmtId="0" fontId="15" fillId="0" borderId="26" xfId="0" applyFont="1" applyBorder="1" applyAlignment="1" applyProtection="1">
      <alignment horizontal="center" vertical="center"/>
    </xf>
    <xf numFmtId="0" fontId="15" fillId="4" borderId="114" xfId="0" applyFont="1" applyFill="1" applyBorder="1" applyAlignment="1" applyProtection="1">
      <alignment horizontal="center" vertical="center" shrinkToFit="1"/>
      <protection locked="0"/>
    </xf>
    <xf numFmtId="0" fontId="15" fillId="0" borderId="39" xfId="0" applyFont="1" applyBorder="1" applyAlignment="1" applyProtection="1">
      <alignment horizontal="right" vertical="center" indent="1"/>
    </xf>
    <xf numFmtId="0" fontId="15" fillId="0" borderId="170" xfId="0" applyFont="1" applyBorder="1" applyAlignment="1" applyProtection="1">
      <alignment horizontal="right" vertical="center" indent="1"/>
    </xf>
    <xf numFmtId="0" fontId="15" fillId="4" borderId="84" xfId="0" applyFont="1" applyFill="1" applyBorder="1" applyAlignment="1" applyProtection="1">
      <alignment horizontal="left" vertical="center"/>
      <protection locked="0"/>
    </xf>
    <xf numFmtId="0" fontId="15" fillId="4" borderId="0" xfId="0" applyFont="1" applyFill="1" applyBorder="1" applyAlignment="1" applyProtection="1">
      <alignment horizontal="left" vertical="center"/>
      <protection locked="0"/>
    </xf>
    <xf numFmtId="0" fontId="15" fillId="4" borderId="43" xfId="0" applyFont="1" applyFill="1" applyBorder="1" applyAlignment="1" applyProtection="1">
      <alignment horizontal="left" vertical="center"/>
      <protection locked="0"/>
    </xf>
    <xf numFmtId="0" fontId="50" fillId="7" borderId="84" xfId="0" applyFont="1" applyFill="1" applyBorder="1" applyAlignment="1" applyProtection="1">
      <alignment horizontal="left" vertical="center"/>
    </xf>
    <xf numFmtId="0" fontId="50" fillId="7" borderId="0" xfId="0" applyFont="1" applyFill="1" applyBorder="1" applyAlignment="1" applyProtection="1">
      <alignment horizontal="left" vertical="center"/>
    </xf>
    <xf numFmtId="0" fontId="50" fillId="7" borderId="43" xfId="0" applyFont="1" applyFill="1" applyBorder="1" applyAlignment="1" applyProtection="1">
      <alignment horizontal="left" vertical="center"/>
    </xf>
    <xf numFmtId="0" fontId="50" fillId="7" borderId="13" xfId="0" applyFont="1" applyFill="1" applyBorder="1" applyAlignment="1" applyProtection="1">
      <alignment horizontal="center" vertical="top"/>
    </xf>
    <xf numFmtId="0" fontId="50" fillId="7" borderId="39" xfId="0" applyFont="1" applyFill="1" applyBorder="1" applyAlignment="1" applyProtection="1">
      <alignment horizontal="center" vertical="top"/>
    </xf>
    <xf numFmtId="0" fontId="50" fillId="7" borderId="170" xfId="0" applyFont="1" applyFill="1" applyBorder="1" applyAlignment="1" applyProtection="1">
      <alignment horizontal="center" vertical="top"/>
    </xf>
    <xf numFmtId="0" fontId="15" fillId="7" borderId="84" xfId="0" applyFont="1" applyFill="1" applyBorder="1" applyAlignment="1" applyProtection="1">
      <alignment horizontal="center" vertical="center"/>
    </xf>
    <xf numFmtId="0" fontId="15" fillId="7" borderId="71" xfId="0" applyFont="1" applyFill="1" applyBorder="1" applyAlignment="1" applyProtection="1">
      <alignment horizontal="center" vertical="center" shrinkToFit="1"/>
    </xf>
    <xf numFmtId="0" fontId="15" fillId="4" borderId="13" xfId="0" applyFont="1" applyFill="1" applyBorder="1" applyAlignment="1" applyProtection="1">
      <alignment horizontal="left" vertical="center"/>
      <protection locked="0"/>
    </xf>
    <xf numFmtId="0" fontId="15" fillId="4" borderId="39" xfId="0" applyFont="1" applyFill="1" applyBorder="1" applyAlignment="1" applyProtection="1">
      <alignment horizontal="left" vertical="center"/>
      <protection locked="0"/>
    </xf>
    <xf numFmtId="0" fontId="15" fillId="4" borderId="170" xfId="0" applyFont="1" applyFill="1" applyBorder="1" applyAlignment="1" applyProtection="1">
      <alignment horizontal="left" vertical="center"/>
      <protection locked="0"/>
    </xf>
    <xf numFmtId="0" fontId="79" fillId="7" borderId="28" xfId="0" applyFont="1" applyFill="1" applyBorder="1" applyAlignment="1" applyProtection="1">
      <alignment horizontal="left" vertical="center"/>
    </xf>
    <xf numFmtId="0" fontId="15" fillId="0" borderId="84" xfId="0" applyFont="1" applyBorder="1" applyAlignment="1" applyProtection="1">
      <alignment horizontal="right" vertical="center" indent="1"/>
    </xf>
    <xf numFmtId="3" fontId="15" fillId="0" borderId="26" xfId="0" applyNumberFormat="1" applyFont="1" applyBorder="1" applyAlignment="1" applyProtection="1">
      <alignment horizontal="left" vertical="center" indent="1"/>
    </xf>
    <xf numFmtId="0" fontId="15" fillId="0" borderId="26" xfId="0" applyFont="1" applyBorder="1" applyAlignment="1" applyProtection="1">
      <alignment horizontal="left" vertical="center" indent="1"/>
    </xf>
    <xf numFmtId="0" fontId="55" fillId="7" borderId="39" xfId="19" applyFont="1" applyFill="1" applyBorder="1" applyAlignment="1" applyProtection="1">
      <alignment horizontal="left" vertical="center" wrapText="1"/>
    </xf>
    <xf numFmtId="0" fontId="15" fillId="7" borderId="27" xfId="0" applyFont="1" applyFill="1" applyBorder="1" applyAlignment="1" applyProtection="1">
      <alignment horizontal="center" vertical="center"/>
    </xf>
    <xf numFmtId="165" fontId="15" fillId="4" borderId="26" xfId="0" applyNumberFormat="1" applyFont="1" applyFill="1" applyBorder="1" applyAlignment="1" applyProtection="1">
      <alignment horizontal="center" vertical="center" shrinkToFit="1"/>
      <protection locked="0"/>
    </xf>
    <xf numFmtId="0" fontId="15" fillId="4" borderId="26" xfId="0" applyFont="1" applyFill="1" applyBorder="1" applyAlignment="1" applyProtection="1">
      <alignment horizontal="left" vertical="center" indent="1" shrinkToFit="1"/>
      <protection locked="0"/>
    </xf>
    <xf numFmtId="0" fontId="15" fillId="4" borderId="99" xfId="0" applyFont="1" applyFill="1" applyBorder="1" applyAlignment="1" applyProtection="1">
      <alignment horizontal="left" vertical="top" wrapText="1" indent="1"/>
      <protection locked="0"/>
    </xf>
    <xf numFmtId="0" fontId="15" fillId="4" borderId="27" xfId="0" applyFont="1" applyFill="1" applyBorder="1" applyAlignment="1" applyProtection="1">
      <alignment horizontal="left" vertical="top" wrapText="1" indent="1"/>
      <protection locked="0"/>
    </xf>
    <xf numFmtId="0" fontId="15" fillId="4" borderId="71" xfId="0" applyFont="1" applyFill="1" applyBorder="1" applyAlignment="1" applyProtection="1">
      <alignment horizontal="left" vertical="top" wrapText="1" indent="1"/>
      <protection locked="0"/>
    </xf>
    <xf numFmtId="0" fontId="61" fillId="0" borderId="47" xfId="0" applyFont="1" applyBorder="1" applyAlignment="1" applyProtection="1">
      <alignment horizontal="right" vertical="center" indent="1"/>
    </xf>
    <xf numFmtId="0" fontId="61" fillId="0" borderId="28" xfId="0" applyFont="1" applyBorder="1" applyAlignment="1" applyProtection="1">
      <alignment horizontal="right" vertical="center" indent="1"/>
    </xf>
    <xf numFmtId="0" fontId="61" fillId="0" borderId="38" xfId="0" applyFont="1" applyBorder="1" applyAlignment="1" applyProtection="1">
      <alignment horizontal="right" vertical="center" indent="1"/>
    </xf>
    <xf numFmtId="0" fontId="15" fillId="0" borderId="99" xfId="8" applyFont="1" applyBorder="1" applyAlignment="1" applyProtection="1">
      <alignment horizontal="left" vertical="center"/>
    </xf>
    <xf numFmtId="0" fontId="15" fillId="0" borderId="27" xfId="8" applyFont="1" applyBorder="1" applyAlignment="1" applyProtection="1">
      <alignment horizontal="left" vertical="center"/>
    </xf>
    <xf numFmtId="0" fontId="15" fillId="7" borderId="0" xfId="0" applyFont="1" applyFill="1" applyBorder="1" applyAlignment="1" applyProtection="1">
      <alignment horizontal="center" vertical="center" wrapText="1"/>
    </xf>
    <xf numFmtId="0" fontId="55" fillId="7" borderId="39" xfId="19" applyFont="1" applyFill="1" applyBorder="1" applyAlignment="1" applyProtection="1">
      <alignment vertical="center" wrapText="1"/>
    </xf>
    <xf numFmtId="165" fontId="15" fillId="4" borderId="41" xfId="0" applyNumberFormat="1" applyFont="1" applyFill="1" applyBorder="1" applyAlignment="1" applyProtection="1">
      <alignment horizontal="left" vertical="center" indent="1" shrinkToFit="1"/>
      <protection locked="0"/>
    </xf>
    <xf numFmtId="0" fontId="15" fillId="7" borderId="27" xfId="0" applyFont="1" applyFill="1" applyBorder="1" applyAlignment="1" applyProtection="1">
      <alignment horizontal="left" vertical="center" indent="1"/>
    </xf>
    <xf numFmtId="0" fontId="55" fillId="7" borderId="0" xfId="0" applyFont="1" applyFill="1" applyBorder="1" applyAlignment="1" applyProtection="1">
      <alignment horizontal="left" vertical="center"/>
    </xf>
    <xf numFmtId="170" fontId="15" fillId="4" borderId="41" xfId="0" applyNumberFormat="1" applyFont="1" applyFill="1" applyBorder="1" applyAlignment="1" applyProtection="1">
      <alignment horizontal="center" vertical="center" shrinkToFit="1"/>
      <protection locked="0"/>
    </xf>
    <xf numFmtId="0" fontId="15" fillId="7" borderId="99" xfId="0" applyFont="1" applyFill="1" applyBorder="1" applyAlignment="1" applyProtection="1">
      <alignment horizontal="center" vertical="center"/>
    </xf>
    <xf numFmtId="0" fontId="15" fillId="7" borderId="71" xfId="0" applyFont="1" applyFill="1" applyBorder="1" applyAlignment="1" applyProtection="1">
      <alignment horizontal="center" vertical="center"/>
    </xf>
    <xf numFmtId="0" fontId="25" fillId="4" borderId="27" xfId="46" applyFont="1" applyBorder="1" applyAlignment="1" applyProtection="1">
      <alignment horizontal="left" vertical="center" wrapText="1" indent="1"/>
      <protection locked="0"/>
    </xf>
    <xf numFmtId="0" fontId="25" fillId="4" borderId="71" xfId="46" applyFont="1" applyBorder="1" applyAlignment="1" applyProtection="1">
      <alignment horizontal="left" vertical="center" wrapText="1" indent="1"/>
      <protection locked="0"/>
    </xf>
    <xf numFmtId="165" fontId="15" fillId="0" borderId="0" xfId="0" applyNumberFormat="1" applyFont="1" applyBorder="1" applyAlignment="1" applyProtection="1">
      <alignment horizontal="left" vertical="center" indent="1"/>
    </xf>
    <xf numFmtId="0" fontId="15" fillId="0" borderId="99" xfId="0" applyFont="1" applyBorder="1" applyAlignment="1" applyProtection="1">
      <alignment horizontal="right" vertical="center" indent="1"/>
    </xf>
    <xf numFmtId="0" fontId="15" fillId="0" borderId="27" xfId="0" applyFont="1" applyBorder="1" applyAlignment="1" applyProtection="1">
      <alignment horizontal="right" vertical="center" indent="1"/>
    </xf>
    <xf numFmtId="0" fontId="15" fillId="0" borderId="71" xfId="0" applyFont="1" applyBorder="1" applyAlignment="1" applyProtection="1">
      <alignment horizontal="right" vertical="center" indent="1"/>
    </xf>
    <xf numFmtId="14" fontId="15" fillId="4" borderId="99" xfId="0" applyNumberFormat="1" applyFont="1" applyFill="1" applyBorder="1" applyAlignment="1" applyProtection="1">
      <alignment horizontal="center" vertical="center"/>
      <protection locked="0"/>
    </xf>
    <xf numFmtId="14" fontId="15" fillId="4" borderId="27" xfId="0" applyNumberFormat="1" applyFont="1" applyFill="1" applyBorder="1" applyAlignment="1" applyProtection="1">
      <alignment horizontal="center" vertical="center"/>
      <protection locked="0"/>
    </xf>
    <xf numFmtId="14" fontId="15" fillId="4" borderId="71" xfId="0" applyNumberFormat="1" applyFont="1" applyFill="1" applyBorder="1" applyAlignment="1" applyProtection="1">
      <alignment horizontal="center" vertical="center"/>
      <protection locked="0"/>
    </xf>
    <xf numFmtId="0" fontId="15" fillId="0" borderId="99" xfId="0" applyFont="1" applyBorder="1" applyAlignment="1" applyProtection="1">
      <alignment horizontal="center" vertical="center"/>
    </xf>
    <xf numFmtId="0" fontId="15" fillId="0" borderId="27" xfId="0" applyFont="1" applyBorder="1" applyAlignment="1" applyProtection="1">
      <alignment horizontal="center" vertical="center"/>
    </xf>
    <xf numFmtId="0" fontId="15" fillId="0" borderId="71" xfId="0" applyFont="1" applyBorder="1" applyAlignment="1" applyProtection="1">
      <alignment horizontal="center" vertical="center"/>
    </xf>
    <xf numFmtId="0" fontId="15" fillId="4" borderId="47" xfId="0" applyFont="1" applyFill="1" applyBorder="1" applyAlignment="1" applyProtection="1">
      <alignment horizontal="center" vertical="center"/>
      <protection locked="0"/>
    </xf>
    <xf numFmtId="0" fontId="15" fillId="4" borderId="38" xfId="0" applyFont="1" applyFill="1" applyBorder="1" applyAlignment="1" applyProtection="1">
      <alignment horizontal="center" vertical="center"/>
      <protection locked="0"/>
    </xf>
    <xf numFmtId="0" fontId="61" fillId="7" borderId="0" xfId="8" applyFont="1" applyFill="1" applyBorder="1" applyAlignment="1" applyProtection="1">
      <alignment horizontal="center" vertical="center" wrapText="1"/>
    </xf>
    <xf numFmtId="0" fontId="55" fillId="0" borderId="39" xfId="8" applyFont="1" applyBorder="1" applyAlignment="1" applyProtection="1">
      <alignment vertical="center"/>
    </xf>
    <xf numFmtId="0" fontId="25" fillId="0" borderId="27" xfId="45" applyFont="1" applyFill="1" applyBorder="1" applyAlignment="1" applyProtection="1">
      <alignment horizontal="center" vertical="center" wrapText="1"/>
    </xf>
    <xf numFmtId="0" fontId="25" fillId="0" borderId="71" xfId="45" applyFont="1" applyFill="1" applyBorder="1" applyAlignment="1" applyProtection="1">
      <alignment horizontal="center" vertical="center" wrapText="1"/>
    </xf>
    <xf numFmtId="0" fontId="15" fillId="0" borderId="26" xfId="0" applyFont="1" applyBorder="1" applyAlignment="1" applyProtection="1">
      <alignment vertical="center"/>
    </xf>
    <xf numFmtId="0" fontId="15" fillId="4" borderId="26" xfId="0" applyFont="1" applyFill="1" applyBorder="1" applyAlignment="1" applyProtection="1">
      <alignment horizontal="left" vertical="top" wrapText="1" indent="1" shrinkToFit="1" readingOrder="1"/>
      <protection locked="0"/>
    </xf>
    <xf numFmtId="0" fontId="15" fillId="7" borderId="26" xfId="0" applyFont="1" applyFill="1" applyBorder="1" applyAlignment="1" applyProtection="1">
      <alignment horizontal="center" vertical="center"/>
    </xf>
    <xf numFmtId="0" fontId="25" fillId="0" borderId="99" xfId="45" applyFont="1" applyFill="1" applyBorder="1" applyAlignment="1" applyProtection="1">
      <alignment horizontal="left" vertical="center" wrapText="1"/>
    </xf>
    <xf numFmtId="0" fontId="25" fillId="0" borderId="27" xfId="45" applyFont="1" applyFill="1" applyBorder="1" applyAlignment="1" applyProtection="1">
      <alignment horizontal="left" vertical="center" wrapText="1"/>
    </xf>
    <xf numFmtId="0" fontId="25" fillId="0" borderId="71" xfId="45" applyFont="1" applyFill="1" applyBorder="1" applyAlignment="1" applyProtection="1">
      <alignment horizontal="left" vertical="center" wrapText="1"/>
    </xf>
    <xf numFmtId="0" fontId="25" fillId="0" borderId="0" xfId="45" applyFont="1" applyFill="1" applyBorder="1" applyAlignment="1" applyProtection="1">
      <alignment horizontal="left" vertical="center" wrapText="1"/>
    </xf>
    <xf numFmtId="0" fontId="25" fillId="0" borderId="43" xfId="45" applyFont="1" applyFill="1" applyBorder="1" applyAlignment="1" applyProtection="1">
      <alignment horizontal="left" vertical="center" wrapText="1"/>
    </xf>
    <xf numFmtId="0" fontId="15" fillId="0" borderId="0" xfId="0" applyFont="1" applyAlignment="1" applyProtection="1">
      <alignment horizontal="left" vertical="center" wrapText="1"/>
    </xf>
    <xf numFmtId="0" fontId="15" fillId="0" borderId="46" xfId="0" applyFont="1" applyBorder="1" applyAlignment="1" applyProtection="1">
      <alignment horizontal="center" vertical="center"/>
    </xf>
    <xf numFmtId="0" fontId="15" fillId="4" borderId="46" xfId="0" applyFont="1" applyFill="1" applyBorder="1" applyAlignment="1" applyProtection="1">
      <alignment horizontal="center" vertical="center"/>
      <protection locked="0"/>
    </xf>
    <xf numFmtId="0" fontId="15" fillId="0" borderId="27" xfId="8" applyFont="1" applyBorder="1" applyAlignment="1" applyProtection="1">
      <alignment horizontal="center" vertical="center"/>
    </xf>
    <xf numFmtId="0" fontId="15" fillId="0" borderId="71" xfId="8" applyFont="1" applyBorder="1" applyAlignment="1" applyProtection="1">
      <alignment horizontal="center" vertical="center"/>
    </xf>
    <xf numFmtId="0" fontId="15" fillId="4" borderId="26" xfId="8" applyFont="1" applyFill="1" applyBorder="1" applyAlignment="1" applyProtection="1">
      <alignment vertical="center"/>
      <protection locked="0"/>
    </xf>
    <xf numFmtId="0" fontId="15" fillId="4" borderId="71" xfId="0" applyFont="1" applyFill="1" applyBorder="1" applyAlignment="1" applyProtection="1">
      <alignment horizontal="center" vertical="center"/>
      <protection locked="0"/>
    </xf>
    <xf numFmtId="0" fontId="15" fillId="12" borderId="13" xfId="0" quotePrefix="1" applyFont="1" applyFill="1" applyBorder="1" applyAlignment="1" applyProtection="1">
      <alignment horizontal="left" vertical="center" wrapText="1" indent="1"/>
    </xf>
    <xf numFmtId="0" fontId="15" fillId="12" borderId="39" xfId="0" quotePrefix="1" applyFont="1" applyFill="1" applyBorder="1" applyAlignment="1" applyProtection="1">
      <alignment horizontal="left" vertical="center" wrapText="1" indent="1"/>
    </xf>
    <xf numFmtId="0" fontId="15" fillId="12" borderId="170" xfId="0" quotePrefix="1" applyFont="1" applyFill="1" applyBorder="1" applyAlignment="1" applyProtection="1">
      <alignment horizontal="left" vertical="center" wrapText="1" indent="1"/>
    </xf>
    <xf numFmtId="3" fontId="61" fillId="0" borderId="26" xfId="0" applyNumberFormat="1" applyFont="1" applyBorder="1" applyAlignment="1" applyProtection="1">
      <alignment horizontal="center" vertical="center"/>
    </xf>
    <xf numFmtId="0" fontId="69" fillId="7" borderId="26" xfId="0" applyFont="1" applyFill="1" applyBorder="1" applyAlignment="1" applyProtection="1">
      <alignment horizontal="center" vertical="center"/>
    </xf>
    <xf numFmtId="0" fontId="15" fillId="7" borderId="0" xfId="51" applyFont="1" applyFill="1" applyBorder="1" applyAlignment="1" applyProtection="1">
      <alignment horizontal="right" vertical="center"/>
    </xf>
    <xf numFmtId="0" fontId="39" fillId="0" borderId="0" xfId="0" applyFont="1" applyBorder="1" applyAlignment="1" applyProtection="1">
      <alignment horizontal="center" vertical="center"/>
    </xf>
    <xf numFmtId="0" fontId="39" fillId="0" borderId="0" xfId="0" applyFont="1" applyBorder="1" applyAlignment="1" applyProtection="1">
      <alignment horizontal="right" vertical="center" indent="1"/>
    </xf>
    <xf numFmtId="0" fontId="15" fillId="4" borderId="170" xfId="0" applyFont="1" applyFill="1" applyBorder="1" applyAlignment="1" applyProtection="1">
      <alignment horizontal="left" vertical="center" indent="1" shrinkToFit="1"/>
      <protection locked="0"/>
    </xf>
    <xf numFmtId="0" fontId="15" fillId="4" borderId="41" xfId="0" applyFont="1" applyFill="1" applyBorder="1" applyAlignment="1" applyProtection="1">
      <alignment horizontal="left" vertical="center" indent="1" shrinkToFit="1"/>
      <protection locked="0"/>
    </xf>
    <xf numFmtId="0" fontId="25" fillId="4" borderId="71" xfId="8" applyFont="1" applyFill="1" applyBorder="1" applyAlignment="1" applyProtection="1">
      <alignment horizontal="left" vertical="top" indent="1"/>
      <protection locked="0"/>
    </xf>
    <xf numFmtId="0" fontId="25" fillId="4" borderId="26" xfId="8" applyFont="1" applyFill="1" applyBorder="1" applyAlignment="1" applyProtection="1">
      <alignment horizontal="left" vertical="top" indent="1"/>
      <protection locked="0"/>
    </xf>
    <xf numFmtId="0" fontId="15" fillId="7" borderId="43" xfId="0" applyFont="1" applyFill="1" applyBorder="1" applyAlignment="1" applyProtection="1">
      <alignment horizontal="center" vertical="center"/>
    </xf>
    <xf numFmtId="0" fontId="15" fillId="0" borderId="170" xfId="0" applyFont="1" applyBorder="1" applyAlignment="1" applyProtection="1">
      <alignment horizontal="left" vertical="center" indent="1"/>
    </xf>
    <xf numFmtId="0" fontId="15" fillId="7" borderId="39" xfId="0" applyFont="1" applyFill="1" applyBorder="1" applyAlignment="1" applyProtection="1">
      <alignment horizontal="center" vertical="center" wrapText="1"/>
    </xf>
    <xf numFmtId="0" fontId="25" fillId="4" borderId="46" xfId="8" applyFont="1" applyFill="1" applyBorder="1" applyAlignment="1" applyProtection="1">
      <alignment horizontal="center" vertical="top"/>
      <protection locked="0"/>
    </xf>
    <xf numFmtId="0" fontId="15" fillId="0" borderId="43" xfId="0" applyFont="1" applyBorder="1" applyAlignment="1" applyProtection="1">
      <alignment horizontal="left" vertical="center" indent="1"/>
    </xf>
    <xf numFmtId="0" fontId="25" fillId="0" borderId="13" xfId="46" applyFont="1" applyFill="1" applyBorder="1" applyAlignment="1" applyProtection="1">
      <alignment horizontal="right" vertical="center" indent="1"/>
    </xf>
    <xf numFmtId="0" fontId="25" fillId="0" borderId="39" xfId="46" applyFont="1" applyFill="1" applyBorder="1" applyAlignment="1" applyProtection="1">
      <alignment horizontal="right" vertical="center" indent="1"/>
    </xf>
    <xf numFmtId="0" fontId="25" fillId="7" borderId="26" xfId="45" applyFont="1" applyFill="1" applyBorder="1" applyAlignment="1" applyProtection="1">
      <alignment horizontal="center" vertical="center" wrapText="1"/>
    </xf>
    <xf numFmtId="0" fontId="25" fillId="4" borderId="99" xfId="45" applyFont="1" applyFill="1" applyBorder="1" applyAlignment="1" applyProtection="1">
      <alignment horizontal="center" vertical="center" wrapText="1"/>
      <protection locked="0"/>
    </xf>
    <xf numFmtId="0" fontId="25" fillId="4" borderId="71" xfId="45" applyFont="1" applyFill="1" applyBorder="1" applyAlignment="1" applyProtection="1">
      <alignment horizontal="center" vertical="center" wrapText="1"/>
      <protection locked="0"/>
    </xf>
    <xf numFmtId="0" fontId="15" fillId="0" borderId="0" xfId="0" applyFont="1" applyBorder="1" applyAlignment="1" applyProtection="1">
      <alignment vertical="center" wrapText="1"/>
    </xf>
    <xf numFmtId="0" fontId="25" fillId="4" borderId="13" xfId="46" applyFont="1" applyBorder="1" applyAlignment="1" applyProtection="1">
      <alignment horizontal="left" vertical="center" indent="1" shrinkToFit="1"/>
      <protection locked="0"/>
    </xf>
    <xf numFmtId="0" fontId="25" fillId="4" borderId="39" xfId="46" applyFont="1" applyBorder="1" applyAlignment="1" applyProtection="1">
      <alignment horizontal="left" vertical="center" indent="1" shrinkToFit="1"/>
      <protection locked="0"/>
    </xf>
    <xf numFmtId="0" fontId="25" fillId="4" borderId="170" xfId="46" applyFont="1" applyBorder="1" applyAlignment="1" applyProtection="1">
      <alignment horizontal="left" vertical="center" indent="1" shrinkToFit="1"/>
      <protection locked="0"/>
    </xf>
    <xf numFmtId="0" fontId="25" fillId="0" borderId="99" xfId="45" applyFont="1" applyFill="1" applyBorder="1" applyAlignment="1" applyProtection="1">
      <alignment horizontal="left" vertical="center" indent="1" shrinkToFit="1"/>
    </xf>
    <xf numFmtId="0" fontId="25" fillId="0" borderId="27" xfId="45" applyFont="1" applyFill="1" applyBorder="1" applyAlignment="1" applyProtection="1">
      <alignment horizontal="left" vertical="center" indent="1" shrinkToFit="1"/>
    </xf>
    <xf numFmtId="0" fontId="25" fillId="0" borderId="71" xfId="45" applyFont="1" applyFill="1" applyBorder="1" applyAlignment="1" applyProtection="1">
      <alignment horizontal="left" vertical="center" indent="1" shrinkToFit="1"/>
    </xf>
    <xf numFmtId="0" fontId="26" fillId="7" borderId="99" xfId="13" applyFont="1" applyFill="1" applyBorder="1" applyAlignment="1" applyProtection="1">
      <alignment vertical="center" wrapText="1"/>
    </xf>
    <xf numFmtId="0" fontId="26" fillId="7" borderId="27" xfId="13" applyFont="1" applyFill="1" applyBorder="1" applyAlignment="1" applyProtection="1">
      <alignment vertical="center" wrapText="1"/>
    </xf>
    <xf numFmtId="0" fontId="26" fillId="7" borderId="71" xfId="13" applyFont="1" applyFill="1" applyBorder="1" applyAlignment="1" applyProtection="1">
      <alignment vertical="center" wrapText="1"/>
    </xf>
    <xf numFmtId="0" fontId="25" fillId="4" borderId="26" xfId="46" applyFont="1" applyBorder="1" applyAlignment="1" applyProtection="1">
      <alignment horizontal="left" vertical="center" indent="1"/>
      <protection locked="0"/>
    </xf>
    <xf numFmtId="0" fontId="25" fillId="4" borderId="41" xfId="46" applyFont="1" applyBorder="1" applyAlignment="1" applyProtection="1">
      <alignment horizontal="left" vertical="center" indent="1"/>
      <protection locked="0"/>
    </xf>
    <xf numFmtId="0" fontId="15" fillId="12" borderId="13" xfId="19" applyFont="1" applyFill="1" applyBorder="1" applyAlignment="1" applyProtection="1">
      <alignment horizontal="center" vertical="center" wrapText="1"/>
    </xf>
    <xf numFmtId="0" fontId="15" fillId="12" borderId="39" xfId="19" applyFont="1" applyFill="1" applyBorder="1" applyAlignment="1" applyProtection="1">
      <alignment horizontal="center" vertical="center" wrapText="1"/>
    </xf>
    <xf numFmtId="0" fontId="15" fillId="12" borderId="170" xfId="19" applyFont="1" applyFill="1" applyBorder="1" applyAlignment="1" applyProtection="1">
      <alignment horizontal="center" vertical="center" wrapText="1"/>
    </xf>
    <xf numFmtId="0" fontId="15" fillId="4" borderId="26" xfId="0" applyFont="1" applyFill="1" applyBorder="1" applyAlignment="1" applyProtection="1">
      <alignment horizontal="center" vertical="center" wrapText="1"/>
      <protection locked="0"/>
    </xf>
    <xf numFmtId="0" fontId="108" fillId="0" borderId="26" xfId="20" applyFont="1" applyFill="1" applyBorder="1" applyAlignment="1" applyProtection="1">
      <alignment horizontal="right" vertical="center" wrapText="1" indent="1"/>
    </xf>
    <xf numFmtId="0" fontId="25" fillId="0" borderId="26" xfId="20" applyFont="1" applyFill="1" applyBorder="1" applyAlignment="1" applyProtection="1">
      <alignment horizontal="right" vertical="center" wrapText="1" indent="1"/>
    </xf>
    <xf numFmtId="0" fontId="25" fillId="0" borderId="28" xfId="46" applyFont="1" applyFill="1" applyBorder="1" applyAlignment="1" applyProtection="1">
      <alignment horizontal="left" vertical="center" wrapText="1"/>
    </xf>
    <xf numFmtId="0" fontId="25" fillId="0" borderId="38" xfId="46" applyFont="1" applyFill="1" applyBorder="1" applyAlignment="1" applyProtection="1">
      <alignment horizontal="left" vertical="center" wrapText="1"/>
    </xf>
    <xf numFmtId="0" fontId="25" fillId="8" borderId="99" xfId="45" applyFont="1" applyFill="1" applyBorder="1" applyAlignment="1" applyProtection="1">
      <alignment horizontal="center" vertical="center" wrapText="1"/>
    </xf>
    <xf numFmtId="0" fontId="25" fillId="8" borderId="27" xfId="45" applyFont="1" applyFill="1" applyBorder="1" applyAlignment="1" applyProtection="1">
      <alignment horizontal="center" vertical="center" wrapText="1"/>
    </xf>
    <xf numFmtId="0" fontId="25" fillId="8" borderId="71" xfId="45" applyFont="1" applyFill="1" applyBorder="1" applyAlignment="1" applyProtection="1">
      <alignment horizontal="center" vertical="center" wrapText="1"/>
    </xf>
    <xf numFmtId="1" fontId="15" fillId="4" borderId="13" xfId="12" applyNumberFormat="1" applyFont="1" applyFill="1" applyBorder="1" applyAlignment="1" applyProtection="1">
      <alignment horizontal="left" vertical="center" wrapText="1" indent="1"/>
      <protection locked="0"/>
    </xf>
    <xf numFmtId="1" fontId="15" fillId="4" borderId="39" xfId="12" applyNumberFormat="1" applyFont="1" applyFill="1" applyBorder="1" applyAlignment="1" applyProtection="1">
      <alignment horizontal="left" vertical="center" wrapText="1" indent="1"/>
      <protection locked="0"/>
    </xf>
    <xf numFmtId="1" fontId="15" fillId="4" borderId="170" xfId="12" applyNumberFormat="1" applyFont="1" applyFill="1" applyBorder="1" applyAlignment="1" applyProtection="1">
      <alignment horizontal="left" vertical="center" wrapText="1" indent="1"/>
      <protection locked="0"/>
    </xf>
    <xf numFmtId="0" fontId="25" fillId="7" borderId="84" xfId="0" applyFont="1" applyFill="1" applyBorder="1" applyAlignment="1" applyProtection="1">
      <alignment vertical="center"/>
    </xf>
    <xf numFmtId="0" fontId="25" fillId="7" borderId="0" xfId="0" applyFont="1" applyFill="1" applyBorder="1" applyAlignment="1" applyProtection="1">
      <alignment vertical="center"/>
    </xf>
    <xf numFmtId="0" fontId="25" fillId="7" borderId="43" xfId="0" applyFont="1" applyFill="1" applyBorder="1" applyAlignment="1" applyProtection="1">
      <alignment vertical="center"/>
    </xf>
    <xf numFmtId="0" fontId="25" fillId="7" borderId="99" xfId="13" applyFont="1" applyFill="1" applyBorder="1" applyAlignment="1" applyProtection="1">
      <alignment horizontal="center" vertical="center"/>
    </xf>
    <xf numFmtId="0" fontId="25" fillId="7" borderId="27" xfId="13" applyFont="1" applyFill="1" applyBorder="1" applyAlignment="1" applyProtection="1">
      <alignment horizontal="center" vertical="center"/>
    </xf>
    <xf numFmtId="0" fontId="25" fillId="7" borderId="71" xfId="13" applyFont="1" applyFill="1" applyBorder="1" applyAlignment="1" applyProtection="1">
      <alignment horizontal="center" vertical="center"/>
    </xf>
    <xf numFmtId="0" fontId="25" fillId="0" borderId="47" xfId="8" applyBorder="1" applyAlignment="1" applyProtection="1">
      <alignment horizontal="left" vertical="center" indent="1"/>
    </xf>
    <xf numFmtId="0" fontId="25" fillId="0" borderId="28" xfId="8" applyBorder="1" applyAlignment="1" applyProtection="1">
      <alignment horizontal="left" vertical="center" indent="1"/>
    </xf>
    <xf numFmtId="0" fontId="25" fillId="0" borderId="38" xfId="8" applyBorder="1" applyAlignment="1" applyProtection="1">
      <alignment horizontal="left" vertical="center" indent="1"/>
    </xf>
    <xf numFmtId="0" fontId="15" fillId="4" borderId="46" xfId="0" applyFont="1" applyFill="1" applyBorder="1" applyAlignment="1" applyProtection="1">
      <alignment horizontal="center" vertical="center" shrinkToFit="1"/>
      <protection locked="0"/>
    </xf>
    <xf numFmtId="0" fontId="61" fillId="7" borderId="26" xfId="0" applyFont="1" applyFill="1" applyBorder="1" applyAlignment="1" applyProtection="1">
      <alignment horizontal="center" vertical="center"/>
    </xf>
    <xf numFmtId="0" fontId="25" fillId="0" borderId="26" xfId="0" applyFont="1" applyBorder="1" applyAlignment="1" applyProtection="1">
      <alignment horizontal="center" vertical="center"/>
    </xf>
    <xf numFmtId="0" fontId="25" fillId="0" borderId="13" xfId="8" applyFont="1" applyBorder="1" applyAlignment="1" applyProtection="1">
      <alignment vertical="center" wrapText="1"/>
    </xf>
    <xf numFmtId="0" fontId="25" fillId="0" borderId="39" xfId="8" applyFont="1" applyBorder="1" applyAlignment="1" applyProtection="1">
      <alignment vertical="center" wrapText="1"/>
    </xf>
    <xf numFmtId="0" fontId="25" fillId="0" borderId="170" xfId="8" applyFont="1" applyBorder="1" applyAlignment="1" applyProtection="1">
      <alignment vertical="center" wrapText="1"/>
    </xf>
    <xf numFmtId="9" fontId="15" fillId="4" borderId="41" xfId="12" applyNumberFormat="1" applyFont="1" applyFill="1" applyBorder="1" applyAlignment="1" applyProtection="1">
      <alignment horizontal="left" vertical="center" wrapText="1" indent="1"/>
      <protection locked="0"/>
    </xf>
    <xf numFmtId="1" fontId="15" fillId="7" borderId="39" xfId="12" applyNumberFormat="1" applyFont="1" applyFill="1" applyBorder="1" applyAlignment="1" applyProtection="1">
      <alignment horizontal="left" vertical="center" indent="1"/>
    </xf>
    <xf numFmtId="1" fontId="15" fillId="7" borderId="170" xfId="12" applyNumberFormat="1" applyFont="1" applyFill="1" applyBorder="1" applyAlignment="1" applyProtection="1">
      <alignment horizontal="left" vertical="center" indent="1"/>
    </xf>
    <xf numFmtId="0" fontId="55" fillId="7" borderId="39" xfId="0" applyFont="1" applyFill="1" applyBorder="1" applyAlignment="1" applyProtection="1">
      <alignment horizontal="left" vertical="center"/>
    </xf>
    <xf numFmtId="0" fontId="15" fillId="4" borderId="99" xfId="0" applyFont="1" applyFill="1" applyBorder="1" applyAlignment="1" applyProtection="1">
      <alignment vertical="center"/>
      <protection locked="0"/>
    </xf>
    <xf numFmtId="0" fontId="15" fillId="4" borderId="27" xfId="0" applyFont="1" applyFill="1" applyBorder="1" applyAlignment="1" applyProtection="1">
      <alignment vertical="center"/>
      <protection locked="0"/>
    </xf>
    <xf numFmtId="0" fontId="15" fillId="4" borderId="71" xfId="0" applyFont="1" applyFill="1" applyBorder="1" applyAlignment="1" applyProtection="1">
      <alignment vertical="center"/>
      <protection locked="0"/>
    </xf>
    <xf numFmtId="0" fontId="15" fillId="4" borderId="41" xfId="8" applyFont="1" applyFill="1" applyBorder="1" applyAlignment="1" applyProtection="1">
      <alignment vertical="center"/>
      <protection locked="0"/>
    </xf>
    <xf numFmtId="0" fontId="15" fillId="0" borderId="84" xfId="8" applyFont="1" applyBorder="1" applyAlignment="1" applyProtection="1">
      <alignment horizontal="center" vertical="center"/>
    </xf>
    <xf numFmtId="0" fontId="15" fillId="0" borderId="43" xfId="8" applyFont="1" applyBorder="1" applyAlignment="1" applyProtection="1">
      <alignment horizontal="center" vertical="center"/>
    </xf>
    <xf numFmtId="0" fontId="25" fillId="7" borderId="170" xfId="0" applyFont="1" applyFill="1" applyBorder="1" applyAlignment="1" applyProtection="1">
      <alignment vertical="center" wrapText="1"/>
    </xf>
    <xf numFmtId="0" fontId="15" fillId="12" borderId="41" xfId="0" quotePrefix="1" applyFont="1" applyFill="1" applyBorder="1" applyAlignment="1" applyProtection="1">
      <alignment horizontal="center" vertical="center" wrapText="1"/>
    </xf>
    <xf numFmtId="0" fontId="15" fillId="4" borderId="47" xfId="0" applyFont="1" applyFill="1" applyBorder="1" applyAlignment="1" applyProtection="1">
      <alignment horizontal="left" vertical="top" indent="1" shrinkToFit="1"/>
      <protection locked="0"/>
    </xf>
    <xf numFmtId="0" fontId="15" fillId="4" borderId="28" xfId="0" applyFont="1" applyFill="1" applyBorder="1" applyAlignment="1" applyProtection="1">
      <alignment horizontal="left" vertical="top" indent="1" shrinkToFit="1"/>
      <protection locked="0"/>
    </xf>
    <xf numFmtId="0" fontId="15" fillId="4" borderId="38" xfId="0" applyFont="1" applyFill="1" applyBorder="1" applyAlignment="1" applyProtection="1">
      <alignment horizontal="left" vertical="top" indent="1" shrinkToFit="1"/>
      <protection locked="0"/>
    </xf>
    <xf numFmtId="0" fontId="15" fillId="4" borderId="13" xfId="0" applyFont="1" applyFill="1" applyBorder="1" applyAlignment="1" applyProtection="1">
      <alignment horizontal="left" vertical="top" indent="1" shrinkToFit="1"/>
      <protection locked="0"/>
    </xf>
    <xf numFmtId="0" fontId="15" fillId="4" borderId="39" xfId="0" applyFont="1" applyFill="1" applyBorder="1" applyAlignment="1" applyProtection="1">
      <alignment horizontal="left" vertical="top" indent="1" shrinkToFit="1"/>
      <protection locked="0"/>
    </xf>
    <xf numFmtId="0" fontId="15" fillId="4" borderId="170" xfId="0" applyFont="1" applyFill="1" applyBorder="1" applyAlignment="1" applyProtection="1">
      <alignment horizontal="left" vertical="top" indent="1" shrinkToFit="1"/>
      <protection locked="0"/>
    </xf>
    <xf numFmtId="0" fontId="15" fillId="7" borderId="170" xfId="0" applyFont="1" applyFill="1" applyBorder="1" applyAlignment="1" applyProtection="1">
      <alignment horizontal="center" vertical="center" shrinkToFit="1"/>
    </xf>
    <xf numFmtId="0" fontId="15" fillId="7" borderId="41" xfId="0" applyFont="1" applyFill="1" applyBorder="1" applyAlignment="1" applyProtection="1">
      <alignment horizontal="center" vertical="center" shrinkToFit="1"/>
    </xf>
    <xf numFmtId="0" fontId="25" fillId="4" borderId="99" xfId="8" applyFont="1" applyFill="1" applyBorder="1" applyAlignment="1" applyProtection="1">
      <alignment horizontal="left" vertical="center" indent="1"/>
      <protection locked="0"/>
    </xf>
    <xf numFmtId="0" fontId="25" fillId="4" borderId="27" xfId="8" applyFont="1" applyFill="1" applyBorder="1" applyAlignment="1" applyProtection="1">
      <alignment horizontal="left" vertical="center" indent="1"/>
      <protection locked="0"/>
    </xf>
    <xf numFmtId="0" fontId="25" fillId="4" borderId="71" xfId="8" applyFont="1" applyFill="1" applyBorder="1" applyAlignment="1" applyProtection="1">
      <alignment horizontal="left" vertical="center" indent="1"/>
      <protection locked="0"/>
    </xf>
    <xf numFmtId="165" fontId="25" fillId="4" borderId="99" xfId="45" applyNumberFormat="1" applyFont="1" applyFill="1" applyBorder="1" applyAlignment="1" applyProtection="1">
      <alignment horizontal="center" vertical="center" wrapText="1"/>
      <protection locked="0"/>
    </xf>
    <xf numFmtId="165" fontId="25" fillId="4" borderId="27" xfId="45" applyNumberFormat="1" applyFont="1" applyFill="1" applyBorder="1" applyAlignment="1" applyProtection="1">
      <alignment horizontal="center" vertical="center" wrapText="1"/>
      <protection locked="0"/>
    </xf>
    <xf numFmtId="165" fontId="25" fillId="4" borderId="71" xfId="45" applyNumberFormat="1" applyFont="1" applyFill="1" applyBorder="1" applyAlignment="1" applyProtection="1">
      <alignment horizontal="center" vertical="center" wrapText="1"/>
      <protection locked="0"/>
    </xf>
    <xf numFmtId="0" fontId="25" fillId="7" borderId="26" xfId="45" applyFont="1" applyFill="1" applyBorder="1" applyAlignment="1" applyProtection="1">
      <alignment horizontal="left" vertical="center" wrapText="1" indent="1"/>
    </xf>
    <xf numFmtId="0" fontId="25" fillId="7" borderId="27" xfId="45" applyFont="1" applyFill="1" applyBorder="1" applyAlignment="1" applyProtection="1">
      <alignment horizontal="right" vertical="center" wrapText="1"/>
    </xf>
    <xf numFmtId="0" fontId="25" fillId="0" borderId="0" xfId="26" applyFont="1" applyBorder="1" applyAlignment="1" applyProtection="1">
      <alignment vertical="center" wrapText="1"/>
    </xf>
    <xf numFmtId="0" fontId="25" fillId="0" borderId="0" xfId="0" applyFont="1" applyBorder="1" applyAlignment="1" applyProtection="1">
      <alignment vertical="center" wrapText="1"/>
    </xf>
    <xf numFmtId="0" fontId="25" fillId="0" borderId="43" xfId="0" applyFont="1" applyBorder="1" applyAlignment="1" applyProtection="1">
      <alignment vertical="center" wrapText="1"/>
    </xf>
    <xf numFmtId="0" fontId="61" fillId="7" borderId="27" xfId="0" applyFont="1" applyFill="1" applyBorder="1" applyAlignment="1" applyProtection="1">
      <alignment horizontal="center" vertical="center"/>
    </xf>
    <xf numFmtId="0" fontId="25" fillId="4" borderId="39" xfId="46" applyFont="1" applyBorder="1" applyAlignment="1" applyProtection="1">
      <alignment horizontal="left" vertical="center" wrapText="1" indent="1"/>
      <protection locked="0"/>
    </xf>
    <xf numFmtId="0" fontId="25" fillId="4" borderId="170" xfId="46" applyFont="1" applyBorder="1" applyAlignment="1" applyProtection="1">
      <alignment horizontal="left" vertical="center" wrapText="1" indent="1"/>
      <protection locked="0"/>
    </xf>
    <xf numFmtId="0" fontId="15" fillId="7" borderId="39" xfId="19" applyFont="1" applyFill="1" applyBorder="1" applyAlignment="1" applyProtection="1">
      <alignment vertical="center" wrapText="1"/>
    </xf>
    <xf numFmtId="0" fontId="15" fillId="7" borderId="170" xfId="19" applyFont="1" applyFill="1" applyBorder="1" applyAlignment="1" applyProtection="1">
      <alignment vertical="center" wrapText="1"/>
    </xf>
    <xf numFmtId="0" fontId="15" fillId="4" borderId="170" xfId="0" applyFont="1" applyFill="1" applyBorder="1" applyAlignment="1" applyProtection="1">
      <alignment horizontal="center" vertical="center"/>
      <protection locked="0"/>
    </xf>
    <xf numFmtId="0" fontId="15" fillId="12" borderId="13" xfId="0" quotePrefix="1" applyFont="1" applyFill="1" applyBorder="1" applyAlignment="1" applyProtection="1">
      <alignment horizontal="center" vertical="center" wrapText="1"/>
    </xf>
    <xf numFmtId="0" fontId="15" fillId="12" borderId="39" xfId="0" quotePrefix="1" applyFont="1" applyFill="1" applyBorder="1" applyAlignment="1" applyProtection="1">
      <alignment horizontal="center" vertical="center" wrapText="1"/>
    </xf>
    <xf numFmtId="0" fontId="15" fillId="7" borderId="92" xfId="0" applyFont="1" applyFill="1" applyBorder="1" applyAlignment="1" applyProtection="1">
      <alignment horizontal="center" vertical="center"/>
    </xf>
    <xf numFmtId="0" fontId="15" fillId="12" borderId="41" xfId="0" quotePrefix="1" applyFont="1" applyFill="1" applyBorder="1" applyAlignment="1" applyProtection="1">
      <alignment horizontal="left" vertical="center" wrapText="1" indent="1"/>
    </xf>
    <xf numFmtId="0" fontId="61" fillId="7" borderId="39" xfId="0" applyFont="1" applyFill="1" applyBorder="1" applyAlignment="1" applyProtection="1">
      <alignment horizontal="center" vertical="center"/>
    </xf>
    <xf numFmtId="0" fontId="25" fillId="0" borderId="39" xfId="0" applyFont="1" applyBorder="1" applyAlignment="1" applyProtection="1">
      <alignment horizontal="center" vertical="center"/>
    </xf>
    <xf numFmtId="0" fontId="25" fillId="0" borderId="170" xfId="0" applyFont="1" applyBorder="1" applyAlignment="1" applyProtection="1">
      <alignment horizontal="center" vertical="center"/>
    </xf>
    <xf numFmtId="0" fontId="15" fillId="7" borderId="0" xfId="19" applyFont="1" applyFill="1" applyBorder="1" applyAlignment="1" applyProtection="1">
      <alignment horizontal="left" vertical="center" wrapText="1"/>
    </xf>
    <xf numFmtId="0" fontId="25" fillId="4" borderId="27" xfId="46" applyFont="1" applyBorder="1" applyAlignment="1" applyProtection="1">
      <alignment horizontal="center" vertical="center" wrapText="1"/>
      <protection locked="0"/>
    </xf>
    <xf numFmtId="0" fontId="15" fillId="0" borderId="0" xfId="0" quotePrefix="1" applyFont="1" applyBorder="1" applyAlignment="1" applyProtection="1">
      <alignment horizontal="left" vertical="center" wrapText="1"/>
    </xf>
    <xf numFmtId="0" fontId="25" fillId="4" borderId="99" xfId="46" applyFont="1" applyBorder="1" applyAlignment="1" applyProtection="1">
      <alignment horizontal="center" vertical="center" wrapText="1"/>
    </xf>
    <xf numFmtId="0" fontId="25" fillId="4" borderId="71" xfId="46" applyFont="1" applyBorder="1" applyAlignment="1" applyProtection="1">
      <alignment horizontal="center" vertical="center" wrapText="1"/>
    </xf>
    <xf numFmtId="0" fontId="15" fillId="0" borderId="47" xfId="0" applyFont="1" applyBorder="1" applyAlignment="1" applyProtection="1">
      <alignment horizontal="right" vertical="center" indent="1"/>
    </xf>
    <xf numFmtId="0" fontId="15" fillId="0" borderId="28" xfId="0" applyFont="1" applyBorder="1" applyAlignment="1" applyProtection="1">
      <alignment horizontal="right" vertical="center" indent="1"/>
    </xf>
    <xf numFmtId="0" fontId="15" fillId="0" borderId="38" xfId="0" applyFont="1" applyBorder="1" applyAlignment="1" applyProtection="1">
      <alignment horizontal="right" vertical="center" indent="1"/>
    </xf>
    <xf numFmtId="0" fontId="61" fillId="7" borderId="13" xfId="0" applyFont="1" applyFill="1" applyBorder="1" applyAlignment="1" applyProtection="1">
      <alignment horizontal="center" vertical="center"/>
    </xf>
    <xf numFmtId="0" fontId="15" fillId="0" borderId="0" xfId="0" applyFont="1" applyBorder="1" applyAlignment="1" applyProtection="1">
      <alignment horizontal="left" vertical="center"/>
    </xf>
    <xf numFmtId="165" fontId="15" fillId="0" borderId="28" xfId="0" applyNumberFormat="1" applyFont="1" applyBorder="1" applyAlignment="1" applyProtection="1">
      <alignment horizontal="left" vertical="center" indent="1" shrinkToFit="1"/>
    </xf>
    <xf numFmtId="170" fontId="15" fillId="0" borderId="28" xfId="0" applyNumberFormat="1" applyFont="1" applyBorder="1" applyAlignment="1" applyProtection="1">
      <alignment horizontal="right" vertical="center" indent="1"/>
    </xf>
    <xf numFmtId="0" fontId="15" fillId="7" borderId="99" xfId="0" applyFont="1" applyFill="1" applyBorder="1" applyAlignment="1" applyProtection="1">
      <alignment horizontal="left" vertical="center" indent="1"/>
    </xf>
    <xf numFmtId="0" fontId="15" fillId="7" borderId="38" xfId="0" applyFont="1" applyFill="1" applyBorder="1" applyAlignment="1" applyProtection="1">
      <alignment horizontal="center" vertical="center" shrinkToFit="1"/>
    </xf>
    <xf numFmtId="0" fontId="15" fillId="7" borderId="46" xfId="0" applyFont="1" applyFill="1" applyBorder="1" applyAlignment="1" applyProtection="1">
      <alignment horizontal="center" vertical="center" shrinkToFit="1"/>
    </xf>
    <xf numFmtId="0" fontId="15" fillId="4" borderId="26" xfId="8" applyFont="1" applyFill="1" applyBorder="1" applyAlignment="1" applyProtection="1">
      <alignment horizontal="left" vertical="center"/>
      <protection locked="0"/>
    </xf>
    <xf numFmtId="0" fontId="15" fillId="7" borderId="0" xfId="51" applyFont="1" applyFill="1" applyBorder="1" applyAlignment="1" applyProtection="1">
      <alignment horizontal="center" vertical="center"/>
    </xf>
    <xf numFmtId="0" fontId="15" fillId="0" borderId="84" xfId="0" applyFont="1" applyBorder="1" applyAlignment="1" applyProtection="1">
      <alignment horizontal="center" vertical="center"/>
    </xf>
    <xf numFmtId="0" fontId="15" fillId="7" borderId="39" xfId="0" applyFont="1" applyFill="1" applyBorder="1" applyAlignment="1" applyProtection="1">
      <alignment vertical="center"/>
    </xf>
    <xf numFmtId="0" fontId="15" fillId="4" borderId="26" xfId="0" applyFont="1" applyFill="1" applyBorder="1" applyAlignment="1" applyProtection="1">
      <alignment horizontal="left" vertical="top" wrapText="1" indent="1"/>
      <protection locked="0"/>
    </xf>
    <xf numFmtId="0" fontId="25" fillId="4" borderId="26" xfId="46" applyFont="1" applyBorder="1" applyAlignment="1" applyProtection="1">
      <alignment horizontal="center" vertical="center" wrapText="1"/>
    </xf>
    <xf numFmtId="0" fontId="61" fillId="0" borderId="84" xfId="0" applyFont="1" applyBorder="1" applyAlignment="1" applyProtection="1">
      <alignment horizontal="right" vertical="center" indent="1"/>
    </xf>
    <xf numFmtId="0" fontId="61" fillId="0" borderId="0" xfId="0" applyFont="1" applyBorder="1" applyAlignment="1" applyProtection="1">
      <alignment horizontal="right" vertical="center" indent="1"/>
    </xf>
    <xf numFmtId="0" fontId="39" fillId="7" borderId="0" xfId="19" applyFont="1" applyFill="1" applyBorder="1" applyAlignment="1" applyProtection="1">
      <alignment horizontal="right" vertical="center" wrapText="1" indent="1"/>
    </xf>
    <xf numFmtId="0" fontId="39" fillId="7" borderId="43" xfId="19" applyFont="1" applyFill="1" applyBorder="1" applyAlignment="1" applyProtection="1">
      <alignment horizontal="right" vertical="center" wrapText="1" indent="1"/>
    </xf>
    <xf numFmtId="0" fontId="15" fillId="7" borderId="84" xfId="19" applyFont="1" applyFill="1" applyBorder="1" applyAlignment="1" applyProtection="1">
      <alignment horizontal="left" vertical="center" wrapText="1"/>
    </xf>
    <xf numFmtId="0" fontId="15" fillId="7" borderId="43" xfId="19" applyFont="1" applyFill="1" applyBorder="1" applyAlignment="1" applyProtection="1">
      <alignment horizontal="left" vertical="center" wrapText="1"/>
    </xf>
    <xf numFmtId="0" fontId="15" fillId="7" borderId="71" xfId="0" applyFont="1" applyFill="1" applyBorder="1" applyAlignment="1" applyProtection="1">
      <alignment horizontal="left" vertical="center" indent="1"/>
    </xf>
    <xf numFmtId="0" fontId="15" fillId="0" borderId="40" xfId="0" applyFont="1" applyBorder="1" applyAlignment="1" applyProtection="1">
      <alignment horizontal="center" vertical="center"/>
    </xf>
    <xf numFmtId="0" fontId="15" fillId="0" borderId="39" xfId="0" applyFont="1" applyBorder="1" applyAlignment="1" applyProtection="1">
      <alignment horizontal="center" vertical="center"/>
    </xf>
    <xf numFmtId="0" fontId="15" fillId="0" borderId="114" xfId="0" applyFont="1" applyBorder="1" applyAlignment="1" applyProtection="1">
      <alignment horizontal="center" vertical="center"/>
    </xf>
    <xf numFmtId="0" fontId="50" fillId="7" borderId="0" xfId="51" applyFont="1" applyFill="1" applyBorder="1" applyAlignment="1" applyProtection="1">
      <alignment horizontal="center" vertical="center"/>
    </xf>
    <xf numFmtId="0" fontId="25" fillId="8" borderId="26" xfId="20" applyFont="1" applyFill="1" applyBorder="1" applyAlignment="1" applyProtection="1">
      <alignment horizontal="left" vertical="center" wrapText="1" indent="1"/>
    </xf>
    <xf numFmtId="3" fontId="15" fillId="4" borderId="112" xfId="0" applyNumberFormat="1" applyFont="1" applyFill="1" applyBorder="1" applyAlignment="1" applyProtection="1">
      <alignment horizontal="center" vertical="center" shrinkToFit="1"/>
      <protection locked="0"/>
    </xf>
    <xf numFmtId="3" fontId="15" fillId="4" borderId="113" xfId="0" applyNumberFormat="1" applyFont="1" applyFill="1" applyBorder="1" applyAlignment="1" applyProtection="1">
      <alignment horizontal="center" vertical="center" shrinkToFit="1"/>
      <protection locked="0"/>
    </xf>
    <xf numFmtId="0" fontId="15" fillId="7" borderId="13" xfId="0" applyFont="1" applyFill="1" applyBorder="1" applyAlignment="1" applyProtection="1">
      <alignment horizontal="center" vertical="center"/>
    </xf>
    <xf numFmtId="0" fontId="25" fillId="0" borderId="84" xfId="8" applyFont="1" applyBorder="1" applyAlignment="1" applyProtection="1">
      <alignment horizontal="left" vertical="center"/>
    </xf>
    <xf numFmtId="0" fontId="25" fillId="0" borderId="43" xfId="8" applyFont="1" applyBorder="1" applyAlignment="1" applyProtection="1">
      <alignment horizontal="left" vertical="center"/>
    </xf>
    <xf numFmtId="0" fontId="25" fillId="0" borderId="13" xfId="8" applyFont="1" applyBorder="1" applyAlignment="1" applyProtection="1">
      <alignment horizontal="left" vertical="center"/>
    </xf>
    <xf numFmtId="0" fontId="25" fillId="0" borderId="39" xfId="8" applyFont="1" applyBorder="1" applyAlignment="1" applyProtection="1">
      <alignment horizontal="left" vertical="center"/>
    </xf>
    <xf numFmtId="0" fontId="25" fillId="0" borderId="170" xfId="8" applyFont="1" applyBorder="1" applyAlignment="1" applyProtection="1">
      <alignment horizontal="left" vertical="center"/>
    </xf>
    <xf numFmtId="0" fontId="25" fillId="0" borderId="47" xfId="8" applyFont="1" applyBorder="1" applyAlignment="1" applyProtection="1">
      <alignment horizontal="left" vertical="center"/>
    </xf>
    <xf numFmtId="0" fontId="25" fillId="0" borderId="28" xfId="8" applyFont="1" applyBorder="1" applyAlignment="1" applyProtection="1">
      <alignment horizontal="left" vertical="center"/>
    </xf>
    <xf numFmtId="0" fontId="25" fillId="0" borderId="38" xfId="8" applyFont="1" applyBorder="1" applyAlignment="1" applyProtection="1">
      <alignment horizontal="left" vertical="center"/>
    </xf>
    <xf numFmtId="0" fontId="25" fillId="7" borderId="99" xfId="45" applyFont="1" applyFill="1" applyBorder="1" applyAlignment="1" applyProtection="1">
      <alignment horizontal="center" vertical="center" wrapText="1"/>
    </xf>
    <xf numFmtId="0" fontId="25" fillId="7" borderId="27" xfId="45" applyFont="1" applyFill="1" applyBorder="1" applyAlignment="1" applyProtection="1">
      <alignment horizontal="center" vertical="center" wrapText="1"/>
    </xf>
    <xf numFmtId="0" fontId="25" fillId="7" borderId="71" xfId="45" applyFont="1" applyFill="1" applyBorder="1" applyAlignment="1" applyProtection="1">
      <alignment horizontal="center" vertical="center" wrapText="1"/>
    </xf>
    <xf numFmtId="0" fontId="15" fillId="4" borderId="26" xfId="45" applyFont="1" applyFill="1" applyBorder="1" applyAlignment="1" applyProtection="1">
      <alignment horizontal="center" vertical="center" wrapText="1"/>
      <protection locked="0"/>
    </xf>
    <xf numFmtId="0" fontId="15" fillId="4" borderId="27" xfId="0" applyFont="1" applyFill="1" applyBorder="1" applyAlignment="1" applyProtection="1">
      <alignment horizontal="center" vertical="center" shrinkToFit="1"/>
      <protection locked="0"/>
    </xf>
    <xf numFmtId="0" fontId="15" fillId="7" borderId="47" xfId="6" applyFont="1" applyFill="1" applyBorder="1" applyAlignment="1" applyProtection="1">
      <alignment horizontal="right" vertical="center" wrapText="1" indent="1"/>
    </xf>
    <xf numFmtId="0" fontId="15" fillId="7" borderId="28" xfId="6" applyFont="1" applyFill="1" applyBorder="1" applyAlignment="1" applyProtection="1">
      <alignment horizontal="right" vertical="center" wrapText="1" indent="1"/>
    </xf>
    <xf numFmtId="0" fontId="15" fillId="7" borderId="38" xfId="6" applyFont="1" applyFill="1" applyBorder="1" applyAlignment="1" applyProtection="1">
      <alignment horizontal="right" vertical="center" wrapText="1" indent="1"/>
    </xf>
    <xf numFmtId="0" fontId="15" fillId="7" borderId="13" xfId="6" applyFont="1" applyFill="1" applyBorder="1" applyAlignment="1" applyProtection="1">
      <alignment horizontal="right" vertical="center" wrapText="1" indent="1"/>
    </xf>
    <xf numFmtId="0" fontId="15" fillId="7" borderId="39" xfId="6" applyFont="1" applyFill="1" applyBorder="1" applyAlignment="1" applyProtection="1">
      <alignment horizontal="right" vertical="center" wrapText="1" indent="1"/>
    </xf>
    <xf numFmtId="0" fontId="15" fillId="7" borderId="170" xfId="6" applyFont="1" applyFill="1" applyBorder="1" applyAlignment="1" applyProtection="1">
      <alignment horizontal="right" vertical="center" wrapText="1" indent="1"/>
    </xf>
    <xf numFmtId="0" fontId="15" fillId="7" borderId="46" xfId="0" applyFont="1" applyFill="1" applyBorder="1" applyAlignment="1" applyProtection="1">
      <alignment horizontal="center" vertical="center"/>
    </xf>
    <xf numFmtId="0" fontId="25" fillId="4" borderId="99" xfId="45" applyFont="1" applyFill="1" applyBorder="1" applyAlignment="1" applyProtection="1">
      <alignment horizontal="left" vertical="center" wrapText="1" indent="1"/>
      <protection locked="0"/>
    </xf>
    <xf numFmtId="0" fontId="25" fillId="4" borderId="27" xfId="45" applyFont="1" applyFill="1" applyBorder="1" applyAlignment="1" applyProtection="1">
      <alignment horizontal="left" vertical="center" wrapText="1" indent="1"/>
      <protection locked="0"/>
    </xf>
    <xf numFmtId="0" fontId="25" fillId="4" borderId="71" xfId="45" applyFont="1" applyFill="1" applyBorder="1" applyAlignment="1" applyProtection="1">
      <alignment horizontal="left" vertical="center" wrapText="1" indent="1"/>
      <protection locked="0"/>
    </xf>
    <xf numFmtId="2" fontId="25" fillId="0" borderId="26" xfId="45" applyNumberFormat="1" applyFont="1" applyFill="1" applyBorder="1" applyAlignment="1" applyProtection="1">
      <alignment horizontal="center" vertical="center" wrapText="1"/>
    </xf>
    <xf numFmtId="0" fontId="50" fillId="0" borderId="46" xfId="8" applyFont="1" applyBorder="1" applyAlignment="1" applyProtection="1">
      <alignment horizontal="center" vertical="center"/>
    </xf>
    <xf numFmtId="0" fontId="50" fillId="0" borderId="26" xfId="8" applyFont="1" applyBorder="1" applyAlignment="1" applyProtection="1">
      <alignment horizontal="center" vertical="center"/>
    </xf>
    <xf numFmtId="0" fontId="50" fillId="0" borderId="41" xfId="8" applyFont="1" applyBorder="1" applyAlignment="1" applyProtection="1">
      <alignment horizontal="center" vertical="center"/>
    </xf>
    <xf numFmtId="0" fontId="25" fillId="0" borderId="0" xfId="46" applyFont="1" applyFill="1" applyBorder="1" applyAlignment="1" applyProtection="1">
      <alignment horizontal="left" vertical="center" wrapText="1"/>
    </xf>
    <xf numFmtId="0" fontId="25" fillId="0" borderId="43" xfId="46" applyFont="1" applyFill="1" applyBorder="1" applyAlignment="1" applyProtection="1">
      <alignment horizontal="left" vertical="center" wrapText="1"/>
    </xf>
    <xf numFmtId="0" fontId="15" fillId="0" borderId="0" xfId="0" applyFont="1" applyAlignment="1">
      <alignment horizontal="left" vertical="center"/>
    </xf>
    <xf numFmtId="0" fontId="15" fillId="0" borderId="99" xfId="0" quotePrefix="1" applyFont="1" applyBorder="1" applyAlignment="1" applyProtection="1">
      <alignment vertical="center" wrapText="1"/>
    </xf>
    <xf numFmtId="0" fontId="15" fillId="0" borderId="27" xfId="0" quotePrefix="1" applyFont="1" applyBorder="1" applyAlignment="1" applyProtection="1">
      <alignment vertical="center" wrapText="1"/>
    </xf>
    <xf numFmtId="0" fontId="15" fillId="0" borderId="71" xfId="0" quotePrefix="1" applyFont="1" applyBorder="1" applyAlignment="1" applyProtection="1">
      <alignment vertical="center" wrapText="1"/>
    </xf>
    <xf numFmtId="0" fontId="25" fillId="0" borderId="99" xfId="8" applyBorder="1" applyAlignment="1" applyProtection="1">
      <alignment horizontal="left" vertical="center"/>
    </xf>
    <xf numFmtId="0" fontId="25" fillId="0" borderId="27" xfId="8" applyBorder="1" applyAlignment="1" applyProtection="1">
      <alignment horizontal="left" vertical="center"/>
    </xf>
    <xf numFmtId="0" fontId="25" fillId="0" borderId="28" xfId="8" applyBorder="1" applyAlignment="1" applyProtection="1">
      <alignment horizontal="left" vertical="center"/>
    </xf>
    <xf numFmtId="0" fontId="25" fillId="0" borderId="38" xfId="8" applyBorder="1" applyAlignment="1" applyProtection="1">
      <alignment horizontal="left" vertical="center"/>
    </xf>
    <xf numFmtId="0" fontId="25" fillId="0" borderId="99" xfId="12" applyFont="1" applyFill="1" applyBorder="1" applyAlignment="1" applyProtection="1">
      <alignment horizontal="center" vertical="center" wrapText="1"/>
    </xf>
    <xf numFmtId="0" fontId="25" fillId="0" borderId="27" xfId="12" applyFont="1" applyFill="1" applyBorder="1" applyAlignment="1" applyProtection="1">
      <alignment horizontal="center" vertical="center" wrapText="1"/>
    </xf>
    <xf numFmtId="0" fontId="15" fillId="0" borderId="99" xfId="0" applyFont="1" applyBorder="1" applyAlignment="1" applyProtection="1">
      <alignment vertical="center" wrapText="1"/>
    </xf>
    <xf numFmtId="0" fontId="15" fillId="0" borderId="27" xfId="0" applyFont="1" applyBorder="1" applyAlignment="1" applyProtection="1">
      <alignment vertical="center" wrapText="1"/>
    </xf>
    <xf numFmtId="0" fontId="15" fillId="0" borderId="71" xfId="0" applyFont="1" applyBorder="1" applyAlignment="1" applyProtection="1">
      <alignment vertical="center" wrapText="1"/>
    </xf>
    <xf numFmtId="0" fontId="25" fillId="7" borderId="47" xfId="8" applyFont="1" applyFill="1" applyBorder="1" applyAlignment="1" applyProtection="1">
      <alignment horizontal="center" vertical="center" wrapText="1"/>
    </xf>
    <xf numFmtId="0" fontId="25" fillId="7" borderId="28" xfId="8" applyFont="1" applyFill="1" applyBorder="1" applyAlignment="1" applyProtection="1">
      <alignment horizontal="center" vertical="center" wrapText="1"/>
    </xf>
    <xf numFmtId="0" fontId="25" fillId="7" borderId="0" xfId="8" applyFont="1" applyFill="1" applyAlignment="1" applyProtection="1">
      <alignment horizontal="center" vertical="center"/>
    </xf>
    <xf numFmtId="0" fontId="25" fillId="7" borderId="0" xfId="8" applyFont="1" applyFill="1" applyBorder="1" applyAlignment="1" applyProtection="1">
      <alignment horizontal="center" vertical="center"/>
    </xf>
    <xf numFmtId="0" fontId="25" fillId="7" borderId="99" xfId="0" applyFont="1" applyFill="1" applyBorder="1" applyAlignment="1" applyProtection="1">
      <alignment vertical="center" wrapText="1"/>
    </xf>
    <xf numFmtId="0" fontId="25" fillId="7" borderId="27" xfId="0" applyFont="1" applyFill="1" applyBorder="1" applyAlignment="1" applyProtection="1">
      <alignment vertical="center" wrapText="1"/>
    </xf>
    <xf numFmtId="0" fontId="25" fillId="7" borderId="71" xfId="0" applyFont="1" applyFill="1" applyBorder="1" applyAlignment="1" applyProtection="1">
      <alignment vertical="center" wrapText="1"/>
    </xf>
    <xf numFmtId="0" fontId="25" fillId="4" borderId="26" xfId="8" applyFont="1" applyFill="1" applyBorder="1" applyAlignment="1" applyProtection="1">
      <alignment horizontal="center" vertical="center" wrapText="1"/>
      <protection locked="0"/>
    </xf>
    <xf numFmtId="0" fontId="25" fillId="7" borderId="38" xfId="8" applyFont="1" applyFill="1" applyBorder="1" applyAlignment="1" applyProtection="1">
      <alignment horizontal="center" vertical="center" wrapText="1"/>
    </xf>
    <xf numFmtId="0" fontId="55" fillId="0" borderId="47" xfId="8" applyFont="1" applyBorder="1" applyAlignment="1" applyProtection="1">
      <alignment vertical="center"/>
    </xf>
    <xf numFmtId="0" fontId="55" fillId="0" borderId="28" xfId="8" applyFont="1" applyBorder="1" applyAlignment="1" applyProtection="1">
      <alignment vertical="center"/>
    </xf>
    <xf numFmtId="0" fontId="55" fillId="0" borderId="47" xfId="8" applyFont="1" applyBorder="1" applyAlignment="1" applyProtection="1">
      <alignment horizontal="left" vertical="center"/>
    </xf>
    <xf numFmtId="0" fontId="55" fillId="0" borderId="28" xfId="8" applyFont="1" applyBorder="1" applyAlignment="1" applyProtection="1">
      <alignment horizontal="left" vertical="center"/>
    </xf>
    <xf numFmtId="0" fontId="25" fillId="0" borderId="99" xfId="24" applyFont="1" applyBorder="1" applyAlignment="1" applyProtection="1">
      <alignment horizontal="center" vertical="center"/>
    </xf>
    <xf numFmtId="0" fontId="25" fillId="0" borderId="27" xfId="24" applyFont="1" applyBorder="1" applyAlignment="1" applyProtection="1">
      <alignment horizontal="center" vertical="center"/>
    </xf>
    <xf numFmtId="0" fontId="25" fillId="0" borderId="71" xfId="24" applyFont="1" applyBorder="1" applyAlignment="1" applyProtection="1">
      <alignment horizontal="center" vertical="center"/>
    </xf>
    <xf numFmtId="0" fontId="25" fillId="4" borderId="99" xfId="13" applyFont="1" applyFill="1" applyBorder="1" applyAlignment="1" applyProtection="1">
      <alignment horizontal="left" vertical="center" indent="1"/>
      <protection locked="0"/>
    </xf>
    <xf numFmtId="0" fontId="25" fillId="4" borderId="27" xfId="13" applyFont="1" applyFill="1" applyBorder="1" applyAlignment="1" applyProtection="1">
      <alignment horizontal="left" vertical="center" indent="1"/>
      <protection locked="0"/>
    </xf>
    <xf numFmtId="0" fontId="25" fillId="4" borderId="71" xfId="13" applyFont="1" applyFill="1" applyBorder="1" applyAlignment="1" applyProtection="1">
      <alignment horizontal="left" vertical="center" indent="1"/>
      <protection locked="0"/>
    </xf>
    <xf numFmtId="0" fontId="25" fillId="0" borderId="99" xfId="8" applyBorder="1" applyAlignment="1" applyProtection="1">
      <alignment vertical="center"/>
    </xf>
    <xf numFmtId="0" fontId="25" fillId="0" borderId="27" xfId="8" applyBorder="1" applyAlignment="1" applyProtection="1">
      <alignment vertical="center"/>
    </xf>
    <xf numFmtId="0" fontId="25" fillId="0" borderId="71" xfId="8" applyBorder="1" applyAlignment="1" applyProtection="1">
      <alignment vertical="center"/>
    </xf>
    <xf numFmtId="1" fontId="15" fillId="7" borderId="39" xfId="0" applyNumberFormat="1" applyFont="1" applyFill="1" applyBorder="1" applyAlignment="1" applyProtection="1">
      <alignment horizontal="center" vertical="center"/>
    </xf>
    <xf numFmtId="38" fontId="15" fillId="4" borderId="26" xfId="0" applyNumberFormat="1" applyFont="1" applyFill="1" applyBorder="1" applyAlignment="1" applyProtection="1">
      <alignment horizontal="center" vertical="center" shrinkToFit="1"/>
      <protection locked="0"/>
    </xf>
    <xf numFmtId="38" fontId="15" fillId="7" borderId="99" xfId="0" applyNumberFormat="1" applyFont="1" applyFill="1" applyBorder="1" applyAlignment="1" applyProtection="1">
      <alignment horizontal="center" vertical="center" shrinkToFit="1"/>
    </xf>
    <xf numFmtId="38" fontId="15" fillId="7" borderId="27" xfId="0" applyNumberFormat="1" applyFont="1" applyFill="1" applyBorder="1" applyAlignment="1" applyProtection="1">
      <alignment horizontal="center" vertical="center" shrinkToFit="1"/>
    </xf>
    <xf numFmtId="38" fontId="15" fillId="7" borderId="71" xfId="0" applyNumberFormat="1" applyFont="1" applyFill="1" applyBorder="1" applyAlignment="1" applyProtection="1">
      <alignment horizontal="center" vertical="center" shrinkToFit="1"/>
    </xf>
    <xf numFmtId="0" fontId="15" fillId="0" borderId="13" xfId="0" applyFont="1" applyBorder="1" applyAlignment="1" applyProtection="1">
      <alignment horizontal="center" vertical="center"/>
    </xf>
    <xf numFmtId="0" fontId="15" fillId="0" borderId="170" xfId="0" applyFont="1" applyBorder="1" applyAlignment="1" applyProtection="1">
      <alignment horizontal="center" vertical="center"/>
    </xf>
    <xf numFmtId="0" fontId="25" fillId="4" borderId="99" xfId="24" applyFont="1" applyFill="1" applyBorder="1" applyAlignment="1" applyProtection="1">
      <alignment horizontal="left" vertical="center" indent="1"/>
      <protection locked="0"/>
    </xf>
    <xf numFmtId="0" fontId="25" fillId="4" borderId="27" xfId="24" applyFont="1" applyFill="1" applyBorder="1" applyAlignment="1" applyProtection="1">
      <alignment horizontal="left" vertical="center" indent="1"/>
      <protection locked="0"/>
    </xf>
    <xf numFmtId="0" fontId="25" fillId="4" borderId="71" xfId="24" applyFont="1" applyFill="1" applyBorder="1" applyAlignment="1" applyProtection="1">
      <alignment horizontal="left" vertical="center" indent="1"/>
      <protection locked="0"/>
    </xf>
    <xf numFmtId="0" fontId="25" fillId="0" borderId="0" xfId="8" applyBorder="1" applyAlignment="1" applyProtection="1">
      <alignment horizontal="center" vertical="center"/>
    </xf>
    <xf numFmtId="10" fontId="25" fillId="4" borderId="26" xfId="24" applyNumberFormat="1" applyFont="1" applyFill="1" applyBorder="1" applyAlignment="1" applyProtection="1">
      <alignment horizontal="center" vertical="center"/>
      <protection locked="0"/>
    </xf>
    <xf numFmtId="0" fontId="25" fillId="7" borderId="99" xfId="8" applyFont="1" applyFill="1" applyBorder="1" applyAlignment="1" applyProtection="1">
      <alignment horizontal="center" vertical="center" wrapText="1"/>
    </xf>
    <xf numFmtId="0" fontId="25" fillId="7" borderId="27" xfId="8" applyFont="1" applyFill="1" applyBorder="1" applyAlignment="1" applyProtection="1">
      <alignment horizontal="center" vertical="center" wrapText="1"/>
    </xf>
    <xf numFmtId="0" fontId="25" fillId="7" borderId="71" xfId="8" applyFont="1" applyFill="1" applyBorder="1" applyAlignment="1" applyProtection="1">
      <alignment horizontal="center" vertical="center" wrapText="1"/>
    </xf>
    <xf numFmtId="2" fontId="15" fillId="4" borderId="27" xfId="0" applyNumberFormat="1" applyFont="1" applyFill="1" applyBorder="1" applyAlignment="1" applyProtection="1">
      <alignment horizontal="center" vertical="center" shrinkToFit="1"/>
      <protection locked="0"/>
    </xf>
    <xf numFmtId="2" fontId="15" fillId="4" borderId="71" xfId="0" applyNumberFormat="1" applyFont="1" applyFill="1" applyBorder="1" applyAlignment="1" applyProtection="1">
      <alignment horizontal="center" vertical="center" shrinkToFit="1"/>
      <protection locked="0"/>
    </xf>
    <xf numFmtId="0" fontId="25" fillId="0" borderId="99" xfId="80" applyFill="1" applyBorder="1" applyAlignment="1" applyProtection="1">
      <alignment horizontal="center" vertical="center" wrapText="1"/>
    </xf>
    <xf numFmtId="0" fontId="25" fillId="0" borderId="27" xfId="80" applyFill="1" applyBorder="1" applyAlignment="1" applyProtection="1">
      <alignment horizontal="center" vertical="center" wrapText="1"/>
    </xf>
    <xf numFmtId="0" fontId="25" fillId="0" borderId="71" xfId="80" applyFill="1" applyBorder="1" applyAlignment="1" applyProtection="1">
      <alignment horizontal="center" vertical="center" wrapText="1"/>
    </xf>
    <xf numFmtId="0" fontId="25" fillId="4" borderId="99" xfId="81" applyBorder="1" applyAlignment="1" applyProtection="1">
      <alignment horizontal="center" vertical="center"/>
      <protection locked="0"/>
    </xf>
    <xf numFmtId="0" fontId="25" fillId="4" borderId="71" xfId="81" applyBorder="1" applyAlignment="1" applyProtection="1">
      <alignment horizontal="center" vertical="center"/>
      <protection locked="0"/>
    </xf>
    <xf numFmtId="0" fontId="15" fillId="8" borderId="99" xfId="19" applyFont="1" applyFill="1" applyBorder="1" applyAlignment="1" applyProtection="1">
      <alignment horizontal="left" vertical="center" wrapText="1" indent="1"/>
    </xf>
    <xf numFmtId="0" fontId="15" fillId="8" borderId="27" xfId="19" applyFont="1" applyFill="1" applyBorder="1" applyAlignment="1" applyProtection="1">
      <alignment horizontal="left" vertical="center" wrapText="1" indent="1"/>
    </xf>
    <xf numFmtId="0" fontId="15" fillId="8" borderId="71" xfId="19" applyFont="1" applyFill="1" applyBorder="1" applyAlignment="1" applyProtection="1">
      <alignment horizontal="left" vertical="center" wrapText="1" indent="1"/>
    </xf>
    <xf numFmtId="0" fontId="25" fillId="4" borderId="99" xfId="8" applyFill="1" applyBorder="1" applyAlignment="1" applyProtection="1">
      <alignment horizontal="center" vertical="center"/>
      <protection locked="0"/>
    </xf>
    <xf numFmtId="0" fontId="25" fillId="4" borderId="71" xfId="8" applyFill="1" applyBorder="1" applyAlignment="1" applyProtection="1">
      <alignment horizontal="center" vertical="center"/>
      <protection locked="0"/>
    </xf>
    <xf numFmtId="0" fontId="50" fillId="7" borderId="13" xfId="0" applyFont="1" applyFill="1" applyBorder="1" applyAlignment="1" applyProtection="1">
      <alignment horizontal="center" vertical="center" wrapText="1"/>
    </xf>
    <xf numFmtId="0" fontId="50" fillId="7" borderId="39" xfId="0" applyFont="1" applyFill="1" applyBorder="1" applyAlignment="1" applyProtection="1">
      <alignment horizontal="center" vertical="center" wrapText="1"/>
    </xf>
    <xf numFmtId="0" fontId="50" fillId="7" borderId="170" xfId="0" applyFont="1" applyFill="1" applyBorder="1" applyAlignment="1" applyProtection="1">
      <alignment horizontal="center" vertical="center" wrapText="1"/>
    </xf>
    <xf numFmtId="2" fontId="15" fillId="0" borderId="26" xfId="0" applyNumberFormat="1" applyFont="1" applyBorder="1" applyAlignment="1" applyProtection="1">
      <alignment horizontal="center" vertical="center"/>
    </xf>
    <xf numFmtId="1" fontId="25" fillId="7" borderId="84" xfId="12" applyNumberFormat="1" applyFont="1" applyFill="1" applyBorder="1" applyAlignment="1" applyProtection="1">
      <alignment vertical="center" wrapText="1"/>
    </xf>
    <xf numFmtId="0" fontId="15" fillId="7" borderId="43" xfId="0" applyFont="1" applyFill="1" applyBorder="1" applyAlignment="1" applyProtection="1">
      <alignment vertical="center" wrapText="1"/>
    </xf>
    <xf numFmtId="1" fontId="15" fillId="7" borderId="13" xfId="12" applyNumberFormat="1" applyFont="1" applyFill="1" applyBorder="1" applyAlignment="1" applyProtection="1">
      <alignment horizontal="left" vertical="center" wrapText="1" indent="1"/>
    </xf>
    <xf numFmtId="0" fontId="25" fillId="7" borderId="84" xfId="0" applyFont="1" applyFill="1" applyBorder="1" applyAlignment="1" applyProtection="1">
      <alignment vertical="center" wrapText="1"/>
    </xf>
    <xf numFmtId="0" fontId="25" fillId="7" borderId="0" xfId="0" applyFont="1" applyFill="1" applyBorder="1" applyAlignment="1" applyProtection="1">
      <alignment vertical="center" wrapText="1"/>
    </xf>
    <xf numFmtId="0" fontId="25" fillId="7" borderId="43" xfId="0" applyFont="1" applyFill="1" applyBorder="1" applyAlignment="1" applyProtection="1">
      <alignment vertical="center" wrapText="1"/>
    </xf>
    <xf numFmtId="0" fontId="55" fillId="7" borderId="0" xfId="12" applyFont="1" applyFill="1" applyBorder="1" applyAlignment="1" applyProtection="1">
      <alignment vertical="center" wrapText="1"/>
    </xf>
    <xf numFmtId="0" fontId="15" fillId="0" borderId="26" xfId="0" applyFont="1" applyBorder="1" applyAlignment="1" applyProtection="1">
      <alignment vertical="center" wrapText="1"/>
    </xf>
    <xf numFmtId="0" fontId="25" fillId="7" borderId="39" xfId="13" applyFont="1" applyFill="1" applyBorder="1" applyAlignment="1" applyProtection="1">
      <alignment horizontal="left" vertical="center" wrapText="1"/>
    </xf>
    <xf numFmtId="0" fontId="25" fillId="4" borderId="47" xfId="46" applyFont="1" applyBorder="1" applyAlignment="1" applyProtection="1">
      <alignment horizontal="center" vertical="center" wrapText="1"/>
      <protection locked="0"/>
    </xf>
    <xf numFmtId="0" fontId="25" fillId="4" borderId="38" xfId="46" applyFont="1" applyBorder="1" applyAlignment="1" applyProtection="1">
      <alignment horizontal="center" vertical="center" wrapText="1"/>
      <protection locked="0"/>
    </xf>
    <xf numFmtId="0" fontId="25" fillId="4" borderId="13" xfId="46" applyFont="1" applyBorder="1" applyAlignment="1" applyProtection="1">
      <alignment horizontal="center" vertical="center" wrapText="1"/>
      <protection locked="0"/>
    </xf>
    <xf numFmtId="0" fontId="25" fillId="4" borderId="170" xfId="46" applyFont="1" applyBorder="1" applyAlignment="1" applyProtection="1">
      <alignment horizontal="center" vertical="center" wrapText="1"/>
      <protection locked="0"/>
    </xf>
    <xf numFmtId="0" fontId="25" fillId="4" borderId="99" xfId="46" applyFont="1" applyBorder="1" applyAlignment="1" applyProtection="1">
      <alignment horizontal="center" vertical="center" shrinkToFit="1"/>
      <protection locked="0"/>
    </xf>
    <xf numFmtId="0" fontId="25" fillId="4" borderId="27" xfId="46" applyFont="1" applyBorder="1" applyAlignment="1" applyProtection="1">
      <alignment horizontal="center" vertical="center" shrinkToFit="1"/>
      <protection locked="0"/>
    </xf>
    <xf numFmtId="0" fontId="25" fillId="4" borderId="71" xfId="46" applyFont="1" applyBorder="1" applyAlignment="1" applyProtection="1">
      <alignment horizontal="center" vertical="center" shrinkToFit="1"/>
      <protection locked="0"/>
    </xf>
    <xf numFmtId="0" fontId="128" fillId="0" borderId="27" xfId="4" applyFont="1" applyBorder="1" applyAlignment="1" applyProtection="1">
      <alignment horizontal="center" vertical="center" wrapText="1"/>
    </xf>
    <xf numFmtId="0" fontId="128" fillId="0" borderId="71" xfId="4" applyFont="1" applyBorder="1" applyAlignment="1" applyProtection="1">
      <alignment horizontal="center" vertical="center" wrapText="1"/>
    </xf>
    <xf numFmtId="0" fontId="15" fillId="8" borderId="99" xfId="19" applyFont="1" applyFill="1" applyBorder="1" applyAlignment="1" applyProtection="1">
      <alignment horizontal="left" vertical="center" wrapText="1"/>
    </xf>
    <xf numFmtId="0" fontId="15" fillId="8" borderId="27" xfId="19" applyFont="1" applyFill="1" applyBorder="1" applyAlignment="1" applyProtection="1">
      <alignment horizontal="left" vertical="center" wrapText="1"/>
    </xf>
    <xf numFmtId="0" fontId="15" fillId="8" borderId="71" xfId="19" applyFont="1" applyFill="1" applyBorder="1" applyAlignment="1" applyProtection="1">
      <alignment horizontal="left" vertical="center" wrapText="1"/>
    </xf>
    <xf numFmtId="0" fontId="25" fillId="0" borderId="47" xfId="8" applyFont="1" applyBorder="1" applyAlignment="1" applyProtection="1">
      <alignment horizontal="right" vertical="center" wrapText="1" indent="1"/>
    </xf>
    <xf numFmtId="0" fontId="25" fillId="0" borderId="28" xfId="8" applyFont="1" applyBorder="1" applyAlignment="1" applyProtection="1">
      <alignment horizontal="right" vertical="center" wrapText="1" indent="1"/>
    </xf>
    <xf numFmtId="0" fontId="25" fillId="0" borderId="38" xfId="8" applyFont="1" applyBorder="1" applyAlignment="1" applyProtection="1">
      <alignment horizontal="right" vertical="center" wrapText="1" indent="1"/>
    </xf>
    <xf numFmtId="0" fontId="25" fillId="0" borderId="13" xfId="8" applyFont="1" applyBorder="1" applyAlignment="1" applyProtection="1">
      <alignment horizontal="right" vertical="center" wrapText="1" indent="1"/>
    </xf>
    <xf numFmtId="0" fontId="25" fillId="0" borderId="39" xfId="8" applyFont="1" applyBorder="1" applyAlignment="1" applyProtection="1">
      <alignment horizontal="right" vertical="center" wrapText="1" indent="1"/>
    </xf>
    <xf numFmtId="0" fontId="25" fillId="0" borderId="170" xfId="8" applyFont="1" applyBorder="1" applyAlignment="1" applyProtection="1">
      <alignment horizontal="right" vertical="center" wrapText="1" indent="1"/>
    </xf>
    <xf numFmtId="14" fontId="25" fillId="4" borderId="47" xfId="8" applyNumberFormat="1" applyFont="1" applyFill="1" applyBorder="1" applyAlignment="1" applyProtection="1">
      <alignment horizontal="center" vertical="center"/>
      <protection locked="0"/>
    </xf>
    <xf numFmtId="14" fontId="25" fillId="4" borderId="28" xfId="8" applyNumberFormat="1" applyFont="1" applyFill="1" applyBorder="1" applyAlignment="1" applyProtection="1">
      <alignment horizontal="center" vertical="center"/>
      <protection locked="0"/>
    </xf>
    <xf numFmtId="14" fontId="25" fillId="4" borderId="38" xfId="8" applyNumberFormat="1" applyFont="1" applyFill="1" applyBorder="1" applyAlignment="1" applyProtection="1">
      <alignment horizontal="center" vertical="center"/>
      <protection locked="0"/>
    </xf>
    <xf numFmtId="14" fontId="25" fillId="4" borderId="13" xfId="8" applyNumberFormat="1" applyFont="1" applyFill="1" applyBorder="1" applyAlignment="1" applyProtection="1">
      <alignment horizontal="center" vertical="center"/>
      <protection locked="0"/>
    </xf>
    <xf numFmtId="14" fontId="25" fillId="4" borderId="39" xfId="8" applyNumberFormat="1" applyFont="1" applyFill="1" applyBorder="1" applyAlignment="1" applyProtection="1">
      <alignment horizontal="center" vertical="center"/>
      <protection locked="0"/>
    </xf>
    <xf numFmtId="14" fontId="25" fillId="4" borderId="170" xfId="8" applyNumberFormat="1" applyFont="1" applyFill="1" applyBorder="1" applyAlignment="1" applyProtection="1">
      <alignment horizontal="center" vertical="center"/>
      <protection locked="0"/>
    </xf>
    <xf numFmtId="0" fontId="25" fillId="0" borderId="99" xfId="8" applyFont="1" applyFill="1" applyBorder="1" applyAlignment="1" applyProtection="1">
      <alignment vertical="center" wrapText="1"/>
    </xf>
    <xf numFmtId="0" fontId="25" fillId="0" borderId="27" xfId="8" applyFont="1" applyFill="1" applyBorder="1" applyAlignment="1" applyProtection="1">
      <alignment vertical="center" wrapText="1"/>
    </xf>
    <xf numFmtId="0" fontId="25" fillId="0" borderId="71" xfId="8" applyFont="1" applyFill="1" applyBorder="1" applyAlignment="1" applyProtection="1">
      <alignment vertical="center" wrapText="1"/>
    </xf>
    <xf numFmtId="9" fontId="25" fillId="4" borderId="99" xfId="8" applyNumberFormat="1" applyFont="1" applyFill="1" applyBorder="1" applyAlignment="1" applyProtection="1">
      <alignment horizontal="center" vertical="center"/>
      <protection locked="0"/>
    </xf>
    <xf numFmtId="9" fontId="25" fillId="4" borderId="71" xfId="8" applyNumberFormat="1" applyFont="1" applyFill="1" applyBorder="1" applyAlignment="1" applyProtection="1">
      <alignment horizontal="center" vertical="center"/>
      <protection locked="0"/>
    </xf>
    <xf numFmtId="0" fontId="25" fillId="8" borderId="99" xfId="45" applyFont="1" applyFill="1" applyBorder="1" applyAlignment="1" applyProtection="1">
      <alignment vertical="center" wrapText="1"/>
    </xf>
    <xf numFmtId="0" fontId="25" fillId="8" borderId="27" xfId="45" applyFont="1" applyFill="1" applyBorder="1" applyAlignment="1" applyProtection="1">
      <alignment vertical="center" wrapText="1"/>
    </xf>
    <xf numFmtId="0" fontId="25" fillId="8" borderId="71" xfId="45" applyFont="1" applyFill="1" applyBorder="1" applyAlignment="1" applyProtection="1">
      <alignment vertical="center" wrapText="1"/>
    </xf>
    <xf numFmtId="1" fontId="15" fillId="4" borderId="41" xfId="12" applyNumberFormat="1" applyFont="1" applyFill="1" applyBorder="1" applyAlignment="1" applyProtection="1">
      <alignment horizontal="left" vertical="center" wrapText="1" indent="1"/>
      <protection locked="0"/>
    </xf>
    <xf numFmtId="0" fontId="25" fillId="7" borderId="99" xfId="13" applyFont="1" applyFill="1" applyBorder="1" applyAlignment="1" applyProtection="1">
      <alignment horizontal="left" vertical="center" wrapText="1"/>
    </xf>
    <xf numFmtId="0" fontId="25" fillId="7" borderId="27" xfId="13" applyFont="1" applyFill="1" applyBorder="1" applyAlignment="1" applyProtection="1">
      <alignment horizontal="left" vertical="center" wrapText="1"/>
    </xf>
    <xf numFmtId="0" fontId="25" fillId="7" borderId="71" xfId="13" applyFont="1" applyFill="1" applyBorder="1" applyAlignment="1" applyProtection="1">
      <alignment horizontal="left" vertical="center" wrapText="1"/>
    </xf>
    <xf numFmtId="0" fontId="25" fillId="4" borderId="99" xfId="13" applyFont="1" applyFill="1" applyBorder="1" applyAlignment="1" applyProtection="1">
      <alignment horizontal="left" vertical="center" wrapText="1"/>
      <protection locked="0"/>
    </xf>
    <xf numFmtId="0" fontId="25" fillId="4" borderId="27" xfId="13" applyFont="1" applyFill="1" applyBorder="1" applyAlignment="1" applyProtection="1">
      <alignment horizontal="left" vertical="center" wrapText="1"/>
      <protection locked="0"/>
    </xf>
    <xf numFmtId="0" fontId="25" fillId="4" borderId="71" xfId="13" applyFont="1" applyFill="1" applyBorder="1" applyAlignment="1" applyProtection="1">
      <alignment horizontal="left" vertical="center" wrapText="1"/>
      <protection locked="0"/>
    </xf>
    <xf numFmtId="0" fontId="61" fillId="7" borderId="0" xfId="8" applyFont="1" applyFill="1" applyAlignment="1" applyProtection="1">
      <alignment horizontal="left" wrapText="1"/>
    </xf>
    <xf numFmtId="0" fontId="50" fillId="7" borderId="84" xfId="19" applyFont="1" applyFill="1" applyBorder="1" applyAlignment="1" applyProtection="1">
      <alignment horizontal="left" vertical="center" wrapText="1"/>
    </xf>
    <xf numFmtId="0" fontId="50" fillId="7" borderId="0" xfId="19" applyFont="1" applyFill="1" applyBorder="1" applyAlignment="1" applyProtection="1">
      <alignment horizontal="left" vertical="center" wrapText="1"/>
    </xf>
    <xf numFmtId="0" fontId="50" fillId="0" borderId="84" xfId="8" applyFont="1" applyBorder="1" applyAlignment="1" applyProtection="1">
      <alignment horizontal="left" vertical="center"/>
    </xf>
    <xf numFmtId="0" fontId="50" fillId="0" borderId="43" xfId="8" applyFont="1" applyBorder="1" applyAlignment="1" applyProtection="1">
      <alignment horizontal="left" vertical="center"/>
    </xf>
    <xf numFmtId="0" fontId="25" fillId="7" borderId="26" xfId="8" applyFont="1" applyFill="1" applyBorder="1" applyAlignment="1" applyProtection="1">
      <alignment horizontal="right" vertical="center" wrapText="1" indent="1"/>
    </xf>
    <xf numFmtId="0" fontId="25" fillId="0" borderId="26" xfId="8" applyFont="1" applyBorder="1" applyAlignment="1" applyProtection="1">
      <alignment horizontal="center" vertical="center"/>
    </xf>
    <xf numFmtId="0" fontId="25" fillId="0" borderId="99" xfId="45" applyFont="1" applyFill="1" applyBorder="1" applyAlignment="1" applyProtection="1">
      <alignment vertical="center" wrapText="1"/>
    </xf>
    <xf numFmtId="0" fontId="25" fillId="0" borderId="27" xfId="45" applyFont="1" applyFill="1" applyBorder="1" applyAlignment="1" applyProtection="1">
      <alignment vertical="center" wrapText="1"/>
    </xf>
    <xf numFmtId="0" fontId="25" fillId="0" borderId="71" xfId="45" applyFont="1" applyFill="1" applyBorder="1" applyAlignment="1" applyProtection="1">
      <alignment vertical="center" wrapText="1"/>
    </xf>
    <xf numFmtId="0" fontId="25" fillId="7" borderId="99" xfId="8" applyFont="1" applyFill="1" applyBorder="1" applyAlignment="1" applyProtection="1">
      <alignment horizontal="left" vertical="center"/>
    </xf>
    <xf numFmtId="0" fontId="25" fillId="7" borderId="27" xfId="8" applyFont="1" applyFill="1" applyBorder="1" applyAlignment="1" applyProtection="1">
      <alignment horizontal="left" vertical="center"/>
    </xf>
    <xf numFmtId="0" fontId="25" fillId="7" borderId="71" xfId="8" applyFont="1" applyFill="1" applyBorder="1" applyAlignment="1" applyProtection="1">
      <alignment horizontal="left" vertical="center"/>
    </xf>
    <xf numFmtId="7" fontId="25" fillId="4" borderId="47" xfId="8" applyNumberFormat="1" applyFill="1" applyBorder="1" applyAlignment="1" applyProtection="1">
      <alignment horizontal="center" vertical="center"/>
      <protection locked="0"/>
    </xf>
    <xf numFmtId="7" fontId="25" fillId="4" borderId="38" xfId="8" applyNumberFormat="1" applyFill="1" applyBorder="1" applyAlignment="1" applyProtection="1">
      <alignment horizontal="center" vertical="center"/>
      <protection locked="0"/>
    </xf>
    <xf numFmtId="0" fontId="25" fillId="0" borderId="26" xfId="24" applyFont="1" applyBorder="1" applyAlignment="1" applyProtection="1">
      <alignment horizontal="center" vertical="center"/>
    </xf>
    <xf numFmtId="165" fontId="25" fillId="4" borderId="26" xfId="8" applyNumberFormat="1" applyFill="1" applyBorder="1" applyAlignment="1" applyProtection="1">
      <alignment horizontal="left" vertical="center" indent="1"/>
      <protection locked="0"/>
    </xf>
    <xf numFmtId="0" fontId="15" fillId="4" borderId="99" xfId="8" applyFont="1" applyFill="1" applyBorder="1" applyAlignment="1" applyProtection="1">
      <alignment horizontal="center" vertical="center"/>
      <protection locked="0"/>
    </xf>
    <xf numFmtId="0" fontId="15" fillId="4" borderId="71" xfId="8" applyFont="1" applyFill="1" applyBorder="1" applyAlignment="1" applyProtection="1">
      <alignment horizontal="center" vertical="center"/>
      <protection locked="0"/>
    </xf>
    <xf numFmtId="0" fontId="25" fillId="7" borderId="47" xfId="8" applyFont="1" applyFill="1" applyBorder="1" applyAlignment="1" applyProtection="1">
      <alignment horizontal="left" vertical="center" wrapText="1"/>
    </xf>
    <xf numFmtId="0" fontId="25" fillId="7" borderId="28" xfId="8" applyFont="1" applyFill="1" applyBorder="1" applyAlignment="1" applyProtection="1">
      <alignment horizontal="left" vertical="center" wrapText="1"/>
    </xf>
    <xf numFmtId="0" fontId="15" fillId="0" borderId="71" xfId="74" applyFont="1" applyBorder="1" applyAlignment="1" applyProtection="1">
      <alignment horizontal="left" vertical="center" wrapText="1"/>
    </xf>
    <xf numFmtId="0" fontId="25" fillId="0" borderId="0" xfId="8" applyFont="1" applyFill="1" applyBorder="1" applyAlignment="1" applyProtection="1">
      <alignment horizontal="left" vertical="center"/>
    </xf>
    <xf numFmtId="0" fontId="15" fillId="4" borderId="13" xfId="0" applyFont="1" applyFill="1" applyBorder="1" applyAlignment="1" applyProtection="1">
      <alignment horizontal="left" vertical="center" indent="1" shrinkToFit="1"/>
      <protection locked="0"/>
    </xf>
    <xf numFmtId="0" fontId="15" fillId="4" borderId="39" xfId="0" applyFont="1" applyFill="1" applyBorder="1" applyAlignment="1" applyProtection="1">
      <alignment horizontal="left" vertical="center" indent="1" shrinkToFit="1"/>
      <protection locked="0"/>
    </xf>
    <xf numFmtId="0" fontId="25" fillId="0" borderId="39" xfId="8" applyFont="1" applyFill="1" applyBorder="1" applyAlignment="1" applyProtection="1">
      <alignment horizontal="left" vertical="center" wrapText="1"/>
    </xf>
    <xf numFmtId="0" fontId="25" fillId="0" borderId="39" xfId="8" applyFont="1" applyFill="1" applyBorder="1" applyAlignment="1" applyProtection="1">
      <alignment horizontal="left" vertical="center"/>
    </xf>
    <xf numFmtId="0" fontId="50" fillId="7" borderId="0" xfId="0" applyFont="1" applyFill="1" applyBorder="1" applyAlignment="1" applyProtection="1">
      <alignment horizontal="center" vertical="center"/>
    </xf>
    <xf numFmtId="0" fontId="25" fillId="7" borderId="99" xfId="8" applyFont="1" applyFill="1" applyBorder="1" applyAlignment="1" applyProtection="1">
      <alignment horizontal="left" vertical="center" wrapText="1"/>
    </xf>
    <xf numFmtId="0" fontId="25" fillId="7" borderId="27" xfId="8" applyFont="1" applyFill="1" applyBorder="1" applyAlignment="1" applyProtection="1">
      <alignment horizontal="left" vertical="center" wrapText="1"/>
    </xf>
    <xf numFmtId="0" fontId="25" fillId="0" borderId="0" xfId="74" applyFont="1" applyBorder="1" applyAlignment="1" applyProtection="1">
      <alignment horizontal="left" vertical="center"/>
    </xf>
    <xf numFmtId="165" fontId="15" fillId="0" borderId="46" xfId="0" applyNumberFormat="1" applyFont="1" applyBorder="1" applyAlignment="1" applyProtection="1">
      <alignment horizontal="left" vertical="center" indent="1" shrinkToFit="1"/>
    </xf>
    <xf numFmtId="3" fontId="15" fillId="7" borderId="39" xfId="0" applyNumberFormat="1" applyFont="1" applyFill="1" applyBorder="1" applyAlignment="1" applyProtection="1">
      <alignment horizontal="left" vertical="center" indent="1"/>
    </xf>
    <xf numFmtId="0" fontId="15" fillId="0" borderId="92" xfId="0" applyFont="1" applyBorder="1" applyAlignment="1" applyProtection="1">
      <alignment horizontal="center" vertical="center"/>
    </xf>
    <xf numFmtId="0" fontId="15" fillId="0" borderId="13" xfId="0" applyFont="1" applyBorder="1" applyAlignment="1" applyProtection="1">
      <alignment horizontal="right" vertical="center" indent="1"/>
    </xf>
    <xf numFmtId="0" fontId="25" fillId="8" borderId="47" xfId="45" applyFont="1" applyFill="1" applyBorder="1" applyAlignment="1" applyProtection="1">
      <alignment horizontal="left" vertical="center" wrapText="1" indent="1"/>
    </xf>
    <xf numFmtId="0" fontId="25" fillId="8" borderId="28" xfId="45" applyFont="1" applyFill="1" applyBorder="1" applyAlignment="1" applyProtection="1">
      <alignment horizontal="left" vertical="center" wrapText="1" indent="1"/>
    </xf>
    <xf numFmtId="0" fontId="25" fillId="8" borderId="38" xfId="45" applyFont="1" applyFill="1" applyBorder="1" applyAlignment="1" applyProtection="1">
      <alignment horizontal="left" vertical="center" wrapText="1" indent="1"/>
    </xf>
    <xf numFmtId="0" fontId="61" fillId="7" borderId="46" xfId="0" applyFont="1" applyFill="1" applyBorder="1" applyAlignment="1" applyProtection="1">
      <alignment horizontal="center" vertical="center"/>
    </xf>
    <xf numFmtId="0" fontId="25" fillId="0" borderId="46" xfId="0" applyFont="1" applyBorder="1" applyAlignment="1" applyProtection="1">
      <alignment horizontal="center" vertical="center"/>
    </xf>
    <xf numFmtId="0" fontId="15" fillId="7" borderId="28" xfId="74" applyFont="1" applyFill="1" applyBorder="1" applyAlignment="1" applyProtection="1">
      <alignment horizontal="left" vertical="center"/>
    </xf>
    <xf numFmtId="0" fontId="25" fillId="4" borderId="47" xfId="0" applyFont="1" applyFill="1" applyBorder="1" applyAlignment="1" applyProtection="1">
      <alignment horizontal="center" vertical="center"/>
      <protection locked="0"/>
    </xf>
    <xf numFmtId="0" fontId="25" fillId="4" borderId="38" xfId="0" applyFont="1" applyFill="1" applyBorder="1" applyAlignment="1" applyProtection="1">
      <alignment horizontal="center" vertical="center"/>
      <protection locked="0"/>
    </xf>
    <xf numFmtId="0" fontId="25" fillId="4" borderId="13" xfId="0" applyFont="1" applyFill="1" applyBorder="1" applyAlignment="1" applyProtection="1">
      <alignment horizontal="center" vertical="center"/>
      <protection locked="0"/>
    </xf>
    <xf numFmtId="0" fontId="25" fillId="4" borderId="170" xfId="0" applyFont="1" applyFill="1" applyBorder="1" applyAlignment="1" applyProtection="1">
      <alignment horizontal="center" vertical="center"/>
      <protection locked="0"/>
    </xf>
    <xf numFmtId="0" fontId="15" fillId="7" borderId="0" xfId="74" applyFont="1" applyFill="1" applyBorder="1" applyAlignment="1" applyProtection="1">
      <alignment horizontal="left" vertical="center"/>
    </xf>
    <xf numFmtId="0" fontId="15" fillId="7" borderId="43" xfId="74" applyFont="1" applyFill="1" applyBorder="1" applyAlignment="1" applyProtection="1">
      <alignment horizontal="left" vertical="center"/>
    </xf>
    <xf numFmtId="0" fontId="88" fillId="7" borderId="0" xfId="4" applyFont="1" applyFill="1" applyBorder="1" applyAlignment="1" applyProtection="1">
      <alignment horizontal="left" vertical="center"/>
    </xf>
    <xf numFmtId="0" fontId="25" fillId="7" borderId="99" xfId="8" applyFont="1" applyFill="1" applyBorder="1" applyAlignment="1" applyProtection="1">
      <alignment horizontal="right" vertical="center" wrapText="1" indent="1"/>
    </xf>
    <xf numFmtId="0" fontId="25" fillId="7" borderId="27" xfId="8" applyFont="1" applyFill="1" applyBorder="1" applyAlignment="1" applyProtection="1">
      <alignment horizontal="right" vertical="center" wrapText="1" indent="1"/>
    </xf>
    <xf numFmtId="0" fontId="25" fillId="7" borderId="71" xfId="8" applyFont="1" applyFill="1" applyBorder="1" applyAlignment="1" applyProtection="1">
      <alignment horizontal="right" vertical="center" wrapText="1" indent="1"/>
    </xf>
    <xf numFmtId="0" fontId="128" fillId="0" borderId="28" xfId="4" applyFont="1" applyFill="1" applyBorder="1" applyAlignment="1" applyProtection="1">
      <alignment horizontal="center" vertical="center" wrapText="1"/>
    </xf>
    <xf numFmtId="0" fontId="50" fillId="0" borderId="28" xfId="0" applyFont="1" applyFill="1" applyBorder="1" applyAlignment="1" applyProtection="1">
      <alignment horizontal="center" vertical="center" wrapText="1"/>
    </xf>
    <xf numFmtId="0" fontId="50" fillId="0" borderId="38" xfId="0" applyFont="1" applyFill="1" applyBorder="1" applyAlignment="1" applyProtection="1">
      <alignment horizontal="center" vertical="center" wrapText="1"/>
    </xf>
    <xf numFmtId="0" fontId="50" fillId="0" borderId="39" xfId="0" applyFont="1" applyFill="1" applyBorder="1" applyAlignment="1" applyProtection="1">
      <alignment horizontal="center" vertical="center" wrapText="1"/>
    </xf>
    <xf numFmtId="0" fontId="50" fillId="0" borderId="170" xfId="0" applyFont="1" applyFill="1" applyBorder="1" applyAlignment="1" applyProtection="1">
      <alignment horizontal="center" vertical="center" wrapText="1"/>
    </xf>
    <xf numFmtId="0" fontId="15" fillId="0" borderId="47" xfId="0" applyFont="1" applyFill="1" applyBorder="1" applyAlignment="1" applyProtection="1">
      <alignment vertical="center" wrapText="1"/>
    </xf>
    <xf numFmtId="0" fontId="15" fillId="0" borderId="28" xfId="0" applyFont="1" applyFill="1" applyBorder="1" applyAlignment="1" applyProtection="1">
      <alignment vertical="center" wrapText="1"/>
    </xf>
    <xf numFmtId="0" fontId="15" fillId="0" borderId="38" xfId="0" applyFont="1" applyFill="1" applyBorder="1" applyAlignment="1" applyProtection="1">
      <alignment vertical="center" wrapText="1"/>
    </xf>
    <xf numFmtId="0" fontId="15" fillId="0" borderId="13" xfId="0" applyFont="1" applyFill="1" applyBorder="1" applyAlignment="1" applyProtection="1">
      <alignment vertical="center" wrapText="1"/>
    </xf>
    <xf numFmtId="0" fontId="15" fillId="0" borderId="39" xfId="0" applyFont="1" applyFill="1" applyBorder="1" applyAlignment="1" applyProtection="1">
      <alignment vertical="center" wrapText="1"/>
    </xf>
    <xf numFmtId="0" fontId="15" fillId="0" borderId="170" xfId="0" applyFont="1" applyFill="1" applyBorder="1" applyAlignment="1" applyProtection="1">
      <alignment vertical="center" wrapText="1"/>
    </xf>
    <xf numFmtId="0" fontId="25" fillId="7" borderId="47" xfId="8" applyFont="1" applyFill="1" applyBorder="1" applyAlignment="1" applyProtection="1">
      <alignment horizontal="right" vertical="center" wrapText="1" indent="1"/>
    </xf>
    <xf numFmtId="0" fontId="25" fillId="7" borderId="28" xfId="8" applyFont="1" applyFill="1" applyBorder="1" applyAlignment="1" applyProtection="1">
      <alignment horizontal="right" vertical="center" wrapText="1" indent="1"/>
    </xf>
    <xf numFmtId="0" fontId="15" fillId="7" borderId="41" xfId="0" applyFont="1" applyFill="1" applyBorder="1" applyAlignment="1" applyProtection="1">
      <alignment horizontal="center" vertical="center"/>
    </xf>
    <xf numFmtId="0" fontId="15" fillId="7" borderId="84"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50" fillId="7" borderId="43" xfId="0" applyFont="1" applyFill="1" applyBorder="1" applyAlignment="1" applyProtection="1">
      <alignment horizontal="center" vertical="center"/>
    </xf>
    <xf numFmtId="0" fontId="25" fillId="4" borderId="99" xfId="8" applyFont="1" applyFill="1" applyBorder="1" applyAlignment="1" applyProtection="1">
      <alignment horizontal="left" vertical="top"/>
      <protection locked="0"/>
    </xf>
    <xf numFmtId="0" fontId="25" fillId="4" borderId="27" xfId="8" applyFont="1" applyFill="1" applyBorder="1" applyAlignment="1" applyProtection="1">
      <alignment horizontal="left" vertical="top"/>
      <protection locked="0"/>
    </xf>
    <xf numFmtId="0" fontId="25" fillId="4" borderId="71" xfId="8" applyFont="1" applyFill="1" applyBorder="1" applyAlignment="1" applyProtection="1">
      <alignment horizontal="left" vertical="top"/>
      <protection locked="0"/>
    </xf>
    <xf numFmtId="0" fontId="79" fillId="58" borderId="0" xfId="8" applyFont="1" applyFill="1" applyBorder="1" applyAlignment="1" applyProtection="1">
      <alignment horizontal="left" vertical="center" wrapText="1"/>
    </xf>
    <xf numFmtId="0" fontId="79" fillId="58" borderId="116" xfId="8" applyFont="1" applyFill="1" applyBorder="1" applyAlignment="1" applyProtection="1">
      <alignment horizontal="left" vertical="center" wrapText="1"/>
    </xf>
    <xf numFmtId="0" fontId="25" fillId="0" borderId="39" xfId="74" applyFont="1" applyBorder="1" applyAlignment="1" applyProtection="1">
      <alignment horizontal="left" vertical="center"/>
    </xf>
    <xf numFmtId="0" fontId="55" fillId="0" borderId="4" xfId="74" applyFont="1" applyBorder="1" applyAlignment="1" applyProtection="1">
      <alignment horizontal="left" vertical="top" wrapText="1" indent="1"/>
    </xf>
    <xf numFmtId="0" fontId="144" fillId="0" borderId="4" xfId="74" applyFont="1" applyBorder="1" applyAlignment="1" applyProtection="1">
      <alignment horizontal="left" vertical="center" wrapText="1"/>
    </xf>
    <xf numFmtId="0" fontId="61" fillId="7" borderId="13" xfId="74" applyFont="1" applyFill="1" applyBorder="1" applyAlignment="1" applyProtection="1">
      <alignment horizontal="left" vertical="center" indent="1"/>
    </xf>
    <xf numFmtId="0" fontId="61" fillId="7" borderId="39" xfId="74" applyFont="1" applyFill="1" applyBorder="1" applyAlignment="1" applyProtection="1">
      <alignment horizontal="left" vertical="center" indent="1"/>
    </xf>
    <xf numFmtId="0" fontId="25" fillId="0" borderId="99" xfId="45" applyFont="1" applyFill="1" applyBorder="1" applyAlignment="1" applyProtection="1">
      <alignment horizontal="center" vertical="center"/>
    </xf>
    <xf numFmtId="0" fontId="25" fillId="0" borderId="27" xfId="45" applyFont="1" applyFill="1" applyBorder="1" applyAlignment="1" applyProtection="1">
      <alignment horizontal="center" vertical="center"/>
    </xf>
    <xf numFmtId="0" fontId="25" fillId="0" borderId="71" xfId="45" applyFont="1" applyFill="1" applyBorder="1" applyAlignment="1" applyProtection="1">
      <alignment horizontal="center" vertical="center"/>
    </xf>
    <xf numFmtId="0" fontId="25" fillId="0" borderId="170" xfId="74" applyFont="1" applyBorder="1" applyAlignment="1" applyProtection="1">
      <alignment horizontal="left" vertical="center"/>
    </xf>
    <xf numFmtId="0" fontId="25" fillId="8" borderId="99" xfId="45" applyFont="1" applyFill="1" applyBorder="1" applyAlignment="1" applyProtection="1">
      <alignment horizontal="left" vertical="center" wrapText="1"/>
    </xf>
    <xf numFmtId="0" fontId="25" fillId="8" borderId="27" xfId="45" applyFont="1" applyFill="1" applyBorder="1" applyAlignment="1" applyProtection="1">
      <alignment horizontal="left" vertical="center" wrapText="1"/>
    </xf>
    <xf numFmtId="0" fontId="25" fillId="8" borderId="39" xfId="45" applyFont="1" applyFill="1" applyBorder="1" applyAlignment="1" applyProtection="1">
      <alignment horizontal="left" vertical="center" wrapText="1"/>
    </xf>
    <xf numFmtId="0" fontId="25" fillId="8" borderId="71" xfId="45" applyFont="1" applyFill="1" applyBorder="1" applyAlignment="1" applyProtection="1">
      <alignment horizontal="left" vertical="center" wrapText="1"/>
    </xf>
    <xf numFmtId="0" fontId="15" fillId="12" borderId="46" xfId="0" quotePrefix="1" applyFont="1" applyFill="1" applyBorder="1" applyAlignment="1" applyProtection="1">
      <alignment horizontal="center" vertical="center" wrapText="1"/>
    </xf>
    <xf numFmtId="0" fontId="15" fillId="8" borderId="47" xfId="19" applyFont="1" applyFill="1" applyBorder="1" applyAlignment="1" applyProtection="1">
      <alignment vertical="center" wrapText="1"/>
    </xf>
    <xf numFmtId="0" fontId="15" fillId="8" borderId="28" xfId="19" applyFont="1" applyFill="1" applyBorder="1" applyAlignment="1" applyProtection="1">
      <alignment vertical="center" wrapText="1"/>
    </xf>
    <xf numFmtId="0" fontId="15" fillId="8" borderId="38" xfId="19" applyFont="1" applyFill="1" applyBorder="1" applyAlignment="1" applyProtection="1">
      <alignment vertical="center" wrapText="1"/>
    </xf>
    <xf numFmtId="0" fontId="15" fillId="8" borderId="99" xfId="19" applyFont="1" applyFill="1" applyBorder="1" applyAlignment="1" applyProtection="1">
      <alignment horizontal="center" vertical="center" wrapText="1"/>
    </xf>
    <xf numFmtId="0" fontId="15" fillId="8" borderId="27" xfId="19" applyFont="1" applyFill="1" applyBorder="1" applyAlignment="1" applyProtection="1">
      <alignment horizontal="center" vertical="center" wrapText="1"/>
    </xf>
    <xf numFmtId="0" fontId="15" fillId="8" borderId="71" xfId="19" applyFont="1" applyFill="1" applyBorder="1" applyAlignment="1" applyProtection="1">
      <alignment horizontal="center" vertical="center" wrapText="1"/>
    </xf>
    <xf numFmtId="0" fontId="25" fillId="8" borderId="99" xfId="45" quotePrefix="1" applyFont="1" applyFill="1" applyBorder="1" applyAlignment="1" applyProtection="1">
      <alignment horizontal="left" vertical="center" wrapText="1" indent="1"/>
    </xf>
    <xf numFmtId="0" fontId="15" fillId="8" borderId="47" xfId="19" applyFont="1" applyFill="1" applyBorder="1" applyAlignment="1" applyProtection="1">
      <alignment horizontal="left" vertical="center" wrapText="1"/>
    </xf>
    <xf numFmtId="0" fontId="15" fillId="8" borderId="28" xfId="19" applyFont="1" applyFill="1" applyBorder="1" applyAlignment="1" applyProtection="1">
      <alignment horizontal="left" vertical="center" wrapText="1"/>
    </xf>
    <xf numFmtId="0" fontId="15" fillId="8" borderId="38" xfId="19" applyFont="1" applyFill="1" applyBorder="1" applyAlignment="1" applyProtection="1">
      <alignment horizontal="left" vertical="center" wrapText="1"/>
    </xf>
    <xf numFmtId="0" fontId="25" fillId="29" borderId="26" xfId="0" applyFont="1" applyFill="1" applyBorder="1" applyAlignment="1" applyProtection="1">
      <alignment horizontal="left" vertical="center"/>
    </xf>
    <xf numFmtId="0" fontId="25" fillId="8" borderId="26" xfId="1" applyFont="1" applyFill="1" applyBorder="1" applyAlignment="1" applyProtection="1">
      <alignment horizontal="left" vertical="center" wrapText="1"/>
    </xf>
    <xf numFmtId="0" fontId="15" fillId="8" borderId="99" xfId="2" applyFont="1" applyFill="1" applyBorder="1" applyAlignment="1" applyProtection="1">
      <alignment horizontal="center" vertical="center" wrapText="1"/>
    </xf>
    <xf numFmtId="0" fontId="15" fillId="8" borderId="27" xfId="2" applyFont="1" applyFill="1" applyBorder="1" applyAlignment="1" applyProtection="1">
      <alignment horizontal="center" vertical="center" wrapText="1"/>
    </xf>
    <xf numFmtId="0" fontId="15" fillId="8" borderId="71" xfId="2" applyFont="1" applyFill="1" applyBorder="1" applyAlignment="1" applyProtection="1">
      <alignment horizontal="center" vertical="center" wrapText="1"/>
    </xf>
    <xf numFmtId="0" fontId="25" fillId="29" borderId="27" xfId="0" applyFont="1" applyFill="1" applyBorder="1" applyAlignment="1" applyProtection="1">
      <alignment horizontal="center" vertical="center"/>
    </xf>
    <xf numFmtId="0" fontId="25" fillId="29" borderId="71" xfId="0" applyFont="1" applyFill="1" applyBorder="1" applyAlignment="1" applyProtection="1">
      <alignment horizontal="center" vertical="center"/>
    </xf>
    <xf numFmtId="0" fontId="25" fillId="8" borderId="26" xfId="1" applyFont="1" applyFill="1" applyBorder="1" applyAlignment="1" applyProtection="1">
      <alignment vertical="center" wrapText="1"/>
    </xf>
    <xf numFmtId="0" fontId="15" fillId="8" borderId="26" xfId="19" applyFont="1" applyFill="1" applyBorder="1" applyAlignment="1" applyProtection="1">
      <alignment vertical="center" wrapText="1"/>
    </xf>
    <xf numFmtId="0" fontId="63" fillId="7" borderId="39" xfId="0" applyFont="1" applyFill="1" applyBorder="1" applyAlignment="1" applyProtection="1">
      <alignment horizontal="left" vertical="center"/>
    </xf>
    <xf numFmtId="0" fontId="63" fillId="7" borderId="0" xfId="0" applyFont="1" applyFill="1" applyBorder="1" applyAlignment="1" applyProtection="1">
      <alignment horizontal="left" vertical="center" indent="1"/>
    </xf>
    <xf numFmtId="0" fontId="25" fillId="8" borderId="26" xfId="45" applyFill="1" applyBorder="1" applyAlignment="1" applyProtection="1">
      <alignment horizontal="left" vertical="center" wrapText="1" indent="1"/>
    </xf>
    <xf numFmtId="0" fontId="25" fillId="8" borderId="26" xfId="1" applyFont="1" applyFill="1" applyBorder="1" applyAlignment="1" applyProtection="1">
      <alignment horizontal="left" vertical="center" wrapText="1" indent="1"/>
    </xf>
    <xf numFmtId="0" fontId="25" fillId="12" borderId="26" xfId="45" applyFont="1" applyFill="1" applyBorder="1" applyAlignment="1" applyProtection="1">
      <alignment horizontal="left" vertical="center" wrapText="1"/>
    </xf>
    <xf numFmtId="0" fontId="25" fillId="29" borderId="26" xfId="0" applyFont="1" applyFill="1" applyBorder="1" applyAlignment="1" applyProtection="1">
      <alignment horizontal="left" vertical="center" wrapText="1" indent="1"/>
    </xf>
    <xf numFmtId="0" fontId="15" fillId="8" borderId="26" xfId="12" applyFont="1" applyFill="1" applyBorder="1" applyAlignment="1" applyProtection="1">
      <alignment horizontal="left" vertical="center" wrapText="1" indent="1"/>
    </xf>
    <xf numFmtId="0" fontId="25" fillId="8" borderId="26" xfId="12" applyFont="1" applyFill="1" applyBorder="1" applyAlignment="1" applyProtection="1">
      <alignment horizontal="left" vertical="center" wrapText="1" indent="1"/>
    </xf>
    <xf numFmtId="0" fontId="88" fillId="8" borderId="99" xfId="4" applyFont="1" applyFill="1" applyBorder="1" applyAlignment="1" applyProtection="1">
      <alignment horizontal="center" vertical="center" wrapText="1"/>
    </xf>
    <xf numFmtId="0" fontId="88" fillId="8" borderId="27" xfId="4" applyFont="1" applyFill="1" applyBorder="1" applyAlignment="1" applyProtection="1">
      <alignment horizontal="center" vertical="center" wrapText="1"/>
    </xf>
    <xf numFmtId="0" fontId="88" fillId="8" borderId="71" xfId="4" applyFont="1" applyFill="1" applyBorder="1" applyAlignment="1" applyProtection="1">
      <alignment horizontal="center" vertical="center" wrapText="1"/>
    </xf>
    <xf numFmtId="0" fontId="25" fillId="8" borderId="99" xfId="45" applyFill="1" applyBorder="1" applyAlignment="1" applyProtection="1">
      <alignment horizontal="center" vertical="center" wrapText="1"/>
    </xf>
    <xf numFmtId="0" fontId="25" fillId="8" borderId="27" xfId="45" applyFill="1" applyBorder="1" applyAlignment="1" applyProtection="1">
      <alignment horizontal="center" vertical="center" wrapText="1"/>
    </xf>
    <xf numFmtId="0" fontId="25" fillId="8" borderId="71" xfId="45" applyFill="1" applyBorder="1" applyAlignment="1" applyProtection="1">
      <alignment horizontal="center" vertical="center" wrapText="1"/>
    </xf>
    <xf numFmtId="0" fontId="12" fillId="0" borderId="0" xfId="0" applyFont="1" applyBorder="1" applyAlignment="1" applyProtection="1">
      <alignment horizontal="center" wrapText="1"/>
    </xf>
    <xf numFmtId="0" fontId="35" fillId="0" borderId="0" xfId="0" applyFont="1" applyBorder="1" applyAlignment="1" applyProtection="1">
      <alignment horizontal="center" wrapText="1"/>
    </xf>
    <xf numFmtId="0" fontId="15" fillId="7" borderId="28" xfId="0" quotePrefix="1" applyFont="1" applyFill="1" applyBorder="1" applyAlignment="1" applyProtection="1">
      <alignment horizontal="center" vertical="center" wrapText="1"/>
    </xf>
    <xf numFmtId="0" fontId="26" fillId="7" borderId="26" xfId="0" applyFont="1" applyFill="1" applyBorder="1" applyAlignment="1" applyProtection="1">
      <alignment horizontal="center" vertical="center" wrapText="1"/>
    </xf>
    <xf numFmtId="0" fontId="26" fillId="0" borderId="0" xfId="0" applyFont="1" applyBorder="1" applyAlignment="1" applyProtection="1">
      <alignment horizontal="left" vertical="center" wrapText="1"/>
    </xf>
    <xf numFmtId="0" fontId="25" fillId="0" borderId="26" xfId="0" applyFont="1" applyBorder="1" applyAlignment="1" applyProtection="1">
      <alignment horizontal="left" vertical="center" wrapText="1"/>
    </xf>
    <xf numFmtId="0" fontId="10" fillId="7" borderId="84" xfId="0" applyFont="1" applyFill="1" applyBorder="1" applyAlignment="1" applyProtection="1">
      <alignment horizontal="left" vertical="center" wrapText="1"/>
    </xf>
    <xf numFmtId="0" fontId="0" fillId="7" borderId="0" xfId="0" applyFill="1" applyAlignment="1" applyProtection="1">
      <alignment horizontal="left" vertical="center" wrapText="1"/>
    </xf>
    <xf numFmtId="0" fontId="10" fillId="0" borderId="84" xfId="0" applyFont="1" applyFill="1" applyBorder="1" applyAlignment="1" applyProtection="1">
      <alignment horizontal="center" vertical="center"/>
    </xf>
    <xf numFmtId="0" fontId="0" fillId="0" borderId="84" xfId="0" applyFill="1" applyBorder="1" applyAlignment="1" applyProtection="1">
      <alignment horizontal="center" vertical="center"/>
    </xf>
    <xf numFmtId="0" fontId="25" fillId="8" borderId="26" xfId="45" applyFont="1" applyFill="1" applyBorder="1" applyAlignment="1" applyProtection="1">
      <alignment horizontal="left" vertical="center" wrapText="1" indent="1"/>
    </xf>
    <xf numFmtId="0" fontId="15" fillId="12" borderId="26" xfId="0" quotePrefix="1" applyFont="1" applyFill="1" applyBorder="1" applyAlignment="1" applyProtection="1">
      <alignment vertical="center" wrapText="1"/>
    </xf>
    <xf numFmtId="0" fontId="82" fillId="31" borderId="0" xfId="0" applyFont="1" applyFill="1" applyAlignment="1" applyProtection="1">
      <alignment horizontal="center" vertical="center"/>
    </xf>
    <xf numFmtId="0" fontId="10" fillId="0" borderId="26" xfId="0" applyFont="1" applyBorder="1" applyAlignment="1" applyProtection="1">
      <alignment horizontal="left" vertical="center" wrapText="1" indent="1"/>
    </xf>
    <xf numFmtId="0" fontId="88" fillId="8" borderId="26" xfId="4" applyFont="1" applyFill="1" applyBorder="1" applyAlignment="1" applyProtection="1">
      <alignment horizontal="left" vertical="center" wrapText="1" indent="1"/>
    </xf>
    <xf numFmtId="0" fontId="25" fillId="4" borderId="41" xfId="0" applyFont="1" applyFill="1" applyBorder="1" applyAlignment="1" applyProtection="1">
      <alignment horizontal="center" vertical="center"/>
      <protection locked="0"/>
    </xf>
    <xf numFmtId="0" fontId="88" fillId="8" borderId="41" xfId="4" applyFont="1" applyFill="1" applyBorder="1" applyAlignment="1" applyProtection="1">
      <alignment horizontal="left" vertical="center" wrapText="1" indent="1"/>
    </xf>
    <xf numFmtId="0" fontId="15" fillId="12" borderId="41" xfId="0" quotePrefix="1" applyFont="1" applyFill="1" applyBorder="1" applyAlignment="1" applyProtection="1">
      <alignment vertical="center" wrapText="1"/>
    </xf>
    <xf numFmtId="0" fontId="25" fillId="8" borderId="41" xfId="45" applyFill="1" applyBorder="1" applyAlignment="1" applyProtection="1">
      <alignment horizontal="left" vertical="center" wrapText="1" indent="1"/>
    </xf>
    <xf numFmtId="0" fontId="15" fillId="12" borderId="170" xfId="0" quotePrefix="1" applyFont="1" applyFill="1" applyBorder="1" applyAlignment="1" applyProtection="1">
      <alignment horizontal="center" vertical="center" wrapText="1"/>
    </xf>
    <xf numFmtId="0" fontId="25" fillId="12" borderId="26" xfId="20" applyFont="1" applyFill="1" applyBorder="1" applyAlignment="1" applyProtection="1">
      <alignment horizontal="left" vertical="center" wrapText="1" indent="1"/>
    </xf>
    <xf numFmtId="0" fontId="25" fillId="8" borderId="26" xfId="1" applyFont="1" applyFill="1" applyBorder="1" applyAlignment="1" applyProtection="1">
      <alignment horizontal="left" vertical="center" indent="1"/>
    </xf>
    <xf numFmtId="0" fontId="25" fillId="8" borderId="26" xfId="20" applyFont="1" applyFill="1" applyBorder="1" applyAlignment="1" applyProtection="1">
      <alignment horizontal="left" vertical="center" wrapText="1"/>
    </xf>
    <xf numFmtId="0" fontId="10" fillId="0" borderId="26" xfId="0" applyFont="1" applyBorder="1" applyAlignment="1" applyProtection="1">
      <alignment horizontal="left" vertical="center"/>
    </xf>
    <xf numFmtId="0" fontId="25" fillId="29" borderId="99" xfId="0" applyFont="1" applyFill="1" applyBorder="1" applyAlignment="1" applyProtection="1">
      <alignment horizontal="center" vertical="center"/>
    </xf>
    <xf numFmtId="0" fontId="127" fillId="0" borderId="0" xfId="8" applyFont="1" applyBorder="1" applyAlignment="1" applyProtection="1">
      <alignment horizontal="left" vertical="center"/>
    </xf>
    <xf numFmtId="0" fontId="15" fillId="0" borderId="0" xfId="26" applyFont="1" applyBorder="1" applyAlignment="1" applyProtection="1">
      <alignment horizontal="center" vertical="center"/>
    </xf>
    <xf numFmtId="0" fontId="15" fillId="0" borderId="99" xfId="26" applyFont="1" applyBorder="1" applyAlignment="1" applyProtection="1">
      <alignment horizontal="center" vertical="center"/>
    </xf>
    <xf numFmtId="0" fontId="15" fillId="0" borderId="71" xfId="26" applyFont="1" applyBorder="1" applyAlignment="1" applyProtection="1">
      <alignment horizontal="center" vertical="center"/>
    </xf>
    <xf numFmtId="0" fontId="15" fillId="0" borderId="26" xfId="26" applyFont="1" applyBorder="1" applyAlignment="1" applyProtection="1">
      <alignment horizontal="center" vertical="center"/>
    </xf>
    <xf numFmtId="0" fontId="15" fillId="0" borderId="26" xfId="26" applyFont="1" applyBorder="1" applyAlignment="1" applyProtection="1">
      <alignment horizontal="left" vertical="center" wrapText="1" indent="1"/>
    </xf>
    <xf numFmtId="0" fontId="15" fillId="0" borderId="39" xfId="26" applyFont="1" applyBorder="1" applyAlignment="1" applyProtection="1">
      <alignment horizontal="center" vertical="center"/>
    </xf>
    <xf numFmtId="0" fontId="15" fillId="0" borderId="13" xfId="26" applyFont="1" applyBorder="1" applyAlignment="1" applyProtection="1">
      <alignment horizontal="center" vertical="center"/>
    </xf>
    <xf numFmtId="0" fontId="15" fillId="0" borderId="170" xfId="26" applyFont="1" applyBorder="1" applyAlignment="1" applyProtection="1">
      <alignment horizontal="center" vertical="center"/>
    </xf>
    <xf numFmtId="0" fontId="15" fillId="0" borderId="47" xfId="26" applyFont="1" applyBorder="1" applyAlignment="1" applyProtection="1">
      <alignment horizontal="center" vertical="center"/>
    </xf>
    <xf numFmtId="0" fontId="15" fillId="0" borderId="38" xfId="26" applyFont="1" applyBorder="1" applyAlignment="1" applyProtection="1">
      <alignment horizontal="center" vertical="center"/>
    </xf>
    <xf numFmtId="0" fontId="15" fillId="0" borderId="99" xfId="26" applyFont="1" applyBorder="1" applyAlignment="1" applyProtection="1">
      <alignment horizontal="left" vertical="center" wrapText="1" indent="1"/>
    </xf>
    <xf numFmtId="0" fontId="15" fillId="0" borderId="27" xfId="26" applyFont="1" applyBorder="1" applyAlignment="1" applyProtection="1">
      <alignment horizontal="left" vertical="center" wrapText="1" indent="1"/>
    </xf>
    <xf numFmtId="0" fontId="15" fillId="0" borderId="71" xfId="26" applyFont="1" applyBorder="1" applyAlignment="1" applyProtection="1">
      <alignment horizontal="left" vertical="center" wrapText="1" indent="1"/>
    </xf>
    <xf numFmtId="0" fontId="50" fillId="7" borderId="99" xfId="26" applyFont="1" applyFill="1" applyBorder="1" applyAlignment="1" applyProtection="1">
      <alignment horizontal="left" vertical="center"/>
    </xf>
    <xf numFmtId="0" fontId="50" fillId="7" borderId="27" xfId="26" applyFont="1" applyFill="1" applyBorder="1" applyAlignment="1" applyProtection="1">
      <alignment horizontal="left" vertical="center"/>
    </xf>
    <xf numFmtId="0" fontId="50" fillId="7" borderId="71" xfId="26" applyFont="1" applyFill="1" applyBorder="1" applyAlignment="1" applyProtection="1">
      <alignment horizontal="left" vertical="center"/>
    </xf>
    <xf numFmtId="0" fontId="15" fillId="8" borderId="99" xfId="0" quotePrefix="1" applyFont="1" applyFill="1" applyBorder="1" applyAlignment="1" applyProtection="1">
      <alignment horizontal="left" vertical="center" wrapText="1" indent="1"/>
    </xf>
    <xf numFmtId="0" fontId="15" fillId="8" borderId="27" xfId="0" quotePrefix="1" applyFont="1" applyFill="1" applyBorder="1" applyAlignment="1" applyProtection="1">
      <alignment horizontal="left" vertical="center" wrapText="1" indent="1"/>
    </xf>
    <xf numFmtId="0" fontId="15" fillId="7" borderId="26" xfId="26" applyFont="1" applyFill="1" applyBorder="1" applyAlignment="1" applyProtection="1">
      <alignment horizontal="center" vertical="center"/>
    </xf>
    <xf numFmtId="0" fontId="15" fillId="0" borderId="84" xfId="26" applyFont="1" applyBorder="1" applyAlignment="1" applyProtection="1">
      <alignment horizontal="center" vertical="center"/>
    </xf>
    <xf numFmtId="0" fontId="15" fillId="0" borderId="43" xfId="26" applyFont="1" applyBorder="1" applyAlignment="1" applyProtection="1">
      <alignment horizontal="center" vertical="center"/>
    </xf>
    <xf numFmtId="0" fontId="15" fillId="0" borderId="0" xfId="26" applyFont="1" applyBorder="1" applyAlignment="1" applyProtection="1">
      <alignment horizontal="right" vertical="center" indent="2"/>
    </xf>
    <xf numFmtId="0" fontId="39" fillId="7" borderId="39" xfId="26" applyFont="1" applyFill="1" applyBorder="1" applyAlignment="1" applyProtection="1">
      <alignment horizontal="center" vertical="center"/>
    </xf>
    <xf numFmtId="0" fontId="15" fillId="0" borderId="0" xfId="26" applyFont="1" applyBorder="1" applyAlignment="1" applyProtection="1">
      <alignment horizontal="right" vertical="center" indent="1"/>
    </xf>
    <xf numFmtId="0" fontId="15" fillId="0" borderId="99" xfId="26" applyFont="1" applyBorder="1" applyAlignment="1" applyProtection="1">
      <alignment horizontal="right" vertical="center" indent="1"/>
    </xf>
    <xf numFmtId="0" fontId="15" fillId="0" borderId="27" xfId="26" applyFont="1" applyBorder="1" applyAlignment="1" applyProtection="1">
      <alignment horizontal="right" vertical="center" indent="1"/>
    </xf>
    <xf numFmtId="0" fontId="15" fillId="0" borderId="71" xfId="26" applyFont="1" applyBorder="1" applyAlignment="1" applyProtection="1">
      <alignment horizontal="right" vertical="center" indent="1"/>
    </xf>
    <xf numFmtId="0" fontId="50" fillId="7" borderId="0" xfId="26" applyFont="1" applyFill="1" applyBorder="1" applyAlignment="1" applyProtection="1">
      <alignment horizontal="left" vertical="center"/>
    </xf>
    <xf numFmtId="0" fontId="35" fillId="0" borderId="0" xfId="26" applyFont="1" applyBorder="1" applyAlignment="1" applyProtection="1">
      <alignment horizontal="center"/>
    </xf>
    <xf numFmtId="0" fontId="50" fillId="0" borderId="99" xfId="26" applyFont="1" applyBorder="1" applyAlignment="1" applyProtection="1">
      <alignment horizontal="left" vertical="center" indent="1"/>
    </xf>
    <xf numFmtId="0" fontId="50" fillId="0" borderId="27" xfId="26" applyFont="1" applyBorder="1" applyAlignment="1" applyProtection="1">
      <alignment horizontal="left" vertical="center" indent="1"/>
    </xf>
    <xf numFmtId="0" fontId="50" fillId="0" borderId="71" xfId="26" applyFont="1" applyBorder="1" applyAlignment="1" applyProtection="1">
      <alignment horizontal="left" vertical="center" indent="1"/>
    </xf>
    <xf numFmtId="6" fontId="15" fillId="27" borderId="46" xfId="26" applyNumberFormat="1" applyFont="1" applyFill="1" applyBorder="1" applyAlignment="1" applyProtection="1">
      <alignment horizontal="center" vertical="center" shrinkToFit="1"/>
    </xf>
    <xf numFmtId="6" fontId="15" fillId="27" borderId="92" xfId="26" applyNumberFormat="1" applyFont="1" applyFill="1" applyBorder="1" applyAlignment="1" applyProtection="1">
      <alignment horizontal="center" vertical="center" shrinkToFit="1"/>
    </xf>
    <xf numFmtId="6" fontId="15" fillId="27" borderId="41" xfId="26" applyNumberFormat="1" applyFont="1" applyFill="1" applyBorder="1" applyAlignment="1" applyProtection="1">
      <alignment horizontal="center" vertical="center" shrinkToFit="1"/>
    </xf>
    <xf numFmtId="6" fontId="15" fillId="7" borderId="46" xfId="26" applyNumberFormat="1" applyFont="1" applyFill="1" applyBorder="1" applyAlignment="1" applyProtection="1">
      <alignment horizontal="center" vertical="center" shrinkToFit="1"/>
    </xf>
    <xf numFmtId="6" fontId="15" fillId="7" borderId="92" xfId="26" applyNumberFormat="1" applyFont="1" applyFill="1" applyBorder="1" applyAlignment="1" applyProtection="1">
      <alignment horizontal="center" vertical="center" shrinkToFit="1"/>
    </xf>
    <xf numFmtId="6" fontId="15" fillId="7" borderId="41" xfId="26" applyNumberFormat="1" applyFont="1" applyFill="1" applyBorder="1" applyAlignment="1" applyProtection="1">
      <alignment horizontal="center" vertical="center" shrinkToFit="1"/>
    </xf>
    <xf numFmtId="6" fontId="15" fillId="0" borderId="46" xfId="26" applyNumberFormat="1" applyFont="1" applyBorder="1" applyAlignment="1" applyProtection="1">
      <alignment horizontal="center" vertical="center" shrinkToFit="1"/>
    </xf>
    <xf numFmtId="6" fontId="15" fillId="0" borderId="41" xfId="26" applyNumberFormat="1" applyFont="1" applyBorder="1" applyAlignment="1" applyProtection="1">
      <alignment horizontal="center" vertical="center" shrinkToFit="1"/>
    </xf>
    <xf numFmtId="6" fontId="76" fillId="0" borderId="46" xfId="26" applyNumberFormat="1" applyFont="1" applyBorder="1" applyAlignment="1" applyProtection="1">
      <alignment horizontal="center" vertical="center" shrinkToFit="1"/>
    </xf>
    <xf numFmtId="6" fontId="76" fillId="0" borderId="92" xfId="26" applyNumberFormat="1" applyFont="1" applyBorder="1" applyAlignment="1" applyProtection="1">
      <alignment horizontal="center" vertical="center" shrinkToFit="1"/>
    </xf>
    <xf numFmtId="6" fontId="76" fillId="0" borderId="41" xfId="26" applyNumberFormat="1" applyFont="1" applyBorder="1" applyAlignment="1" applyProtection="1">
      <alignment horizontal="center" vertical="center" shrinkToFit="1"/>
    </xf>
    <xf numFmtId="9" fontId="15" fillId="4" borderId="99" xfId="55" applyFont="1" applyFill="1" applyBorder="1" applyAlignment="1" applyProtection="1">
      <alignment horizontal="left" vertical="center" indent="1" shrinkToFit="1"/>
      <protection locked="0"/>
    </xf>
    <xf numFmtId="9" fontId="15" fillId="4" borderId="71" xfId="55" applyFont="1" applyFill="1" applyBorder="1" applyAlignment="1" applyProtection="1">
      <alignment horizontal="left" vertical="center" indent="1" shrinkToFit="1"/>
      <protection locked="0"/>
    </xf>
    <xf numFmtId="0" fontId="39" fillId="7" borderId="39" xfId="26" applyFont="1" applyFill="1" applyBorder="1" applyAlignment="1" applyProtection="1">
      <alignment horizontal="center" vertical="center" wrapText="1"/>
    </xf>
    <xf numFmtId="0" fontId="82" fillId="31" borderId="84" xfId="0" applyFont="1" applyFill="1" applyBorder="1" applyAlignment="1" applyProtection="1">
      <alignment horizontal="center" vertical="center"/>
    </xf>
    <xf numFmtId="0" fontId="82" fillId="31" borderId="0" xfId="0" applyFont="1" applyFill="1" applyBorder="1" applyAlignment="1" applyProtection="1">
      <alignment horizontal="center" vertical="center"/>
    </xf>
    <xf numFmtId="0" fontId="15" fillId="0" borderId="57" xfId="26" applyFont="1" applyBorder="1" applyAlignment="1" applyProtection="1">
      <alignment horizontal="center"/>
    </xf>
    <xf numFmtId="0" fontId="15" fillId="0" borderId="26" xfId="26" applyFont="1" applyBorder="1" applyAlignment="1" applyProtection="1">
      <alignment horizontal="center"/>
    </xf>
    <xf numFmtId="0" fontId="15" fillId="0" borderId="47" xfId="26" applyFont="1" applyBorder="1" applyAlignment="1" applyProtection="1">
      <alignment horizontal="center"/>
    </xf>
    <xf numFmtId="0" fontId="15" fillId="0" borderId="28" xfId="26" applyFont="1" applyBorder="1" applyAlignment="1" applyProtection="1">
      <alignment horizontal="center"/>
    </xf>
    <xf numFmtId="0" fontId="15" fillId="0" borderId="38" xfId="26" applyFont="1" applyBorder="1" applyAlignment="1" applyProtection="1">
      <alignment horizontal="center"/>
    </xf>
    <xf numFmtId="0" fontId="13" fillId="43" borderId="55" xfId="21" applyFont="1" applyFill="1" applyBorder="1" applyAlignment="1">
      <alignment horizontal="center" vertical="center"/>
    </xf>
    <xf numFmtId="0" fontId="13" fillId="43" borderId="62" xfId="21" applyFont="1" applyFill="1" applyBorder="1" applyAlignment="1">
      <alignment horizontal="center" vertical="center"/>
    </xf>
    <xf numFmtId="0" fontId="15" fillId="42" borderId="55" xfId="26" applyFont="1" applyFill="1" applyBorder="1" applyAlignment="1" applyProtection="1">
      <alignment horizontal="center" vertical="center"/>
    </xf>
    <xf numFmtId="0" fontId="15" fillId="42" borderId="56" xfId="26" applyFont="1" applyFill="1" applyBorder="1" applyAlignment="1" applyProtection="1">
      <alignment horizontal="center" vertical="center"/>
    </xf>
    <xf numFmtId="0" fontId="15" fillId="42" borderId="62" xfId="26" applyFont="1" applyFill="1" applyBorder="1" applyAlignment="1" applyProtection="1">
      <alignment horizontal="center" vertical="center"/>
    </xf>
    <xf numFmtId="0" fontId="15" fillId="41" borderId="72" xfId="26" applyFont="1" applyFill="1" applyBorder="1" applyAlignment="1" applyProtection="1">
      <alignment horizontal="center" vertical="center" wrapText="1"/>
    </xf>
    <xf numFmtId="0" fontId="15" fillId="41" borderId="73" xfId="26" applyFont="1" applyFill="1" applyBorder="1" applyAlignment="1" applyProtection="1">
      <alignment horizontal="center" vertical="center" wrapText="1"/>
    </xf>
    <xf numFmtId="0" fontId="15" fillId="41" borderId="74" xfId="26" applyFont="1" applyFill="1" applyBorder="1" applyAlignment="1" applyProtection="1">
      <alignment horizontal="center" vertical="center" wrapText="1"/>
    </xf>
    <xf numFmtId="0" fontId="15" fillId="41" borderId="2" xfId="26" applyFont="1" applyFill="1" applyBorder="1" applyAlignment="1" applyProtection="1">
      <alignment horizontal="center" vertical="center" wrapText="1"/>
    </xf>
    <xf numFmtId="0" fontId="15" fillId="41" borderId="0" xfId="26" applyFont="1" applyFill="1" applyBorder="1" applyAlignment="1" applyProtection="1">
      <alignment horizontal="center" vertical="center" wrapText="1"/>
    </xf>
    <xf numFmtId="0" fontId="15" fillId="41" borderId="3" xfId="26" applyFont="1" applyFill="1" applyBorder="1" applyAlignment="1" applyProtection="1">
      <alignment horizontal="center" vertical="center" wrapText="1"/>
    </xf>
    <xf numFmtId="0" fontId="35" fillId="0" borderId="0" xfId="8" applyFont="1" applyBorder="1" applyAlignment="1" applyProtection="1">
      <alignment horizontal="center" vertical="center"/>
    </xf>
    <xf numFmtId="0" fontId="50" fillId="0" borderId="26" xfId="26" applyFont="1" applyBorder="1" applyAlignment="1" applyProtection="1">
      <alignment horizontal="right" vertical="center" indent="1"/>
    </xf>
    <xf numFmtId="0" fontId="15" fillId="0" borderId="0" xfId="26" applyFont="1" applyBorder="1" applyAlignment="1" applyProtection="1">
      <alignment horizontal="left" vertical="center"/>
    </xf>
    <xf numFmtId="0" fontId="15" fillId="4" borderId="26" xfId="26" applyFont="1" applyFill="1" applyBorder="1" applyAlignment="1" applyProtection="1">
      <alignment horizontal="left" vertical="top"/>
    </xf>
    <xf numFmtId="0" fontId="63" fillId="7" borderId="99" xfId="57" applyFont="1" applyFill="1" applyBorder="1" applyAlignment="1" applyProtection="1">
      <alignment horizontal="center" vertical="center"/>
    </xf>
    <xf numFmtId="0" fontId="63" fillId="7" borderId="27" xfId="57" applyFont="1" applyFill="1" applyBorder="1" applyAlignment="1" applyProtection="1">
      <alignment horizontal="center" vertical="center"/>
    </xf>
    <xf numFmtId="0" fontId="63" fillId="7" borderId="71" xfId="57" applyFont="1" applyFill="1" applyBorder="1" applyAlignment="1" applyProtection="1">
      <alignment horizontal="center" vertical="center"/>
    </xf>
    <xf numFmtId="0" fontId="50" fillId="7" borderId="99" xfId="57" applyFont="1" applyFill="1" applyBorder="1" applyAlignment="1" applyProtection="1">
      <alignment horizontal="center" vertical="center" wrapText="1"/>
    </xf>
    <xf numFmtId="0" fontId="50" fillId="7" borderId="71" xfId="57" applyFont="1" applyFill="1" applyBorder="1" applyAlignment="1" applyProtection="1">
      <alignment horizontal="center" vertical="center" wrapText="1"/>
    </xf>
    <xf numFmtId="0" fontId="39" fillId="7" borderId="99" xfId="57" applyFont="1" applyFill="1" applyBorder="1" applyAlignment="1" applyProtection="1">
      <alignment horizontal="center" vertical="center"/>
    </xf>
    <xf numFmtId="0" fontId="39" fillId="7" borderId="71" xfId="57" applyFont="1" applyFill="1" applyBorder="1" applyAlignment="1" applyProtection="1">
      <alignment horizontal="center" vertical="center"/>
    </xf>
    <xf numFmtId="0" fontId="50" fillId="7" borderId="46" xfId="50" applyFont="1" applyFill="1" applyBorder="1" applyAlignment="1" applyProtection="1">
      <alignment horizontal="center" vertical="center" textRotation="90" wrapText="1"/>
    </xf>
    <xf numFmtId="0" fontId="50" fillId="7" borderId="92" xfId="50" applyFont="1" applyFill="1" applyBorder="1" applyAlignment="1" applyProtection="1">
      <alignment horizontal="center" vertical="center" textRotation="90" wrapText="1"/>
    </xf>
    <xf numFmtId="0" fontId="50" fillId="7" borderId="41" xfId="50" applyFont="1" applyFill="1" applyBorder="1" applyAlignment="1" applyProtection="1">
      <alignment horizontal="center" vertical="center" textRotation="90" wrapText="1"/>
    </xf>
    <xf numFmtId="0" fontId="50" fillId="0" borderId="46" xfId="57" applyFont="1" applyBorder="1" applyAlignment="1" applyProtection="1">
      <alignment horizontal="center" vertical="center" textRotation="90"/>
    </xf>
    <xf numFmtId="0" fontId="50" fillId="0" borderId="92" xfId="57" applyFont="1" applyBorder="1" applyAlignment="1" applyProtection="1">
      <alignment horizontal="center" vertical="center" textRotation="90"/>
    </xf>
    <xf numFmtId="0" fontId="50" fillId="0" borderId="41" xfId="57" applyFont="1" applyBorder="1" applyAlignment="1" applyProtection="1">
      <alignment horizontal="center" vertical="center" textRotation="90"/>
    </xf>
    <xf numFmtId="0" fontId="50" fillId="7" borderId="26" xfId="50" applyFont="1" applyFill="1" applyBorder="1" applyAlignment="1" applyProtection="1">
      <alignment horizontal="center" vertical="center" textRotation="90" wrapText="1"/>
    </xf>
    <xf numFmtId="0" fontId="15" fillId="0" borderId="0" xfId="26" applyFont="1" applyAlignment="1" applyProtection="1"/>
    <xf numFmtId="0" fontId="15" fillId="4" borderId="0" xfId="26" applyFont="1" applyFill="1" applyBorder="1" applyAlignment="1" applyProtection="1">
      <alignment horizontal="left" vertical="top" indent="1"/>
      <protection locked="0"/>
    </xf>
    <xf numFmtId="0" fontId="15" fillId="0" borderId="0" xfId="26" applyFont="1" applyAlignment="1" applyProtection="1">
      <alignment horizontal="left" vertical="center"/>
    </xf>
    <xf numFmtId="0" fontId="15" fillId="0" borderId="0" xfId="69" applyFont="1" applyBorder="1" applyAlignment="1" applyProtection="1">
      <alignment vertical="center" wrapText="1"/>
    </xf>
    <xf numFmtId="0" fontId="15" fillId="4" borderId="13" xfId="0" applyFont="1" applyFill="1" applyBorder="1" applyAlignment="1" applyProtection="1">
      <alignment horizontal="right" vertical="center" indent="1"/>
      <protection locked="0"/>
    </xf>
    <xf numFmtId="0" fontId="15" fillId="4" borderId="39" xfId="0" applyFont="1" applyFill="1" applyBorder="1" applyAlignment="1" applyProtection="1">
      <alignment horizontal="right" vertical="center" indent="1"/>
      <protection locked="0"/>
    </xf>
    <xf numFmtId="0" fontId="15" fillId="4" borderId="170" xfId="0" applyFont="1" applyFill="1" applyBorder="1" applyAlignment="1" applyProtection="1">
      <alignment horizontal="right" vertical="center" indent="1"/>
      <protection locked="0"/>
    </xf>
    <xf numFmtId="6" fontId="15" fillId="0" borderId="26" xfId="53" applyNumberFormat="1" applyFont="1" applyBorder="1" applyAlignment="1" applyProtection="1">
      <alignment horizontal="left" vertical="center" indent="1"/>
    </xf>
    <xf numFmtId="165" fontId="15" fillId="0" borderId="71" xfId="53" applyNumberFormat="1" applyFont="1" applyFill="1" applyBorder="1" applyAlignment="1" applyProtection="1">
      <alignment horizontal="left" vertical="center" indent="1"/>
    </xf>
    <xf numFmtId="165" fontId="15" fillId="0" borderId="26" xfId="53" applyNumberFormat="1" applyFont="1" applyFill="1" applyBorder="1" applyAlignment="1" applyProtection="1">
      <alignment horizontal="left" vertical="center" indent="1"/>
    </xf>
    <xf numFmtId="6" fontId="39" fillId="0" borderId="26" xfId="53" applyNumberFormat="1" applyFont="1" applyBorder="1" applyAlignment="1" applyProtection="1">
      <alignment horizontal="left" vertical="center" indent="1"/>
    </xf>
    <xf numFmtId="0" fontId="25" fillId="4" borderId="99" xfId="69" applyFont="1" applyFill="1" applyBorder="1" applyAlignment="1" applyProtection="1">
      <alignment horizontal="left" vertical="top" wrapText="1"/>
      <protection locked="0"/>
    </xf>
    <xf numFmtId="0" fontId="25" fillId="4" borderId="27" xfId="69" applyFont="1" applyFill="1" applyBorder="1" applyAlignment="1" applyProtection="1">
      <alignment horizontal="left" vertical="top" wrapText="1"/>
      <protection locked="0"/>
    </xf>
    <xf numFmtId="0" fontId="25" fillId="4" borderId="71" xfId="69" applyFont="1" applyFill="1" applyBorder="1" applyAlignment="1" applyProtection="1">
      <alignment horizontal="left" vertical="top" wrapText="1"/>
      <protection locked="0"/>
    </xf>
    <xf numFmtId="0" fontId="15" fillId="0" borderId="26" xfId="0" applyFont="1" applyBorder="1" applyAlignment="1" applyProtection="1">
      <alignment horizontal="left" vertical="center" wrapText="1"/>
    </xf>
    <xf numFmtId="0" fontId="39" fillId="0" borderId="28" xfId="69" applyFont="1" applyBorder="1" applyAlignment="1" applyProtection="1">
      <alignment horizontal="center" vertical="center"/>
    </xf>
    <xf numFmtId="0" fontId="39" fillId="0" borderId="0" xfId="69" applyFont="1" applyBorder="1" applyAlignment="1" applyProtection="1">
      <alignment horizontal="center" vertical="center"/>
    </xf>
    <xf numFmtId="0" fontId="15" fillId="0" borderId="47" xfId="0" applyFont="1" applyBorder="1" applyAlignment="1" applyProtection="1">
      <alignment horizontal="center" vertical="center"/>
    </xf>
    <xf numFmtId="0" fontId="15" fillId="0" borderId="38" xfId="0" applyFont="1" applyBorder="1" applyAlignment="1" applyProtection="1">
      <alignment horizontal="center" vertical="center"/>
    </xf>
    <xf numFmtId="0" fontId="15" fillId="0" borderId="26" xfId="0" applyFont="1" applyBorder="1" applyAlignment="1" applyProtection="1">
      <alignment horizontal="left" vertical="center"/>
    </xf>
    <xf numFmtId="0" fontId="15" fillId="0" borderId="84" xfId="0" applyFont="1" applyFill="1" applyBorder="1" applyAlignment="1" applyProtection="1">
      <alignment horizontal="right" vertical="center" indent="1"/>
    </xf>
    <xf numFmtId="0" fontId="15" fillId="0" borderId="0" xfId="0" applyFont="1" applyFill="1" applyBorder="1" applyAlignment="1" applyProtection="1">
      <alignment horizontal="right" vertical="center" indent="1"/>
    </xf>
    <xf numFmtId="0" fontId="15" fillId="0" borderId="43" xfId="0" applyFont="1" applyFill="1" applyBorder="1" applyAlignment="1" applyProtection="1">
      <alignment horizontal="right" vertical="center" indent="1"/>
    </xf>
    <xf numFmtId="0" fontId="15" fillId="0" borderId="47" xfId="0" applyFont="1" applyBorder="1" applyAlignment="1" applyProtection="1">
      <alignment horizontal="left" vertical="center"/>
    </xf>
    <xf numFmtId="0" fontId="15" fillId="0" borderId="38" xfId="0" applyFont="1" applyBorder="1" applyAlignment="1" applyProtection="1">
      <alignment horizontal="left" vertical="center"/>
    </xf>
    <xf numFmtId="6" fontId="15" fillId="0" borderId="47" xfId="53" applyNumberFormat="1" applyFont="1" applyFill="1" applyBorder="1" applyAlignment="1" applyProtection="1">
      <alignment horizontal="left" vertical="center" indent="1"/>
    </xf>
    <xf numFmtId="6" fontId="15" fillId="0" borderId="28" xfId="53" applyNumberFormat="1" applyFont="1" applyFill="1" applyBorder="1" applyAlignment="1" applyProtection="1">
      <alignment horizontal="left" vertical="center" indent="1"/>
    </xf>
    <xf numFmtId="6" fontId="15" fillId="0" borderId="38" xfId="53" applyNumberFormat="1" applyFont="1" applyFill="1" applyBorder="1" applyAlignment="1" applyProtection="1">
      <alignment horizontal="left" vertical="center" indent="1"/>
    </xf>
    <xf numFmtId="6" fontId="39" fillId="0" borderId="47" xfId="53" applyNumberFormat="1" applyFont="1" applyBorder="1" applyAlignment="1" applyProtection="1">
      <alignment horizontal="left" vertical="center" indent="1"/>
    </xf>
    <xf numFmtId="6" fontId="39" fillId="0" borderId="28" xfId="53" applyNumberFormat="1" applyFont="1" applyBorder="1" applyAlignment="1" applyProtection="1">
      <alignment horizontal="left" vertical="center" indent="1"/>
    </xf>
    <xf numFmtId="6" fontId="39" fillId="0" borderId="38" xfId="53" applyNumberFormat="1" applyFont="1" applyBorder="1" applyAlignment="1" applyProtection="1">
      <alignment horizontal="left" vertical="center" indent="1"/>
    </xf>
    <xf numFmtId="0" fontId="15" fillId="0" borderId="84" xfId="69" applyFont="1" applyBorder="1" applyAlignment="1" applyProtection="1">
      <alignment horizontal="left" vertical="center" wrapText="1" indent="1"/>
    </xf>
    <xf numFmtId="0" fontId="15" fillId="0" borderId="0" xfId="69" applyFont="1" applyBorder="1" applyAlignment="1" applyProtection="1">
      <alignment horizontal="left" vertical="center" wrapText="1" indent="1"/>
    </xf>
    <xf numFmtId="0" fontId="15" fillId="0" borderId="43" xfId="69" applyFont="1" applyBorder="1" applyAlignment="1" applyProtection="1">
      <alignment horizontal="left" vertical="center" wrapText="1" indent="1"/>
    </xf>
    <xf numFmtId="6" fontId="15" fillId="0" borderId="38" xfId="69" applyNumberFormat="1" applyFont="1" applyBorder="1" applyAlignment="1" applyProtection="1">
      <alignment horizontal="left" vertical="center" wrapText="1" indent="1"/>
    </xf>
    <xf numFmtId="6" fontId="15" fillId="0" borderId="46" xfId="69" applyNumberFormat="1" applyFont="1" applyBorder="1" applyAlignment="1" applyProtection="1">
      <alignment horizontal="left" vertical="center" wrapText="1" indent="1"/>
    </xf>
    <xf numFmtId="6" fontId="15" fillId="0" borderId="26" xfId="69" applyNumberFormat="1" applyFont="1" applyBorder="1" applyAlignment="1" applyProtection="1">
      <alignment horizontal="left" vertical="center" indent="1"/>
    </xf>
    <xf numFmtId="0" fontId="15" fillId="0" borderId="47" xfId="69" applyFont="1" applyBorder="1" applyAlignment="1" applyProtection="1">
      <alignment horizontal="left" vertical="center" indent="1"/>
    </xf>
    <xf numFmtId="0" fontId="15" fillId="0" borderId="28" xfId="69" applyFont="1" applyBorder="1" applyAlignment="1" applyProtection="1">
      <alignment horizontal="left" vertical="center" indent="1"/>
    </xf>
    <xf numFmtId="0" fontId="15" fillId="0" borderId="38" xfId="69" applyFont="1" applyBorder="1" applyAlignment="1" applyProtection="1">
      <alignment horizontal="left" vertical="center" indent="1"/>
    </xf>
    <xf numFmtId="0" fontId="39" fillId="0" borderId="41" xfId="69" applyFont="1" applyBorder="1" applyAlignment="1" applyProtection="1">
      <alignment horizontal="center" vertical="center"/>
    </xf>
    <xf numFmtId="0" fontId="15" fillId="0" borderId="41" xfId="69" applyFont="1" applyBorder="1" applyAlignment="1" applyProtection="1">
      <alignment horizontal="left" vertical="center" indent="1"/>
    </xf>
    <xf numFmtId="0" fontId="39" fillId="0" borderId="41" xfId="69" applyFont="1" applyBorder="1" applyAlignment="1" applyProtection="1">
      <alignment horizontal="right" vertical="center" indent="1"/>
    </xf>
    <xf numFmtId="0" fontId="63" fillId="7" borderId="39" xfId="69" applyFont="1" applyFill="1" applyBorder="1" applyAlignment="1" applyProtection="1">
      <alignment vertical="center"/>
    </xf>
    <xf numFmtId="0" fontId="63" fillId="7" borderId="0" xfId="69" applyFont="1" applyFill="1" applyBorder="1" applyAlignment="1" applyProtection="1">
      <alignment vertical="center"/>
    </xf>
    <xf numFmtId="0" fontId="15" fillId="0" borderId="47" xfId="69" applyFont="1" applyBorder="1" applyAlignment="1" applyProtection="1">
      <alignment horizontal="left" vertical="center" wrapText="1" indent="1"/>
    </xf>
    <xf numFmtId="0" fontId="15" fillId="0" borderId="28" xfId="69" applyFont="1" applyBorder="1" applyAlignment="1" applyProtection="1">
      <alignment horizontal="left" vertical="center" wrapText="1" indent="1"/>
    </xf>
    <xf numFmtId="0" fontId="15" fillId="0" borderId="38" xfId="69" applyFont="1" applyBorder="1" applyAlignment="1" applyProtection="1">
      <alignment horizontal="left" vertical="center" wrapText="1" indent="1"/>
    </xf>
    <xf numFmtId="6" fontId="15" fillId="0" borderId="170" xfId="70" applyNumberFormat="1" applyFont="1" applyFill="1" applyBorder="1" applyAlignment="1" applyProtection="1">
      <alignment horizontal="left" vertical="center" indent="1"/>
    </xf>
    <xf numFmtId="6" fontId="15" fillId="0" borderId="41" xfId="70" applyNumberFormat="1" applyFont="1" applyFill="1" applyBorder="1" applyAlignment="1" applyProtection="1">
      <alignment horizontal="left" vertical="center" indent="1"/>
    </xf>
    <xf numFmtId="6" fontId="15" fillId="0" borderId="41" xfId="69" applyNumberFormat="1" applyFont="1" applyBorder="1" applyAlignment="1" applyProtection="1">
      <alignment horizontal="left" vertical="center" indent="1"/>
    </xf>
    <xf numFmtId="0" fontId="15" fillId="0" borderId="41" xfId="69" applyFont="1" applyBorder="1" applyAlignment="1" applyProtection="1">
      <alignment horizontal="center" vertical="center"/>
    </xf>
    <xf numFmtId="0" fontId="15" fillId="0" borderId="47" xfId="69" applyFont="1" applyBorder="1" applyAlignment="1" applyProtection="1">
      <alignment horizontal="center" vertical="center"/>
    </xf>
    <xf numFmtId="0" fontId="15" fillId="0" borderId="84" xfId="69" applyFont="1" applyBorder="1" applyAlignment="1" applyProtection="1">
      <alignment horizontal="center" vertical="center"/>
    </xf>
    <xf numFmtId="0" fontId="15" fillId="0" borderId="13" xfId="69" applyFont="1" applyBorder="1" applyAlignment="1" applyProtection="1">
      <alignment horizontal="center" vertical="center"/>
    </xf>
    <xf numFmtId="6" fontId="15" fillId="0" borderId="71" xfId="69" applyNumberFormat="1" applyFont="1" applyBorder="1" applyAlignment="1" applyProtection="1">
      <alignment horizontal="left" vertical="center" indent="1"/>
    </xf>
    <xf numFmtId="0" fontId="15" fillId="0" borderId="13" xfId="69" applyFont="1" applyBorder="1" applyAlignment="1" applyProtection="1">
      <alignment horizontal="left" vertical="center" indent="1"/>
    </xf>
    <xf numFmtId="0" fontId="15" fillId="0" borderId="39" xfId="69" applyFont="1" applyBorder="1" applyAlignment="1" applyProtection="1">
      <alignment horizontal="left" vertical="center" indent="1"/>
    </xf>
    <xf numFmtId="0" fontId="15" fillId="0" borderId="170" xfId="69" applyFont="1" applyBorder="1" applyAlignment="1" applyProtection="1">
      <alignment horizontal="left" vertical="center" indent="1"/>
    </xf>
    <xf numFmtId="6" fontId="15" fillId="7" borderId="71" xfId="69" applyNumberFormat="1" applyFont="1" applyFill="1" applyBorder="1" applyAlignment="1" applyProtection="1">
      <alignment horizontal="left" vertical="center" indent="1"/>
    </xf>
    <xf numFmtId="6" fontId="15" fillId="7" borderId="26" xfId="69" applyNumberFormat="1" applyFont="1" applyFill="1" applyBorder="1" applyAlignment="1" applyProtection="1">
      <alignment horizontal="left" vertical="center" indent="1"/>
    </xf>
    <xf numFmtId="0" fontId="35" fillId="0" borderId="0" xfId="69" applyFont="1" applyBorder="1" applyAlignment="1" applyProtection="1">
      <alignment horizontal="center" vertical="center"/>
    </xf>
    <xf numFmtId="0" fontId="15" fillId="0" borderId="26" xfId="0" applyFont="1" applyBorder="1" applyAlignment="1" applyProtection="1">
      <alignment horizontal="center" vertical="center" wrapText="1"/>
    </xf>
    <xf numFmtId="0" fontId="15" fillId="0" borderId="39" xfId="69" applyFont="1" applyBorder="1" applyAlignment="1" applyProtection="1">
      <alignment horizontal="center" vertical="center" wrapText="1"/>
    </xf>
    <xf numFmtId="0" fontId="15" fillId="0" borderId="170" xfId="69" applyFont="1" applyBorder="1" applyAlignment="1" applyProtection="1">
      <alignment horizontal="center" vertical="center" wrapText="1"/>
    </xf>
    <xf numFmtId="0" fontId="15" fillId="0" borderId="84" xfId="69" applyFont="1" applyBorder="1" applyAlignment="1" applyProtection="1">
      <alignment horizontal="center" vertical="center" wrapText="1"/>
    </xf>
    <xf numFmtId="0" fontId="15" fillId="0" borderId="0" xfId="69" applyFont="1" applyBorder="1" applyAlignment="1" applyProtection="1">
      <alignment horizontal="center" vertical="center" wrapText="1"/>
    </xf>
    <xf numFmtId="0" fontId="15" fillId="0" borderId="43" xfId="69" applyFont="1" applyBorder="1" applyAlignment="1" applyProtection="1">
      <alignment horizontal="center" vertical="center" wrapText="1"/>
    </xf>
    <xf numFmtId="0" fontId="15" fillId="0" borderId="13" xfId="69" applyFont="1" applyBorder="1" applyAlignment="1" applyProtection="1">
      <alignment horizontal="center" vertical="center" wrapText="1"/>
    </xf>
    <xf numFmtId="0" fontId="15" fillId="0" borderId="99" xfId="0" applyFont="1" applyBorder="1" applyAlignment="1" applyProtection="1">
      <alignment horizontal="left" vertical="center" wrapText="1" indent="1"/>
    </xf>
    <xf numFmtId="0" fontId="15" fillId="0" borderId="27" xfId="0" applyFont="1" applyBorder="1" applyAlignment="1" applyProtection="1">
      <alignment horizontal="left" vertical="center" wrapText="1" indent="1"/>
    </xf>
    <xf numFmtId="0" fontId="15" fillId="0" borderId="71" xfId="0" applyFont="1" applyBorder="1" applyAlignment="1" applyProtection="1">
      <alignment horizontal="left" vertical="center" wrapText="1" indent="1"/>
    </xf>
    <xf numFmtId="6" fontId="15" fillId="0" borderId="99" xfId="0" applyNumberFormat="1" applyFont="1" applyBorder="1" applyAlignment="1" applyProtection="1">
      <alignment horizontal="left" vertical="center" wrapText="1" indent="1"/>
    </xf>
    <xf numFmtId="6" fontId="17" fillId="0" borderId="47" xfId="0" applyNumberFormat="1" applyFont="1" applyBorder="1" applyAlignment="1" applyProtection="1">
      <alignment horizontal="center" vertical="center" wrapText="1"/>
    </xf>
    <xf numFmtId="6" fontId="17" fillId="0" borderId="28" xfId="0" applyNumberFormat="1" applyFont="1" applyBorder="1" applyAlignment="1" applyProtection="1">
      <alignment horizontal="center" vertical="center" wrapText="1"/>
    </xf>
    <xf numFmtId="6" fontId="17" fillId="0" borderId="38" xfId="0" applyNumberFormat="1" applyFont="1" applyBorder="1" applyAlignment="1" applyProtection="1">
      <alignment horizontal="center" vertical="center" wrapText="1"/>
    </xf>
    <xf numFmtId="6" fontId="17" fillId="0" borderId="13" xfId="0" applyNumberFormat="1" applyFont="1" applyBorder="1" applyAlignment="1" applyProtection="1">
      <alignment horizontal="center" vertical="center" wrapText="1"/>
    </xf>
    <xf numFmtId="6" fontId="17" fillId="0" borderId="39" xfId="0" applyNumberFormat="1" applyFont="1" applyBorder="1" applyAlignment="1" applyProtection="1">
      <alignment horizontal="center" vertical="center" wrapText="1"/>
    </xf>
    <xf numFmtId="6" fontId="17" fillId="0" borderId="170" xfId="0" applyNumberFormat="1" applyFont="1" applyBorder="1" applyAlignment="1" applyProtection="1">
      <alignment horizontal="center" vertical="center" wrapText="1"/>
    </xf>
    <xf numFmtId="6" fontId="15" fillId="0" borderId="13" xfId="53" applyNumberFormat="1" applyFont="1" applyFill="1" applyBorder="1" applyAlignment="1" applyProtection="1">
      <alignment horizontal="left" vertical="center" indent="1"/>
    </xf>
    <xf numFmtId="6" fontId="15" fillId="0" borderId="39" xfId="53" applyNumberFormat="1" applyFont="1" applyFill="1" applyBorder="1" applyAlignment="1" applyProtection="1">
      <alignment horizontal="left" vertical="center" indent="1"/>
    </xf>
    <xf numFmtId="6" fontId="15" fillId="0" borderId="170" xfId="53" applyNumberFormat="1" applyFont="1" applyFill="1" applyBorder="1" applyAlignment="1" applyProtection="1">
      <alignment horizontal="left" vertical="center" indent="1"/>
    </xf>
    <xf numFmtId="6" fontId="39" fillId="0" borderId="13" xfId="53" applyNumberFormat="1" applyFont="1" applyBorder="1" applyAlignment="1" applyProtection="1">
      <alignment horizontal="left" vertical="center" indent="1"/>
    </xf>
    <xf numFmtId="6" fontId="39" fillId="0" borderId="39" xfId="53" applyNumberFormat="1" applyFont="1" applyBorder="1" applyAlignment="1" applyProtection="1">
      <alignment horizontal="left" vertical="center" indent="1"/>
    </xf>
    <xf numFmtId="6" fontId="39" fillId="0" borderId="170" xfId="53" applyNumberFormat="1" applyFont="1" applyBorder="1" applyAlignment="1" applyProtection="1">
      <alignment horizontal="left" vertical="center" indent="1"/>
    </xf>
    <xf numFmtId="6" fontId="17" fillId="0" borderId="99" xfId="53" applyNumberFormat="1" applyFont="1" applyFill="1" applyBorder="1" applyAlignment="1" applyProtection="1">
      <alignment horizontal="left" vertical="center" indent="1"/>
    </xf>
    <xf numFmtId="6" fontId="17" fillId="0" borderId="27" xfId="53" applyNumberFormat="1" applyFont="1" applyFill="1" applyBorder="1" applyAlignment="1" applyProtection="1">
      <alignment horizontal="left" vertical="center" indent="1"/>
    </xf>
    <xf numFmtId="6" fontId="17" fillId="0" borderId="71" xfId="53" applyNumberFormat="1" applyFont="1" applyFill="1" applyBorder="1" applyAlignment="1" applyProtection="1">
      <alignment horizontal="left" vertical="center" indent="1"/>
    </xf>
    <xf numFmtId="6" fontId="15" fillId="0" borderId="99" xfId="53" applyNumberFormat="1" applyFont="1" applyFill="1" applyBorder="1" applyAlignment="1" applyProtection="1">
      <alignment horizontal="left" vertical="center" indent="1"/>
    </xf>
    <xf numFmtId="6" fontId="15" fillId="0" borderId="27" xfId="53" applyNumberFormat="1" applyFont="1" applyFill="1" applyBorder="1" applyAlignment="1" applyProtection="1">
      <alignment horizontal="left" vertical="center" indent="1"/>
    </xf>
    <xf numFmtId="6" fontId="15" fillId="0" borderId="71" xfId="53" applyNumberFormat="1" applyFont="1" applyFill="1" applyBorder="1" applyAlignment="1" applyProtection="1">
      <alignment horizontal="left" vertical="center" indent="1"/>
    </xf>
    <xf numFmtId="0" fontId="63" fillId="7" borderId="39" xfId="69" applyFont="1" applyFill="1" applyBorder="1" applyAlignment="1" applyProtection="1">
      <alignment horizontal="left" vertical="center"/>
    </xf>
    <xf numFmtId="0" fontId="15" fillId="0" borderId="47" xfId="0" applyFont="1" applyBorder="1" applyAlignment="1" applyProtection="1">
      <alignment horizontal="center" vertical="center" wrapText="1"/>
    </xf>
    <xf numFmtId="0" fontId="15" fillId="0" borderId="28" xfId="0" applyFont="1" applyBorder="1" applyAlignment="1" applyProtection="1">
      <alignment horizontal="center" vertical="center" wrapText="1"/>
    </xf>
    <xf numFmtId="0" fontId="15" fillId="0" borderId="38" xfId="0" applyFont="1" applyBorder="1" applyAlignment="1" applyProtection="1">
      <alignment horizontal="center" vertical="center" wrapText="1"/>
    </xf>
    <xf numFmtId="0" fontId="39" fillId="0" borderId="47" xfId="0" applyFont="1" applyBorder="1" applyAlignment="1" applyProtection="1">
      <alignment horizontal="left" vertical="center" wrapText="1"/>
    </xf>
    <xf numFmtId="0" fontId="39" fillId="0" borderId="28" xfId="0" applyFont="1" applyBorder="1" applyAlignment="1" applyProtection="1">
      <alignment horizontal="left" vertical="center"/>
    </xf>
    <xf numFmtId="0" fontId="39" fillId="0" borderId="38" xfId="0" applyFont="1" applyBorder="1" applyAlignment="1" applyProtection="1">
      <alignment horizontal="left" vertical="center"/>
    </xf>
    <xf numFmtId="0" fontId="15" fillId="0" borderId="47" xfId="0" applyFont="1" applyFill="1" applyBorder="1" applyAlignment="1" applyProtection="1">
      <alignment horizontal="right" vertical="center" indent="1"/>
    </xf>
    <xf numFmtId="0" fontId="15" fillId="0" borderId="28" xfId="0" applyFont="1" applyFill="1" applyBorder="1" applyAlignment="1" applyProtection="1">
      <alignment horizontal="right" vertical="center" indent="1"/>
    </xf>
    <xf numFmtId="0" fontId="15" fillId="0" borderId="38" xfId="0" applyFont="1" applyFill="1" applyBorder="1" applyAlignment="1" applyProtection="1">
      <alignment horizontal="right" vertical="center" indent="1"/>
    </xf>
    <xf numFmtId="0" fontId="25" fillId="0" borderId="0" xfId="69" applyFont="1" applyAlignment="1" applyProtection="1">
      <alignment horizontal="center" wrapText="1"/>
    </xf>
    <xf numFmtId="0" fontId="25" fillId="0" borderId="99" xfId="0" applyFont="1" applyBorder="1" applyAlignment="1" applyProtection="1">
      <alignment horizontal="left" vertical="center" wrapText="1" indent="1"/>
    </xf>
    <xf numFmtId="0" fontId="25" fillId="0" borderId="27" xfId="0" applyFont="1" applyBorder="1" applyAlignment="1" applyProtection="1">
      <alignment horizontal="left" vertical="center" wrapText="1" indent="1"/>
    </xf>
    <xf numFmtId="0" fontId="25" fillId="0" borderId="71" xfId="0" applyFont="1" applyBorder="1" applyAlignment="1" applyProtection="1">
      <alignment horizontal="left" vertical="center" wrapText="1" indent="1"/>
    </xf>
    <xf numFmtId="1" fontId="25" fillId="4" borderId="26" xfId="0" applyNumberFormat="1" applyFont="1" applyFill="1" applyBorder="1" applyAlignment="1" applyProtection="1">
      <alignment horizontal="left" vertical="center" indent="1"/>
      <protection locked="0"/>
    </xf>
    <xf numFmtId="0" fontId="26" fillId="0" borderId="99" xfId="0" applyFont="1" applyBorder="1" applyAlignment="1" applyProtection="1">
      <alignment horizontal="left" vertical="center" wrapText="1" indent="1"/>
    </xf>
    <xf numFmtId="0" fontId="26" fillId="0" borderId="27" xfId="0" applyFont="1" applyBorder="1" applyAlignment="1" applyProtection="1">
      <alignment horizontal="left" vertical="center" wrapText="1" indent="1"/>
    </xf>
    <xf numFmtId="0" fontId="26" fillId="0" borderId="71" xfId="0" applyFont="1" applyBorder="1" applyAlignment="1" applyProtection="1">
      <alignment horizontal="left" vertical="center" wrapText="1" indent="1"/>
    </xf>
    <xf numFmtId="165" fontId="39" fillId="0" borderId="46" xfId="3" applyNumberFormat="1" applyFont="1" applyBorder="1" applyAlignment="1" applyProtection="1">
      <alignment horizontal="left" vertical="center" indent="1"/>
    </xf>
    <xf numFmtId="0" fontId="15" fillId="4" borderId="26" xfId="53" applyNumberFormat="1" applyFont="1" applyFill="1" applyBorder="1" applyAlignment="1" applyProtection="1">
      <alignment horizontal="center" vertical="center"/>
      <protection locked="0"/>
    </xf>
    <xf numFmtId="0" fontId="15" fillId="0" borderId="47" xfId="0" applyFont="1" applyBorder="1" applyAlignment="1" applyProtection="1">
      <alignment horizontal="left" vertical="center" wrapText="1" indent="1"/>
    </xf>
    <xf numFmtId="0" fontId="15" fillId="0" borderId="28" xfId="0" applyFont="1" applyBorder="1" applyAlignment="1" applyProtection="1">
      <alignment horizontal="left" vertical="center" indent="1"/>
    </xf>
    <xf numFmtId="0" fontId="15" fillId="0" borderId="38" xfId="0" applyFont="1" applyBorder="1" applyAlignment="1" applyProtection="1">
      <alignment horizontal="left" vertical="center" indent="1"/>
    </xf>
    <xf numFmtId="165" fontId="15" fillId="4" borderId="47" xfId="0" applyNumberFormat="1" applyFont="1" applyFill="1" applyBorder="1" applyAlignment="1" applyProtection="1">
      <alignment horizontal="left" vertical="center" indent="1"/>
      <protection locked="0"/>
    </xf>
    <xf numFmtId="165" fontId="15" fillId="4" borderId="28" xfId="0" applyNumberFormat="1" applyFont="1" applyFill="1" applyBorder="1" applyAlignment="1" applyProtection="1">
      <alignment horizontal="left" vertical="center" indent="1"/>
      <protection locked="0"/>
    </xf>
    <xf numFmtId="165" fontId="15" fillId="4" borderId="38" xfId="0" applyNumberFormat="1" applyFont="1" applyFill="1" applyBorder="1" applyAlignment="1" applyProtection="1">
      <alignment horizontal="left" vertical="center" indent="1"/>
      <protection locked="0"/>
    </xf>
    <xf numFmtId="0" fontId="15" fillId="0" borderId="99" xfId="0" applyFont="1" applyBorder="1" applyAlignment="1" applyProtection="1">
      <alignment horizontal="left" vertical="center" indent="1"/>
    </xf>
    <xf numFmtId="0" fontId="15" fillId="0" borderId="27" xfId="0" applyFont="1" applyBorder="1" applyAlignment="1" applyProtection="1">
      <alignment horizontal="left" vertical="center" indent="1"/>
    </xf>
    <xf numFmtId="0" fontId="15" fillId="0" borderId="71" xfId="0" applyFont="1" applyBorder="1" applyAlignment="1" applyProtection="1">
      <alignment horizontal="left" vertical="center" indent="1"/>
    </xf>
    <xf numFmtId="0" fontId="25" fillId="0" borderId="0" xfId="69" applyFont="1" applyFill="1" applyAlignment="1" applyProtection="1">
      <alignment horizontal="center" vertical="center" wrapText="1"/>
    </xf>
    <xf numFmtId="0" fontId="39" fillId="0" borderId="46" xfId="0" applyFont="1" applyBorder="1" applyAlignment="1" applyProtection="1">
      <alignment horizontal="right" vertical="center" indent="1"/>
    </xf>
    <xf numFmtId="165" fontId="15" fillId="4" borderId="26" xfId="53" applyNumberFormat="1" applyFont="1" applyFill="1" applyBorder="1" applyAlignment="1" applyProtection="1">
      <alignment horizontal="left" vertical="center" indent="1"/>
      <protection locked="0"/>
    </xf>
    <xf numFmtId="0" fontId="15" fillId="0" borderId="13" xfId="0" applyFont="1" applyFill="1" applyBorder="1" applyAlignment="1" applyProtection="1">
      <alignment horizontal="right" vertical="center" indent="1"/>
    </xf>
    <xf numFmtId="0" fontId="15" fillId="0" borderId="39" xfId="0" applyFont="1" applyFill="1" applyBorder="1" applyAlignment="1" applyProtection="1">
      <alignment horizontal="right" vertical="center" indent="1"/>
    </xf>
    <xf numFmtId="0" fontId="15" fillId="0" borderId="170" xfId="0" applyFont="1" applyFill="1" applyBorder="1" applyAlignment="1" applyProtection="1">
      <alignment horizontal="right" vertical="center" indent="1"/>
    </xf>
    <xf numFmtId="0" fontId="39" fillId="0" borderId="0" xfId="0" applyFont="1" applyAlignment="1" applyProtection="1">
      <alignment horizontal="center" vertical="center"/>
    </xf>
    <xf numFmtId="0" fontId="39" fillId="0" borderId="0" xfId="0" applyFont="1" applyBorder="1" applyAlignment="1" applyProtection="1">
      <alignment horizontal="right" vertical="center" wrapText="1" indent="1"/>
    </xf>
    <xf numFmtId="0" fontId="15" fillId="4" borderId="26" xfId="0" applyFont="1" applyFill="1" applyBorder="1" applyAlignment="1" applyProtection="1">
      <alignment horizontal="left" vertical="top" wrapText="1"/>
      <protection locked="0"/>
    </xf>
    <xf numFmtId="0" fontId="15" fillId="0" borderId="26" xfId="0" applyFont="1" applyBorder="1" applyAlignment="1" applyProtection="1">
      <alignment horizontal="left" vertical="center" wrapText="1" indent="1"/>
    </xf>
    <xf numFmtId="165" fontId="15" fillId="0" borderId="26" xfId="0" applyNumberFormat="1" applyFont="1" applyBorder="1" applyAlignment="1" applyProtection="1">
      <alignment horizontal="left" vertical="center" indent="1"/>
    </xf>
    <xf numFmtId="0" fontId="26" fillId="0" borderId="26" xfId="0" applyFont="1" applyBorder="1" applyAlignment="1" applyProtection="1">
      <alignment horizontal="left" vertical="center" wrapText="1" indent="1"/>
    </xf>
    <xf numFmtId="165" fontId="39" fillId="0" borderId="26" xfId="3" applyNumberFormat="1" applyFont="1" applyBorder="1" applyAlignment="1" applyProtection="1">
      <alignment horizontal="left" vertical="center" indent="1"/>
    </xf>
    <xf numFmtId="165" fontId="25" fillId="4" borderId="41" xfId="0" applyNumberFormat="1" applyFont="1" applyFill="1" applyBorder="1" applyAlignment="1" applyProtection="1">
      <alignment horizontal="left" vertical="center" indent="1"/>
      <protection locked="0"/>
    </xf>
    <xf numFmtId="0" fontId="15" fillId="0" borderId="46" xfId="74" applyFont="1" applyBorder="1" applyAlignment="1">
      <alignment horizontal="center" vertical="center" wrapText="1"/>
    </xf>
    <xf numFmtId="0" fontId="15" fillId="0" borderId="41" xfId="74" applyFont="1" applyBorder="1" applyAlignment="1">
      <alignment horizontal="center" vertical="center" wrapText="1"/>
    </xf>
    <xf numFmtId="0" fontId="15" fillId="41" borderId="97" xfId="74" applyFont="1" applyFill="1" applyBorder="1" applyAlignment="1">
      <alignment horizontal="center" vertical="center" wrapText="1"/>
    </xf>
    <xf numFmtId="0" fontId="15" fillId="41" borderId="102" xfId="74" applyFont="1" applyFill="1" applyBorder="1" applyAlignment="1">
      <alignment horizontal="center" vertical="center" wrapText="1"/>
    </xf>
    <xf numFmtId="0" fontId="15" fillId="41" borderId="98" xfId="74" applyFont="1" applyFill="1" applyBorder="1" applyAlignment="1">
      <alignment horizontal="center" vertical="center" wrapText="1"/>
    </xf>
    <xf numFmtId="0" fontId="15" fillId="41" borderId="103" xfId="74" applyFont="1" applyFill="1" applyBorder="1" applyAlignment="1">
      <alignment horizontal="center" vertical="center" wrapText="1"/>
    </xf>
    <xf numFmtId="0" fontId="25" fillId="0" borderId="47" xfId="74" applyFont="1" applyBorder="1" applyAlignment="1">
      <alignment horizontal="center" vertical="center" wrapText="1"/>
    </xf>
    <xf numFmtId="0" fontId="25" fillId="0" borderId="38" xfId="74" applyFont="1" applyBorder="1" applyAlignment="1">
      <alignment horizontal="center" vertical="center" wrapText="1"/>
    </xf>
    <xf numFmtId="0" fontId="25" fillId="0" borderId="84" xfId="74" applyFont="1" applyBorder="1" applyAlignment="1">
      <alignment horizontal="center" vertical="center" wrapText="1"/>
    </xf>
    <xf numFmtId="0" fontId="25" fillId="0" borderId="43" xfId="74" applyFont="1" applyBorder="1" applyAlignment="1">
      <alignment horizontal="center" vertical="center" wrapText="1"/>
    </xf>
    <xf numFmtId="0" fontId="15" fillId="0" borderId="26" xfId="74" applyFont="1" applyBorder="1" applyAlignment="1">
      <alignment horizontal="center" vertical="center"/>
    </xf>
    <xf numFmtId="0" fontId="15" fillId="0" borderId="46" xfId="74" applyFont="1" applyBorder="1" applyAlignment="1">
      <alignment horizontal="center" vertical="center"/>
    </xf>
    <xf numFmtId="0" fontId="25" fillId="0" borderId="46" xfId="74" applyFont="1" applyBorder="1" applyAlignment="1">
      <alignment horizontal="center" vertical="center" wrapText="1"/>
    </xf>
    <xf numFmtId="0" fontId="25" fillId="0" borderId="92" xfId="74" applyFont="1" applyBorder="1" applyAlignment="1">
      <alignment horizontal="center" vertical="center" wrapText="1"/>
    </xf>
    <xf numFmtId="0" fontId="10" fillId="0" borderId="26" xfId="8" applyFont="1" applyFill="1" applyBorder="1" applyAlignment="1" applyProtection="1">
      <alignment horizontal="center" vertical="center"/>
    </xf>
    <xf numFmtId="10" fontId="15" fillId="0" borderId="0" xfId="8" applyNumberFormat="1" applyFont="1" applyBorder="1" applyAlignment="1" applyProtection="1">
      <alignment horizontal="center" vertical="center" wrapText="1"/>
    </xf>
    <xf numFmtId="0" fontId="15" fillId="0" borderId="84" xfId="74" applyFont="1" applyBorder="1" applyAlignment="1">
      <alignment horizontal="center" vertical="center"/>
    </xf>
    <xf numFmtId="0" fontId="15" fillId="0" borderId="0" xfId="74" applyFont="1" applyBorder="1" applyAlignment="1">
      <alignment horizontal="center" vertical="center"/>
    </xf>
    <xf numFmtId="9" fontId="15" fillId="0" borderId="47" xfId="74" applyNumberFormat="1" applyFont="1" applyBorder="1" applyAlignment="1">
      <alignment horizontal="center" vertical="center"/>
    </xf>
    <xf numFmtId="9" fontId="15" fillId="0" borderId="28" xfId="74" applyNumberFormat="1" applyFont="1" applyBorder="1" applyAlignment="1">
      <alignment horizontal="center" vertical="center"/>
    </xf>
    <xf numFmtId="9" fontId="15" fillId="0" borderId="84" xfId="74" applyNumberFormat="1" applyFont="1" applyBorder="1" applyAlignment="1">
      <alignment horizontal="center" vertical="center"/>
    </xf>
    <xf numFmtId="9" fontId="15" fillId="0" borderId="104" xfId="74" applyNumberFormat="1" applyFont="1" applyBorder="1" applyAlignment="1">
      <alignment horizontal="center" vertical="center"/>
    </xf>
    <xf numFmtId="0" fontId="15" fillId="0" borderId="104" xfId="74" applyFont="1" applyBorder="1" applyAlignment="1">
      <alignment horizontal="center" vertical="center"/>
    </xf>
    <xf numFmtId="164" fontId="30" fillId="0" borderId="46" xfId="8" applyNumberFormat="1" applyFont="1" applyBorder="1" applyAlignment="1" applyProtection="1">
      <alignment horizontal="center" vertical="center"/>
    </xf>
    <xf numFmtId="0" fontId="104" fillId="45" borderId="134" xfId="74" applyFont="1" applyFill="1" applyBorder="1" applyAlignment="1">
      <alignment horizontal="center" vertical="center"/>
    </xf>
    <xf numFmtId="0" fontId="104" fillId="45" borderId="135" xfId="74" applyFont="1" applyFill="1" applyBorder="1" applyAlignment="1">
      <alignment horizontal="center" vertical="center"/>
    </xf>
    <xf numFmtId="0" fontId="104" fillId="45" borderId="142" xfId="74" applyFont="1" applyFill="1" applyBorder="1" applyAlignment="1">
      <alignment horizontal="center" vertical="center"/>
    </xf>
    <xf numFmtId="0" fontId="104" fillId="44" borderId="128" xfId="74" applyFont="1" applyFill="1" applyBorder="1" applyAlignment="1">
      <alignment horizontal="center" vertical="center" wrapText="1"/>
    </xf>
    <xf numFmtId="0" fontId="104" fillId="44" borderId="0" xfId="74" applyFont="1" applyFill="1" applyBorder="1" applyAlignment="1">
      <alignment horizontal="center" vertical="center" wrapText="1"/>
    </xf>
    <xf numFmtId="0" fontId="104" fillId="44" borderId="147" xfId="74" applyFont="1" applyFill="1" applyBorder="1" applyAlignment="1">
      <alignment horizontal="center" vertical="center" wrapText="1"/>
    </xf>
    <xf numFmtId="164" fontId="30" fillId="0" borderId="84" xfId="8" applyNumberFormat="1" applyFont="1" applyBorder="1" applyAlignment="1" applyProtection="1">
      <alignment horizontal="center" vertical="center"/>
    </xf>
    <xf numFmtId="164" fontId="30" fillId="0" borderId="0" xfId="8" applyNumberFormat="1" applyFont="1" applyBorder="1" applyAlignment="1" applyProtection="1">
      <alignment horizontal="center" vertical="center"/>
    </xf>
    <xf numFmtId="164" fontId="30" fillId="0" borderId="168" xfId="8" applyNumberFormat="1" applyFont="1" applyBorder="1" applyAlignment="1" applyProtection="1">
      <alignment horizontal="center" vertical="center"/>
    </xf>
    <xf numFmtId="164" fontId="30" fillId="0" borderId="169" xfId="8" applyNumberFormat="1" applyFont="1" applyBorder="1" applyAlignment="1" applyProtection="1">
      <alignment horizontal="center" vertical="center"/>
    </xf>
    <xf numFmtId="0" fontId="25" fillId="0" borderId="0" xfId="74" applyFont="1" applyAlignment="1">
      <alignment horizontal="center" vertical="center"/>
    </xf>
    <xf numFmtId="0" fontId="25" fillId="0" borderId="0" xfId="74" applyFont="1" applyAlignment="1">
      <alignment horizontal="center" vertical="center" wrapText="1"/>
    </xf>
    <xf numFmtId="0" fontId="15" fillId="0" borderId="72" xfId="26" applyFont="1" applyBorder="1" applyAlignment="1">
      <alignment horizontal="center" vertical="center" wrapText="1"/>
    </xf>
    <xf numFmtId="0" fontId="15" fillId="0" borderId="73" xfId="26" applyFont="1" applyBorder="1" applyAlignment="1">
      <alignment horizontal="center" vertical="center" wrapText="1"/>
    </xf>
    <xf numFmtId="0" fontId="15" fillId="0" borderId="74" xfId="26" applyFont="1" applyBorder="1" applyAlignment="1">
      <alignment horizontal="center" vertical="center" wrapText="1"/>
    </xf>
    <xf numFmtId="0" fontId="26" fillId="0" borderId="26" xfId="79" applyFont="1" applyBorder="1" applyAlignment="1">
      <alignment horizontal="center"/>
    </xf>
    <xf numFmtId="165" fontId="15" fillId="0" borderId="72" xfId="0" applyNumberFormat="1" applyFont="1" applyFill="1" applyBorder="1" applyAlignment="1" applyProtection="1">
      <alignment horizontal="center" vertical="center" wrapText="1"/>
    </xf>
    <xf numFmtId="165" fontId="15" fillId="0" borderId="73" xfId="0" applyNumberFormat="1" applyFont="1" applyFill="1" applyBorder="1" applyAlignment="1" applyProtection="1">
      <alignment horizontal="center" vertical="center" wrapText="1"/>
    </xf>
    <xf numFmtId="165" fontId="15" fillId="0" borderId="74" xfId="0" applyNumberFormat="1" applyFont="1" applyFill="1" applyBorder="1" applyAlignment="1" applyProtection="1">
      <alignment horizontal="center" vertical="center" wrapText="1"/>
    </xf>
    <xf numFmtId="0" fontId="48" fillId="0" borderId="99" xfId="26" applyFont="1" applyBorder="1" applyAlignment="1">
      <alignment horizontal="center" vertical="center" wrapText="1"/>
    </xf>
    <xf numFmtId="0" fontId="48" fillId="0" borderId="27" xfId="26" applyFont="1" applyBorder="1" applyAlignment="1">
      <alignment horizontal="center" vertical="center" wrapText="1"/>
    </xf>
    <xf numFmtId="0" fontId="48" fillId="0" borderId="71" xfId="26" applyFont="1" applyBorder="1" applyAlignment="1">
      <alignment horizontal="center" vertical="center" wrapText="1"/>
    </xf>
    <xf numFmtId="9" fontId="48" fillId="0" borderId="99" xfId="0" applyNumberFormat="1" applyFont="1" applyFill="1" applyBorder="1" applyAlignment="1" applyProtection="1">
      <alignment horizontal="center" vertical="center"/>
    </xf>
    <xf numFmtId="9" fontId="48" fillId="0" borderId="27" xfId="0" applyNumberFormat="1" applyFont="1" applyFill="1" applyBorder="1" applyAlignment="1" applyProtection="1">
      <alignment horizontal="center" vertical="center"/>
    </xf>
    <xf numFmtId="9" fontId="48" fillId="0" borderId="71" xfId="0" applyNumberFormat="1" applyFont="1" applyFill="1" applyBorder="1" applyAlignment="1" applyProtection="1">
      <alignment horizontal="center" vertical="center"/>
    </xf>
    <xf numFmtId="0" fontId="48" fillId="0" borderId="0" xfId="79" applyFont="1" applyAlignment="1">
      <alignment horizontal="center"/>
    </xf>
    <xf numFmtId="0" fontId="25" fillId="40" borderId="67" xfId="74" applyNumberFormat="1" applyFont="1" applyFill="1" applyBorder="1" applyAlignment="1">
      <alignment horizontal="left" vertical="center" wrapText="1"/>
    </xf>
    <xf numFmtId="0" fontId="25" fillId="40" borderId="38" xfId="74" applyNumberFormat="1" applyFont="1" applyFill="1" applyBorder="1" applyAlignment="1">
      <alignment horizontal="left" vertical="center" wrapText="1"/>
    </xf>
    <xf numFmtId="0" fontId="25" fillId="40" borderId="70" xfId="74" applyNumberFormat="1" applyFont="1" applyFill="1" applyBorder="1" applyAlignment="1">
      <alignment horizontal="left" vertical="center" wrapText="1"/>
    </xf>
    <xf numFmtId="0" fontId="25" fillId="40" borderId="170" xfId="74" applyNumberFormat="1" applyFont="1" applyFill="1" applyBorder="1" applyAlignment="1">
      <alignment horizontal="left" vertical="center" wrapText="1"/>
    </xf>
    <xf numFmtId="165" fontId="25" fillId="4" borderId="47" xfId="74" applyNumberFormat="1" applyFont="1" applyFill="1" applyBorder="1" applyAlignment="1">
      <alignment horizontal="left" vertical="top"/>
    </xf>
    <xf numFmtId="165" fontId="25" fillId="4" borderId="28" xfId="74" applyNumberFormat="1" applyFont="1" applyFill="1" applyBorder="1" applyAlignment="1">
      <alignment horizontal="left" vertical="top"/>
    </xf>
    <xf numFmtId="165" fontId="25" fillId="4" borderId="38" xfId="74" applyNumberFormat="1" applyFont="1" applyFill="1" applyBorder="1" applyAlignment="1">
      <alignment horizontal="left" vertical="top"/>
    </xf>
    <xf numFmtId="165" fontId="25" fillId="4" borderId="13" xfId="74" applyNumberFormat="1" applyFont="1" applyFill="1" applyBorder="1" applyAlignment="1">
      <alignment horizontal="left" vertical="top"/>
    </xf>
    <xf numFmtId="165" fontId="25" fillId="4" borderId="39" xfId="74" applyNumberFormat="1" applyFont="1" applyFill="1" applyBorder="1" applyAlignment="1">
      <alignment horizontal="left" vertical="top"/>
    </xf>
    <xf numFmtId="165" fontId="25" fillId="4" borderId="170" xfId="74" applyNumberFormat="1" applyFont="1" applyFill="1" applyBorder="1" applyAlignment="1">
      <alignment horizontal="left" vertical="top"/>
    </xf>
    <xf numFmtId="14" fontId="15" fillId="4" borderId="26" xfId="26" applyNumberFormat="1" applyFont="1" applyFill="1" applyBorder="1" applyAlignment="1" applyProtection="1">
      <alignment horizontal="center" vertical="center" shrinkToFit="1"/>
      <protection locked="0"/>
    </xf>
    <xf numFmtId="165" fontId="15" fillId="4" borderId="26" xfId="26" applyNumberFormat="1" applyFont="1" applyFill="1" applyBorder="1" applyAlignment="1" applyProtection="1">
      <alignment horizontal="center" vertical="center" shrinkToFit="1"/>
      <protection locked="0"/>
    </xf>
    <xf numFmtId="165" fontId="15" fillId="4" borderId="58" xfId="26" applyNumberFormat="1" applyFont="1" applyFill="1" applyBorder="1" applyAlignment="1" applyProtection="1">
      <alignment horizontal="center" vertical="center" shrinkToFit="1"/>
      <protection locked="0"/>
    </xf>
    <xf numFmtId="0" fontId="15" fillId="4" borderId="26" xfId="26" applyFont="1" applyFill="1" applyBorder="1" applyAlignment="1" applyProtection="1">
      <alignment horizontal="center" vertical="center" wrapText="1"/>
      <protection locked="0"/>
    </xf>
    <xf numFmtId="0" fontId="15" fillId="4" borderId="58" xfId="26" applyFont="1" applyFill="1" applyBorder="1" applyAlignment="1" applyProtection="1">
      <alignment horizontal="center" vertical="center" wrapText="1"/>
      <protection locked="0"/>
    </xf>
    <xf numFmtId="0" fontId="15" fillId="4" borderId="60" xfId="26" applyFont="1" applyFill="1" applyBorder="1" applyAlignment="1" applyProtection="1">
      <alignment horizontal="center" vertical="center" wrapText="1"/>
      <protection locked="0"/>
    </xf>
    <xf numFmtId="0" fontId="15" fillId="4" borderId="61" xfId="26" applyFont="1" applyFill="1" applyBorder="1" applyAlignment="1" applyProtection="1">
      <alignment horizontal="center" vertical="center" wrapText="1"/>
      <protection locked="0"/>
    </xf>
    <xf numFmtId="172" fontId="15" fillId="4" borderId="26" xfId="3" applyNumberFormat="1" applyFont="1" applyFill="1" applyBorder="1" applyAlignment="1" applyProtection="1">
      <alignment horizontal="center" vertical="center"/>
      <protection locked="0"/>
    </xf>
    <xf numFmtId="0" fontId="25" fillId="0" borderId="57" xfId="74" applyFont="1" applyBorder="1" applyAlignment="1">
      <alignment horizontal="right" vertical="center" wrapText="1" indent="1"/>
    </xf>
    <xf numFmtId="0" fontId="25" fillId="0" borderId="26" xfId="74" applyFont="1" applyBorder="1" applyAlignment="1">
      <alignment horizontal="right" vertical="center" wrapText="1" indent="1"/>
    </xf>
    <xf numFmtId="0" fontId="25" fillId="0" borderId="57" xfId="74" applyFont="1" applyBorder="1" applyAlignment="1">
      <alignment horizontal="right" vertical="center" indent="1"/>
    </xf>
    <xf numFmtId="0" fontId="25" fillId="0" borderId="26" xfId="74" applyFont="1" applyBorder="1" applyAlignment="1">
      <alignment horizontal="right" vertical="center" indent="1"/>
    </xf>
    <xf numFmtId="0" fontId="25" fillId="0" borderId="57" xfId="74" applyFont="1" applyBorder="1" applyAlignment="1">
      <alignment horizontal="center" vertical="center"/>
    </xf>
    <xf numFmtId="0" fontId="25" fillId="0" borderId="26" xfId="74" applyFont="1" applyBorder="1" applyAlignment="1">
      <alignment horizontal="center" vertical="center"/>
    </xf>
    <xf numFmtId="172" fontId="15" fillId="4" borderId="58" xfId="3" applyNumberFormat="1" applyFont="1" applyFill="1" applyBorder="1" applyAlignment="1" applyProtection="1">
      <alignment horizontal="center" vertical="center"/>
      <protection locked="0"/>
    </xf>
    <xf numFmtId="14" fontId="15" fillId="4" borderId="58" xfId="26" applyNumberFormat="1" applyFont="1" applyFill="1" applyBorder="1" applyAlignment="1" applyProtection="1">
      <alignment horizontal="center" vertical="center" shrinkToFit="1"/>
      <protection locked="0"/>
    </xf>
    <xf numFmtId="0" fontId="15" fillId="4" borderId="26" xfId="26" applyFont="1" applyFill="1" applyBorder="1" applyAlignment="1" applyProtection="1">
      <alignment horizontal="center" vertical="center" shrinkToFit="1"/>
      <protection locked="0"/>
    </xf>
    <xf numFmtId="0" fontId="15" fillId="4" borderId="58" xfId="26" applyFont="1" applyFill="1" applyBorder="1" applyAlignment="1" applyProtection="1">
      <alignment horizontal="center" vertical="center" shrinkToFit="1"/>
      <protection locked="0"/>
    </xf>
    <xf numFmtId="0" fontId="25" fillId="0" borderId="59" xfId="74" applyFont="1" applyBorder="1" applyAlignment="1">
      <alignment horizontal="right" vertical="center" wrapText="1" indent="1"/>
    </xf>
    <xf numFmtId="0" fontId="25" fillId="0" borderId="60" xfId="74" applyFont="1" applyBorder="1" applyAlignment="1">
      <alignment horizontal="right" vertical="center" wrapText="1" indent="1"/>
    </xf>
    <xf numFmtId="0" fontId="26" fillId="39" borderId="157" xfId="74" applyFont="1" applyFill="1" applyBorder="1" applyAlignment="1">
      <alignment horizontal="center" vertical="center"/>
    </xf>
    <xf numFmtId="0" fontId="26" fillId="39" borderId="26" xfId="74" applyFont="1" applyFill="1" applyBorder="1" applyAlignment="1">
      <alignment horizontal="center" vertical="center"/>
    </xf>
    <xf numFmtId="0" fontId="26" fillId="39" borderId="148" xfId="74" applyFont="1" applyFill="1" applyBorder="1" applyAlignment="1">
      <alignment horizontal="center" vertical="center"/>
    </xf>
    <xf numFmtId="49" fontId="15" fillId="4" borderId="71" xfId="74" applyNumberFormat="1" applyFont="1" applyFill="1" applyBorder="1" applyAlignment="1">
      <alignment horizontal="center" vertical="center"/>
    </xf>
    <xf numFmtId="49" fontId="15" fillId="4" borderId="26" xfId="74" applyNumberFormat="1" applyFont="1" applyFill="1" applyBorder="1" applyAlignment="1">
      <alignment horizontal="center" vertical="center"/>
    </xf>
    <xf numFmtId="0" fontId="25" fillId="34" borderId="71" xfId="74" applyFont="1" applyFill="1" applyBorder="1" applyAlignment="1">
      <alignment horizontal="center" vertical="center"/>
    </xf>
    <xf numFmtId="0" fontId="25" fillId="34" borderId="26" xfId="74" applyFont="1" applyFill="1" applyBorder="1" applyAlignment="1">
      <alignment horizontal="center" vertical="center"/>
    </xf>
    <xf numFmtId="0" fontId="26" fillId="13" borderId="71" xfId="74" applyFont="1" applyFill="1" applyBorder="1" applyAlignment="1">
      <alignment horizontal="center" vertical="center"/>
    </xf>
    <xf numFmtId="0" fontId="26" fillId="13" borderId="26" xfId="74" applyFont="1" applyFill="1" applyBorder="1" applyAlignment="1">
      <alignment horizontal="center" vertical="center"/>
    </xf>
    <xf numFmtId="0" fontId="26" fillId="13" borderId="163" xfId="74" applyFont="1" applyFill="1" applyBorder="1" applyAlignment="1">
      <alignment horizontal="center" vertical="center"/>
    </xf>
    <xf numFmtId="0" fontId="25" fillId="0" borderId="71" xfId="74" applyFont="1" applyBorder="1" applyAlignment="1">
      <alignment horizontal="center" vertical="center"/>
    </xf>
    <xf numFmtId="0" fontId="15" fillId="4" borderId="41" xfId="26" applyFont="1" applyFill="1" applyBorder="1" applyAlignment="1" applyProtection="1">
      <alignment horizontal="center" vertical="center" wrapText="1"/>
      <protection locked="0"/>
    </xf>
    <xf numFmtId="0" fontId="15" fillId="4" borderId="63" xfId="26" applyFont="1" applyFill="1" applyBorder="1" applyAlignment="1" applyProtection="1">
      <alignment horizontal="center" vertical="center" wrapText="1"/>
      <protection locked="0"/>
    </xf>
    <xf numFmtId="165" fontId="120" fillId="7" borderId="26" xfId="74" applyNumberFormat="1" applyFont="1" applyFill="1" applyBorder="1" applyAlignment="1">
      <alignment horizontal="center" vertical="center"/>
    </xf>
    <xf numFmtId="0" fontId="25" fillId="0" borderId="66" xfId="74" applyFont="1" applyBorder="1" applyAlignment="1">
      <alignment horizontal="right" vertical="center" indent="1"/>
    </xf>
    <xf numFmtId="0" fontId="25" fillId="0" borderId="41" xfId="74" applyFont="1" applyBorder="1" applyAlignment="1">
      <alignment horizontal="right" vertical="center" indent="1"/>
    </xf>
    <xf numFmtId="0" fontId="26" fillId="35" borderId="70" xfId="74" applyFont="1" applyFill="1" applyBorder="1" applyAlignment="1">
      <alignment horizontal="center" vertical="center"/>
    </xf>
    <xf numFmtId="0" fontId="26" fillId="35" borderId="39" xfId="74" applyFont="1" applyFill="1" applyBorder="1" applyAlignment="1">
      <alignment horizontal="center" vertical="center"/>
    </xf>
    <xf numFmtId="0" fontId="26" fillId="35" borderId="170" xfId="74" applyFont="1" applyFill="1" applyBorder="1" applyAlignment="1">
      <alignment horizontal="center" vertical="center"/>
    </xf>
    <xf numFmtId="0" fontId="25" fillId="0" borderId="0" xfId="74" applyFont="1" applyAlignment="1">
      <alignment horizontal="center"/>
    </xf>
    <xf numFmtId="0" fontId="25" fillId="34" borderId="70" xfId="74" applyFont="1" applyFill="1" applyBorder="1" applyAlignment="1">
      <alignment horizontal="center" vertical="center"/>
    </xf>
    <xf numFmtId="0" fontId="25" fillId="34" borderId="39" xfId="74" applyFont="1" applyFill="1" applyBorder="1" applyAlignment="1">
      <alignment horizontal="center" vertical="center"/>
    </xf>
    <xf numFmtId="0" fontId="25" fillId="34" borderId="69" xfId="74" applyFont="1" applyFill="1" applyBorder="1" applyAlignment="1">
      <alignment horizontal="center" vertical="center"/>
    </xf>
    <xf numFmtId="0" fontId="25" fillId="0" borderId="158" xfId="74" applyFont="1" applyBorder="1" applyAlignment="1">
      <alignment horizontal="center" vertical="center" wrapText="1"/>
    </xf>
    <xf numFmtId="0" fontId="25" fillId="0" borderId="41" xfId="74" applyFont="1" applyBorder="1" applyAlignment="1">
      <alignment horizontal="center" vertical="center" wrapText="1"/>
    </xf>
    <xf numFmtId="0" fontId="26" fillId="4" borderId="41" xfId="74" applyFont="1" applyFill="1" applyBorder="1" applyAlignment="1">
      <alignment horizontal="center" vertical="center" wrapText="1"/>
    </xf>
    <xf numFmtId="0" fontId="26" fillId="4" borderId="166" xfId="74" applyFont="1" applyFill="1" applyBorder="1" applyAlignment="1">
      <alignment horizontal="center" vertical="center" wrapText="1"/>
    </xf>
    <xf numFmtId="49" fontId="15" fillId="4" borderId="163" xfId="74" applyNumberFormat="1" applyFont="1" applyFill="1" applyBorder="1" applyAlignment="1">
      <alignment horizontal="center" vertical="center"/>
    </xf>
    <xf numFmtId="0" fontId="25" fillId="34" borderId="163" xfId="74" applyFont="1" applyFill="1" applyBorder="1" applyAlignment="1">
      <alignment horizontal="center" vertical="center"/>
    </xf>
    <xf numFmtId="0" fontId="25" fillId="0" borderId="67" xfId="74" applyFont="1" applyBorder="1" applyAlignment="1">
      <alignment horizontal="center" vertical="center" wrapText="1"/>
    </xf>
    <xf numFmtId="0" fontId="25" fillId="0" borderId="28" xfId="74" applyFont="1" applyBorder="1" applyAlignment="1">
      <alignment horizontal="center" vertical="center" wrapText="1"/>
    </xf>
    <xf numFmtId="0" fontId="25" fillId="0" borderId="2" xfId="74" applyFont="1" applyBorder="1" applyAlignment="1">
      <alignment horizontal="center" vertical="center" wrapText="1"/>
    </xf>
    <xf numFmtId="0" fontId="25" fillId="0" borderId="0" xfId="74" applyFont="1" applyBorder="1" applyAlignment="1">
      <alignment horizontal="center" vertical="center" wrapText="1"/>
    </xf>
    <xf numFmtId="0" fontId="25" fillId="0" borderId="70" xfId="74" applyFont="1" applyBorder="1" applyAlignment="1">
      <alignment horizontal="center" vertical="center" wrapText="1"/>
    </xf>
    <xf numFmtId="0" fontId="25" fillId="0" borderId="39" xfId="74" applyFont="1" applyBorder="1" applyAlignment="1">
      <alignment horizontal="center" vertical="center" wrapText="1"/>
    </xf>
    <xf numFmtId="0" fontId="25" fillId="0" borderId="170" xfId="74" applyFont="1" applyBorder="1" applyAlignment="1">
      <alignment horizontal="center" vertical="center" wrapText="1"/>
    </xf>
    <xf numFmtId="0" fontId="25" fillId="0" borderId="47" xfId="74" applyFont="1" applyBorder="1" applyAlignment="1">
      <alignment horizontal="center" vertical="center"/>
    </xf>
    <xf numFmtId="0" fontId="25" fillId="0" borderId="28" xfId="74" applyFont="1" applyBorder="1" applyAlignment="1">
      <alignment horizontal="center" vertical="center"/>
    </xf>
    <xf numFmtId="0" fontId="15" fillId="46" borderId="80" xfId="74" applyFont="1" applyFill="1" applyBorder="1" applyAlignment="1">
      <alignment horizontal="center" vertical="center" wrapText="1"/>
    </xf>
    <xf numFmtId="0" fontId="15" fillId="46" borderId="81" xfId="74" applyFont="1" applyFill="1" applyBorder="1" applyAlignment="1">
      <alignment horizontal="center" vertical="center" wrapText="1"/>
    </xf>
    <xf numFmtId="0" fontId="15" fillId="46" borderId="82" xfId="74" applyFont="1" applyFill="1" applyBorder="1" applyAlignment="1">
      <alignment horizontal="center" vertical="center" wrapText="1"/>
    </xf>
    <xf numFmtId="0" fontId="15" fillId="0" borderId="154" xfId="74" applyFont="1" applyBorder="1" applyAlignment="1">
      <alignment horizontal="left" vertical="center" wrapText="1" indent="1"/>
    </xf>
    <xf numFmtId="0" fontId="15" fillId="0" borderId="155" xfId="74" applyFont="1" applyBorder="1" applyAlignment="1">
      <alignment horizontal="left" vertical="center" wrapText="1" indent="1"/>
    </xf>
    <xf numFmtId="0" fontId="15" fillId="0" borderId="157" xfId="74" applyFont="1" applyBorder="1" applyAlignment="1">
      <alignment horizontal="left" vertical="center" wrapText="1" indent="1"/>
    </xf>
    <xf numFmtId="0" fontId="15" fillId="0" borderId="26" xfId="74" applyFont="1" applyBorder="1" applyAlignment="1">
      <alignment horizontal="left" vertical="center" wrapText="1" indent="1"/>
    </xf>
    <xf numFmtId="0" fontId="11" fillId="0" borderId="156" xfId="4" applyBorder="1" applyAlignment="1" applyProtection="1">
      <alignment horizontal="center" vertical="center" wrapText="1"/>
    </xf>
    <xf numFmtId="0" fontId="11" fillId="0" borderId="99" xfId="4" applyBorder="1" applyAlignment="1" applyProtection="1">
      <alignment horizontal="center" vertical="center" wrapText="1"/>
    </xf>
    <xf numFmtId="0" fontId="15" fillId="41" borderId="150" xfId="74" applyFont="1" applyFill="1" applyBorder="1" applyAlignment="1">
      <alignment horizontal="center" vertical="center" wrapText="1"/>
    </xf>
    <xf numFmtId="0" fontId="15" fillId="41" borderId="151" xfId="74" applyFont="1" applyFill="1" applyBorder="1" applyAlignment="1">
      <alignment horizontal="center" vertical="center" wrapText="1"/>
    </xf>
    <xf numFmtId="164" fontId="30" fillId="0" borderId="92" xfId="8" applyNumberFormat="1" applyFont="1" applyBorder="1" applyAlignment="1" applyProtection="1">
      <alignment horizontal="center" vertical="center"/>
    </xf>
    <xf numFmtId="0" fontId="120" fillId="7" borderId="27" xfId="74" applyFont="1" applyFill="1" applyBorder="1" applyAlignment="1">
      <alignment horizontal="center" vertical="center"/>
    </xf>
    <xf numFmtId="0" fontId="120" fillId="7" borderId="71" xfId="74" applyFont="1" applyFill="1" applyBorder="1" applyAlignment="1">
      <alignment horizontal="center" vertical="center"/>
    </xf>
    <xf numFmtId="0" fontId="15" fillId="46" borderId="170" xfId="74" applyFont="1" applyFill="1" applyBorder="1" applyAlignment="1">
      <alignment horizontal="center" vertical="center"/>
    </xf>
    <xf numFmtId="0" fontId="15" fillId="46" borderId="41" xfId="74" applyFont="1" applyFill="1" applyBorder="1" applyAlignment="1">
      <alignment horizontal="center" vertical="center"/>
    </xf>
    <xf numFmtId="0" fontId="15" fillId="46" borderId="77" xfId="74" applyFont="1" applyFill="1" applyBorder="1" applyAlignment="1">
      <alignment horizontal="center" vertical="center"/>
    </xf>
    <xf numFmtId="0" fontId="15" fillId="46" borderId="71" xfId="74" applyFont="1" applyFill="1" applyBorder="1" applyAlignment="1">
      <alignment horizontal="center" vertical="center"/>
    </xf>
    <xf numFmtId="0" fontId="15" fillId="46" borderId="26" xfId="74" applyFont="1" applyFill="1" applyBorder="1" applyAlignment="1">
      <alignment horizontal="center" vertical="center"/>
    </xf>
    <xf numFmtId="0" fontId="15" fillId="46" borderId="76" xfId="74" applyFont="1" applyFill="1" applyBorder="1" applyAlignment="1">
      <alignment horizontal="center" vertical="center"/>
    </xf>
    <xf numFmtId="0" fontId="15" fillId="41" borderId="96" xfId="74" applyFont="1" applyFill="1" applyBorder="1" applyAlignment="1">
      <alignment horizontal="center" vertical="center" wrapText="1"/>
    </xf>
    <xf numFmtId="0" fontId="15" fillId="41" borderId="95" xfId="74" applyFont="1" applyFill="1" applyBorder="1" applyAlignment="1">
      <alignment horizontal="center" vertical="center" wrapText="1"/>
    </xf>
    <xf numFmtId="165" fontId="25" fillId="7" borderId="26" xfId="74" applyNumberFormat="1" applyFont="1" applyFill="1" applyBorder="1" applyAlignment="1">
      <alignment horizontal="center" vertical="center"/>
    </xf>
    <xf numFmtId="165" fontId="25" fillId="7" borderId="60" xfId="74" applyNumberFormat="1" applyFont="1" applyFill="1" applyBorder="1" applyAlignment="1">
      <alignment horizontal="center" vertical="center"/>
    </xf>
    <xf numFmtId="0" fontId="25" fillId="7" borderId="26" xfId="74" applyFont="1" applyFill="1" applyBorder="1" applyAlignment="1">
      <alignment horizontal="center" vertical="center"/>
    </xf>
    <xf numFmtId="0" fontId="25" fillId="7" borderId="26" xfId="74" applyFont="1" applyFill="1" applyBorder="1" applyAlignment="1">
      <alignment horizontal="center" vertical="center" wrapText="1"/>
    </xf>
    <xf numFmtId="0" fontId="25" fillId="35" borderId="11" xfId="74" applyFont="1" applyFill="1" applyBorder="1" applyAlignment="1">
      <alignment horizontal="center" vertical="center"/>
    </xf>
    <xf numFmtId="0" fontId="25" fillId="35" borderId="27" xfId="74" applyFont="1" applyFill="1" applyBorder="1" applyAlignment="1">
      <alignment horizontal="center" vertical="center"/>
    </xf>
    <xf numFmtId="0" fontId="25" fillId="35" borderId="71" xfId="74" applyFont="1" applyFill="1" applyBorder="1" applyAlignment="1">
      <alignment horizontal="center" vertical="center"/>
    </xf>
    <xf numFmtId="0" fontId="15" fillId="46" borderId="122" xfId="74" applyFont="1" applyFill="1" applyBorder="1" applyAlignment="1">
      <alignment horizontal="center" vertical="center" wrapText="1"/>
    </xf>
    <xf numFmtId="0" fontId="15" fillId="46" borderId="123" xfId="74" applyFont="1" applyFill="1" applyBorder="1" applyAlignment="1">
      <alignment horizontal="center" vertical="center" wrapText="1"/>
    </xf>
    <xf numFmtId="0" fontId="26" fillId="0" borderId="0" xfId="74" applyFont="1" applyBorder="1" applyAlignment="1">
      <alignment horizontal="center" vertical="center"/>
    </xf>
    <xf numFmtId="0" fontId="26" fillId="0" borderId="43" xfId="74" applyFont="1" applyBorder="1" applyAlignment="1">
      <alignment horizontal="center" vertical="center"/>
    </xf>
    <xf numFmtId="165" fontId="15" fillId="7" borderId="0" xfId="8" applyNumberFormat="1" applyFont="1" applyFill="1" applyBorder="1" applyAlignment="1" applyProtection="1">
      <alignment horizontal="center" vertical="center"/>
    </xf>
    <xf numFmtId="0" fontId="15" fillId="7" borderId="0" xfId="8" applyFont="1" applyFill="1" applyBorder="1" applyAlignment="1" applyProtection="1">
      <alignment horizontal="center" vertical="center"/>
    </xf>
    <xf numFmtId="0" fontId="15" fillId="7" borderId="0" xfId="13" applyFont="1" applyFill="1" applyBorder="1" applyAlignment="1" applyProtection="1">
      <alignment horizontal="center" vertical="center"/>
    </xf>
    <xf numFmtId="0" fontId="15" fillId="0" borderId="99" xfId="8" applyFont="1" applyFill="1" applyBorder="1" applyAlignment="1" applyProtection="1">
      <alignment horizontal="left" vertical="center"/>
    </xf>
    <xf numFmtId="0" fontId="15" fillId="0" borderId="27" xfId="8" applyFont="1" applyFill="1" applyBorder="1" applyAlignment="1" applyProtection="1">
      <alignment horizontal="left" vertical="center"/>
    </xf>
    <xf numFmtId="165" fontId="25" fillId="0" borderId="26" xfId="8" applyNumberFormat="1" applyFont="1" applyFill="1" applyBorder="1" applyAlignment="1" applyProtection="1">
      <alignment horizontal="right" vertical="center" indent="1"/>
    </xf>
    <xf numFmtId="165" fontId="25" fillId="0" borderId="99" xfId="8" applyNumberFormat="1" applyFont="1" applyFill="1" applyBorder="1" applyAlignment="1" applyProtection="1">
      <alignment horizontal="right" vertical="center" indent="1"/>
    </xf>
    <xf numFmtId="165" fontId="25" fillId="0" borderId="41" xfId="8" applyNumberFormat="1" applyFont="1" applyFill="1" applyBorder="1" applyAlignment="1" applyProtection="1">
      <alignment horizontal="right" vertical="center" indent="1"/>
    </xf>
    <xf numFmtId="165" fontId="25" fillId="0" borderId="13" xfId="8" applyNumberFormat="1" applyFont="1" applyFill="1" applyBorder="1" applyAlignment="1" applyProtection="1">
      <alignment horizontal="right" vertical="center" indent="1"/>
    </xf>
    <xf numFmtId="0" fontId="60" fillId="0" borderId="84" xfId="0" applyFont="1" applyBorder="1" applyAlignment="1">
      <alignment horizontal="center" vertical="center"/>
    </xf>
    <xf numFmtId="0" fontId="60" fillId="0" borderId="0" xfId="0" applyFont="1" applyBorder="1" applyAlignment="1">
      <alignment horizontal="center" vertical="center"/>
    </xf>
    <xf numFmtId="0" fontId="60" fillId="0" borderId="13" xfId="0" applyFont="1" applyBorder="1" applyAlignment="1">
      <alignment horizontal="center" vertical="center"/>
    </xf>
    <xf numFmtId="0" fontId="60" fillId="0" borderId="39" xfId="0" applyFont="1" applyBorder="1" applyAlignment="1">
      <alignment horizontal="center" vertical="center"/>
    </xf>
    <xf numFmtId="0" fontId="15" fillId="0" borderId="13" xfId="8" applyFont="1" applyFill="1" applyBorder="1" applyAlignment="1" applyProtection="1">
      <alignment horizontal="left" vertical="center"/>
    </xf>
    <xf numFmtId="0" fontId="15" fillId="0" borderId="39" xfId="8" applyFont="1" applyFill="1" applyBorder="1" applyAlignment="1" applyProtection="1">
      <alignment horizontal="left" vertical="center"/>
    </xf>
    <xf numFmtId="165" fontId="25" fillId="0" borderId="39" xfId="8" applyNumberFormat="1" applyFont="1" applyFill="1" applyBorder="1" applyAlignment="1" applyProtection="1">
      <alignment horizontal="right" vertical="center" indent="1"/>
    </xf>
    <xf numFmtId="165" fontId="25" fillId="0" borderId="170" xfId="8" applyNumberFormat="1" applyFont="1" applyFill="1" applyBorder="1" applyAlignment="1" applyProtection="1">
      <alignment horizontal="right" vertical="center" indent="1"/>
    </xf>
    <xf numFmtId="0" fontId="15" fillId="0" borderId="0" xfId="8" applyFont="1" applyFill="1" applyBorder="1" applyAlignment="1" applyProtection="1">
      <alignment horizontal="left" vertical="center"/>
    </xf>
    <xf numFmtId="165" fontId="15" fillId="0" borderId="26" xfId="8" applyNumberFormat="1" applyFont="1" applyFill="1" applyBorder="1" applyAlignment="1" applyProtection="1">
      <alignment horizontal="right" vertical="center" indent="1"/>
    </xf>
    <xf numFmtId="0" fontId="79" fillId="62" borderId="129" xfId="0" applyFont="1" applyFill="1" applyBorder="1" applyAlignment="1">
      <alignment horizontal="center" vertical="center"/>
    </xf>
    <xf numFmtId="0" fontId="79" fillId="62" borderId="130" xfId="0" applyFont="1" applyFill="1" applyBorder="1" applyAlignment="1">
      <alignment horizontal="center" vertical="center"/>
    </xf>
    <xf numFmtId="0" fontId="79" fillId="62" borderId="131" xfId="0" applyFont="1" applyFill="1" applyBorder="1" applyAlignment="1">
      <alignment horizontal="center" vertical="center"/>
    </xf>
    <xf numFmtId="0" fontId="39" fillId="7" borderId="0" xfId="13" applyFont="1" applyFill="1" applyBorder="1" applyAlignment="1" applyProtection="1">
      <alignment horizontal="left" vertical="center" indent="1"/>
    </xf>
    <xf numFmtId="0" fontId="127" fillId="7" borderId="39" xfId="13" applyFont="1" applyFill="1" applyBorder="1" applyAlignment="1" applyProtection="1">
      <alignment horizontal="center" vertical="center"/>
    </xf>
    <xf numFmtId="0" fontId="15" fillId="0" borderId="39" xfId="0" applyFont="1" applyBorder="1" applyAlignment="1">
      <alignment horizontal="center" vertical="center"/>
    </xf>
    <xf numFmtId="0" fontId="15" fillId="7" borderId="39" xfId="8" applyFont="1" applyFill="1" applyBorder="1" applyAlignment="1" applyProtection="1">
      <alignment horizontal="center" vertical="center" wrapText="1"/>
    </xf>
    <xf numFmtId="0" fontId="15" fillId="7" borderId="0" xfId="13" applyFont="1" applyFill="1" applyBorder="1" applyAlignment="1" applyProtection="1">
      <alignment horizontal="left" vertical="center"/>
    </xf>
    <xf numFmtId="0" fontId="15" fillId="7" borderId="39" xfId="13" applyFont="1" applyFill="1" applyBorder="1" applyAlignment="1" applyProtection="1">
      <alignment horizontal="left" vertical="center"/>
    </xf>
    <xf numFmtId="0" fontId="25" fillId="7" borderId="39" xfId="8" applyFont="1" applyFill="1" applyBorder="1" applyAlignment="1" applyProtection="1">
      <alignment horizontal="left" vertical="center" wrapText="1"/>
    </xf>
    <xf numFmtId="0" fontId="15" fillId="7" borderId="0" xfId="4" applyFont="1" applyFill="1" applyBorder="1" applyAlignment="1" applyProtection="1">
      <alignment horizontal="left" vertical="center" indent="1"/>
    </xf>
    <xf numFmtId="0" fontId="61" fillId="0" borderId="41" xfId="0" applyFont="1" applyBorder="1" applyAlignment="1">
      <alignment horizontal="center" vertical="center"/>
    </xf>
    <xf numFmtId="165" fontId="15" fillId="4" borderId="13" xfId="0" applyNumberFormat="1" applyFont="1" applyFill="1" applyBorder="1" applyAlignment="1">
      <alignment horizontal="right" vertical="center"/>
    </xf>
    <xf numFmtId="165" fontId="15" fillId="4" borderId="39" xfId="0" applyNumberFormat="1" applyFont="1" applyFill="1" applyBorder="1" applyAlignment="1">
      <alignment horizontal="right" vertical="center"/>
    </xf>
    <xf numFmtId="165" fontId="15" fillId="4" borderId="170" xfId="0" applyNumberFormat="1" applyFont="1" applyFill="1" applyBorder="1" applyAlignment="1">
      <alignment horizontal="right" vertical="center"/>
    </xf>
    <xf numFmtId="0" fontId="61" fillId="0" borderId="13" xfId="0" applyFont="1" applyBorder="1" applyAlignment="1">
      <alignment horizontal="center" vertical="center"/>
    </xf>
    <xf numFmtId="0" fontId="61" fillId="0" borderId="170" xfId="0" applyFont="1" applyBorder="1" applyAlignment="1">
      <alignment horizontal="center" vertical="center"/>
    </xf>
    <xf numFmtId="165" fontId="15" fillId="0" borderId="99" xfId="8" applyNumberFormat="1" applyFont="1" applyFill="1" applyBorder="1" applyAlignment="1" applyProtection="1">
      <alignment horizontal="right" vertical="center" indent="1"/>
    </xf>
    <xf numFmtId="165" fontId="15" fillId="0" borderId="27" xfId="8" applyNumberFormat="1" applyFont="1" applyFill="1" applyBorder="1" applyAlignment="1" applyProtection="1">
      <alignment horizontal="right" vertical="center" indent="1"/>
    </xf>
    <xf numFmtId="165" fontId="15" fillId="0" borderId="71" xfId="8" applyNumberFormat="1" applyFont="1" applyFill="1" applyBorder="1" applyAlignment="1" applyProtection="1">
      <alignment horizontal="right" vertical="center" indent="1"/>
    </xf>
    <xf numFmtId="165" fontId="25" fillId="4" borderId="99" xfId="8" applyNumberFormat="1" applyFont="1" applyFill="1" applyBorder="1" applyAlignment="1" applyProtection="1">
      <alignment horizontal="right" vertical="center"/>
    </xf>
    <xf numFmtId="165" fontId="25" fillId="4" borderId="27" xfId="8" applyNumberFormat="1" applyFont="1" applyFill="1" applyBorder="1" applyAlignment="1" applyProtection="1">
      <alignment horizontal="right" vertical="center"/>
    </xf>
    <xf numFmtId="165" fontId="25" fillId="4" borderId="71" xfId="8" applyNumberFormat="1" applyFont="1" applyFill="1" applyBorder="1" applyAlignment="1" applyProtection="1">
      <alignment horizontal="right" vertical="center"/>
    </xf>
    <xf numFmtId="0" fontId="61" fillId="0" borderId="99" xfId="0" applyFont="1" applyBorder="1" applyAlignment="1">
      <alignment horizontal="center" vertical="center"/>
    </xf>
    <xf numFmtId="0" fontId="61" fillId="0" borderId="71" xfId="0" applyFont="1" applyBorder="1" applyAlignment="1">
      <alignment horizontal="center" vertical="center"/>
    </xf>
    <xf numFmtId="165" fontId="15" fillId="4" borderId="47" xfId="0" applyNumberFormat="1" applyFont="1" applyFill="1" applyBorder="1" applyAlignment="1">
      <alignment horizontal="right" vertical="center"/>
    </xf>
    <xf numFmtId="165" fontId="15" fillId="4" borderId="28" xfId="0" applyNumberFormat="1" applyFont="1" applyFill="1" applyBorder="1" applyAlignment="1">
      <alignment horizontal="right" vertical="center"/>
    </xf>
    <xf numFmtId="165" fontId="15" fillId="4" borderId="38" xfId="0" applyNumberFormat="1" applyFont="1" applyFill="1" applyBorder="1" applyAlignment="1">
      <alignment horizontal="right" vertical="center"/>
    </xf>
    <xf numFmtId="165" fontId="15" fillId="7" borderId="46" xfId="0" applyNumberFormat="1" applyFont="1" applyFill="1" applyBorder="1" applyAlignment="1">
      <alignment horizontal="right" vertical="center" indent="1"/>
    </xf>
    <xf numFmtId="165" fontId="15" fillId="7" borderId="99" xfId="0" applyNumberFormat="1" applyFont="1" applyFill="1" applyBorder="1" applyAlignment="1">
      <alignment horizontal="right" vertical="center" indent="1"/>
    </xf>
    <xf numFmtId="165" fontId="15" fillId="4" borderId="99" xfId="0" applyNumberFormat="1" applyFont="1" applyFill="1" applyBorder="1" applyAlignment="1">
      <alignment horizontal="right" vertical="center"/>
    </xf>
    <xf numFmtId="165" fontId="15" fillId="4" borderId="27" xfId="0" applyNumberFormat="1" applyFont="1" applyFill="1" applyBorder="1" applyAlignment="1">
      <alignment horizontal="right" vertical="center"/>
    </xf>
    <xf numFmtId="165" fontId="15" fillId="4" borderId="71" xfId="0" applyNumberFormat="1" applyFont="1" applyFill="1" applyBorder="1" applyAlignment="1">
      <alignment horizontal="right" vertical="center"/>
    </xf>
    <xf numFmtId="0" fontId="61" fillId="0" borderId="26" xfId="0" applyFont="1" applyBorder="1" applyAlignment="1">
      <alignment horizontal="center" vertical="center"/>
    </xf>
    <xf numFmtId="0" fontId="15" fillId="0" borderId="99" xfId="8" applyFont="1" applyFill="1" applyBorder="1" applyAlignment="1" applyProtection="1">
      <alignment horizontal="left" vertical="center" indent="1"/>
    </xf>
    <xf numFmtId="0" fontId="15" fillId="0" borderId="27" xfId="8" applyFont="1" applyFill="1" applyBorder="1" applyAlignment="1" applyProtection="1">
      <alignment horizontal="left" vertical="center" indent="1"/>
    </xf>
    <xf numFmtId="0" fontId="15" fillId="0" borderId="71" xfId="8" applyFont="1" applyFill="1" applyBorder="1" applyAlignment="1" applyProtection="1">
      <alignment horizontal="left" vertical="center" indent="1"/>
    </xf>
    <xf numFmtId="0" fontId="15" fillId="0" borderId="99" xfId="0" applyFont="1" applyBorder="1" applyAlignment="1">
      <alignment horizontal="center" vertical="center"/>
    </xf>
    <xf numFmtId="0" fontId="15" fillId="0" borderId="27" xfId="0" applyFont="1" applyBorder="1" applyAlignment="1">
      <alignment horizontal="center" vertical="center"/>
    </xf>
    <xf numFmtId="0" fontId="15" fillId="0" borderId="71" xfId="0" applyFont="1" applyBorder="1" applyAlignment="1">
      <alignment horizontal="center" vertical="center"/>
    </xf>
    <xf numFmtId="0" fontId="15" fillId="0" borderId="26" xfId="0" applyFont="1" applyBorder="1" applyAlignment="1">
      <alignment vertical="center"/>
    </xf>
    <xf numFmtId="165" fontId="25" fillId="0" borderId="26" xfId="8" applyNumberFormat="1" applyFont="1" applyFill="1" applyBorder="1" applyAlignment="1" applyProtection="1">
      <alignment horizontal="right" vertical="center"/>
    </xf>
    <xf numFmtId="0" fontId="15" fillId="0" borderId="84" xfId="0" applyFont="1" applyBorder="1" applyAlignment="1">
      <alignment horizontal="center" vertical="center"/>
    </xf>
    <xf numFmtId="0" fontId="15" fillId="0" borderId="41" xfId="0" applyFont="1" applyBorder="1" applyAlignment="1">
      <alignment horizontal="center" vertical="center"/>
    </xf>
    <xf numFmtId="0" fontId="15" fillId="0" borderId="26" xfId="0" applyFont="1" applyBorder="1" applyAlignment="1">
      <alignment horizontal="center" vertical="center"/>
    </xf>
    <xf numFmtId="165" fontId="25" fillId="4" borderId="26" xfId="8" applyNumberFormat="1" applyFont="1" applyFill="1" applyBorder="1" applyAlignment="1" applyProtection="1">
      <alignment horizontal="right" vertical="center"/>
    </xf>
    <xf numFmtId="165" fontId="15" fillId="7" borderId="41" xfId="0" applyNumberFormat="1" applyFont="1" applyFill="1" applyBorder="1" applyAlignment="1">
      <alignment horizontal="right" vertical="center" indent="1"/>
    </xf>
    <xf numFmtId="165" fontId="15" fillId="7" borderId="13" xfId="0" applyNumberFormat="1" applyFont="1" applyFill="1" applyBorder="1" applyAlignment="1">
      <alignment horizontal="right" vertical="center" indent="1"/>
    </xf>
    <xf numFmtId="3" fontId="15" fillId="0" borderId="26" xfId="0" applyNumberFormat="1" applyFont="1" applyBorder="1" applyAlignment="1">
      <alignment horizontal="center" vertical="center"/>
    </xf>
    <xf numFmtId="9" fontId="15" fillId="0" borderId="99" xfId="0" applyNumberFormat="1" applyFont="1" applyBorder="1" applyAlignment="1">
      <alignment horizontal="center" vertical="center"/>
    </xf>
    <xf numFmtId="9" fontId="15" fillId="0" borderId="170" xfId="0" applyNumberFormat="1" applyFont="1" applyBorder="1" applyAlignment="1">
      <alignment horizontal="center" vertical="center"/>
    </xf>
    <xf numFmtId="165" fontId="25" fillId="0" borderId="28" xfId="8" applyNumberFormat="1" applyFont="1" applyFill="1" applyBorder="1" applyAlignment="1" applyProtection="1">
      <alignment horizontal="right" vertical="center" indent="1"/>
    </xf>
    <xf numFmtId="165" fontId="25" fillId="0" borderId="38" xfId="8" applyNumberFormat="1" applyFont="1" applyFill="1" applyBorder="1" applyAlignment="1" applyProtection="1">
      <alignment horizontal="right" vertical="center" indent="1"/>
    </xf>
    <xf numFmtId="0" fontId="143" fillId="0" borderId="0" xfId="8" applyFont="1" applyBorder="1" applyAlignment="1" applyProtection="1">
      <alignment horizontal="left" vertical="top"/>
    </xf>
    <xf numFmtId="0" fontId="15" fillId="0" borderId="0" xfId="4" applyFont="1" applyBorder="1" applyAlignment="1" applyProtection="1">
      <alignment horizontal="right" vertical="center" indent="1"/>
    </xf>
    <xf numFmtId="10" fontId="15" fillId="0" borderId="0" xfId="4" applyNumberFormat="1" applyFont="1" applyBorder="1" applyAlignment="1" applyProtection="1">
      <alignment horizontal="center" vertical="center"/>
    </xf>
    <xf numFmtId="165" fontId="25" fillId="7" borderId="26" xfId="8" applyNumberFormat="1" applyFont="1" applyFill="1" applyBorder="1" applyAlignment="1" applyProtection="1">
      <alignment horizontal="center" vertical="center"/>
    </xf>
    <xf numFmtId="166" fontId="25" fillId="7" borderId="26" xfId="8" applyNumberFormat="1" applyFont="1" applyFill="1" applyBorder="1" applyAlignment="1" applyProtection="1">
      <alignment horizontal="center" vertical="center"/>
    </xf>
    <xf numFmtId="4" fontId="15" fillId="0" borderId="26" xfId="0" applyNumberFormat="1" applyFont="1" applyBorder="1" applyAlignment="1">
      <alignment horizontal="center" vertical="center"/>
    </xf>
    <xf numFmtId="0" fontId="15" fillId="0" borderId="0" xfId="0" applyFont="1" applyFill="1" applyBorder="1" applyAlignment="1">
      <alignment horizontal="left" vertical="center"/>
    </xf>
    <xf numFmtId="38" fontId="10" fillId="0" borderId="0" xfId="26" applyNumberFormat="1" applyFont="1" applyBorder="1" applyAlignment="1" applyProtection="1">
      <alignment horizontal="center" vertical="center"/>
    </xf>
    <xf numFmtId="38" fontId="10" fillId="0" borderId="43" xfId="26" applyNumberFormat="1" applyFont="1" applyBorder="1" applyAlignment="1" applyProtection="1">
      <alignment horizontal="center" vertical="center"/>
    </xf>
    <xf numFmtId="37" fontId="15" fillId="0" borderId="99" xfId="26" applyNumberFormat="1" applyFont="1" applyBorder="1" applyAlignment="1" applyProtection="1">
      <alignment horizontal="left" vertical="center" wrapText="1"/>
    </xf>
    <xf numFmtId="37" fontId="15" fillId="0" borderId="27" xfId="26" applyNumberFormat="1" applyFont="1" applyBorder="1" applyAlignment="1" applyProtection="1">
      <alignment horizontal="left" vertical="center" wrapText="1"/>
    </xf>
    <xf numFmtId="37" fontId="15" fillId="0" borderId="71" xfId="26" applyNumberFormat="1" applyFont="1" applyBorder="1" applyAlignment="1" applyProtection="1">
      <alignment horizontal="left" vertical="center" wrapText="1"/>
    </xf>
    <xf numFmtId="38" fontId="10" fillId="4" borderId="99" xfId="26" applyNumberFormat="1" applyFont="1" applyFill="1" applyBorder="1" applyAlignment="1" applyProtection="1">
      <alignment horizontal="center" vertical="center"/>
      <protection locked="0"/>
    </xf>
    <xf numFmtId="38" fontId="10" fillId="4" borderId="27" xfId="26" applyNumberFormat="1" applyFont="1" applyFill="1" applyBorder="1" applyAlignment="1" applyProtection="1">
      <alignment horizontal="center" vertical="center"/>
      <protection locked="0"/>
    </xf>
    <xf numFmtId="38" fontId="10" fillId="4" borderId="71" xfId="26" applyNumberFormat="1" applyFont="1" applyFill="1" applyBorder="1" applyAlignment="1" applyProtection="1">
      <alignment horizontal="center" vertical="center"/>
      <protection locked="0"/>
    </xf>
    <xf numFmtId="38" fontId="10" fillId="0" borderId="36" xfId="26" applyNumberFormat="1" applyFont="1" applyBorder="1" applyAlignment="1" applyProtection="1">
      <alignment horizontal="center" vertical="center"/>
    </xf>
    <xf numFmtId="0" fontId="15" fillId="0" borderId="84" xfId="26" applyFont="1" applyBorder="1" applyAlignment="1" applyProtection="1">
      <alignment horizontal="left" vertical="center"/>
    </xf>
    <xf numFmtId="38" fontId="20" fillId="4" borderId="0" xfId="26" applyNumberFormat="1" applyFont="1" applyFill="1" applyBorder="1" applyAlignment="1" applyProtection="1">
      <alignment horizontal="center" vertical="center"/>
    </xf>
    <xf numFmtId="37" fontId="15" fillId="0" borderId="84" xfId="26" applyNumberFormat="1" applyFont="1" applyBorder="1" applyAlignment="1" applyProtection="1">
      <alignment horizontal="right" vertical="center" wrapText="1" indent="1"/>
    </xf>
    <xf numFmtId="37" fontId="15" fillId="0" borderId="0" xfId="26" applyNumberFormat="1" applyFont="1" applyBorder="1" applyAlignment="1" applyProtection="1">
      <alignment horizontal="right" vertical="center" wrapText="1" indent="1"/>
    </xf>
    <xf numFmtId="38" fontId="10" fillId="0" borderId="84" xfId="26" applyNumberFormat="1" applyFont="1" applyFill="1" applyBorder="1" applyAlignment="1" applyProtection="1">
      <alignment horizontal="center" vertical="center"/>
    </xf>
    <xf numFmtId="38" fontId="10" fillId="0" borderId="0" xfId="26" applyNumberFormat="1" applyFont="1" applyFill="1" applyBorder="1" applyAlignment="1" applyProtection="1">
      <alignment horizontal="center" vertical="center"/>
    </xf>
    <xf numFmtId="164" fontId="15" fillId="4" borderId="0" xfId="26" applyNumberFormat="1" applyFont="1" applyFill="1" applyBorder="1" applyAlignment="1" applyProtection="1">
      <alignment horizontal="center" vertical="center" shrinkToFit="1"/>
      <protection locked="0"/>
    </xf>
    <xf numFmtId="164" fontId="15" fillId="4" borderId="43" xfId="26" applyNumberFormat="1" applyFont="1" applyFill="1" applyBorder="1" applyAlignment="1" applyProtection="1">
      <alignment horizontal="center" vertical="center" shrinkToFit="1"/>
      <protection locked="0"/>
    </xf>
    <xf numFmtId="0" fontId="15" fillId="0" borderId="47" xfId="26" applyFont="1" applyBorder="1" applyAlignment="1" applyProtection="1">
      <alignment horizontal="right" vertical="center" indent="1"/>
    </xf>
    <xf numFmtId="0" fontId="15" fillId="0" borderId="28" xfId="26" applyFont="1" applyBorder="1" applyAlignment="1" applyProtection="1">
      <alignment horizontal="right" vertical="center" indent="1"/>
    </xf>
    <xf numFmtId="0" fontId="15" fillId="0" borderId="84" xfId="26" applyFont="1" applyBorder="1" applyAlignment="1" applyProtection="1">
      <alignment horizontal="right" vertical="center" indent="1"/>
    </xf>
    <xf numFmtId="38" fontId="10" fillId="0" borderId="0" xfId="26" applyNumberFormat="1" applyFont="1" applyAlignment="1" applyProtection="1">
      <alignment horizontal="center"/>
    </xf>
    <xf numFmtId="38" fontId="10" fillId="0" borderId="0" xfId="26" applyNumberFormat="1" applyFont="1" applyBorder="1" applyAlignment="1" applyProtection="1">
      <alignment horizontal="center"/>
    </xf>
    <xf numFmtId="37" fontId="73" fillId="0" borderId="91" xfId="26" applyNumberFormat="1" applyFont="1" applyBorder="1" applyAlignment="1" applyProtection="1">
      <alignment horizontal="right" vertical="center" indent="1"/>
    </xf>
    <xf numFmtId="37" fontId="73" fillId="0" borderId="89" xfId="26" applyNumberFormat="1" applyFont="1" applyBorder="1" applyAlignment="1" applyProtection="1">
      <alignment horizontal="right" vertical="center" indent="1"/>
    </xf>
    <xf numFmtId="37" fontId="73" fillId="0" borderId="90" xfId="26" applyNumberFormat="1" applyFont="1" applyBorder="1" applyAlignment="1" applyProtection="1">
      <alignment horizontal="right" vertical="center" indent="1"/>
    </xf>
    <xf numFmtId="38" fontId="20" fillId="0" borderId="89" xfId="26" applyNumberFormat="1" applyFont="1" applyBorder="1" applyAlignment="1" applyProtection="1">
      <alignment horizontal="center" vertical="center"/>
    </xf>
    <xf numFmtId="0" fontId="35" fillId="0" borderId="0" xfId="26" applyFont="1" applyBorder="1" applyAlignment="1" applyProtection="1">
      <alignment horizontal="left" vertical="center"/>
    </xf>
    <xf numFmtId="167" fontId="83" fillId="0" borderId="27" xfId="26" applyNumberFormat="1" applyFont="1" applyBorder="1" applyAlignment="1" applyProtection="1">
      <alignment horizontal="center" vertical="center"/>
    </xf>
    <xf numFmtId="167" fontId="83" fillId="0" borderId="71" xfId="26" applyNumberFormat="1" applyFont="1" applyBorder="1" applyAlignment="1" applyProtection="1">
      <alignment horizontal="center" vertical="center"/>
    </xf>
    <xf numFmtId="0" fontId="82" fillId="31" borderId="0" xfId="26" applyFont="1" applyFill="1" applyAlignment="1" applyProtection="1">
      <alignment horizontal="center" vertical="center"/>
    </xf>
    <xf numFmtId="38" fontId="20" fillId="0" borderId="0" xfId="26" applyNumberFormat="1" applyFont="1" applyBorder="1" applyAlignment="1" applyProtection="1">
      <alignment horizontal="center" vertical="center"/>
    </xf>
    <xf numFmtId="38" fontId="20" fillId="0" borderId="0" xfId="26" applyNumberFormat="1" applyFont="1" applyBorder="1" applyAlignment="1" applyProtection="1">
      <alignment horizontal="center" vertical="center" shrinkToFit="1"/>
    </xf>
    <xf numFmtId="38" fontId="10" fillId="4" borderId="39" xfId="26" applyNumberFormat="1" applyFont="1" applyFill="1" applyBorder="1" applyAlignment="1" applyProtection="1">
      <alignment horizontal="center" vertical="center" shrinkToFit="1"/>
      <protection locked="0"/>
    </xf>
    <xf numFmtId="38" fontId="20" fillId="7" borderId="35" xfId="26" applyNumberFormat="1" applyFont="1" applyFill="1" applyBorder="1" applyAlignment="1" applyProtection="1">
      <alignment horizontal="center" vertical="center"/>
    </xf>
    <xf numFmtId="38" fontId="20" fillId="7" borderId="36" xfId="26" applyNumberFormat="1" applyFont="1" applyFill="1" applyBorder="1" applyAlignment="1" applyProtection="1">
      <alignment horizontal="center" vertical="center"/>
    </xf>
    <xf numFmtId="0" fontId="15" fillId="53" borderId="27" xfId="26" applyFont="1" applyFill="1" applyBorder="1" applyAlignment="1" applyProtection="1">
      <alignment horizontal="center" vertical="center" wrapText="1"/>
    </xf>
    <xf numFmtId="38" fontId="20" fillId="0" borderId="28" xfId="26" applyNumberFormat="1" applyFont="1" applyBorder="1" applyAlignment="1" applyProtection="1">
      <alignment horizontal="center" vertical="center"/>
    </xf>
    <xf numFmtId="0" fontId="10" fillId="0" borderId="91" xfId="26" applyFont="1" applyBorder="1" applyAlignment="1" applyProtection="1">
      <alignment horizontal="right" vertical="center"/>
    </xf>
    <xf numFmtId="0" fontId="10" fillId="0" borderId="89" xfId="26" applyFont="1" applyBorder="1" applyAlignment="1" applyProtection="1">
      <alignment horizontal="right" vertical="center"/>
    </xf>
    <xf numFmtId="0" fontId="10" fillId="0" borderId="90" xfId="26" applyFont="1" applyBorder="1" applyAlignment="1" applyProtection="1">
      <alignment horizontal="right" vertical="center"/>
    </xf>
    <xf numFmtId="38" fontId="10" fillId="0" borderId="0" xfId="26" applyNumberFormat="1" applyFont="1" applyBorder="1" applyAlignment="1" applyProtection="1">
      <alignment horizontal="center" vertical="center" shrinkToFit="1"/>
    </xf>
    <xf numFmtId="38" fontId="20" fillId="0" borderId="84" xfId="26" applyNumberFormat="1" applyFont="1" applyBorder="1" applyAlignment="1" applyProtection="1">
      <alignment horizontal="center" vertical="center"/>
    </xf>
    <xf numFmtId="37" fontId="20" fillId="0" borderId="84" xfId="26" applyNumberFormat="1" applyFont="1" applyBorder="1" applyAlignment="1" applyProtection="1">
      <alignment horizontal="center" vertical="center"/>
    </xf>
    <xf numFmtId="37" fontId="20" fillId="0" borderId="0" xfId="26" applyNumberFormat="1" applyFont="1" applyBorder="1" applyAlignment="1" applyProtection="1">
      <alignment horizontal="center" vertical="center"/>
    </xf>
    <xf numFmtId="0" fontId="50" fillId="7" borderId="99" xfId="26" applyFont="1" applyFill="1" applyBorder="1" applyAlignment="1" applyProtection="1">
      <alignment horizontal="left" vertical="center" indent="1"/>
    </xf>
    <xf numFmtId="0" fontId="50" fillId="7" borderId="27" xfId="26" applyFont="1" applyFill="1" applyBorder="1" applyAlignment="1" applyProtection="1">
      <alignment horizontal="left" vertical="center" indent="1"/>
    </xf>
    <xf numFmtId="0" fontId="50" fillId="7" borderId="71" xfId="26" applyFont="1" applyFill="1" applyBorder="1" applyAlignment="1" applyProtection="1">
      <alignment horizontal="left" vertical="center" indent="1"/>
    </xf>
    <xf numFmtId="37" fontId="76" fillId="0" borderId="84" xfId="26" applyNumberFormat="1" applyFont="1" applyBorder="1" applyAlignment="1" applyProtection="1">
      <alignment horizontal="right" vertical="center" indent="1"/>
    </xf>
    <xf numFmtId="37" fontId="76" fillId="0" borderId="0" xfId="26" applyNumberFormat="1" applyFont="1" applyBorder="1" applyAlignment="1" applyProtection="1">
      <alignment horizontal="right" vertical="center" indent="1"/>
    </xf>
    <xf numFmtId="37" fontId="15" fillId="0" borderId="84" xfId="26" applyNumberFormat="1" applyFont="1" applyBorder="1" applyAlignment="1" applyProtection="1">
      <alignment horizontal="right" vertical="center"/>
    </xf>
    <xf numFmtId="37" fontId="15" fillId="0" borderId="0" xfId="26" applyNumberFormat="1" applyFont="1" applyBorder="1" applyAlignment="1" applyProtection="1">
      <alignment horizontal="right" vertical="center"/>
    </xf>
    <xf numFmtId="0" fontId="15" fillId="7" borderId="84" xfId="26" applyFont="1" applyFill="1" applyBorder="1" applyAlignment="1" applyProtection="1">
      <alignment horizontal="right" vertical="center" indent="1" shrinkToFit="1"/>
    </xf>
    <xf numFmtId="0" fontId="15" fillId="7" borderId="0" xfId="26" applyFont="1" applyFill="1" applyBorder="1" applyAlignment="1" applyProtection="1">
      <alignment horizontal="right" vertical="center" indent="1" shrinkToFit="1"/>
    </xf>
    <xf numFmtId="37" fontId="20" fillId="7" borderId="91" xfId="26" applyNumberFormat="1" applyFont="1" applyFill="1" applyBorder="1" applyAlignment="1" applyProtection="1">
      <alignment horizontal="right" vertical="center" wrapText="1" indent="1"/>
    </xf>
    <xf numFmtId="37" fontId="20" fillId="7" borderId="89" xfId="26" applyNumberFormat="1" applyFont="1" applyFill="1" applyBorder="1" applyAlignment="1" applyProtection="1">
      <alignment horizontal="right" vertical="center" wrapText="1" indent="1"/>
    </xf>
    <xf numFmtId="37" fontId="20" fillId="7" borderId="90" xfId="26" applyNumberFormat="1" applyFont="1" applyFill="1" applyBorder="1" applyAlignment="1" applyProtection="1">
      <alignment horizontal="right" vertical="center" wrapText="1" indent="1"/>
    </xf>
    <xf numFmtId="38" fontId="20" fillId="0" borderId="47" xfId="26" applyNumberFormat="1" applyFont="1" applyBorder="1" applyAlignment="1" applyProtection="1">
      <alignment horizontal="center" vertical="center"/>
    </xf>
    <xf numFmtId="38" fontId="10" fillId="0" borderId="84" xfId="26" applyNumberFormat="1" applyFont="1" applyBorder="1" applyAlignment="1" applyProtection="1">
      <alignment horizontal="center" vertical="center"/>
    </xf>
    <xf numFmtId="38" fontId="10" fillId="0" borderId="0" xfId="26" applyNumberFormat="1" applyFont="1" applyAlignment="1" applyProtection="1">
      <alignment horizontal="center" vertical="center"/>
    </xf>
    <xf numFmtId="164" fontId="15" fillId="7" borderId="0" xfId="26" applyNumberFormat="1" applyFont="1" applyFill="1" applyBorder="1" applyAlignment="1" applyProtection="1">
      <alignment horizontal="center" vertical="center" shrinkToFit="1"/>
    </xf>
    <xf numFmtId="164" fontId="15" fillId="7" borderId="43" xfId="26" applyNumberFormat="1" applyFont="1" applyFill="1" applyBorder="1" applyAlignment="1" applyProtection="1">
      <alignment horizontal="center" vertical="center" shrinkToFit="1"/>
    </xf>
    <xf numFmtId="0" fontId="50" fillId="7" borderId="26" xfId="45" applyFont="1" applyFill="1" applyBorder="1" applyAlignment="1" applyProtection="1">
      <alignment horizontal="left" vertical="center" wrapText="1" indent="1"/>
    </xf>
    <xf numFmtId="0" fontId="15" fillId="53" borderId="99" xfId="26" applyFont="1" applyFill="1" applyBorder="1" applyAlignment="1" applyProtection="1">
      <alignment horizontal="center" vertical="center" wrapText="1"/>
    </xf>
    <xf numFmtId="0" fontId="50" fillId="22" borderId="26" xfId="26" applyFont="1" applyFill="1" applyBorder="1" applyAlignment="1" applyProtection="1">
      <alignment horizontal="center" vertical="center" wrapText="1"/>
    </xf>
    <xf numFmtId="164" fontId="15" fillId="0" borderId="28" xfId="26" applyNumberFormat="1" applyFont="1" applyBorder="1" applyAlignment="1" applyProtection="1">
      <alignment horizontal="center" vertical="center" shrinkToFit="1"/>
    </xf>
    <xf numFmtId="164" fontId="15" fillId="0" borderId="38" xfId="26" applyNumberFormat="1" applyFont="1" applyBorder="1" applyAlignment="1" applyProtection="1">
      <alignment horizontal="center" vertical="center" shrinkToFit="1"/>
    </xf>
    <xf numFmtId="37" fontId="76" fillId="0" borderId="47" xfId="26" applyNumberFormat="1" applyFont="1" applyBorder="1" applyAlignment="1" applyProtection="1">
      <alignment horizontal="right" vertical="center" indent="1"/>
    </xf>
    <xf numFmtId="37" fontId="76" fillId="0" borderId="28" xfId="26" applyNumberFormat="1" applyFont="1" applyBorder="1" applyAlignment="1" applyProtection="1">
      <alignment horizontal="right" vertical="center" indent="1"/>
    </xf>
    <xf numFmtId="9" fontId="15" fillId="0" borderId="84" xfId="26" applyNumberFormat="1" applyFont="1" applyBorder="1" applyAlignment="1" applyProtection="1">
      <alignment horizontal="right" vertical="center" indent="1"/>
    </xf>
    <xf numFmtId="9" fontId="15" fillId="0" borderId="0" xfId="26" applyNumberFormat="1" applyFont="1" applyBorder="1" applyAlignment="1" applyProtection="1">
      <alignment horizontal="right" vertical="center" indent="1"/>
    </xf>
    <xf numFmtId="0" fontId="15" fillId="53" borderId="71" xfId="26" applyFont="1" applyFill="1" applyBorder="1" applyAlignment="1" applyProtection="1">
      <alignment horizontal="center" vertical="center" wrapText="1"/>
    </xf>
    <xf numFmtId="38" fontId="20" fillId="0" borderId="38" xfId="26" applyNumberFormat="1" applyFont="1" applyBorder="1" applyAlignment="1" applyProtection="1">
      <alignment horizontal="center" vertical="center"/>
    </xf>
    <xf numFmtId="38" fontId="20" fillId="0" borderId="43" xfId="26" applyNumberFormat="1" applyFont="1" applyBorder="1" applyAlignment="1" applyProtection="1">
      <alignment horizontal="center" vertical="center"/>
    </xf>
    <xf numFmtId="38" fontId="20" fillId="0" borderId="0" xfId="26" applyNumberFormat="1" applyFont="1" applyBorder="1" applyAlignment="1" applyProtection="1">
      <alignment horizontal="center" vertical="center"/>
      <protection locked="0"/>
    </xf>
    <xf numFmtId="38" fontId="20" fillId="4" borderId="43" xfId="26" applyNumberFormat="1" applyFont="1" applyFill="1" applyBorder="1" applyAlignment="1" applyProtection="1">
      <alignment horizontal="center" vertical="center"/>
    </xf>
    <xf numFmtId="38" fontId="20" fillId="0" borderId="43" xfId="26" applyNumberFormat="1" applyFont="1" applyBorder="1" applyAlignment="1" applyProtection="1">
      <alignment horizontal="center" vertical="center"/>
      <protection locked="0"/>
    </xf>
    <xf numFmtId="38" fontId="20" fillId="0" borderId="0" xfId="26" applyNumberFormat="1" applyFont="1" applyBorder="1" applyAlignment="1" applyProtection="1">
      <alignment horizontal="center" vertical="center" shrinkToFit="1"/>
      <protection locked="0"/>
    </xf>
    <xf numFmtId="38" fontId="20" fillId="0" borderId="43" xfId="26" applyNumberFormat="1" applyFont="1" applyBorder="1" applyAlignment="1" applyProtection="1">
      <alignment horizontal="center" vertical="center" shrinkToFit="1"/>
      <protection locked="0"/>
    </xf>
    <xf numFmtId="38" fontId="10" fillId="4" borderId="170" xfId="26" applyNumberFormat="1" applyFont="1" applyFill="1" applyBorder="1" applyAlignment="1" applyProtection="1">
      <alignment horizontal="center" vertical="center" shrinkToFit="1"/>
      <protection locked="0"/>
    </xf>
    <xf numFmtId="38" fontId="20" fillId="7" borderId="37" xfId="26" applyNumberFormat="1" applyFont="1" applyFill="1" applyBorder="1" applyAlignment="1" applyProtection="1">
      <alignment horizontal="center" vertical="center"/>
    </xf>
    <xf numFmtId="38" fontId="20" fillId="0" borderId="35" xfId="26" applyNumberFormat="1" applyFont="1" applyBorder="1" applyAlignment="1" applyProtection="1">
      <alignment horizontal="center" vertical="center"/>
    </xf>
    <xf numFmtId="38" fontId="20" fillId="0" borderId="36" xfId="26" applyNumberFormat="1" applyFont="1" applyBorder="1" applyAlignment="1" applyProtection="1">
      <alignment horizontal="center" vertical="center"/>
    </xf>
    <xf numFmtId="38" fontId="20" fillId="0" borderId="37" xfId="26" applyNumberFormat="1" applyFont="1" applyBorder="1" applyAlignment="1" applyProtection="1">
      <alignment horizontal="center" vertical="center"/>
    </xf>
    <xf numFmtId="0" fontId="15" fillId="4" borderId="26" xfId="26" applyFont="1" applyFill="1" applyBorder="1" applyAlignment="1" applyProtection="1">
      <alignment horizontal="center" vertical="center"/>
      <protection locked="0"/>
    </xf>
    <xf numFmtId="0" fontId="17" fillId="0" borderId="39" xfId="26" applyFont="1" applyBorder="1" applyAlignment="1" applyProtection="1">
      <alignment horizontal="left" vertical="top"/>
    </xf>
    <xf numFmtId="0" fontId="17" fillId="0" borderId="0" xfId="26" applyFont="1" applyBorder="1" applyAlignment="1" applyProtection="1">
      <alignment horizontal="left" vertical="top"/>
    </xf>
    <xf numFmtId="38" fontId="10" fillId="0" borderId="47" xfId="26" applyNumberFormat="1" applyFont="1" applyBorder="1" applyAlignment="1" applyProtection="1">
      <alignment horizontal="center"/>
    </xf>
    <xf numFmtId="38" fontId="10" fillId="0" borderId="28" xfId="26" applyNumberFormat="1" applyFont="1" applyBorder="1" applyAlignment="1" applyProtection="1">
      <alignment horizontal="center"/>
    </xf>
    <xf numFmtId="38" fontId="10" fillId="0" borderId="13" xfId="26" applyNumberFormat="1" applyFont="1" applyBorder="1" applyAlignment="1" applyProtection="1">
      <alignment horizontal="center" vertical="center"/>
    </xf>
    <xf numFmtId="38" fontId="10" fillId="0" borderId="39" xfId="26" applyNumberFormat="1" applyFont="1" applyBorder="1" applyAlignment="1" applyProtection="1">
      <alignment horizontal="center" vertical="center"/>
    </xf>
    <xf numFmtId="164" fontId="15" fillId="0" borderId="0" xfId="26" applyNumberFormat="1" applyFont="1" applyBorder="1" applyAlignment="1" applyProtection="1">
      <alignment horizontal="center" vertical="center" shrinkToFit="1"/>
    </xf>
    <xf numFmtId="164" fontId="15" fillId="0" borderId="43" xfId="26" applyNumberFormat="1" applyFont="1" applyBorder="1" applyAlignment="1" applyProtection="1">
      <alignment horizontal="center" vertical="center" shrinkToFit="1"/>
    </xf>
    <xf numFmtId="38" fontId="10" fillId="0" borderId="84" xfId="26" applyNumberFormat="1" applyFont="1" applyBorder="1" applyAlignment="1" applyProtection="1">
      <alignment horizontal="center"/>
    </xf>
    <xf numFmtId="37" fontId="20" fillId="0" borderId="84" xfId="26" applyNumberFormat="1" applyFont="1" applyBorder="1" applyAlignment="1" applyProtection="1">
      <alignment horizontal="right" vertical="center" indent="1"/>
    </xf>
    <xf numFmtId="37" fontId="20" fillId="0" borderId="0" xfId="26" applyNumberFormat="1" applyFont="1" applyBorder="1" applyAlignment="1" applyProtection="1">
      <alignment horizontal="right" vertical="center" indent="1"/>
    </xf>
    <xf numFmtId="38" fontId="10" fillId="0" borderId="38" xfId="26" applyNumberFormat="1" applyFont="1" applyBorder="1" applyAlignment="1" applyProtection="1">
      <alignment horizontal="center"/>
    </xf>
    <xf numFmtId="38" fontId="10" fillId="0" borderId="43" xfId="26" applyNumberFormat="1" applyFont="1" applyBorder="1" applyAlignment="1" applyProtection="1">
      <alignment horizontal="center"/>
    </xf>
    <xf numFmtId="38" fontId="20" fillId="0" borderId="90" xfId="26" applyNumberFormat="1" applyFont="1" applyBorder="1" applyAlignment="1" applyProtection="1">
      <alignment horizontal="center" vertical="center"/>
    </xf>
    <xf numFmtId="38" fontId="10" fillId="0" borderId="170" xfId="26" applyNumberFormat="1" applyFont="1" applyBorder="1" applyAlignment="1" applyProtection="1">
      <alignment horizontal="center" vertical="center"/>
    </xf>
    <xf numFmtId="0" fontId="50" fillId="7" borderId="26" xfId="26" applyFont="1" applyFill="1" applyBorder="1" applyAlignment="1" applyProtection="1">
      <alignment horizontal="left" vertical="center" wrapText="1" indent="1"/>
    </xf>
    <xf numFmtId="38" fontId="20" fillId="0" borderId="0" xfId="26" applyNumberFormat="1" applyFont="1" applyAlignment="1" applyProtection="1">
      <alignment horizontal="center" vertical="center"/>
    </xf>
    <xf numFmtId="37" fontId="76" fillId="0" borderId="84" xfId="26" applyNumberFormat="1" applyFont="1" applyBorder="1" applyAlignment="1" applyProtection="1">
      <alignment horizontal="right" vertical="center" wrapText="1" indent="1"/>
    </xf>
    <xf numFmtId="37" fontId="76" fillId="0" borderId="0" xfId="26" applyNumberFormat="1" applyFont="1" applyBorder="1" applyAlignment="1" applyProtection="1">
      <alignment horizontal="right" vertical="center" wrapText="1" indent="1"/>
    </xf>
    <xf numFmtId="37" fontId="15" fillId="0" borderId="84" xfId="26" applyNumberFormat="1" applyFont="1" applyBorder="1" applyAlignment="1" applyProtection="1">
      <alignment horizontal="right" vertical="center" indent="1"/>
    </xf>
    <xf numFmtId="37" fontId="15" fillId="0" borderId="0" xfId="26" applyNumberFormat="1" applyFont="1" applyBorder="1" applyAlignment="1" applyProtection="1">
      <alignment horizontal="right" vertical="center" indent="1"/>
    </xf>
    <xf numFmtId="38" fontId="10" fillId="0" borderId="89" xfId="26" applyNumberFormat="1" applyFont="1" applyBorder="1" applyAlignment="1" applyProtection="1">
      <alignment horizontal="center" vertical="center"/>
    </xf>
    <xf numFmtId="37" fontId="73" fillId="0" borderId="91" xfId="26" applyNumberFormat="1" applyFont="1" applyBorder="1" applyAlignment="1" applyProtection="1">
      <alignment horizontal="right" vertical="center"/>
    </xf>
    <xf numFmtId="37" fontId="73" fillId="0" borderId="89" xfId="26" applyNumberFormat="1" applyFont="1" applyBorder="1" applyAlignment="1" applyProtection="1">
      <alignment horizontal="right" vertical="center"/>
    </xf>
    <xf numFmtId="37" fontId="73" fillId="0" borderId="90" xfId="26" applyNumberFormat="1" applyFont="1" applyBorder="1" applyAlignment="1" applyProtection="1">
      <alignment horizontal="right" vertical="center"/>
    </xf>
    <xf numFmtId="0" fontId="10" fillId="0" borderId="84" xfId="26" applyFont="1" applyBorder="1" applyAlignment="1" applyProtection="1">
      <alignment horizontal="right" vertical="center" indent="1"/>
    </xf>
    <xf numFmtId="0" fontId="10" fillId="0" borderId="0" xfId="26" applyFont="1" applyBorder="1" applyAlignment="1" applyProtection="1">
      <alignment horizontal="right" vertical="center" indent="1"/>
    </xf>
    <xf numFmtId="0" fontId="50" fillId="7" borderId="26" xfId="26" applyFont="1" applyFill="1" applyBorder="1" applyAlignment="1" applyProtection="1">
      <alignment horizontal="left" vertical="center" indent="1"/>
    </xf>
    <xf numFmtId="38" fontId="10" fillId="0" borderId="90" xfId="26" applyNumberFormat="1" applyFont="1" applyBorder="1" applyAlignment="1" applyProtection="1">
      <alignment horizontal="center" vertical="center"/>
    </xf>
    <xf numFmtId="37" fontId="15" fillId="4" borderId="84" xfId="26" applyNumberFormat="1" applyFont="1" applyFill="1" applyBorder="1" applyAlignment="1" applyProtection="1">
      <alignment horizontal="right" vertical="center" wrapText="1" indent="1"/>
      <protection locked="0"/>
    </xf>
    <xf numFmtId="37" fontId="15" fillId="4" borderId="0" xfId="26" applyNumberFormat="1" applyFont="1" applyFill="1" applyBorder="1" applyAlignment="1" applyProtection="1">
      <alignment horizontal="right" vertical="center" wrapText="1" indent="1"/>
      <protection locked="0"/>
    </xf>
    <xf numFmtId="37" fontId="15" fillId="4" borderId="43" xfId="26" applyNumberFormat="1" applyFont="1" applyFill="1" applyBorder="1" applyAlignment="1" applyProtection="1">
      <alignment horizontal="right" vertical="center" wrapText="1" indent="1"/>
      <protection locked="0"/>
    </xf>
    <xf numFmtId="38" fontId="10" fillId="0" borderId="47" xfId="26" applyNumberFormat="1" applyFont="1" applyBorder="1" applyAlignment="1" applyProtection="1">
      <alignment horizontal="center" vertical="center"/>
    </xf>
    <xf numFmtId="38" fontId="10" fillId="0" borderId="28" xfId="26" applyNumberFormat="1" applyFont="1" applyBorder="1" applyAlignment="1" applyProtection="1">
      <alignment horizontal="center" vertical="center"/>
    </xf>
    <xf numFmtId="38" fontId="10" fillId="4" borderId="84" xfId="26" applyNumberFormat="1" applyFont="1" applyFill="1" applyBorder="1" applyAlignment="1" applyProtection="1">
      <alignment horizontal="center" vertical="center" shrinkToFit="1"/>
      <protection locked="0"/>
    </xf>
    <xf numFmtId="38" fontId="10" fillId="4" borderId="0" xfId="26" applyNumberFormat="1" applyFont="1" applyFill="1" applyBorder="1" applyAlignment="1" applyProtection="1">
      <alignment horizontal="center" vertical="center" shrinkToFit="1"/>
      <protection locked="0"/>
    </xf>
    <xf numFmtId="38" fontId="10" fillId="4" borderId="0" xfId="26" applyNumberFormat="1" applyFont="1" applyFill="1" applyAlignment="1" applyProtection="1">
      <alignment horizontal="center" vertical="center" shrinkToFit="1"/>
      <protection locked="0"/>
    </xf>
    <xf numFmtId="38" fontId="10" fillId="0" borderId="35" xfId="26" applyNumberFormat="1" applyFont="1" applyBorder="1" applyAlignment="1" applyProtection="1">
      <alignment horizontal="center" vertical="center"/>
    </xf>
    <xf numFmtId="38" fontId="10" fillId="0" borderId="38" xfId="26" applyNumberFormat="1" applyFont="1" applyBorder="1" applyAlignment="1" applyProtection="1">
      <alignment horizontal="center" vertical="center"/>
    </xf>
    <xf numFmtId="38" fontId="10" fillId="4" borderId="43" xfId="26" applyNumberFormat="1" applyFont="1" applyFill="1" applyBorder="1" applyAlignment="1" applyProtection="1">
      <alignment horizontal="center" vertical="center" shrinkToFit="1"/>
      <protection locked="0"/>
    </xf>
    <xf numFmtId="37" fontId="15" fillId="0" borderId="43" xfId="26" applyNumberFormat="1" applyFont="1" applyBorder="1" applyAlignment="1" applyProtection="1">
      <alignment horizontal="right" vertical="center" wrapText="1" indent="1"/>
    </xf>
    <xf numFmtId="38" fontId="10" fillId="0" borderId="37" xfId="26" applyNumberFormat="1" applyFont="1" applyBorder="1" applyAlignment="1" applyProtection="1">
      <alignment horizontal="center" vertical="center"/>
    </xf>
    <xf numFmtId="37" fontId="61" fillId="0" borderId="91" xfId="26" applyNumberFormat="1" applyFont="1" applyBorder="1" applyAlignment="1" applyProtection="1">
      <alignment horizontal="right" vertical="center"/>
    </xf>
    <xf numFmtId="37" fontId="61" fillId="0" borderId="89" xfId="26" applyNumberFormat="1" applyFont="1" applyBorder="1" applyAlignment="1" applyProtection="1">
      <alignment horizontal="right" vertical="center"/>
    </xf>
    <xf numFmtId="37" fontId="61" fillId="0" borderId="90" xfId="26" applyNumberFormat="1" applyFont="1" applyBorder="1" applyAlignment="1" applyProtection="1">
      <alignment horizontal="right" vertical="center"/>
    </xf>
    <xf numFmtId="37" fontId="15" fillId="7" borderId="47" xfId="26" applyNumberFormat="1" applyFont="1" applyFill="1" applyBorder="1" applyAlignment="1" applyProtection="1">
      <alignment horizontal="right" vertical="center" indent="1"/>
    </xf>
    <xf numFmtId="37" fontId="15" fillId="7" borderId="28" xfId="26" applyNumberFormat="1" applyFont="1" applyFill="1" applyBorder="1" applyAlignment="1" applyProtection="1">
      <alignment horizontal="right" vertical="center" indent="1"/>
    </xf>
    <xf numFmtId="37" fontId="15" fillId="7" borderId="38" xfId="26" applyNumberFormat="1" applyFont="1" applyFill="1" applyBorder="1" applyAlignment="1" applyProtection="1">
      <alignment horizontal="right" vertical="center" indent="1"/>
    </xf>
    <xf numFmtId="37" fontId="15" fillId="7" borderId="91" xfId="26" applyNumberFormat="1" applyFont="1" applyFill="1" applyBorder="1" applyAlignment="1" applyProtection="1">
      <alignment horizontal="right" vertical="center" indent="1"/>
    </xf>
    <xf numFmtId="37" fontId="15" fillId="7" borderId="89" xfId="26" applyNumberFormat="1" applyFont="1" applyFill="1" applyBorder="1" applyAlignment="1" applyProtection="1">
      <alignment horizontal="right" vertical="center" indent="1"/>
    </xf>
    <xf numFmtId="37" fontId="15" fillId="7" borderId="90" xfId="26" applyNumberFormat="1" applyFont="1" applyFill="1" applyBorder="1" applyAlignment="1" applyProtection="1">
      <alignment horizontal="right" vertical="center" indent="1"/>
    </xf>
    <xf numFmtId="39" fontId="61" fillId="7" borderId="0" xfId="26" applyNumberFormat="1" applyFont="1" applyFill="1" applyBorder="1" applyAlignment="1" applyProtection="1">
      <alignment horizontal="right" vertical="center" indent="1"/>
    </xf>
    <xf numFmtId="40" fontId="139" fillId="7" borderId="0" xfId="26" applyNumberFormat="1" applyFont="1" applyFill="1" applyBorder="1" applyAlignment="1" applyProtection="1">
      <alignment horizontal="center" vertical="center"/>
    </xf>
    <xf numFmtId="37" fontId="15" fillId="0" borderId="47" xfId="26" applyNumberFormat="1" applyFont="1" applyBorder="1" applyAlignment="1" applyProtection="1">
      <alignment horizontal="right" vertical="center" indent="1"/>
    </xf>
    <xf numFmtId="37" fontId="15" fillId="0" borderId="28" xfId="26" applyNumberFormat="1" applyFont="1" applyBorder="1" applyAlignment="1" applyProtection="1">
      <alignment horizontal="right" vertical="center" indent="1"/>
    </xf>
    <xf numFmtId="37" fontId="15" fillId="0" borderId="38" xfId="26" applyNumberFormat="1" applyFont="1" applyBorder="1" applyAlignment="1" applyProtection="1">
      <alignment horizontal="right" vertical="center" indent="1"/>
    </xf>
    <xf numFmtId="37" fontId="50" fillId="7" borderId="99" xfId="26" applyNumberFormat="1" applyFont="1" applyFill="1" applyBorder="1" applyAlignment="1" applyProtection="1">
      <alignment horizontal="left" vertical="center" wrapText="1" indent="1"/>
    </xf>
    <xf numFmtId="37" fontId="50" fillId="7" borderId="27" xfId="26" applyNumberFormat="1" applyFont="1" applyFill="1" applyBorder="1" applyAlignment="1" applyProtection="1">
      <alignment horizontal="left" vertical="center" wrapText="1" indent="1"/>
    </xf>
    <xf numFmtId="37" fontId="50" fillId="7" borderId="71" xfId="26" applyNumberFormat="1" applyFont="1" applyFill="1" applyBorder="1" applyAlignment="1" applyProtection="1">
      <alignment horizontal="left" vertical="center" wrapText="1" indent="1"/>
    </xf>
    <xf numFmtId="38" fontId="10" fillId="0" borderId="0" xfId="55" applyNumberFormat="1" applyFont="1" applyBorder="1" applyAlignment="1" applyProtection="1">
      <alignment horizontal="center" vertical="center"/>
    </xf>
    <xf numFmtId="38" fontId="10" fillId="0" borderId="84" xfId="3" applyNumberFormat="1" applyFont="1" applyBorder="1" applyAlignment="1" applyProtection="1">
      <alignment horizontal="center" vertical="center"/>
    </xf>
    <xf numFmtId="38" fontId="10" fillId="0" borderId="0" xfId="3" applyNumberFormat="1" applyFont="1" applyBorder="1" applyAlignment="1" applyProtection="1">
      <alignment horizontal="center" vertical="center"/>
    </xf>
    <xf numFmtId="38" fontId="10" fillId="0" borderId="43" xfId="3" applyNumberFormat="1" applyFont="1" applyBorder="1" applyAlignment="1" applyProtection="1">
      <alignment horizontal="center" vertical="center"/>
    </xf>
    <xf numFmtId="37" fontId="15" fillId="0" borderId="13" xfId="26" applyNumberFormat="1" applyFont="1" applyBorder="1" applyAlignment="1" applyProtection="1">
      <alignment horizontal="right" vertical="center" indent="1"/>
    </xf>
    <xf numFmtId="37" fontId="15" fillId="0" borderId="39" xfId="26" applyNumberFormat="1" applyFont="1" applyBorder="1" applyAlignment="1" applyProtection="1">
      <alignment horizontal="right" vertical="center" indent="1"/>
    </xf>
    <xf numFmtId="37" fontId="15" fillId="0" borderId="170" xfId="26" applyNumberFormat="1" applyFont="1" applyBorder="1" applyAlignment="1" applyProtection="1">
      <alignment horizontal="right" vertical="center" indent="1"/>
    </xf>
    <xf numFmtId="38" fontId="10" fillId="0" borderId="84" xfId="55" applyNumberFormat="1" applyFont="1" applyBorder="1" applyAlignment="1" applyProtection="1">
      <alignment horizontal="center" vertical="center"/>
    </xf>
    <xf numFmtId="38" fontId="10" fillId="0" borderId="84" xfId="53" applyNumberFormat="1" applyFont="1" applyBorder="1" applyAlignment="1" applyProtection="1">
      <alignment horizontal="center" vertical="center"/>
    </xf>
    <xf numFmtId="38" fontId="10" fillId="0" borderId="0" xfId="53" applyNumberFormat="1" applyFont="1" applyBorder="1" applyAlignment="1" applyProtection="1">
      <alignment horizontal="center" vertical="center"/>
    </xf>
    <xf numFmtId="9" fontId="15" fillId="4" borderId="0" xfId="26" applyNumberFormat="1" applyFont="1" applyFill="1" applyBorder="1" applyAlignment="1" applyProtection="1">
      <alignment horizontal="center" vertical="center"/>
      <protection locked="0"/>
    </xf>
    <xf numFmtId="9" fontId="15" fillId="4" borderId="43" xfId="26" applyNumberFormat="1" applyFont="1" applyFill="1" applyBorder="1" applyAlignment="1" applyProtection="1">
      <alignment horizontal="center" vertical="center"/>
      <protection locked="0"/>
    </xf>
    <xf numFmtId="37" fontId="15" fillId="4" borderId="84" xfId="26" applyNumberFormat="1" applyFont="1" applyFill="1" applyBorder="1" applyAlignment="1" applyProtection="1">
      <alignment horizontal="right" vertical="center" indent="1"/>
      <protection locked="0"/>
    </xf>
    <xf numFmtId="37" fontId="15" fillId="4" borderId="0" xfId="26" applyNumberFormat="1" applyFont="1" applyFill="1" applyBorder="1" applyAlignment="1" applyProtection="1">
      <alignment horizontal="right" vertical="center" indent="1"/>
      <protection locked="0"/>
    </xf>
    <xf numFmtId="38" fontId="10" fillId="0" borderId="43" xfId="55" applyNumberFormat="1" applyFont="1" applyBorder="1" applyAlignment="1" applyProtection="1">
      <alignment horizontal="center" vertical="center"/>
    </xf>
    <xf numFmtId="38" fontId="10" fillId="0" borderId="43" xfId="53" applyNumberFormat="1" applyFont="1" applyBorder="1" applyAlignment="1" applyProtection="1">
      <alignment horizontal="center" vertical="center"/>
    </xf>
    <xf numFmtId="38" fontId="10" fillId="0" borderId="13" xfId="3" applyNumberFormat="1" applyFont="1" applyBorder="1" applyAlignment="1" applyProtection="1">
      <alignment horizontal="center" vertical="center"/>
    </xf>
    <xf numFmtId="38" fontId="10" fillId="0" borderId="39" xfId="3" applyNumberFormat="1" applyFont="1" applyBorder="1" applyAlignment="1" applyProtection="1">
      <alignment horizontal="center" vertical="center"/>
    </xf>
    <xf numFmtId="37" fontId="15" fillId="0" borderId="47" xfId="26" applyNumberFormat="1" applyFont="1" applyBorder="1" applyAlignment="1" applyProtection="1">
      <alignment horizontal="right" vertical="center" wrapText="1" indent="1"/>
    </xf>
    <xf numFmtId="37" fontId="15" fillId="0" borderId="28" xfId="26" applyNumberFormat="1" applyFont="1" applyBorder="1" applyAlignment="1" applyProtection="1">
      <alignment horizontal="right" vertical="center" wrapText="1" indent="1"/>
    </xf>
    <xf numFmtId="37" fontId="15" fillId="0" borderId="38" xfId="26" applyNumberFormat="1" applyFont="1" applyBorder="1" applyAlignment="1" applyProtection="1">
      <alignment horizontal="right" vertical="center" wrapText="1" indent="1"/>
    </xf>
    <xf numFmtId="38" fontId="10" fillId="0" borderId="170" xfId="3" applyNumberFormat="1" applyFont="1" applyBorder="1" applyAlignment="1" applyProtection="1">
      <alignment horizontal="center" vertical="center"/>
    </xf>
    <xf numFmtId="37" fontId="15" fillId="0" borderId="84" xfId="26" applyNumberFormat="1" applyFont="1" applyBorder="1" applyAlignment="1" applyProtection="1">
      <alignment horizontal="right" wrapText="1" indent="1"/>
    </xf>
    <xf numFmtId="37" fontId="15" fillId="0" borderId="0" xfId="26" applyNumberFormat="1" applyFont="1" applyBorder="1" applyAlignment="1" applyProtection="1">
      <alignment horizontal="right" wrapText="1" indent="1"/>
    </xf>
    <xf numFmtId="37" fontId="15" fillId="0" borderId="43" xfId="26" applyNumberFormat="1" applyFont="1" applyBorder="1" applyAlignment="1" applyProtection="1">
      <alignment horizontal="right" wrapText="1" indent="1"/>
    </xf>
    <xf numFmtId="37" fontId="15" fillId="0" borderId="84" xfId="26" applyNumberFormat="1" applyFont="1" applyBorder="1" applyAlignment="1" applyProtection="1">
      <alignment horizontal="center" vertical="center" wrapText="1"/>
    </xf>
    <xf numFmtId="37" fontId="15" fillId="0" borderId="0" xfId="26" applyNumberFormat="1" applyFont="1" applyBorder="1" applyAlignment="1" applyProtection="1">
      <alignment horizontal="center" vertical="center" wrapText="1"/>
    </xf>
    <xf numFmtId="37" fontId="15" fillId="0" borderId="43" xfId="26" applyNumberFormat="1" applyFont="1" applyBorder="1" applyAlignment="1" applyProtection="1">
      <alignment horizontal="center" vertical="center" wrapText="1"/>
    </xf>
    <xf numFmtId="0" fontId="15" fillId="7" borderId="0" xfId="56" applyFont="1" applyFill="1" applyBorder="1" applyAlignment="1" applyProtection="1">
      <alignment horizontal="center" vertical="center"/>
    </xf>
    <xf numFmtId="0" fontId="15" fillId="7" borderId="0" xfId="56" applyFont="1" applyFill="1" applyAlignment="1" applyProtection="1">
      <alignment horizontal="center" vertical="center"/>
    </xf>
    <xf numFmtId="165" fontId="15" fillId="0" borderId="26" xfId="60" applyNumberFormat="1" applyFont="1" applyBorder="1" applyAlignment="1" applyProtection="1">
      <alignment horizontal="left" vertical="center" indent="1"/>
    </xf>
    <xf numFmtId="0" fontId="15" fillId="0" borderId="26" xfId="60" applyFont="1" applyBorder="1" applyAlignment="1" applyProtection="1">
      <alignment horizontal="center" vertical="center" wrapText="1"/>
    </xf>
    <xf numFmtId="0" fontId="15" fillId="0" borderId="26" xfId="60" applyFont="1" applyBorder="1" applyAlignment="1" applyProtection="1">
      <alignment horizontal="center" vertical="center"/>
    </xf>
    <xf numFmtId="0" fontId="54" fillId="0" borderId="26" xfId="54" applyFont="1" applyBorder="1" applyAlignment="1" applyProtection="1">
      <alignment horizontal="left" vertical="center" wrapText="1" indent="1"/>
    </xf>
    <xf numFmtId="0" fontId="15" fillId="0" borderId="26" xfId="60" applyFont="1" applyFill="1" applyBorder="1" applyAlignment="1" applyProtection="1">
      <alignment horizontal="center" vertical="center" wrapText="1"/>
    </xf>
    <xf numFmtId="0" fontId="15" fillId="0" borderId="26" xfId="60" applyFont="1" applyBorder="1" applyAlignment="1" applyProtection="1">
      <alignment horizontal="right" vertical="center" wrapText="1" indent="1"/>
    </xf>
    <xf numFmtId="0" fontId="15" fillId="0" borderId="26" xfId="0" applyFont="1" applyBorder="1" applyAlignment="1">
      <alignment horizontal="center" vertical="center" wrapText="1"/>
    </xf>
    <xf numFmtId="0" fontId="15" fillId="0" borderId="26" xfId="60" applyFont="1" applyBorder="1" applyAlignment="1" applyProtection="1">
      <alignment horizontal="left" vertical="center" wrapText="1" indent="1"/>
    </xf>
    <xf numFmtId="0" fontId="39" fillId="4" borderId="99" xfId="60" applyFont="1" applyFill="1" applyBorder="1" applyAlignment="1" applyProtection="1">
      <alignment horizontal="center" vertical="center"/>
      <protection locked="0"/>
    </xf>
    <xf numFmtId="0" fontId="39" fillId="4" borderId="71" xfId="60" applyFont="1" applyFill="1" applyBorder="1" applyAlignment="1" applyProtection="1">
      <alignment horizontal="center" vertical="center"/>
      <protection locked="0"/>
    </xf>
    <xf numFmtId="165" fontId="15" fillId="0" borderId="99" xfId="60" applyNumberFormat="1" applyFont="1" applyBorder="1" applyAlignment="1" applyProtection="1">
      <alignment horizontal="left" vertical="center" indent="1"/>
    </xf>
    <xf numFmtId="165" fontId="15" fillId="0" borderId="27" xfId="60" applyNumberFormat="1" applyFont="1" applyBorder="1" applyAlignment="1" applyProtection="1">
      <alignment horizontal="left" vertical="center" indent="1"/>
    </xf>
    <xf numFmtId="165" fontId="15" fillId="0" borderId="71" xfId="60" applyNumberFormat="1" applyFont="1" applyBorder="1" applyAlignment="1" applyProtection="1">
      <alignment horizontal="left" vertical="center" indent="1"/>
    </xf>
    <xf numFmtId="0" fontId="95" fillId="0" borderId="13" xfId="60" applyFont="1" applyBorder="1" applyAlignment="1" applyProtection="1">
      <alignment horizontal="center" vertical="center" wrapText="1"/>
    </xf>
    <xf numFmtId="0" fontId="95" fillId="0" borderId="39" xfId="60" applyFont="1" applyBorder="1" applyAlignment="1" applyProtection="1">
      <alignment horizontal="center" vertical="center" wrapText="1"/>
    </xf>
    <xf numFmtId="0" fontId="95" fillId="0" borderId="170" xfId="60" applyFont="1" applyBorder="1" applyAlignment="1" applyProtection="1">
      <alignment horizontal="center" vertical="center" wrapText="1"/>
    </xf>
    <xf numFmtId="4" fontId="79" fillId="0" borderId="71" xfId="60" applyNumberFormat="1" applyFont="1" applyBorder="1" applyAlignment="1" applyProtection="1">
      <alignment horizontal="center" vertical="center"/>
      <protection locked="0"/>
    </xf>
    <xf numFmtId="4" fontId="79" fillId="0" borderId="26" xfId="60" applyNumberFormat="1" applyFont="1" applyBorder="1" applyAlignment="1" applyProtection="1">
      <alignment horizontal="center" vertical="center"/>
      <protection locked="0"/>
    </xf>
    <xf numFmtId="0" fontId="39" fillId="0" borderId="71" xfId="60" applyFont="1" applyBorder="1" applyAlignment="1" applyProtection="1">
      <alignment horizontal="center" vertical="center"/>
    </xf>
    <xf numFmtId="0" fontId="39" fillId="0" borderId="26" xfId="60" applyFont="1" applyBorder="1" applyAlignment="1" applyProtection="1">
      <alignment horizontal="center" vertical="center"/>
    </xf>
    <xf numFmtId="165" fontId="39" fillId="0" borderId="13" xfId="60" applyNumberFormat="1" applyFont="1" applyBorder="1" applyAlignment="1" applyProtection="1">
      <alignment horizontal="center" vertical="center" wrapText="1"/>
    </xf>
    <xf numFmtId="165" fontId="39" fillId="0" borderId="170" xfId="60" applyNumberFormat="1" applyFont="1" applyBorder="1" applyAlignment="1" applyProtection="1">
      <alignment horizontal="center" vertical="center" wrapText="1"/>
    </xf>
    <xf numFmtId="165" fontId="15" fillId="0" borderId="99" xfId="60" applyNumberFormat="1" applyFont="1" applyBorder="1" applyAlignment="1" applyProtection="1">
      <alignment horizontal="left" vertical="center" wrapText="1" indent="1"/>
    </xf>
    <xf numFmtId="165" fontId="15" fillId="0" borderId="27" xfId="60" applyNumberFormat="1" applyFont="1" applyBorder="1" applyAlignment="1" applyProtection="1">
      <alignment horizontal="left" vertical="center" wrapText="1" indent="1"/>
    </xf>
    <xf numFmtId="165" fontId="15" fillId="0" borderId="71" xfId="60" applyNumberFormat="1" applyFont="1" applyBorder="1" applyAlignment="1" applyProtection="1">
      <alignment horizontal="left" vertical="center" wrapText="1" indent="1"/>
    </xf>
    <xf numFmtId="0" fontId="39" fillId="4" borderId="27" xfId="60" applyFont="1" applyFill="1" applyBorder="1" applyAlignment="1" applyProtection="1">
      <alignment horizontal="center" vertical="center"/>
      <protection locked="0"/>
    </xf>
    <xf numFmtId="0" fontId="15" fillId="0" borderId="26" xfId="60" applyFont="1" applyBorder="1" applyAlignment="1" applyProtection="1">
      <alignment horizontal="left" vertical="center" indent="1"/>
    </xf>
    <xf numFmtId="165" fontId="15" fillId="0" borderId="47" xfId="60" applyNumberFormat="1" applyFont="1" applyBorder="1" applyAlignment="1" applyProtection="1">
      <alignment horizontal="center" vertical="center" wrapText="1"/>
    </xf>
    <xf numFmtId="165" fontId="15" fillId="0" borderId="28" xfId="60" applyNumberFormat="1" applyFont="1" applyBorder="1" applyAlignment="1" applyProtection="1">
      <alignment horizontal="center" vertical="center" wrapText="1"/>
    </xf>
    <xf numFmtId="165" fontId="15" fillId="0" borderId="38" xfId="60" applyNumberFormat="1" applyFont="1" applyBorder="1" applyAlignment="1" applyProtection="1">
      <alignment horizontal="center" vertical="center" wrapText="1"/>
    </xf>
    <xf numFmtId="165" fontId="15" fillId="0" borderId="84" xfId="60" applyNumberFormat="1" applyFont="1" applyBorder="1" applyAlignment="1" applyProtection="1">
      <alignment horizontal="center" vertical="center" wrapText="1"/>
    </xf>
    <xf numFmtId="165" fontId="15" fillId="0" borderId="0" xfId="60" applyNumberFormat="1" applyFont="1" applyBorder="1" applyAlignment="1" applyProtection="1">
      <alignment horizontal="center" vertical="center" wrapText="1"/>
    </xf>
    <xf numFmtId="165" fontId="15" fillId="0" borderId="43" xfId="60" applyNumberFormat="1" applyFont="1" applyBorder="1" applyAlignment="1" applyProtection="1">
      <alignment horizontal="center" vertical="center" wrapText="1"/>
    </xf>
    <xf numFmtId="165" fontId="15" fillId="0" borderId="13" xfId="60" applyNumberFormat="1" applyFont="1" applyBorder="1" applyAlignment="1" applyProtection="1">
      <alignment horizontal="center" vertical="center" wrapText="1"/>
    </xf>
    <xf numFmtId="165" fontId="15" fillId="0" borderId="39" xfId="60" applyNumberFormat="1" applyFont="1" applyBorder="1" applyAlignment="1" applyProtection="1">
      <alignment horizontal="center" vertical="center" wrapText="1"/>
    </xf>
    <xf numFmtId="165" fontId="15" fillId="0" borderId="170" xfId="60" applyNumberFormat="1" applyFont="1" applyBorder="1" applyAlignment="1" applyProtection="1">
      <alignment horizontal="center" vertical="center" wrapText="1"/>
    </xf>
    <xf numFmtId="0" fontId="15" fillId="0" borderId="99" xfId="60" applyFont="1" applyBorder="1" applyAlignment="1" applyProtection="1">
      <alignment horizontal="left" vertical="center" wrapText="1" indent="1"/>
    </xf>
    <xf numFmtId="0" fontId="15" fillId="0" borderId="27" xfId="60" applyFont="1" applyBorder="1" applyAlignment="1" applyProtection="1">
      <alignment horizontal="left" vertical="center" wrapText="1" indent="1"/>
    </xf>
    <xf numFmtId="0" fontId="15" fillId="0" borderId="71" xfId="60" applyFont="1" applyBorder="1" applyAlignment="1" applyProtection="1">
      <alignment horizontal="left" vertical="center" wrapText="1" indent="1"/>
    </xf>
    <xf numFmtId="4" fontId="79" fillId="0" borderId="71" xfId="60" applyNumberFormat="1" applyFont="1" applyBorder="1" applyAlignment="1" applyProtection="1">
      <alignment horizontal="center" vertical="center"/>
    </xf>
    <xf numFmtId="4" fontId="79" fillId="0" borderId="26" xfId="60" applyNumberFormat="1" applyFont="1" applyBorder="1" applyAlignment="1" applyProtection="1">
      <alignment horizontal="center" vertical="center"/>
    </xf>
    <xf numFmtId="0" fontId="39" fillId="4" borderId="26" xfId="60" applyFont="1" applyFill="1" applyBorder="1" applyAlignment="1" applyProtection="1">
      <alignment horizontal="center" vertical="center"/>
      <protection locked="0"/>
    </xf>
    <xf numFmtId="0" fontId="25" fillId="0" borderId="26" xfId="58" applyFont="1" applyBorder="1" applyAlignment="1" applyProtection="1">
      <alignment horizontal="left" vertical="center" wrapText="1" indent="1"/>
    </xf>
    <xf numFmtId="0" fontId="15" fillId="0" borderId="39" xfId="60" applyFont="1" applyFill="1" applyBorder="1" applyAlignment="1" applyProtection="1">
      <alignment horizontal="center" vertical="center"/>
    </xf>
    <xf numFmtId="0" fontId="15" fillId="0" borderId="0" xfId="60" applyFont="1" applyFill="1" applyBorder="1" applyAlignment="1" applyProtection="1">
      <alignment horizontal="center" vertical="center"/>
    </xf>
    <xf numFmtId="0" fontId="39" fillId="4" borderId="170" xfId="60" applyFont="1" applyFill="1" applyBorder="1" applyAlignment="1" applyProtection="1">
      <alignment horizontal="center" vertical="center"/>
      <protection locked="0"/>
    </xf>
    <xf numFmtId="0" fontId="39" fillId="4" borderId="41" xfId="60" applyFont="1" applyFill="1" applyBorder="1" applyAlignment="1" applyProtection="1">
      <alignment horizontal="center" vertical="center"/>
      <protection locked="0"/>
    </xf>
    <xf numFmtId="0" fontId="15" fillId="0" borderId="39" xfId="60" applyFont="1" applyFill="1" applyBorder="1" applyAlignment="1" applyProtection="1">
      <alignment horizontal="left" vertical="center"/>
    </xf>
    <xf numFmtId="0" fontId="39" fillId="0" borderId="39" xfId="60" applyFont="1" applyFill="1" applyBorder="1" applyAlignment="1" applyProtection="1">
      <alignment horizontal="center" vertical="center"/>
    </xf>
    <xf numFmtId="0" fontId="25" fillId="0" borderId="0" xfId="58" applyFont="1" applyBorder="1" applyAlignment="1" applyProtection="1">
      <alignment horizontal="left" vertical="center"/>
    </xf>
    <xf numFmtId="0" fontId="25" fillId="0" borderId="0" xfId="58" applyFont="1" applyBorder="1" applyAlignment="1" applyProtection="1">
      <alignment horizontal="center" vertical="center"/>
    </xf>
    <xf numFmtId="0" fontId="25" fillId="0" borderId="0" xfId="58" applyFont="1" applyBorder="1" applyAlignment="1" applyProtection="1">
      <alignment horizontal="right" vertical="center"/>
    </xf>
    <xf numFmtId="0" fontId="25" fillId="0" borderId="0" xfId="58" applyFont="1" applyBorder="1" applyAlignment="1" applyProtection="1">
      <alignment horizontal="left" vertical="center" indent="1"/>
    </xf>
    <xf numFmtId="0" fontId="15" fillId="0" borderId="84" xfId="60" applyFont="1" applyBorder="1" applyAlignment="1" applyProtection="1">
      <alignment horizontal="right" vertical="center" indent="1"/>
    </xf>
    <xf numFmtId="0" fontId="15" fillId="0" borderId="0" xfId="60" applyFont="1" applyBorder="1" applyAlignment="1" applyProtection="1">
      <alignment horizontal="right" vertical="center" indent="1"/>
    </xf>
    <xf numFmtId="0" fontId="15" fillId="7" borderId="26" xfId="60" applyFont="1" applyFill="1" applyBorder="1" applyAlignment="1" applyProtection="1">
      <alignment horizontal="center" vertical="center"/>
    </xf>
    <xf numFmtId="0" fontId="61" fillId="0" borderId="99" xfId="60" applyFont="1" applyBorder="1" applyAlignment="1" applyProtection="1">
      <alignment horizontal="right" vertical="center" wrapText="1" indent="1"/>
    </xf>
    <xf numFmtId="0" fontId="61" fillId="0" borderId="27" xfId="60" applyFont="1" applyBorder="1" applyAlignment="1" applyProtection="1">
      <alignment horizontal="right" vertical="center" wrapText="1" indent="1"/>
    </xf>
    <xf numFmtId="0" fontId="61" fillId="0" borderId="71" xfId="60" applyFont="1" applyBorder="1" applyAlignment="1" applyProtection="1">
      <alignment horizontal="right" vertical="center" wrapText="1" indent="1"/>
    </xf>
    <xf numFmtId="0" fontId="164" fillId="0" borderId="47" xfId="62" applyFont="1" applyFill="1" applyBorder="1" applyAlignment="1" applyProtection="1">
      <alignment horizontal="right" vertical="center" indent="1"/>
    </xf>
    <xf numFmtId="0" fontId="164" fillId="0" borderId="28" xfId="62" applyFont="1" applyFill="1" applyBorder="1" applyAlignment="1" applyProtection="1">
      <alignment horizontal="right" vertical="center" indent="1"/>
    </xf>
    <xf numFmtId="0" fontId="164" fillId="0" borderId="38" xfId="62" applyFont="1" applyFill="1" applyBorder="1" applyAlignment="1" applyProtection="1">
      <alignment horizontal="right" vertical="center" indent="1"/>
    </xf>
    <xf numFmtId="0" fontId="164" fillId="0" borderId="13" xfId="62" applyFont="1" applyFill="1" applyBorder="1" applyAlignment="1" applyProtection="1">
      <alignment horizontal="right" vertical="center" indent="1"/>
    </xf>
    <xf numFmtId="0" fontId="164" fillId="0" borderId="39" xfId="62" applyFont="1" applyFill="1" applyBorder="1" applyAlignment="1" applyProtection="1">
      <alignment horizontal="right" vertical="center" indent="1"/>
    </xf>
    <xf numFmtId="0" fontId="164" fillId="0" borderId="170" xfId="62" applyFont="1" applyFill="1" applyBorder="1" applyAlignment="1" applyProtection="1">
      <alignment horizontal="right" vertical="center" indent="1"/>
    </xf>
    <xf numFmtId="0" fontId="15" fillId="0" borderId="39" xfId="58" applyFont="1" applyBorder="1" applyAlignment="1" applyProtection="1">
      <alignment horizontal="center" vertical="center" wrapText="1"/>
    </xf>
    <xf numFmtId="165" fontId="15" fillId="0" borderId="47" xfId="60" applyNumberFormat="1" applyFont="1" applyBorder="1" applyAlignment="1" applyProtection="1">
      <alignment horizontal="left" vertical="center" indent="1"/>
    </xf>
    <xf numFmtId="165" fontId="15" fillId="0" borderId="28" xfId="60" applyNumberFormat="1" applyFont="1" applyBorder="1" applyAlignment="1" applyProtection="1">
      <alignment horizontal="left" vertical="center" indent="1"/>
    </xf>
    <xf numFmtId="165" fontId="15" fillId="0" borderId="84" xfId="60" applyNumberFormat="1" applyFont="1" applyBorder="1" applyAlignment="1" applyProtection="1">
      <alignment horizontal="left" vertical="center" indent="1"/>
    </xf>
    <xf numFmtId="165" fontId="15" fillId="0" borderId="0" xfId="60" applyNumberFormat="1" applyFont="1" applyBorder="1" applyAlignment="1" applyProtection="1">
      <alignment horizontal="left" vertical="center" indent="1"/>
    </xf>
    <xf numFmtId="165" fontId="15" fillId="0" borderId="13" xfId="60" applyNumberFormat="1" applyFont="1" applyBorder="1" applyAlignment="1" applyProtection="1">
      <alignment horizontal="left" vertical="center" indent="1"/>
    </xf>
    <xf numFmtId="165" fontId="15" fillId="0" borderId="39" xfId="60" applyNumberFormat="1" applyFont="1" applyBorder="1" applyAlignment="1" applyProtection="1">
      <alignment horizontal="left" vertical="center" indent="1"/>
    </xf>
    <xf numFmtId="0" fontId="15" fillId="7" borderId="26" xfId="60" applyFont="1" applyFill="1" applyBorder="1" applyAlignment="1" applyProtection="1">
      <alignment horizontal="center" vertical="center" wrapText="1"/>
    </xf>
    <xf numFmtId="1" fontId="15" fillId="0" borderId="47" xfId="60" applyNumberFormat="1" applyFont="1" applyBorder="1" applyAlignment="1" applyProtection="1">
      <alignment horizontal="center" vertical="center"/>
    </xf>
    <xf numFmtId="1" fontId="15" fillId="0" borderId="28" xfId="60" applyNumberFormat="1" applyFont="1" applyBorder="1" applyAlignment="1" applyProtection="1">
      <alignment horizontal="center" vertical="center"/>
    </xf>
    <xf numFmtId="1" fontId="15" fillId="0" borderId="84" xfId="60" applyNumberFormat="1" applyFont="1" applyBorder="1" applyAlignment="1" applyProtection="1">
      <alignment horizontal="center" vertical="center"/>
    </xf>
    <xf numFmtId="1" fontId="15" fillId="0" borderId="0" xfId="60" applyNumberFormat="1" applyFont="1" applyBorder="1" applyAlignment="1" applyProtection="1">
      <alignment horizontal="center" vertical="center"/>
    </xf>
    <xf numFmtId="1" fontId="15" fillId="0" borderId="13" xfId="60" applyNumberFormat="1" applyFont="1" applyBorder="1" applyAlignment="1" applyProtection="1">
      <alignment horizontal="center" vertical="center"/>
    </xf>
    <xf numFmtId="1" fontId="15" fillId="0" borderId="39" xfId="60" applyNumberFormat="1" applyFont="1" applyBorder="1" applyAlignment="1" applyProtection="1">
      <alignment horizontal="center" vertical="center"/>
    </xf>
    <xf numFmtId="165" fontId="15" fillId="2" borderId="84" xfId="60" applyNumberFormat="1" applyFont="1" applyFill="1" applyBorder="1" applyAlignment="1" applyProtection="1">
      <alignment horizontal="left" vertical="center" indent="1"/>
    </xf>
    <xf numFmtId="165" fontId="15" fillId="2" borderId="0" xfId="60" applyNumberFormat="1" applyFont="1" applyFill="1" applyBorder="1" applyAlignment="1" applyProtection="1">
      <alignment horizontal="left" vertical="center" indent="1"/>
    </xf>
    <xf numFmtId="165" fontId="15" fillId="2" borderId="43" xfId="60" applyNumberFormat="1" applyFont="1" applyFill="1" applyBorder="1" applyAlignment="1" applyProtection="1">
      <alignment horizontal="left" vertical="center" indent="1"/>
    </xf>
    <xf numFmtId="165" fontId="15" fillId="2" borderId="13" xfId="60" applyNumberFormat="1" applyFont="1" applyFill="1" applyBorder="1" applyAlignment="1" applyProtection="1">
      <alignment horizontal="left" vertical="center" indent="1"/>
    </xf>
    <xf numFmtId="165" fontId="15" fillId="2" borderId="39" xfId="60" applyNumberFormat="1" applyFont="1" applyFill="1" applyBorder="1" applyAlignment="1" applyProtection="1">
      <alignment horizontal="left" vertical="center" indent="1"/>
    </xf>
    <xf numFmtId="165" fontId="15" fillId="2" borderId="170" xfId="60" applyNumberFormat="1" applyFont="1" applyFill="1" applyBorder="1" applyAlignment="1" applyProtection="1">
      <alignment horizontal="left" vertical="center" indent="1"/>
    </xf>
    <xf numFmtId="0" fontId="15" fillId="7" borderId="26" xfId="60" applyFont="1" applyFill="1" applyBorder="1" applyAlignment="1" applyProtection="1">
      <alignment horizontal="right" vertical="center" wrapText="1" indent="1"/>
    </xf>
    <xf numFmtId="0" fontId="15" fillId="7" borderId="47" xfId="60" applyFont="1" applyFill="1" applyBorder="1" applyAlignment="1" applyProtection="1">
      <alignment horizontal="right" vertical="center" wrapText="1" indent="1"/>
    </xf>
    <xf numFmtId="0" fontId="15" fillId="7" borderId="28" xfId="60" applyFont="1" applyFill="1" applyBorder="1" applyAlignment="1" applyProtection="1">
      <alignment horizontal="right" vertical="center" wrapText="1" indent="1"/>
    </xf>
    <xf numFmtId="0" fontId="15" fillId="7" borderId="38" xfId="60" applyFont="1" applyFill="1" applyBorder="1" applyAlignment="1" applyProtection="1">
      <alignment horizontal="right" vertical="center" wrapText="1" indent="1"/>
    </xf>
    <xf numFmtId="9" fontId="15" fillId="0" borderId="0" xfId="0" applyNumberFormat="1" applyFont="1" applyBorder="1" applyAlignment="1">
      <alignment horizontal="center" vertical="center"/>
    </xf>
    <xf numFmtId="0" fontId="15" fillId="0" borderId="0" xfId="0" applyFont="1" applyBorder="1" applyAlignment="1">
      <alignment horizontal="center" vertical="center"/>
    </xf>
    <xf numFmtId="0" fontId="39" fillId="0" borderId="46" xfId="60" applyFont="1" applyBorder="1" applyAlignment="1" applyProtection="1">
      <alignment horizontal="center" vertical="center"/>
    </xf>
    <xf numFmtId="0" fontId="39" fillId="0" borderId="41" xfId="60" applyFont="1" applyBorder="1" applyAlignment="1" applyProtection="1">
      <alignment horizontal="center" vertical="center"/>
    </xf>
    <xf numFmtId="0" fontId="15" fillId="0" borderId="99" xfId="60" applyFont="1" applyBorder="1" applyAlignment="1" applyProtection="1">
      <alignment horizontal="right" vertical="center" indent="1"/>
    </xf>
    <xf numFmtId="0" fontId="15" fillId="0" borderId="27" xfId="60" applyFont="1" applyBorder="1" applyAlignment="1" applyProtection="1">
      <alignment horizontal="right" vertical="center" indent="1"/>
    </xf>
    <xf numFmtId="0" fontId="15" fillId="0" borderId="71" xfId="60" applyFont="1" applyBorder="1" applyAlignment="1" applyProtection="1">
      <alignment horizontal="right" vertical="center" indent="1"/>
    </xf>
    <xf numFmtId="0" fontId="39" fillId="0" borderId="26" xfId="62" applyFont="1" applyBorder="1" applyAlignment="1" applyProtection="1">
      <alignment horizontal="center" vertical="center"/>
    </xf>
    <xf numFmtId="0" fontId="95" fillId="0" borderId="47" xfId="60" applyFont="1" applyBorder="1" applyAlignment="1" applyProtection="1">
      <alignment horizontal="center" vertical="center" wrapText="1"/>
    </xf>
    <xf numFmtId="0" fontId="95" fillId="0" borderId="28" xfId="60" applyFont="1" applyBorder="1" applyAlignment="1" applyProtection="1">
      <alignment horizontal="center" vertical="center" wrapText="1"/>
    </xf>
    <xf numFmtId="0" fontId="95" fillId="0" borderId="38" xfId="60" applyFont="1" applyBorder="1" applyAlignment="1" applyProtection="1">
      <alignment horizontal="center" vertical="center" wrapText="1"/>
    </xf>
    <xf numFmtId="9" fontId="15" fillId="0" borderId="47" xfId="62" applyNumberFormat="1" applyFont="1" applyFill="1" applyBorder="1" applyAlignment="1" applyProtection="1">
      <alignment horizontal="left" vertical="center" indent="1"/>
    </xf>
    <xf numFmtId="9" fontId="15" fillId="0" borderId="28" xfId="62" applyNumberFormat="1" applyFont="1" applyFill="1" applyBorder="1" applyAlignment="1" applyProtection="1">
      <alignment horizontal="left" vertical="center" indent="1"/>
    </xf>
    <xf numFmtId="9" fontId="15" fillId="0" borderId="38" xfId="62" applyNumberFormat="1" applyFont="1" applyFill="1" applyBorder="1" applyAlignment="1" applyProtection="1">
      <alignment horizontal="left" vertical="center" indent="1"/>
    </xf>
    <xf numFmtId="9" fontId="15" fillId="0" borderId="13" xfId="62" applyNumberFormat="1" applyFont="1" applyFill="1" applyBorder="1" applyAlignment="1" applyProtection="1">
      <alignment horizontal="left" vertical="center" indent="1"/>
    </xf>
    <xf numFmtId="9" fontId="15" fillId="0" borderId="39" xfId="62" applyNumberFormat="1" applyFont="1" applyFill="1" applyBorder="1" applyAlignment="1" applyProtection="1">
      <alignment horizontal="left" vertical="center" indent="1"/>
    </xf>
    <xf numFmtId="9" fontId="15" fillId="0" borderId="170" xfId="62" applyNumberFormat="1" applyFont="1" applyFill="1" applyBorder="1" applyAlignment="1" applyProtection="1">
      <alignment horizontal="left" vertical="center" indent="1"/>
    </xf>
    <xf numFmtId="165" fontId="39" fillId="2" borderId="26" xfId="60" applyNumberFormat="1" applyFont="1" applyFill="1" applyBorder="1" applyAlignment="1" applyProtection="1">
      <alignment horizontal="right" vertical="center" indent="1"/>
    </xf>
    <xf numFmtId="165" fontId="15" fillId="0" borderId="26" xfId="62" applyNumberFormat="1" applyFont="1" applyFill="1" applyBorder="1" applyAlignment="1" applyProtection="1">
      <alignment horizontal="left" vertical="center" indent="1"/>
    </xf>
    <xf numFmtId="1" fontId="15" fillId="0" borderId="26" xfId="60" applyNumberFormat="1" applyFont="1" applyBorder="1" applyAlignment="1" applyProtection="1">
      <alignment horizontal="center" vertical="center"/>
    </xf>
    <xf numFmtId="0" fontId="39" fillId="0" borderId="26" xfId="60" applyFont="1" applyBorder="1" applyAlignment="1" applyProtection="1">
      <alignment horizontal="center" vertical="top" wrapText="1"/>
    </xf>
    <xf numFmtId="0" fontId="39" fillId="0" borderId="26" xfId="60" applyFont="1" applyBorder="1" applyAlignment="1" applyProtection="1">
      <alignment horizontal="center" vertical="top"/>
    </xf>
    <xf numFmtId="0" fontId="39" fillId="7" borderId="26" xfId="60" applyFont="1" applyFill="1" applyBorder="1" applyAlignment="1" applyProtection="1">
      <alignment horizontal="center" vertical="center" wrapText="1"/>
    </xf>
    <xf numFmtId="0" fontId="39" fillId="7" borderId="26" xfId="60" applyFont="1" applyFill="1" applyBorder="1" applyAlignment="1" applyProtection="1">
      <alignment horizontal="center" vertical="center"/>
    </xf>
    <xf numFmtId="0" fontId="15" fillId="0" borderId="13" xfId="60" applyFont="1" applyBorder="1" applyAlignment="1" applyProtection="1">
      <alignment horizontal="right" vertical="center" indent="1"/>
    </xf>
    <xf numFmtId="0" fontId="15" fillId="0" borderId="39" xfId="60" applyFont="1" applyBorder="1" applyAlignment="1" applyProtection="1">
      <alignment horizontal="right" vertical="center" indent="1"/>
    </xf>
    <xf numFmtId="6" fontId="25" fillId="0" borderId="26" xfId="63" applyNumberFormat="1" applyFont="1" applyBorder="1" applyAlignment="1">
      <alignment horizontal="center" vertical="center"/>
    </xf>
    <xf numFmtId="6" fontId="25" fillId="0" borderId="26" xfId="63" applyNumberFormat="1" applyFont="1" applyBorder="1" applyAlignment="1" applyProtection="1">
      <alignment vertical="center"/>
      <protection locked="0"/>
    </xf>
    <xf numFmtId="0" fontId="51" fillId="0" borderId="0" xfId="50" applyFont="1" applyBorder="1" applyAlignment="1">
      <alignment horizontal="center" vertical="center" wrapText="1"/>
    </xf>
    <xf numFmtId="0" fontId="51" fillId="0" borderId="43" xfId="50" applyFont="1" applyBorder="1" applyAlignment="1">
      <alignment horizontal="center" vertical="center" wrapText="1"/>
    </xf>
    <xf numFmtId="0" fontId="51" fillId="0" borderId="39" xfId="50" applyFont="1" applyBorder="1" applyAlignment="1">
      <alignment horizontal="center" vertical="center" wrapText="1"/>
    </xf>
    <xf numFmtId="0" fontId="51" fillId="0" borderId="170" xfId="50" applyFont="1" applyBorder="1" applyAlignment="1">
      <alignment horizontal="center" vertical="center" wrapText="1"/>
    </xf>
    <xf numFmtId="0" fontId="39" fillId="0" borderId="13" xfId="63" applyFont="1" applyBorder="1" applyAlignment="1">
      <alignment horizontal="right" vertical="center" indent="1"/>
    </xf>
    <xf numFmtId="0" fontId="39" fillId="0" borderId="39" xfId="63" applyFont="1" applyBorder="1" applyAlignment="1">
      <alignment horizontal="right" vertical="center" indent="1"/>
    </xf>
    <xf numFmtId="0" fontId="25" fillId="0" borderId="26" xfId="63" applyFont="1" applyBorder="1" applyAlignment="1">
      <alignment horizontal="center" vertical="center"/>
    </xf>
    <xf numFmtId="0" fontId="39" fillId="0" borderId="13" xfId="0" applyFont="1" applyBorder="1" applyAlignment="1">
      <alignment horizontal="right" vertical="center" indent="1"/>
    </xf>
    <xf numFmtId="0" fontId="39" fillId="0" borderId="39" xfId="0" applyFont="1" applyBorder="1" applyAlignment="1">
      <alignment horizontal="right" vertical="center" indent="1"/>
    </xf>
    <xf numFmtId="0" fontId="39" fillId="0" borderId="170" xfId="0" applyFont="1" applyBorder="1" applyAlignment="1">
      <alignment horizontal="right" vertical="center" indent="1"/>
    </xf>
    <xf numFmtId="0" fontId="39" fillId="0" borderId="170" xfId="63" applyFont="1" applyBorder="1" applyAlignment="1">
      <alignment horizontal="right" vertical="center" indent="1"/>
    </xf>
    <xf numFmtId="165" fontId="39" fillId="26" borderId="39" xfId="50" applyNumberFormat="1" applyFont="1" applyFill="1" applyBorder="1" applyAlignment="1">
      <alignment horizontal="left" vertical="center" indent="1"/>
    </xf>
    <xf numFmtId="165" fontId="39" fillId="26" borderId="170" xfId="50" applyNumberFormat="1" applyFont="1" applyFill="1" applyBorder="1" applyAlignment="1">
      <alignment horizontal="left" vertical="center" indent="1"/>
    </xf>
    <xf numFmtId="0" fontId="40" fillId="0" borderId="0" xfId="63" applyFont="1" applyBorder="1" applyAlignment="1">
      <alignment horizontal="left" vertical="center"/>
    </xf>
    <xf numFmtId="0" fontId="40" fillId="0" borderId="43" xfId="63" applyFont="1" applyBorder="1" applyAlignment="1">
      <alignment horizontal="left" vertical="center"/>
    </xf>
    <xf numFmtId="0" fontId="25" fillId="0" borderId="0" xfId="63" applyFont="1" applyBorder="1" applyAlignment="1">
      <alignment horizontal="right" vertical="center" indent="1"/>
    </xf>
    <xf numFmtId="0" fontId="25" fillId="4" borderId="26" xfId="63" applyFont="1" applyFill="1" applyBorder="1" applyAlignment="1" applyProtection="1">
      <alignment horizontal="left" vertical="center"/>
      <protection locked="0"/>
    </xf>
    <xf numFmtId="5" fontId="25" fillId="0" borderId="26" xfId="67" applyNumberFormat="1" applyFont="1" applyBorder="1" applyAlignment="1">
      <alignment horizontal="left" vertical="center" indent="1"/>
    </xf>
    <xf numFmtId="0" fontId="25" fillId="0" borderId="43" xfId="63" applyFont="1" applyBorder="1" applyAlignment="1">
      <alignment horizontal="right" vertical="center" indent="1"/>
    </xf>
    <xf numFmtId="0" fontId="39" fillId="0" borderId="39" xfId="63" applyFont="1" applyBorder="1" applyAlignment="1">
      <alignment horizontal="right" vertical="center" indent="2"/>
    </xf>
    <xf numFmtId="0" fontId="39" fillId="0" borderId="170" xfId="63" applyFont="1" applyBorder="1" applyAlignment="1">
      <alignment horizontal="right" vertical="center" indent="2"/>
    </xf>
    <xf numFmtId="5" fontId="25" fillId="0" borderId="26" xfId="63" applyNumberFormat="1" applyFont="1" applyBorder="1" applyAlignment="1">
      <alignment horizontal="left" vertical="center" indent="1"/>
    </xf>
    <xf numFmtId="0" fontId="25" fillId="0" borderId="0" xfId="63" applyFont="1" applyBorder="1" applyAlignment="1" applyProtection="1">
      <alignment horizontal="left" vertical="center"/>
      <protection locked="0"/>
    </xf>
    <xf numFmtId="0" fontId="25" fillId="0" borderId="43" xfId="63" applyFont="1" applyBorder="1" applyAlignment="1" applyProtection="1">
      <alignment horizontal="left" vertical="center"/>
      <protection locked="0"/>
    </xf>
    <xf numFmtId="0" fontId="25" fillId="4" borderId="99" xfId="63" applyFont="1" applyFill="1" applyBorder="1" applyAlignment="1" applyProtection="1">
      <alignment horizontal="center" vertical="center"/>
      <protection locked="0"/>
    </xf>
    <xf numFmtId="0" fontId="25" fillId="4" borderId="71" xfId="63" applyFont="1" applyFill="1" applyBorder="1" applyAlignment="1" applyProtection="1">
      <alignment horizontal="center" vertical="center"/>
      <protection locked="0"/>
    </xf>
    <xf numFmtId="0" fontId="25" fillId="4" borderId="47" xfId="63" applyFont="1" applyFill="1" applyBorder="1" applyAlignment="1" applyProtection="1">
      <alignment horizontal="center" vertical="center"/>
      <protection locked="0"/>
    </xf>
    <xf numFmtId="0" fontId="25" fillId="4" borderId="38" xfId="63" applyFont="1" applyFill="1" applyBorder="1" applyAlignment="1" applyProtection="1">
      <alignment horizontal="center" vertical="center"/>
      <protection locked="0"/>
    </xf>
    <xf numFmtId="165" fontId="15" fillId="0" borderId="0" xfId="50" applyNumberFormat="1" applyFont="1" applyBorder="1" applyAlignment="1" applyProtection="1">
      <alignment horizontal="left" vertical="center" indent="1"/>
      <protection locked="0"/>
    </xf>
    <xf numFmtId="165" fontId="15" fillId="0" borderId="0" xfId="50" applyNumberFormat="1" applyFont="1" applyBorder="1" applyAlignment="1">
      <alignment horizontal="center" vertical="center"/>
    </xf>
    <xf numFmtId="0" fontId="15" fillId="0" borderId="0" xfId="50" quotePrefix="1" applyFont="1" applyBorder="1" applyAlignment="1">
      <alignment horizontal="left" vertical="center" wrapText="1"/>
    </xf>
    <xf numFmtId="0" fontId="15" fillId="0" borderId="0" xfId="50" quotePrefix="1" applyFont="1" applyBorder="1" applyAlignment="1">
      <alignment horizontal="center" vertical="center" wrapText="1"/>
    </xf>
    <xf numFmtId="0" fontId="39" fillId="0" borderId="39" xfId="50" quotePrefix="1" applyFont="1" applyBorder="1" applyAlignment="1">
      <alignment horizontal="left" vertical="center"/>
    </xf>
    <xf numFmtId="0" fontId="51" fillId="0" borderId="0" xfId="50" applyFont="1" applyBorder="1" applyAlignment="1">
      <alignment horizontal="left" vertical="center" wrapText="1" indent="1"/>
    </xf>
    <xf numFmtId="0" fontId="51" fillId="0" borderId="43" xfId="50" applyFont="1" applyBorder="1" applyAlignment="1">
      <alignment horizontal="left" vertical="center" wrapText="1" indent="1"/>
    </xf>
    <xf numFmtId="165" fontId="15" fillId="7" borderId="0" xfId="50" applyNumberFormat="1" applyFont="1" applyFill="1" applyBorder="1" applyAlignment="1">
      <alignment horizontal="left" vertical="center" indent="1"/>
    </xf>
    <xf numFmtId="0" fontId="50" fillId="7" borderId="47" xfId="50" applyFont="1" applyFill="1" applyBorder="1" applyAlignment="1">
      <alignment horizontal="left" vertical="center"/>
    </xf>
    <xf numFmtId="0" fontId="50" fillId="7" borderId="28" xfId="50" applyFont="1" applyFill="1" applyBorder="1" applyAlignment="1">
      <alignment horizontal="left" vertical="center"/>
    </xf>
    <xf numFmtId="0" fontId="50" fillId="7" borderId="38" xfId="50" applyFont="1" applyFill="1" applyBorder="1" applyAlignment="1">
      <alignment horizontal="left" vertical="center"/>
    </xf>
    <xf numFmtId="165" fontId="15" fillId="0" borderId="0" xfId="50" applyNumberFormat="1" applyFont="1" applyBorder="1" applyAlignment="1">
      <alignment horizontal="left" vertical="center" indent="1"/>
    </xf>
    <xf numFmtId="165" fontId="15" fillId="0" borderId="43" xfId="50" applyNumberFormat="1" applyFont="1" applyBorder="1" applyAlignment="1">
      <alignment horizontal="left" vertical="center" indent="1"/>
    </xf>
    <xf numFmtId="165" fontId="39" fillId="26" borderId="0" xfId="50" applyNumberFormat="1" applyFont="1" applyFill="1" applyBorder="1" applyAlignment="1">
      <alignment horizontal="left" vertical="center" indent="1"/>
    </xf>
    <xf numFmtId="165" fontId="39" fillId="26" borderId="43" xfId="50" applyNumberFormat="1" applyFont="1" applyFill="1" applyBorder="1" applyAlignment="1">
      <alignment horizontal="left" vertical="center" indent="1"/>
    </xf>
    <xf numFmtId="0" fontId="15" fillId="0" borderId="0" xfId="50" applyFont="1" applyBorder="1" applyAlignment="1">
      <alignment horizontal="left" vertical="center"/>
    </xf>
    <xf numFmtId="0" fontId="15" fillId="0" borderId="99" xfId="66" applyFont="1" applyFill="1" applyBorder="1" applyAlignment="1" applyProtection="1">
      <alignment horizontal="center" vertical="center" wrapText="1"/>
    </xf>
    <xf numFmtId="0" fontId="15" fillId="0" borderId="71" xfId="66" applyFont="1" applyFill="1" applyBorder="1" applyAlignment="1" applyProtection="1">
      <alignment horizontal="center" vertical="center" wrapText="1"/>
    </xf>
    <xf numFmtId="165" fontId="15" fillId="0" borderId="0" xfId="50" applyNumberFormat="1" applyFont="1" applyBorder="1" applyAlignment="1">
      <alignment horizontal="right" vertical="center" indent="1"/>
    </xf>
    <xf numFmtId="0" fontId="15" fillId="4" borderId="27" xfId="66" applyFont="1" applyFill="1" applyBorder="1" applyAlignment="1" applyProtection="1">
      <alignment horizontal="center" vertical="center" wrapText="1"/>
      <protection locked="0"/>
    </xf>
    <xf numFmtId="0" fontId="15" fillId="4" borderId="39" xfId="65" applyFont="1" applyFill="1" applyBorder="1" applyAlignment="1" applyProtection="1">
      <alignment horizontal="center" vertical="center" wrapText="1"/>
      <protection locked="0"/>
    </xf>
    <xf numFmtId="0" fontId="15" fillId="7" borderId="0" xfId="50" applyFont="1" applyFill="1" applyBorder="1" applyAlignment="1">
      <alignment horizontal="left" vertical="center" wrapText="1"/>
    </xf>
    <xf numFmtId="165" fontId="15" fillId="4" borderId="26" xfId="50" quotePrefix="1" applyNumberFormat="1" applyFont="1" applyFill="1" applyBorder="1" applyAlignment="1" applyProtection="1">
      <alignment horizontal="left" vertical="center" wrapText="1" indent="1"/>
      <protection locked="0"/>
    </xf>
    <xf numFmtId="0" fontId="39" fillId="0" borderId="39" xfId="50" quotePrefix="1" applyFont="1" applyBorder="1" applyAlignment="1">
      <alignment horizontal="center" vertical="center"/>
    </xf>
    <xf numFmtId="165" fontId="15" fillId="0" borderId="0" xfId="50" quotePrefix="1" applyNumberFormat="1" applyFont="1" applyBorder="1" applyAlignment="1">
      <alignment horizontal="right" vertical="center" indent="2"/>
    </xf>
    <xf numFmtId="0" fontId="15" fillId="0" borderId="0" xfId="50" applyFont="1" applyBorder="1" applyAlignment="1" applyProtection="1">
      <alignment horizontal="left" vertical="center"/>
      <protection locked="0"/>
    </xf>
    <xf numFmtId="165" fontId="26" fillId="0" borderId="0" xfId="64" applyNumberFormat="1" applyFont="1" applyBorder="1" applyAlignment="1">
      <alignment horizontal="left" vertical="center"/>
    </xf>
    <xf numFmtId="5" fontId="15" fillId="26" borderId="26" xfId="50" applyNumberFormat="1" applyFont="1" applyFill="1" applyBorder="1" applyAlignment="1">
      <alignment horizontal="center" vertical="center" wrapText="1"/>
    </xf>
    <xf numFmtId="165" fontId="15" fillId="4" borderId="99" xfId="50" quotePrefix="1" applyNumberFormat="1" applyFont="1" applyFill="1" applyBorder="1" applyAlignment="1" applyProtection="1">
      <alignment horizontal="left" vertical="center" wrapText="1" indent="1"/>
      <protection locked="0"/>
    </xf>
    <xf numFmtId="165" fontId="15" fillId="4" borderId="27" xfId="50" quotePrefix="1" applyNumberFormat="1" applyFont="1" applyFill="1" applyBorder="1" applyAlignment="1" applyProtection="1">
      <alignment horizontal="left" vertical="center" wrapText="1" indent="1"/>
      <protection locked="0"/>
    </xf>
    <xf numFmtId="165" fontId="15" fillId="4" borderId="71" xfId="50" quotePrefix="1" applyNumberFormat="1" applyFont="1" applyFill="1" applyBorder="1" applyAlignment="1" applyProtection="1">
      <alignment horizontal="left" vertical="center" wrapText="1" indent="1"/>
      <protection locked="0"/>
    </xf>
    <xf numFmtId="0" fontId="25" fillId="0" borderId="84" xfId="50" applyFont="1" applyBorder="1" applyAlignment="1">
      <alignment horizontal="center" vertical="center"/>
    </xf>
    <xf numFmtId="0" fontId="25" fillId="0" borderId="0" xfId="50" applyFont="1" applyBorder="1" applyAlignment="1">
      <alignment horizontal="center" vertical="center"/>
    </xf>
    <xf numFmtId="165" fontId="15" fillId="0" borderId="26" xfId="50" quotePrefix="1" applyNumberFormat="1" applyFont="1" applyBorder="1" applyAlignment="1">
      <alignment horizontal="left" vertical="center" wrapText="1" indent="1"/>
    </xf>
    <xf numFmtId="165" fontId="15" fillId="26" borderId="26" xfId="50" applyNumberFormat="1" applyFont="1" applyFill="1" applyBorder="1" applyAlignment="1">
      <alignment horizontal="left" vertical="center" wrapText="1" indent="1"/>
    </xf>
    <xf numFmtId="165" fontId="15" fillId="26" borderId="27" xfId="50" applyNumberFormat="1" applyFont="1" applyFill="1" applyBorder="1" applyAlignment="1">
      <alignment horizontal="left" vertical="center" wrapText="1" indent="1"/>
    </xf>
    <xf numFmtId="165" fontId="15" fillId="26" borderId="71" xfId="50" applyNumberFormat="1" applyFont="1" applyFill="1" applyBorder="1" applyAlignment="1">
      <alignment horizontal="left" vertical="center" wrapText="1" indent="1"/>
    </xf>
    <xf numFmtId="0" fontId="15" fillId="26" borderId="47" xfId="50" quotePrefix="1" applyFont="1" applyFill="1" applyBorder="1" applyAlignment="1">
      <alignment horizontal="right" vertical="center" wrapText="1" indent="1"/>
    </xf>
    <xf numFmtId="0" fontId="15" fillId="26" borderId="28" xfId="50" quotePrefix="1" applyFont="1" applyFill="1" applyBorder="1" applyAlignment="1">
      <alignment horizontal="right" vertical="center" wrapText="1" indent="1"/>
    </xf>
    <xf numFmtId="0" fontId="15" fillId="26" borderId="13" xfId="50" quotePrefix="1" applyFont="1" applyFill="1" applyBorder="1" applyAlignment="1">
      <alignment horizontal="right" vertical="center" wrapText="1" indent="1"/>
    </xf>
    <xf numFmtId="0" fontId="15" fillId="26" borderId="39" xfId="50" quotePrefix="1" applyFont="1" applyFill="1" applyBorder="1" applyAlignment="1">
      <alignment horizontal="right" vertical="center" wrapText="1" indent="1"/>
    </xf>
    <xf numFmtId="0" fontId="15" fillId="26" borderId="170" xfId="50" quotePrefix="1" applyFont="1" applyFill="1" applyBorder="1" applyAlignment="1">
      <alignment horizontal="right" vertical="center" wrapText="1" indent="1"/>
    </xf>
    <xf numFmtId="0" fontId="15" fillId="7" borderId="0" xfId="50" applyFont="1" applyFill="1" applyBorder="1" applyAlignment="1">
      <alignment horizontal="center" vertical="center" wrapText="1"/>
    </xf>
    <xf numFmtId="165" fontId="15" fillId="26" borderId="41" xfId="50" applyNumberFormat="1" applyFont="1" applyFill="1" applyBorder="1" applyAlignment="1">
      <alignment horizontal="left" vertical="center" wrapText="1" indent="1"/>
    </xf>
    <xf numFmtId="0" fontId="25" fillId="0" borderId="0" xfId="50" applyFont="1" applyBorder="1" applyAlignment="1" applyProtection="1">
      <alignment horizontal="left" vertical="center"/>
    </xf>
    <xf numFmtId="0" fontId="166" fillId="0" borderId="0" xfId="63" applyFont="1" applyBorder="1" applyAlignment="1">
      <alignment horizontal="center" vertical="center" wrapText="1"/>
    </xf>
    <xf numFmtId="0" fontId="15" fillId="26" borderId="84" xfId="50" quotePrefix="1" applyFont="1" applyFill="1" applyBorder="1" applyAlignment="1">
      <alignment horizontal="right" vertical="center" wrapText="1" indent="1"/>
    </xf>
    <xf numFmtId="0" fontId="15" fillId="26" borderId="0" xfId="50" quotePrefix="1" applyFont="1" applyFill="1" applyBorder="1" applyAlignment="1">
      <alignment horizontal="right" vertical="center" wrapText="1" indent="1"/>
    </xf>
    <xf numFmtId="0" fontId="15" fillId="26" borderId="43" xfId="50" quotePrefix="1" applyFont="1" applyFill="1" applyBorder="1" applyAlignment="1">
      <alignment horizontal="right" vertical="center" wrapText="1" indent="1"/>
    </xf>
    <xf numFmtId="0" fontId="25" fillId="7" borderId="0" xfId="50" applyFont="1" applyFill="1" applyBorder="1" applyAlignment="1">
      <alignment horizontal="left" vertical="center" wrapText="1"/>
    </xf>
    <xf numFmtId="9" fontId="25" fillId="4" borderId="99" xfId="50" applyNumberFormat="1" applyFont="1" applyFill="1" applyBorder="1" applyAlignment="1" applyProtection="1">
      <alignment horizontal="left" vertical="center" wrapText="1" indent="1"/>
      <protection locked="0"/>
    </xf>
    <xf numFmtId="9" fontId="25" fillId="4" borderId="27" xfId="50" applyNumberFormat="1" applyFont="1" applyFill="1" applyBorder="1" applyAlignment="1" applyProtection="1">
      <alignment horizontal="left" vertical="center" wrapText="1" indent="1"/>
      <protection locked="0"/>
    </xf>
    <xf numFmtId="9" fontId="25" fillId="4" borderId="71" xfId="50" applyNumberFormat="1" applyFont="1" applyFill="1" applyBorder="1" applyAlignment="1" applyProtection="1">
      <alignment horizontal="left" vertical="center" wrapText="1" indent="1"/>
      <protection locked="0"/>
    </xf>
    <xf numFmtId="0" fontId="25" fillId="0" borderId="0" xfId="50" applyFont="1" applyBorder="1" applyAlignment="1">
      <alignment horizontal="left" vertical="center" wrapText="1"/>
    </xf>
    <xf numFmtId="0" fontId="15" fillId="0" borderId="0" xfId="50" applyFont="1" applyBorder="1" applyAlignment="1">
      <alignment horizontal="left" vertical="center" wrapText="1"/>
    </xf>
    <xf numFmtId="165" fontId="15" fillId="26" borderId="39" xfId="50" applyNumberFormat="1" applyFont="1" applyFill="1" applyBorder="1" applyAlignment="1">
      <alignment horizontal="left" vertical="center" wrapText="1" indent="1"/>
    </xf>
    <xf numFmtId="165" fontId="15" fillId="26" borderId="170" xfId="50" applyNumberFormat="1" applyFont="1" applyFill="1" applyBorder="1" applyAlignment="1">
      <alignment horizontal="left" vertical="center" wrapText="1" indent="1"/>
    </xf>
    <xf numFmtId="0" fontId="79" fillId="4" borderId="26" xfId="50" applyFont="1" applyFill="1" applyBorder="1" applyAlignment="1" applyProtection="1">
      <alignment horizontal="center" vertical="center" wrapText="1"/>
      <protection locked="0"/>
    </xf>
    <xf numFmtId="0" fontId="15" fillId="0" borderId="0" xfId="0" applyFont="1" applyBorder="1" applyAlignment="1">
      <alignment horizontal="right" vertical="center" indent="1"/>
    </xf>
    <xf numFmtId="0" fontId="15" fillId="0" borderId="43" xfId="0" applyFont="1" applyBorder="1" applyAlignment="1">
      <alignment horizontal="right" vertical="center" indent="1"/>
    </xf>
    <xf numFmtId="5" fontId="26" fillId="36" borderId="39" xfId="63" applyNumberFormat="1" applyFont="1" applyFill="1" applyBorder="1" applyAlignment="1">
      <alignment horizontal="center" vertical="center"/>
    </xf>
    <xf numFmtId="5" fontId="26" fillId="36" borderId="170" xfId="63" applyNumberFormat="1" applyFont="1" applyFill="1" applyBorder="1" applyAlignment="1">
      <alignment horizontal="center" vertical="center"/>
    </xf>
    <xf numFmtId="0" fontId="15" fillId="0" borderId="99" xfId="0" applyFont="1" applyBorder="1" applyAlignment="1">
      <alignment horizontal="center"/>
    </xf>
    <xf numFmtId="0" fontId="15" fillId="0" borderId="71" xfId="0" applyFont="1" applyBorder="1" applyAlignment="1">
      <alignment horizontal="center"/>
    </xf>
    <xf numFmtId="0" fontId="39" fillId="0" borderId="0" xfId="0" applyFont="1" applyBorder="1" applyAlignment="1">
      <alignment horizontal="left"/>
    </xf>
    <xf numFmtId="0" fontId="39" fillId="0" borderId="43" xfId="0" applyFont="1" applyBorder="1" applyAlignment="1">
      <alignment horizontal="left"/>
    </xf>
    <xf numFmtId="5" fontId="25" fillId="0" borderId="26" xfId="67" applyNumberFormat="1" applyFont="1" applyBorder="1" applyAlignment="1">
      <alignment horizontal="center" vertical="center"/>
    </xf>
    <xf numFmtId="174" fontId="15" fillId="0" borderId="28" xfId="50" applyNumberFormat="1" applyFont="1" applyBorder="1" applyAlignment="1">
      <alignment horizontal="center" vertical="center"/>
    </xf>
    <xf numFmtId="0" fontId="50" fillId="0" borderId="47" xfId="63" applyFont="1" applyBorder="1" applyAlignment="1">
      <alignment horizontal="left" vertical="center" wrapText="1"/>
    </xf>
    <xf numFmtId="0" fontId="50" fillId="0" borderId="28" xfId="63" applyFont="1" applyBorder="1" applyAlignment="1">
      <alignment horizontal="left" vertical="center" wrapText="1"/>
    </xf>
    <xf numFmtId="0" fontId="15" fillId="0" borderId="0" xfId="50" quotePrefix="1" applyFont="1" applyBorder="1" applyAlignment="1">
      <alignment horizontal="left" vertical="center"/>
    </xf>
    <xf numFmtId="0" fontId="57" fillId="15" borderId="26" xfId="17" applyFont="1" applyFill="1" applyBorder="1" applyAlignment="1" applyProtection="1">
      <alignment horizontal="center" vertical="center" wrapText="1"/>
      <protection locked="0"/>
    </xf>
    <xf numFmtId="0" fontId="25" fillId="7" borderId="26" xfId="13" applyFont="1" applyFill="1" applyBorder="1" applyAlignment="1" applyProtection="1">
      <alignment vertical="center" wrapText="1"/>
    </xf>
    <xf numFmtId="0" fontId="57" fillId="0" borderId="26" xfId="0" applyFont="1" applyFill="1" applyBorder="1" applyAlignment="1" applyProtection="1">
      <alignment vertical="center" wrapText="1"/>
    </xf>
    <xf numFmtId="0" fontId="50" fillId="0" borderId="26" xfId="0" applyFont="1" applyFill="1" applyBorder="1" applyAlignment="1" applyProtection="1">
      <alignment horizontal="center" vertical="center" wrapText="1"/>
    </xf>
    <xf numFmtId="0" fontId="56" fillId="0" borderId="99" xfId="0" applyFont="1" applyFill="1" applyBorder="1" applyAlignment="1" applyProtection="1">
      <alignment horizontal="center" vertical="center" wrapText="1"/>
    </xf>
    <xf numFmtId="0" fontId="56" fillId="0" borderId="71" xfId="0" applyFont="1" applyFill="1" applyBorder="1" applyAlignment="1" applyProtection="1">
      <alignment horizontal="center" vertical="center" wrapText="1"/>
    </xf>
    <xf numFmtId="0" fontId="57" fillId="0" borderId="99" xfId="0" applyFont="1" applyFill="1" applyBorder="1" applyAlignment="1" applyProtection="1">
      <alignment horizontal="left" vertical="center" wrapText="1"/>
    </xf>
    <xf numFmtId="0" fontId="57" fillId="0" borderId="27" xfId="0" applyFont="1" applyFill="1" applyBorder="1" applyAlignment="1" applyProtection="1">
      <alignment horizontal="left" vertical="center" wrapText="1"/>
    </xf>
    <xf numFmtId="0" fontId="57" fillId="0" borderId="71" xfId="0" applyFont="1" applyFill="1" applyBorder="1" applyAlignment="1" applyProtection="1">
      <alignment horizontal="left" vertical="center" wrapText="1"/>
    </xf>
    <xf numFmtId="0" fontId="35" fillId="7" borderId="0" xfId="0" applyFont="1" applyFill="1" applyBorder="1" applyAlignment="1" applyProtection="1">
      <alignment horizontal="center" vertical="center" wrapText="1"/>
    </xf>
    <xf numFmtId="0" fontId="57" fillId="0" borderId="26" xfId="17" applyFont="1" applyFill="1" applyBorder="1" applyAlignment="1" applyProtection="1">
      <alignment horizontal="center" vertical="center" wrapText="1"/>
    </xf>
    <xf numFmtId="0" fontId="55" fillId="0" borderId="26" xfId="0" applyFont="1" applyFill="1" applyBorder="1" applyAlignment="1" applyProtection="1">
      <alignment vertical="center" wrapText="1"/>
    </xf>
    <xf numFmtId="0" fontId="56" fillId="0" borderId="46" xfId="0" applyFont="1" applyFill="1" applyBorder="1" applyAlignment="1" applyProtection="1">
      <alignment horizontal="center" vertical="center" wrapText="1"/>
    </xf>
    <xf numFmtId="0" fontId="56" fillId="0" borderId="92" xfId="0" applyFont="1" applyFill="1" applyBorder="1" applyAlignment="1" applyProtection="1">
      <alignment horizontal="center" vertical="center" wrapText="1"/>
    </xf>
    <xf numFmtId="0" fontId="56" fillId="0" borderId="41" xfId="0" applyFont="1" applyFill="1" applyBorder="1" applyAlignment="1" applyProtection="1">
      <alignment horizontal="center" vertical="center" wrapText="1"/>
    </xf>
    <xf numFmtId="0" fontId="57" fillId="0" borderId="99" xfId="0" applyFont="1" applyFill="1" applyBorder="1" applyAlignment="1" applyProtection="1">
      <alignment vertical="center" wrapText="1"/>
    </xf>
    <xf numFmtId="0" fontId="57" fillId="0" borderId="27" xfId="0" applyFont="1" applyFill="1" applyBorder="1" applyAlignment="1" applyProtection="1">
      <alignment vertical="center" wrapText="1"/>
    </xf>
    <xf numFmtId="0" fontId="57" fillId="0" borderId="71" xfId="0" applyFont="1" applyFill="1" applyBorder="1" applyAlignment="1" applyProtection="1">
      <alignment vertical="center" wrapText="1"/>
    </xf>
    <xf numFmtId="0" fontId="57" fillId="0" borderId="26" xfId="0" applyFont="1" applyFill="1" applyBorder="1" applyAlignment="1" applyProtection="1">
      <alignment horizontal="left" vertical="center" wrapText="1"/>
    </xf>
    <xf numFmtId="0" fontId="57" fillId="15" borderId="47" xfId="17" applyFont="1" applyFill="1" applyBorder="1" applyAlignment="1" applyProtection="1">
      <alignment horizontal="center" vertical="center" wrapText="1"/>
      <protection locked="0"/>
    </xf>
    <xf numFmtId="0" fontId="57" fillId="15" borderId="28" xfId="17" applyFont="1" applyFill="1" applyBorder="1" applyAlignment="1" applyProtection="1">
      <alignment horizontal="center" vertical="center" wrapText="1"/>
      <protection locked="0"/>
    </xf>
    <xf numFmtId="0" fontId="57" fillId="15" borderId="38" xfId="17" applyFont="1" applyFill="1" applyBorder="1" applyAlignment="1" applyProtection="1">
      <alignment horizontal="center" vertical="center" wrapText="1"/>
      <protection locked="0"/>
    </xf>
    <xf numFmtId="0" fontId="57" fillId="15" borderId="84" xfId="17" applyFont="1" applyFill="1" applyBorder="1" applyAlignment="1" applyProtection="1">
      <alignment horizontal="center" vertical="center" wrapText="1"/>
      <protection locked="0"/>
    </xf>
    <xf numFmtId="0" fontId="57" fillId="15" borderId="0" xfId="17" applyFont="1" applyFill="1" applyBorder="1" applyAlignment="1" applyProtection="1">
      <alignment horizontal="center" vertical="center" wrapText="1"/>
      <protection locked="0"/>
    </xf>
    <xf numFmtId="0" fontId="57" fillId="15" borderId="43" xfId="17" applyFont="1" applyFill="1" applyBorder="1" applyAlignment="1" applyProtection="1">
      <alignment horizontal="center" vertical="center" wrapText="1"/>
      <protection locked="0"/>
    </xf>
    <xf numFmtId="0" fontId="57" fillId="15" borderId="13" xfId="17" applyFont="1" applyFill="1" applyBorder="1" applyAlignment="1" applyProtection="1">
      <alignment horizontal="center" vertical="center" wrapText="1"/>
      <protection locked="0"/>
    </xf>
    <xf numFmtId="0" fontId="57" fillId="15" borderId="39" xfId="17" applyFont="1" applyFill="1" applyBorder="1" applyAlignment="1" applyProtection="1">
      <alignment horizontal="center" vertical="center" wrapText="1"/>
      <protection locked="0"/>
    </xf>
    <xf numFmtId="0" fontId="57" fillId="15" borderId="170" xfId="17" applyFont="1" applyFill="1" applyBorder="1" applyAlignment="1" applyProtection="1">
      <alignment horizontal="center" vertical="center" wrapText="1"/>
      <protection locked="0"/>
    </xf>
    <xf numFmtId="0" fontId="35" fillId="0" borderId="0" xfId="8" applyFont="1" applyBorder="1" applyAlignment="1" applyProtection="1">
      <alignment horizontal="center" wrapText="1"/>
    </xf>
    <xf numFmtId="0" fontId="63" fillId="0" borderId="0" xfId="8" applyFont="1" applyBorder="1" applyAlignment="1" applyProtection="1">
      <alignment horizontal="center" wrapText="1"/>
    </xf>
    <xf numFmtId="0" fontId="25" fillId="4" borderId="99" xfId="26" applyFont="1" applyFill="1" applyBorder="1" applyAlignment="1" applyProtection="1">
      <alignment horizontal="left" vertical="center" indent="1"/>
      <protection locked="0"/>
    </xf>
    <xf numFmtId="0" fontId="25" fillId="4" borderId="27" xfId="26" applyFont="1" applyFill="1" applyBorder="1" applyAlignment="1" applyProtection="1">
      <alignment horizontal="left" vertical="center" indent="1"/>
      <protection locked="0"/>
    </xf>
    <xf numFmtId="0" fontId="25" fillId="4" borderId="71" xfId="26" applyFont="1" applyFill="1" applyBorder="1" applyAlignment="1" applyProtection="1">
      <alignment horizontal="left" vertical="center" indent="1"/>
      <protection locked="0"/>
    </xf>
    <xf numFmtId="0" fontId="25" fillId="4" borderId="71" xfId="26" applyFont="1" applyFill="1" applyBorder="1" applyAlignment="1" applyProtection="1">
      <alignment horizontal="left" vertical="top" wrapText="1"/>
      <protection locked="0"/>
    </xf>
    <xf numFmtId="0" fontId="25" fillId="4" borderId="26" xfId="26" applyFont="1" applyFill="1" applyBorder="1" applyAlignment="1" applyProtection="1">
      <alignment horizontal="left" vertical="top" wrapText="1"/>
      <protection locked="0"/>
    </xf>
    <xf numFmtId="0" fontId="25" fillId="4" borderId="99" xfId="26" applyFont="1" applyFill="1" applyBorder="1" applyAlignment="1" applyProtection="1">
      <alignment horizontal="left" vertical="top" wrapText="1"/>
      <protection locked="0"/>
    </xf>
    <xf numFmtId="49" fontId="25" fillId="4" borderId="99" xfId="26" applyNumberFormat="1" applyFont="1" applyFill="1" applyBorder="1" applyAlignment="1" applyProtection="1">
      <alignment horizontal="left" vertical="center" wrapText="1" indent="1"/>
      <protection locked="0"/>
    </xf>
    <xf numFmtId="49" fontId="25" fillId="4" borderId="27" xfId="26" applyNumberFormat="1" applyFont="1" applyFill="1" applyBorder="1" applyAlignment="1" applyProtection="1">
      <alignment horizontal="left" vertical="center" wrapText="1" indent="1"/>
      <protection locked="0"/>
    </xf>
    <xf numFmtId="49" fontId="25" fillId="4" borderId="71" xfId="26" applyNumberFormat="1" applyFont="1" applyFill="1" applyBorder="1" applyAlignment="1" applyProtection="1">
      <alignment horizontal="left" vertical="center" wrapText="1" indent="1"/>
      <protection locked="0"/>
    </xf>
    <xf numFmtId="0" fontId="25" fillId="4" borderId="14" xfId="26" applyFont="1" applyFill="1" applyBorder="1" applyAlignment="1" applyProtection="1">
      <alignment horizontal="center" vertical="center" wrapText="1"/>
      <protection locked="0"/>
    </xf>
    <xf numFmtId="0" fontId="25" fillId="4" borderId="15" xfId="26" applyFont="1" applyFill="1" applyBorder="1" applyAlignment="1" applyProtection="1">
      <alignment horizontal="center" vertical="center" wrapText="1"/>
      <protection locked="0"/>
    </xf>
    <xf numFmtId="0" fontId="25" fillId="4" borderId="16" xfId="26" applyFont="1" applyFill="1" applyBorder="1" applyAlignment="1" applyProtection="1">
      <alignment horizontal="center" vertical="center" wrapText="1"/>
      <protection locked="0"/>
    </xf>
    <xf numFmtId="0" fontId="25" fillId="7" borderId="99" xfId="26" applyFont="1" applyFill="1" applyBorder="1" applyAlignment="1" applyProtection="1">
      <alignment horizontal="center" vertical="center"/>
    </xf>
    <xf numFmtId="0" fontId="25" fillId="7" borderId="27" xfId="26" applyFont="1" applyFill="1" applyBorder="1" applyAlignment="1" applyProtection="1">
      <alignment horizontal="center" vertical="center"/>
    </xf>
    <xf numFmtId="0" fontId="25" fillId="7" borderId="71" xfId="26" applyFont="1" applyFill="1" applyBorder="1" applyAlignment="1" applyProtection="1">
      <alignment horizontal="center" vertical="center"/>
    </xf>
    <xf numFmtId="0" fontId="25" fillId="4" borderId="47" xfId="26" applyFont="1" applyFill="1" applyBorder="1" applyAlignment="1" applyProtection="1">
      <alignment horizontal="left" vertical="center" wrapText="1" indent="1"/>
      <protection locked="0"/>
    </xf>
    <xf numFmtId="0" fontId="25" fillId="4" borderId="28" xfId="26" applyFont="1" applyFill="1" applyBorder="1" applyAlignment="1" applyProtection="1">
      <alignment horizontal="left" vertical="center" wrapText="1" indent="1"/>
      <protection locked="0"/>
    </xf>
    <xf numFmtId="0" fontId="25" fillId="4" borderId="38" xfId="26" applyFont="1" applyFill="1" applyBorder="1" applyAlignment="1" applyProtection="1">
      <alignment horizontal="left" vertical="center" wrapText="1" indent="1"/>
      <protection locked="0"/>
    </xf>
    <xf numFmtId="0" fontId="25" fillId="4" borderId="84" xfId="26" applyFont="1" applyFill="1" applyBorder="1" applyAlignment="1" applyProtection="1">
      <alignment horizontal="left" vertical="center" wrapText="1" indent="1"/>
      <protection locked="0"/>
    </xf>
    <xf numFmtId="0" fontId="25" fillId="4" borderId="0" xfId="26" applyFont="1" applyFill="1" applyBorder="1" applyAlignment="1" applyProtection="1">
      <alignment horizontal="left" vertical="center" wrapText="1" indent="1"/>
      <protection locked="0"/>
    </xf>
    <xf numFmtId="0" fontId="25" fillId="4" borderId="43" xfId="26" applyFont="1" applyFill="1" applyBorder="1" applyAlignment="1" applyProtection="1">
      <alignment horizontal="left" vertical="center" wrapText="1" indent="1"/>
      <protection locked="0"/>
    </xf>
    <xf numFmtId="0" fontId="25" fillId="4" borderId="13" xfId="26" applyFont="1" applyFill="1" applyBorder="1" applyAlignment="1" applyProtection="1">
      <alignment horizontal="left" vertical="center" wrapText="1" indent="1"/>
      <protection locked="0"/>
    </xf>
    <xf numFmtId="0" fontId="25" fillId="4" borderId="39" xfId="26" applyFont="1" applyFill="1" applyBorder="1" applyAlignment="1" applyProtection="1">
      <alignment horizontal="left" vertical="center" wrapText="1" indent="1"/>
      <protection locked="0"/>
    </xf>
    <xf numFmtId="0" fontId="25" fillId="4" borderId="170" xfId="26" applyFont="1" applyFill="1" applyBorder="1" applyAlignment="1" applyProtection="1">
      <alignment horizontal="left" vertical="center" wrapText="1" indent="1"/>
      <protection locked="0"/>
    </xf>
    <xf numFmtId="0" fontId="25" fillId="0" borderId="47" xfId="26" applyFont="1" applyBorder="1" applyAlignment="1" applyProtection="1">
      <alignment horizontal="center" vertical="center"/>
    </xf>
    <xf numFmtId="0" fontId="25" fillId="0" borderId="28" xfId="26" applyFont="1" applyBorder="1" applyAlignment="1" applyProtection="1">
      <alignment horizontal="center" vertical="center"/>
    </xf>
    <xf numFmtId="0" fontId="25" fillId="0" borderId="38" xfId="26" applyFont="1" applyBorder="1" applyAlignment="1" applyProtection="1">
      <alignment horizontal="center" vertical="center"/>
    </xf>
    <xf numFmtId="0" fontId="25" fillId="0" borderId="13" xfId="26" applyFont="1" applyBorder="1" applyAlignment="1" applyProtection="1">
      <alignment horizontal="center" vertical="center"/>
    </xf>
    <xf numFmtId="0" fontId="25" fillId="0" borderId="39" xfId="26" applyFont="1" applyBorder="1" applyAlignment="1" applyProtection="1">
      <alignment horizontal="center" vertical="center"/>
    </xf>
    <xf numFmtId="0" fontId="25" fillId="0" borderId="170" xfId="26" applyFont="1" applyBorder="1" applyAlignment="1" applyProtection="1">
      <alignment horizontal="center" vertical="center"/>
    </xf>
    <xf numFmtId="1" fontId="25" fillId="4" borderId="26" xfId="26" applyNumberFormat="1" applyFont="1" applyFill="1" applyBorder="1" applyAlignment="1" applyProtection="1">
      <alignment horizontal="center" vertical="center" wrapText="1"/>
      <protection locked="0"/>
    </xf>
    <xf numFmtId="0" fontId="25" fillId="0" borderId="47" xfId="26" applyFont="1" applyBorder="1" applyAlignment="1" applyProtection="1">
      <alignment horizontal="center" vertical="center" wrapText="1"/>
    </xf>
    <xf numFmtId="0" fontId="25" fillId="0" borderId="38" xfId="26" applyFont="1" applyBorder="1" applyAlignment="1" applyProtection="1">
      <alignment horizontal="center" vertical="center" wrapText="1"/>
    </xf>
    <xf numFmtId="0" fontId="25" fillId="0" borderId="13" xfId="26" applyFont="1" applyBorder="1" applyAlignment="1" applyProtection="1">
      <alignment horizontal="center" vertical="center" wrapText="1"/>
    </xf>
    <xf numFmtId="0" fontId="25" fillId="0" borderId="170" xfId="26" applyFont="1" applyBorder="1" applyAlignment="1" applyProtection="1">
      <alignment horizontal="center" vertical="center" wrapText="1"/>
    </xf>
    <xf numFmtId="1" fontId="25" fillId="4" borderId="47" xfId="26" applyNumberFormat="1" applyFont="1" applyFill="1" applyBorder="1" applyAlignment="1" applyProtection="1">
      <alignment horizontal="center" vertical="center" wrapText="1"/>
      <protection locked="0"/>
    </xf>
    <xf numFmtId="1" fontId="25" fillId="4" borderId="38" xfId="26" applyNumberFormat="1" applyFont="1" applyFill="1" applyBorder="1" applyAlignment="1" applyProtection="1">
      <alignment horizontal="center" vertical="center" wrapText="1"/>
      <protection locked="0"/>
    </xf>
    <xf numFmtId="1" fontId="25" fillId="4" borderId="84" xfId="26" applyNumberFormat="1" applyFont="1" applyFill="1" applyBorder="1" applyAlignment="1" applyProtection="1">
      <alignment horizontal="center" vertical="center" wrapText="1"/>
      <protection locked="0"/>
    </xf>
    <xf numFmtId="1" fontId="25" fillId="4" borderId="43" xfId="26" applyNumberFormat="1" applyFont="1" applyFill="1" applyBorder="1" applyAlignment="1" applyProtection="1">
      <alignment horizontal="center" vertical="center" wrapText="1"/>
      <protection locked="0"/>
    </xf>
    <xf numFmtId="1" fontId="25" fillId="4" borderId="13" xfId="26" applyNumberFormat="1" applyFont="1" applyFill="1" applyBorder="1" applyAlignment="1" applyProtection="1">
      <alignment horizontal="center" vertical="center" wrapText="1"/>
      <protection locked="0"/>
    </xf>
    <xf numFmtId="1" fontId="25" fillId="4" borderId="170" xfId="26" applyNumberFormat="1" applyFont="1" applyFill="1" applyBorder="1" applyAlignment="1" applyProtection="1">
      <alignment horizontal="center" vertical="center" wrapText="1"/>
      <protection locked="0"/>
    </xf>
    <xf numFmtId="0" fontId="30" fillId="0" borderId="0" xfId="26" applyFont="1" applyAlignment="1">
      <alignment horizontal="left" vertical="top" wrapText="1"/>
    </xf>
    <xf numFmtId="0" fontId="25" fillId="0" borderId="99" xfId="26" applyFont="1" applyBorder="1" applyAlignment="1" applyProtection="1">
      <alignment horizontal="center" vertical="center" wrapText="1"/>
    </xf>
    <xf numFmtId="0" fontId="25" fillId="0" borderId="71" xfId="26" applyFont="1" applyBorder="1" applyAlignment="1" applyProtection="1">
      <alignment horizontal="center" vertical="center" wrapText="1"/>
    </xf>
    <xf numFmtId="0" fontId="25" fillId="0" borderId="27" xfId="26" applyFont="1" applyBorder="1" applyAlignment="1" applyProtection="1">
      <alignment horizontal="left" vertical="center" wrapText="1" indent="1"/>
    </xf>
    <xf numFmtId="165" fontId="25" fillId="0" borderId="99" xfId="26" applyNumberFormat="1" applyFont="1" applyFill="1" applyBorder="1" applyAlignment="1" applyProtection="1">
      <alignment horizontal="left" vertical="center" wrapText="1" indent="1"/>
    </xf>
    <xf numFmtId="165" fontId="25" fillId="0" borderId="27" xfId="26" applyNumberFormat="1" applyFont="1" applyFill="1" applyBorder="1" applyAlignment="1" applyProtection="1">
      <alignment horizontal="left" vertical="center" wrapText="1" indent="1"/>
    </xf>
    <xf numFmtId="0" fontId="25" fillId="0" borderId="27" xfId="26" applyFont="1" applyBorder="1" applyAlignment="1" applyProtection="1">
      <alignment horizontal="center" vertical="center" wrapText="1"/>
    </xf>
    <xf numFmtId="0" fontId="25" fillId="0" borderId="99" xfId="26" applyFont="1" applyBorder="1" applyAlignment="1" applyProtection="1">
      <alignment horizontal="left" vertical="center" wrapText="1" indent="1"/>
    </xf>
    <xf numFmtId="0" fontId="25" fillId="0" borderId="71" xfId="26" applyFont="1" applyBorder="1" applyAlignment="1" applyProtection="1">
      <alignment horizontal="left" vertical="center" wrapText="1" indent="1"/>
    </xf>
    <xf numFmtId="1" fontId="30" fillId="0" borderId="0" xfId="26" applyNumberFormat="1" applyFont="1" applyAlignment="1">
      <alignment horizontal="left" vertical="center"/>
    </xf>
    <xf numFmtId="0" fontId="30" fillId="0" borderId="0" xfId="26" applyFont="1" applyAlignment="1">
      <alignment horizontal="left" vertical="center" wrapText="1"/>
    </xf>
    <xf numFmtId="0" fontId="25" fillId="0" borderId="26" xfId="26" applyFont="1" applyBorder="1" applyAlignment="1" applyProtection="1">
      <alignment horizontal="center" vertical="center" wrapText="1"/>
    </xf>
    <xf numFmtId="0" fontId="25" fillId="0" borderId="26" xfId="26" applyFont="1" applyBorder="1" applyAlignment="1" applyProtection="1">
      <alignment horizontal="left" vertical="center" wrapText="1" indent="1"/>
    </xf>
    <xf numFmtId="1" fontId="25" fillId="0" borderId="26" xfId="26" applyNumberFormat="1" applyFont="1" applyFill="1" applyBorder="1" applyAlignment="1" applyProtection="1">
      <alignment horizontal="left" vertical="center" wrapText="1" indent="1"/>
    </xf>
    <xf numFmtId="0" fontId="25" fillId="0" borderId="26" xfId="26" applyFont="1" applyFill="1" applyBorder="1" applyAlignment="1" applyProtection="1">
      <alignment horizontal="left" vertical="center" wrapText="1" indent="1"/>
    </xf>
    <xf numFmtId="0" fontId="25" fillId="0" borderId="99" xfId="26" applyFont="1" applyFill="1" applyBorder="1" applyAlignment="1" applyProtection="1">
      <alignment horizontal="left" vertical="center" wrapText="1" indent="1"/>
    </xf>
    <xf numFmtId="0" fontId="26" fillId="0" borderId="99" xfId="26" applyFont="1" applyBorder="1" applyAlignment="1" applyProtection="1">
      <alignment horizontal="left" vertical="center" wrapText="1" indent="1"/>
    </xf>
    <xf numFmtId="0" fontId="26" fillId="0" borderId="27" xfId="26" applyFont="1" applyBorder="1" applyAlignment="1" applyProtection="1">
      <alignment horizontal="left" vertical="center" wrapText="1" indent="1"/>
    </xf>
    <xf numFmtId="165" fontId="30" fillId="0" borderId="0" xfId="26" applyNumberFormat="1" applyFont="1" applyAlignment="1" applyProtection="1">
      <alignment horizontal="left" vertical="center"/>
      <protection locked="0"/>
    </xf>
    <xf numFmtId="0" fontId="25" fillId="4" borderId="99" xfId="26" applyFont="1" applyFill="1" applyBorder="1" applyAlignment="1" applyProtection="1">
      <alignment horizontal="center" vertical="center"/>
      <protection locked="0"/>
    </xf>
    <xf numFmtId="0" fontId="25" fillId="4" borderId="27" xfId="26" applyFont="1" applyFill="1" applyBorder="1" applyAlignment="1" applyProtection="1">
      <alignment horizontal="center" vertical="center"/>
      <protection locked="0"/>
    </xf>
    <xf numFmtId="0" fontId="25" fillId="0" borderId="26" xfId="26" applyFont="1" applyBorder="1" applyAlignment="1" applyProtection="1">
      <alignment horizontal="left" vertical="center" indent="1"/>
    </xf>
    <xf numFmtId="0" fontId="25" fillId="0" borderId="0" xfId="26" applyFont="1" applyBorder="1" applyAlignment="1" applyProtection="1">
      <alignment horizontal="left" vertical="center" wrapText="1" indent="1"/>
    </xf>
    <xf numFmtId="0" fontId="53" fillId="0" borderId="39" xfId="4" applyFont="1" applyBorder="1" applyAlignment="1" applyProtection="1">
      <alignment horizontal="left" vertical="center" wrapText="1" indent="1"/>
    </xf>
    <xf numFmtId="0" fontId="15" fillId="0" borderId="0" xfId="26" quotePrefix="1" applyFont="1" applyBorder="1" applyAlignment="1" applyProtection="1">
      <alignment horizontal="left" vertical="center" wrapText="1" indent="1"/>
    </xf>
    <xf numFmtId="0" fontId="25" fillId="4" borderId="26" xfId="26" applyFont="1" applyFill="1" applyBorder="1" applyAlignment="1" applyProtection="1">
      <alignment horizontal="left" vertical="top" wrapText="1" indent="1"/>
      <protection locked="0"/>
    </xf>
    <xf numFmtId="0" fontId="25" fillId="4" borderId="99" xfId="26" applyFont="1" applyFill="1" applyBorder="1" applyAlignment="1" applyProtection="1">
      <alignment horizontal="left" vertical="top" wrapText="1" indent="1"/>
      <protection locked="0"/>
    </xf>
    <xf numFmtId="0" fontId="15" fillId="0" borderId="0" xfId="26" applyFont="1" applyBorder="1" applyAlignment="1" applyProtection="1">
      <alignment horizontal="left" vertical="center" wrapText="1" indent="2"/>
    </xf>
    <xf numFmtId="0" fontId="15" fillId="0" borderId="84" xfId="26" quotePrefix="1" applyFont="1" applyBorder="1" applyAlignment="1" applyProtection="1">
      <alignment horizontal="left" vertical="center" wrapText="1" indent="1"/>
    </xf>
    <xf numFmtId="0" fontId="25" fillId="0" borderId="84" xfId="26" quotePrefix="1" applyFont="1" applyBorder="1" applyAlignment="1" applyProtection="1">
      <alignment horizontal="left" vertical="center" wrapText="1" indent="2"/>
    </xf>
    <xf numFmtId="0" fontId="25" fillId="0" borderId="0" xfId="26" quotePrefix="1" applyFont="1" applyBorder="1" applyAlignment="1" applyProtection="1">
      <alignment horizontal="left" vertical="center" wrapText="1" indent="2"/>
    </xf>
    <xf numFmtId="0" fontId="25" fillId="4" borderId="71" xfId="26" applyFont="1" applyFill="1" applyBorder="1" applyAlignment="1" applyProtection="1">
      <alignment horizontal="center" vertical="center"/>
      <protection locked="0"/>
    </xf>
    <xf numFmtId="0" fontId="25" fillId="7" borderId="71" xfId="26" applyFont="1" applyFill="1" applyBorder="1" applyAlignment="1" applyProtection="1">
      <alignment horizontal="left" vertical="top" wrapText="1"/>
    </xf>
    <xf numFmtId="0" fontId="25" fillId="7" borderId="26" xfId="26" applyFont="1" applyFill="1" applyBorder="1" applyAlignment="1" applyProtection="1">
      <alignment horizontal="left" vertical="top" wrapText="1"/>
    </xf>
    <xf numFmtId="0" fontId="25" fillId="7" borderId="99" xfId="26" applyFont="1" applyFill="1" applyBorder="1" applyAlignment="1" applyProtection="1">
      <alignment horizontal="left" vertical="top" wrapText="1"/>
    </xf>
    <xf numFmtId="0" fontId="25" fillId="4" borderId="71" xfId="26" applyFont="1" applyFill="1" applyBorder="1" applyAlignment="1" applyProtection="1">
      <alignment horizontal="left" vertical="center" wrapText="1" indent="1"/>
      <protection locked="0"/>
    </xf>
    <xf numFmtId="0" fontId="25" fillId="4" borderId="26" xfId="26" applyFont="1" applyFill="1" applyBorder="1" applyAlignment="1" applyProtection="1">
      <alignment horizontal="left" vertical="center" wrapText="1" indent="1"/>
      <protection locked="0"/>
    </xf>
    <xf numFmtId="0" fontId="25" fillId="4" borderId="26" xfId="26" applyFont="1" applyFill="1" applyBorder="1" applyAlignment="1" applyProtection="1">
      <alignment horizontal="center" vertical="center" wrapText="1"/>
      <protection locked="0"/>
    </xf>
    <xf numFmtId="0" fontId="25" fillId="0" borderId="84" xfId="26" applyFont="1" applyBorder="1" applyAlignment="1" applyProtection="1">
      <alignment vertical="center" wrapText="1"/>
    </xf>
    <xf numFmtId="0" fontId="25" fillId="0" borderId="43" xfId="26" applyFont="1" applyBorder="1" applyAlignment="1" applyProtection="1">
      <alignment vertical="center" wrapText="1"/>
    </xf>
    <xf numFmtId="0" fontId="25" fillId="0" borderId="27" xfId="26" applyFont="1" applyBorder="1" applyAlignment="1" applyProtection="1">
      <alignment horizontal="left" vertical="center" wrapText="1" indent="2"/>
    </xf>
    <xf numFmtId="0" fontId="25" fillId="0" borderId="71" xfId="26" applyFont="1" applyBorder="1" applyAlignment="1" applyProtection="1">
      <alignment horizontal="left" vertical="center" wrapText="1" indent="2"/>
    </xf>
    <xf numFmtId="0" fontId="25" fillId="0" borderId="99" xfId="26" applyFont="1" applyBorder="1" applyAlignment="1" applyProtection="1">
      <alignment horizontal="left" vertical="center" indent="1"/>
    </xf>
    <xf numFmtId="0" fontId="25" fillId="0" borderId="27" xfId="26" applyFont="1" applyBorder="1" applyAlignment="1" applyProtection="1">
      <alignment horizontal="left" vertical="center" indent="1"/>
    </xf>
    <xf numFmtId="0" fontId="25" fillId="0" borderId="71" xfId="26" applyFont="1" applyBorder="1" applyAlignment="1" applyProtection="1">
      <alignment horizontal="left" vertical="center" indent="1"/>
    </xf>
    <xf numFmtId="0" fontId="25" fillId="0" borderId="99" xfId="26" applyFont="1" applyBorder="1" applyAlignment="1" applyProtection="1">
      <alignment horizontal="center" vertical="center"/>
    </xf>
    <xf numFmtId="0" fontId="25" fillId="0" borderId="27" xfId="26" applyFont="1" applyBorder="1" applyAlignment="1" applyProtection="1">
      <alignment horizontal="center" vertical="center"/>
    </xf>
    <xf numFmtId="0" fontId="25" fillId="7" borderId="26" xfId="26" applyFont="1" applyFill="1" applyBorder="1" applyAlignment="1" applyProtection="1">
      <alignment horizontal="left" vertical="center" indent="1"/>
    </xf>
    <xf numFmtId="0" fontId="25" fillId="0" borderId="0" xfId="26" applyFont="1" applyBorder="1" applyAlignment="1" applyProtection="1">
      <alignment horizontal="left" vertical="center" wrapText="1" indent="2"/>
    </xf>
    <xf numFmtId="0" fontId="25" fillId="0" borderId="27" xfId="26" applyFont="1" applyBorder="1" applyAlignment="1" applyProtection="1">
      <alignment horizontal="left" vertical="center" indent="2"/>
    </xf>
    <xf numFmtId="0" fontId="25" fillId="0" borderId="71" xfId="26" applyFont="1" applyBorder="1" applyAlignment="1" applyProtection="1">
      <alignment horizontal="left" vertical="center" indent="2"/>
    </xf>
    <xf numFmtId="1" fontId="25" fillId="4" borderId="99" xfId="26" applyNumberFormat="1" applyFont="1" applyFill="1" applyBorder="1" applyAlignment="1" applyProtection="1">
      <alignment horizontal="center" vertical="top"/>
      <protection locked="0"/>
    </xf>
    <xf numFmtId="1" fontId="25" fillId="4" borderId="71" xfId="26" applyNumberFormat="1" applyFont="1" applyFill="1" applyBorder="1" applyAlignment="1" applyProtection="1">
      <alignment horizontal="center" vertical="top"/>
      <protection locked="0"/>
    </xf>
    <xf numFmtId="0" fontId="14" fillId="0" borderId="0" xfId="0" applyFont="1" applyAlignment="1">
      <alignment wrapText="1"/>
    </xf>
    <xf numFmtId="0" fontId="55" fillId="0" borderId="0" xfId="26" applyFont="1" applyBorder="1" applyAlignment="1" applyProtection="1">
      <alignment horizontal="left" vertical="center" wrapText="1"/>
    </xf>
    <xf numFmtId="0" fontId="108" fillId="0" borderId="99" xfId="0" applyFont="1" applyBorder="1" applyAlignment="1" applyProtection="1">
      <alignment horizontal="right" vertical="center" indent="1"/>
    </xf>
    <xf numFmtId="0" fontId="25" fillId="0" borderId="27" xfId="0" applyFont="1" applyBorder="1" applyAlignment="1" applyProtection="1">
      <alignment horizontal="right" vertical="center" indent="1"/>
    </xf>
    <xf numFmtId="0" fontId="25" fillId="0" borderId="71" xfId="0" applyFont="1" applyBorder="1" applyAlignment="1" applyProtection="1">
      <alignment horizontal="right" vertical="center" indent="1"/>
    </xf>
    <xf numFmtId="0" fontId="29" fillId="0" borderId="0" xfId="26" applyFont="1" applyFill="1" applyAlignment="1" applyProtection="1">
      <alignment horizontal="center" vertical="center"/>
    </xf>
    <xf numFmtId="0" fontId="15" fillId="0" borderId="84" xfId="26" applyFont="1" applyBorder="1" applyAlignment="1" applyProtection="1">
      <alignment horizontal="left" vertical="center" wrapText="1" indent="2"/>
    </xf>
    <xf numFmtId="0" fontId="15" fillId="0" borderId="22" xfId="26" applyFont="1" applyBorder="1" applyAlignment="1" applyProtection="1">
      <alignment horizontal="left" vertical="top" wrapText="1" indent="1"/>
    </xf>
    <xf numFmtId="0" fontId="25" fillId="4" borderId="99" xfId="26" applyFont="1" applyFill="1" applyBorder="1" applyAlignment="1" applyProtection="1">
      <alignment horizontal="center" vertical="center" wrapText="1"/>
      <protection locked="0"/>
    </xf>
    <xf numFmtId="0" fontId="25" fillId="4" borderId="13" xfId="26" applyFont="1" applyFill="1" applyBorder="1" applyAlignment="1" applyProtection="1">
      <alignment horizontal="center" vertical="center"/>
      <protection locked="0"/>
    </xf>
    <xf numFmtId="0" fontId="25" fillId="4" borderId="39" xfId="26" applyFont="1" applyFill="1" applyBorder="1" applyAlignment="1" applyProtection="1">
      <alignment horizontal="center" vertical="center"/>
      <protection locked="0"/>
    </xf>
    <xf numFmtId="0" fontId="15" fillId="0" borderId="28" xfId="26" applyFont="1" applyBorder="1" applyAlignment="1" applyProtection="1">
      <alignment horizontal="left" vertical="center"/>
    </xf>
    <xf numFmtId="0" fontId="55" fillId="7" borderId="99" xfId="26" applyFont="1" applyFill="1" applyBorder="1" applyAlignment="1" applyProtection="1">
      <alignment horizontal="left" vertical="center" wrapText="1" indent="1"/>
    </xf>
    <xf numFmtId="0" fontId="55" fillId="7" borderId="27" xfId="26" applyFont="1" applyFill="1" applyBorder="1" applyAlignment="1" applyProtection="1">
      <alignment horizontal="left" vertical="center" wrapText="1" indent="1"/>
    </xf>
    <xf numFmtId="0" fontId="25" fillId="0" borderId="84" xfId="26" applyFont="1" applyFill="1" applyBorder="1" applyAlignment="1" applyProtection="1">
      <alignment horizontal="left" vertical="center" wrapText="1" indent="1"/>
    </xf>
    <xf numFmtId="0" fontId="25" fillId="0" borderId="0" xfId="26" applyFont="1" applyFill="1" applyBorder="1" applyAlignment="1" applyProtection="1">
      <alignment horizontal="left" vertical="center" wrapText="1" indent="1"/>
    </xf>
    <xf numFmtId="0" fontId="25" fillId="4" borderId="46" xfId="26" applyFont="1" applyFill="1" applyBorder="1" applyAlignment="1" applyProtection="1">
      <alignment horizontal="left" vertical="center" wrapText="1" indent="1"/>
      <protection locked="0"/>
    </xf>
    <xf numFmtId="0" fontId="25" fillId="0" borderId="27" xfId="26" applyFont="1" applyFill="1" applyBorder="1" applyAlignment="1" applyProtection="1">
      <alignment horizontal="left" vertical="center" wrapText="1" indent="1"/>
    </xf>
    <xf numFmtId="0" fontId="25" fillId="4" borderId="99" xfId="26" applyFont="1" applyFill="1" applyBorder="1" applyAlignment="1" applyProtection="1">
      <alignment horizontal="left" vertical="center" wrapText="1" indent="1"/>
      <protection locked="0"/>
    </xf>
    <xf numFmtId="0" fontId="55" fillId="0" borderId="13" xfId="26" applyFont="1" applyBorder="1" applyAlignment="1" applyProtection="1">
      <alignment horizontal="left" vertical="center" indent="1"/>
    </xf>
    <xf numFmtId="0" fontId="55" fillId="0" borderId="39" xfId="26" applyFont="1" applyBorder="1" applyAlignment="1" applyProtection="1">
      <alignment horizontal="left" vertical="center" indent="1"/>
    </xf>
    <xf numFmtId="0" fontId="55" fillId="0" borderId="0" xfId="26" applyFont="1" applyBorder="1" applyAlignment="1" applyProtection="1">
      <alignment horizontal="left" vertical="center"/>
    </xf>
    <xf numFmtId="0" fontId="25" fillId="0" borderId="84" xfId="26" applyFont="1" applyBorder="1" applyAlignment="1" applyProtection="1">
      <alignment horizontal="left" vertical="center" wrapText="1" indent="1"/>
    </xf>
    <xf numFmtId="0" fontId="15" fillId="0" borderId="26" xfId="0" applyFont="1" applyFill="1" applyBorder="1" applyAlignment="1" applyProtection="1">
      <alignment horizontal="left" vertical="center" wrapText="1" indent="1"/>
    </xf>
    <xf numFmtId="0" fontId="15" fillId="17" borderId="26" xfId="0" applyFont="1" applyFill="1" applyBorder="1" applyAlignment="1" applyProtection="1">
      <alignment horizontal="left" vertical="center" wrapText="1"/>
      <protection locked="0"/>
    </xf>
    <xf numFmtId="0" fontId="15" fillId="17" borderId="26" xfId="0" applyFont="1" applyFill="1" applyBorder="1" applyAlignment="1" applyProtection="1">
      <alignment vertical="center" wrapText="1"/>
      <protection locked="0"/>
    </xf>
    <xf numFmtId="0" fontId="15" fillId="17" borderId="99" xfId="0" applyFont="1" applyFill="1" applyBorder="1" applyAlignment="1" applyProtection="1">
      <alignment vertical="center" wrapText="1"/>
      <protection locked="0"/>
    </xf>
    <xf numFmtId="0" fontId="15" fillId="0" borderId="46" xfId="0" applyFont="1" applyFill="1" applyBorder="1" applyAlignment="1" applyProtection="1">
      <alignment horizontal="left" vertical="center" wrapText="1" indent="1"/>
    </xf>
    <xf numFmtId="0" fontId="15" fillId="17" borderId="46" xfId="0" applyFont="1" applyFill="1" applyBorder="1" applyAlignment="1" applyProtection="1">
      <alignment horizontal="left" vertical="center" wrapText="1"/>
      <protection locked="0"/>
    </xf>
    <xf numFmtId="0" fontId="15" fillId="17" borderId="46" xfId="0" applyFont="1" applyFill="1" applyBorder="1" applyAlignment="1" applyProtection="1">
      <alignment vertical="center" wrapText="1"/>
      <protection locked="0"/>
    </xf>
    <xf numFmtId="0" fontId="15" fillId="17" borderId="47" xfId="0" applyFont="1" applyFill="1" applyBorder="1" applyAlignment="1" applyProtection="1">
      <alignment vertical="center" wrapText="1"/>
      <protection locked="0"/>
    </xf>
    <xf numFmtId="0" fontId="55" fillId="0" borderId="39" xfId="26" applyFont="1" applyBorder="1" applyAlignment="1" applyProtection="1">
      <alignment vertical="center" wrapText="1"/>
    </xf>
    <xf numFmtId="0" fontId="25" fillId="0" borderId="47" xfId="26" applyFont="1" applyFill="1" applyBorder="1" applyAlignment="1" applyProtection="1">
      <alignment horizontal="left" vertical="center" wrapText="1" indent="1"/>
    </xf>
    <xf numFmtId="0" fontId="25" fillId="0" borderId="28" xfId="26" applyFont="1" applyFill="1" applyBorder="1" applyAlignment="1" applyProtection="1">
      <alignment horizontal="left" vertical="center" wrapText="1" indent="1"/>
    </xf>
    <xf numFmtId="0" fontId="15" fillId="0" borderId="13" xfId="26" applyFont="1" applyBorder="1" applyAlignment="1" applyProtection="1">
      <alignment horizontal="left" vertical="center" wrapText="1" indent="1"/>
    </xf>
    <xf numFmtId="0" fontId="15" fillId="0" borderId="39" xfId="26" applyFont="1" applyBorder="1" applyAlignment="1" applyProtection="1">
      <alignment horizontal="left" vertical="center" wrapText="1" indent="1"/>
    </xf>
    <xf numFmtId="0" fontId="15" fillId="0" borderId="84" xfId="26" applyFont="1" applyBorder="1" applyAlignment="1" applyProtection="1">
      <alignment horizontal="left" vertical="center" wrapText="1" indent="1"/>
    </xf>
    <xf numFmtId="0" fontId="15" fillId="0" borderId="0" xfId="26" applyFont="1" applyBorder="1" applyAlignment="1" applyProtection="1">
      <alignment horizontal="left" vertical="center" wrapText="1" indent="1"/>
    </xf>
    <xf numFmtId="0" fontId="25" fillId="7" borderId="84" xfId="26" applyFont="1" applyFill="1" applyBorder="1" applyAlignment="1" applyProtection="1">
      <alignment horizontal="left" vertical="center" wrapText="1" indent="1"/>
    </xf>
    <xf numFmtId="0" fontId="25" fillId="7" borderId="0" xfId="26" applyFont="1" applyFill="1" applyBorder="1" applyAlignment="1" applyProtection="1">
      <alignment horizontal="left" vertical="center" wrapText="1" indent="1"/>
    </xf>
    <xf numFmtId="0" fontId="39" fillId="0" borderId="26" xfId="0" applyFont="1" applyFill="1" applyBorder="1" applyAlignment="1" applyProtection="1">
      <alignment horizontal="center" vertical="center" wrapText="1"/>
    </xf>
    <xf numFmtId="0" fontId="39" fillId="0" borderId="99" xfId="0" applyFont="1" applyFill="1" applyBorder="1" applyAlignment="1" applyProtection="1">
      <alignment horizontal="center" vertical="center" wrapText="1"/>
    </xf>
    <xf numFmtId="0" fontId="55" fillId="0" borderId="99" xfId="26" applyFont="1" applyBorder="1" applyAlignment="1" applyProtection="1">
      <alignment horizontal="left" vertical="top" indent="1"/>
    </xf>
    <xf numFmtId="0" fontId="55" fillId="0" borderId="27" xfId="26" applyFont="1" applyBorder="1" applyAlignment="1" applyProtection="1">
      <alignment horizontal="left" vertical="top" indent="1"/>
    </xf>
    <xf numFmtId="0" fontId="55" fillId="0" borderId="71" xfId="26" applyFont="1" applyBorder="1" applyAlignment="1" applyProtection="1">
      <alignment horizontal="left" vertical="top" indent="1"/>
    </xf>
    <xf numFmtId="1" fontId="25" fillId="0" borderId="26" xfId="26" applyNumberFormat="1" applyFont="1" applyBorder="1" applyAlignment="1" applyProtection="1">
      <alignment horizontal="left" vertical="center" indent="1"/>
    </xf>
    <xf numFmtId="1" fontId="25" fillId="0" borderId="99" xfId="26" applyNumberFormat="1" applyFont="1" applyBorder="1" applyAlignment="1" applyProtection="1">
      <alignment horizontal="left" vertical="center" indent="1"/>
    </xf>
    <xf numFmtId="2" fontId="25" fillId="4" borderId="26" xfId="26" applyNumberFormat="1" applyFont="1" applyFill="1" applyBorder="1" applyAlignment="1" applyProtection="1">
      <alignment horizontal="left" vertical="center" indent="1"/>
      <protection locked="0"/>
    </xf>
    <xf numFmtId="2" fontId="25" fillId="4" borderId="99" xfId="26" applyNumberFormat="1" applyFont="1" applyFill="1" applyBorder="1" applyAlignment="1" applyProtection="1">
      <alignment horizontal="left" vertical="center" indent="1"/>
      <protection locked="0"/>
    </xf>
    <xf numFmtId="2" fontId="26" fillId="0" borderId="26" xfId="26" applyNumberFormat="1" applyFont="1" applyBorder="1" applyAlignment="1" applyProtection="1">
      <alignment horizontal="left" vertical="center" indent="1"/>
    </xf>
    <xf numFmtId="2" fontId="26" fillId="0" borderId="99" xfId="26" applyNumberFormat="1" applyFont="1" applyBorder="1" applyAlignment="1" applyProtection="1">
      <alignment horizontal="left" vertical="center" indent="1"/>
    </xf>
    <xf numFmtId="2" fontId="25" fillId="4" borderId="26" xfId="26" applyNumberFormat="1" applyFont="1" applyFill="1" applyBorder="1" applyAlignment="1" applyProtection="1">
      <alignment horizontal="center" vertical="center"/>
      <protection locked="0"/>
    </xf>
    <xf numFmtId="165" fontId="25" fillId="4" borderId="15" xfId="26" applyNumberFormat="1" applyFont="1" applyFill="1" applyBorder="1" applyAlignment="1" applyProtection="1">
      <alignment horizontal="center" vertical="center" wrapText="1"/>
      <protection locked="0"/>
    </xf>
    <xf numFmtId="0" fontId="25" fillId="4" borderId="17" xfId="26" applyFont="1" applyFill="1" applyBorder="1" applyAlignment="1" applyProtection="1">
      <alignment horizontal="center" vertical="center" wrapText="1"/>
      <protection locked="0"/>
    </xf>
    <xf numFmtId="10" fontId="25" fillId="0" borderId="17" xfId="26" applyNumberFormat="1" applyFont="1" applyBorder="1" applyAlignment="1" applyProtection="1">
      <alignment horizontal="left" vertical="center" wrapText="1" indent="1"/>
    </xf>
    <xf numFmtId="10" fontId="25" fillId="0" borderId="15" xfId="26" applyNumberFormat="1" applyFont="1" applyBorder="1" applyAlignment="1" applyProtection="1">
      <alignment horizontal="left" vertical="center" wrapText="1" indent="1"/>
    </xf>
    <xf numFmtId="0" fontId="25" fillId="4" borderId="26" xfId="26" applyFont="1" applyFill="1" applyBorder="1" applyAlignment="1" applyProtection="1">
      <alignment horizontal="right" vertical="center" wrapText="1" indent="1"/>
      <protection locked="0"/>
    </xf>
    <xf numFmtId="0" fontId="25" fillId="4" borderId="92" xfId="26" applyFont="1" applyFill="1" applyBorder="1" applyAlignment="1" applyProtection="1">
      <alignment horizontal="left" vertical="center" wrapText="1" indent="1"/>
      <protection locked="0"/>
    </xf>
    <xf numFmtId="0" fontId="25" fillId="4" borderId="29" xfId="26" applyFont="1" applyFill="1" applyBorder="1" applyAlignment="1" applyProtection="1">
      <alignment horizontal="center" vertical="center" wrapText="1"/>
      <protection locked="0"/>
    </xf>
    <xf numFmtId="0" fontId="25" fillId="4" borderId="30" xfId="26" applyFont="1" applyFill="1" applyBorder="1" applyAlignment="1" applyProtection="1">
      <alignment horizontal="center" vertical="center" wrapText="1"/>
      <protection locked="0"/>
    </xf>
    <xf numFmtId="0" fontId="25" fillId="4" borderId="44" xfId="26" applyFont="1" applyFill="1" applyBorder="1" applyAlignment="1" applyProtection="1">
      <alignment horizontal="center" vertical="center" wrapText="1"/>
      <protection locked="0"/>
    </xf>
    <xf numFmtId="10" fontId="25" fillId="0" borderId="99" xfId="26" applyNumberFormat="1" applyFont="1" applyFill="1" applyBorder="1" applyAlignment="1" applyProtection="1">
      <alignment horizontal="left" vertical="center" wrapText="1" indent="1"/>
    </xf>
    <xf numFmtId="10" fontId="25" fillId="0" borderId="27" xfId="26" applyNumberFormat="1" applyFont="1" applyFill="1" applyBorder="1" applyAlignment="1" applyProtection="1">
      <alignment horizontal="left" vertical="center" wrapText="1" indent="1"/>
    </xf>
    <xf numFmtId="165" fontId="25" fillId="4" borderId="26" xfId="26" applyNumberFormat="1" applyFont="1" applyFill="1" applyBorder="1" applyAlignment="1" applyProtection="1">
      <alignment horizontal="center" vertical="center" wrapText="1"/>
      <protection locked="0"/>
    </xf>
    <xf numFmtId="0" fontId="25" fillId="4" borderId="27" xfId="26" applyFont="1" applyFill="1" applyBorder="1" applyAlignment="1" applyProtection="1">
      <alignment horizontal="center" vertical="center" wrapText="1"/>
      <protection locked="0"/>
    </xf>
    <xf numFmtId="0" fontId="25" fillId="4" borderId="71" xfId="26" applyFont="1" applyFill="1" applyBorder="1" applyAlignment="1" applyProtection="1">
      <alignment horizontal="center" vertical="center" wrapText="1"/>
      <protection locked="0"/>
    </xf>
    <xf numFmtId="0" fontId="25" fillId="0" borderId="0" xfId="26" applyFont="1" applyBorder="1" applyAlignment="1" applyProtection="1">
      <alignment vertical="top" wrapText="1"/>
    </xf>
    <xf numFmtId="0" fontId="25" fillId="4" borderId="27" xfId="26" applyFont="1" applyFill="1" applyBorder="1" applyAlignment="1" applyProtection="1">
      <alignment horizontal="left" vertical="center" wrapText="1" indent="1"/>
      <protection locked="0"/>
    </xf>
    <xf numFmtId="0" fontId="25" fillId="0" borderId="0" xfId="26" applyFont="1" applyBorder="1" applyAlignment="1" applyProtection="1">
      <alignment horizontal="right" vertical="center" wrapText="1" indent="1"/>
    </xf>
    <xf numFmtId="0" fontId="15" fillId="7" borderId="0" xfId="26" applyFont="1" applyFill="1" applyBorder="1" applyAlignment="1" applyProtection="1">
      <alignment horizontal="left" vertical="center" wrapText="1" indent="1"/>
    </xf>
    <xf numFmtId="0" fontId="25" fillId="8" borderId="99" xfId="1" applyFont="1" applyFill="1" applyBorder="1" applyAlignment="1" applyProtection="1">
      <alignment horizontal="left" vertical="center" wrapText="1" indent="1"/>
    </xf>
    <xf numFmtId="0" fontId="25" fillId="8" borderId="27" xfId="1" applyFont="1" applyFill="1" applyBorder="1" applyAlignment="1" applyProtection="1">
      <alignment horizontal="left" vertical="center" wrapText="1" indent="1"/>
    </xf>
    <xf numFmtId="0" fontId="25" fillId="8" borderId="71" xfId="1" applyFont="1" applyFill="1" applyBorder="1" applyAlignment="1" applyProtection="1">
      <alignment horizontal="left" vertical="center" wrapText="1" indent="1"/>
    </xf>
    <xf numFmtId="0" fontId="55" fillId="0" borderId="39" xfId="26" applyFont="1" applyBorder="1" applyAlignment="1" applyProtection="1">
      <alignment horizontal="left" vertical="center"/>
    </xf>
    <xf numFmtId="0" fontId="15" fillId="0" borderId="46" xfId="26" applyFont="1" applyBorder="1" applyAlignment="1" applyProtection="1">
      <alignment horizontal="center" vertical="center" wrapText="1"/>
    </xf>
    <xf numFmtId="0" fontId="55" fillId="0" borderId="0" xfId="26" applyFont="1" applyBorder="1" applyAlignment="1" applyProtection="1">
      <alignment horizontal="left" vertical="center" indent="1"/>
    </xf>
    <xf numFmtId="0" fontId="25" fillId="0" borderId="19" xfId="26" applyFont="1" applyBorder="1" applyAlignment="1" applyProtection="1">
      <alignment horizontal="center" vertical="center" wrapText="1"/>
    </xf>
    <xf numFmtId="0" fontId="25" fillId="0" borderId="20" xfId="26" applyFont="1" applyBorder="1" applyAlignment="1" applyProtection="1">
      <alignment horizontal="center" vertical="center" wrapText="1"/>
    </xf>
    <xf numFmtId="0" fontId="25" fillId="0" borderId="18" xfId="26" applyFont="1" applyBorder="1" applyAlignment="1" applyProtection="1">
      <alignment horizontal="center" vertical="center" wrapText="1"/>
    </xf>
    <xf numFmtId="0" fontId="26" fillId="0" borderId="15" xfId="26" applyFont="1" applyBorder="1" applyAlignment="1" applyProtection="1">
      <alignment horizontal="center" vertical="center" wrapText="1"/>
    </xf>
    <xf numFmtId="0" fontId="26" fillId="0" borderId="16" xfId="26" applyFont="1" applyBorder="1" applyAlignment="1" applyProtection="1">
      <alignment horizontal="center" vertical="center" wrapText="1"/>
    </xf>
    <xf numFmtId="0" fontId="26" fillId="0" borderId="18" xfId="26" applyFont="1" applyBorder="1" applyAlignment="1" applyProtection="1">
      <alignment horizontal="center" vertical="center" wrapText="1"/>
    </xf>
    <xf numFmtId="0" fontId="26" fillId="0" borderId="19" xfId="26" applyFont="1" applyBorder="1" applyAlignment="1" applyProtection="1">
      <alignment horizontal="center" vertical="center" wrapText="1"/>
    </xf>
    <xf numFmtId="0" fontId="26" fillId="0" borderId="20" xfId="26" applyFont="1" applyBorder="1" applyAlignment="1" applyProtection="1">
      <alignment horizontal="center" vertical="center" wrapText="1"/>
    </xf>
    <xf numFmtId="0" fontId="15" fillId="0" borderId="14" xfId="26" applyFont="1" applyBorder="1" applyAlignment="1" applyProtection="1">
      <alignment horizontal="left" vertical="center" wrapText="1"/>
    </xf>
    <xf numFmtId="0" fontId="15" fillId="0" borderId="15" xfId="26" applyFont="1" applyBorder="1" applyAlignment="1" applyProtection="1">
      <alignment horizontal="left" vertical="center" wrapText="1"/>
    </xf>
    <xf numFmtId="0" fontId="15" fillId="0" borderId="16" xfId="26" applyFont="1" applyBorder="1" applyAlignment="1" applyProtection="1">
      <alignment horizontal="left" vertical="center" wrapText="1"/>
    </xf>
    <xf numFmtId="0" fontId="15" fillId="7" borderId="14" xfId="26" applyFont="1" applyFill="1" applyBorder="1" applyAlignment="1" applyProtection="1">
      <alignment horizontal="left" vertical="center" wrapText="1"/>
    </xf>
    <xf numFmtId="0" fontId="15" fillId="7" borderId="15" xfId="26" applyFont="1" applyFill="1" applyBorder="1" applyAlignment="1" applyProtection="1">
      <alignment horizontal="left" vertical="center" wrapText="1"/>
    </xf>
    <xf numFmtId="0" fontId="15" fillId="7" borderId="16" xfId="26" applyFont="1" applyFill="1" applyBorder="1" applyAlignment="1" applyProtection="1">
      <alignment horizontal="left" vertical="center" wrapText="1"/>
    </xf>
    <xf numFmtId="0" fontId="15" fillId="0" borderId="50" xfId="26" applyFont="1" applyBorder="1" applyAlignment="1" applyProtection="1">
      <alignment horizontal="left" vertical="center" wrapText="1" indent="1"/>
    </xf>
    <xf numFmtId="0" fontId="15" fillId="0" borderId="24" xfId="26" applyFont="1" applyBorder="1" applyAlignment="1" applyProtection="1">
      <alignment horizontal="left" vertical="center" wrapText="1" indent="1"/>
    </xf>
    <xf numFmtId="0" fontId="25" fillId="0" borderId="46" xfId="26" applyFont="1" applyBorder="1" applyAlignment="1" applyProtection="1">
      <alignment horizontal="center" vertical="center" wrapText="1"/>
    </xf>
    <xf numFmtId="0" fontId="25" fillId="0" borderId="51" xfId="26" applyFont="1" applyBorder="1" applyAlignment="1" applyProtection="1">
      <alignment horizontal="center" vertical="center" wrapText="1"/>
    </xf>
    <xf numFmtId="0" fontId="26" fillId="0" borderId="14" xfId="26" applyFont="1" applyBorder="1" applyAlignment="1" applyProtection="1">
      <alignment horizontal="center" vertical="center" wrapText="1"/>
    </xf>
    <xf numFmtId="0" fontId="25" fillId="0" borderId="28" xfId="26" applyFont="1" applyBorder="1" applyAlignment="1" applyProtection="1">
      <alignment horizontal="center" vertical="center" wrapText="1"/>
    </xf>
    <xf numFmtId="0" fontId="26" fillId="0" borderId="26" xfId="26" applyFont="1" applyBorder="1" applyAlignment="1" applyProtection="1">
      <alignment horizontal="right" vertical="center" indent="1"/>
    </xf>
    <xf numFmtId="0" fontId="55" fillId="0" borderId="47" xfId="26" applyFont="1" applyBorder="1" applyAlignment="1" applyProtection="1">
      <alignment horizontal="left" vertical="center" indent="1"/>
    </xf>
    <xf numFmtId="0" fontId="55" fillId="0" borderId="28" xfId="26" applyFont="1" applyBorder="1" applyAlignment="1" applyProtection="1">
      <alignment horizontal="left" vertical="center" indent="1"/>
    </xf>
    <xf numFmtId="0" fontId="108" fillId="0" borderId="26" xfId="0" applyFont="1" applyBorder="1" applyAlignment="1" applyProtection="1">
      <alignment horizontal="right" vertical="center" indent="1"/>
    </xf>
    <xf numFmtId="0" fontId="25" fillId="0" borderId="26" xfId="0" applyFont="1" applyBorder="1" applyAlignment="1" applyProtection="1">
      <alignment horizontal="right" vertical="center" indent="1"/>
    </xf>
    <xf numFmtId="0" fontId="25" fillId="0" borderId="84" xfId="26" applyFont="1" applyBorder="1" applyAlignment="1" applyProtection="1">
      <alignment horizontal="left" vertical="center" wrapText="1"/>
    </xf>
    <xf numFmtId="0" fontId="25" fillId="0" borderId="0" xfId="26" applyFont="1" applyBorder="1" applyAlignment="1" applyProtection="1">
      <alignment horizontal="left" vertical="center" wrapText="1"/>
    </xf>
    <xf numFmtId="0" fontId="25" fillId="0" borderId="13" xfId="26" applyFont="1" applyBorder="1" applyAlignment="1" applyProtection="1">
      <alignment horizontal="right" vertical="center" indent="1"/>
    </xf>
    <xf numFmtId="0" fontId="25" fillId="0" borderId="39" xfId="26" applyFont="1" applyBorder="1" applyAlignment="1" applyProtection="1">
      <alignment horizontal="right" vertical="center" indent="1"/>
    </xf>
    <xf numFmtId="0" fontId="15" fillId="0" borderId="26" xfId="26" applyFont="1" applyBorder="1" applyAlignment="1" applyProtection="1">
      <alignment horizontal="center" vertical="center" shrinkToFit="1"/>
    </xf>
    <xf numFmtId="165" fontId="26" fillId="0" borderId="15" xfId="26" applyNumberFormat="1" applyFont="1" applyBorder="1" applyAlignment="1" applyProtection="1">
      <alignment horizontal="center" vertical="center" wrapText="1"/>
    </xf>
    <xf numFmtId="10" fontId="25" fillId="0" borderId="45" xfId="26" applyNumberFormat="1" applyFont="1" applyBorder="1" applyAlignment="1" applyProtection="1">
      <alignment horizontal="left" vertical="center" wrapText="1" indent="1"/>
    </xf>
    <xf numFmtId="10" fontId="25" fillId="0" borderId="30" xfId="26" applyNumberFormat="1" applyFont="1" applyBorder="1" applyAlignment="1" applyProtection="1">
      <alignment horizontal="left" vertical="center" wrapText="1" indent="1"/>
    </xf>
    <xf numFmtId="0" fontId="25" fillId="4" borderId="45" xfId="26" applyFont="1" applyFill="1" applyBorder="1" applyAlignment="1" applyProtection="1">
      <alignment horizontal="center" vertical="center" wrapText="1"/>
      <protection locked="0"/>
    </xf>
    <xf numFmtId="165" fontId="25" fillId="0" borderId="17" xfId="26" applyNumberFormat="1" applyFont="1" applyBorder="1" applyAlignment="1" applyProtection="1">
      <alignment horizontal="center" vertical="center" wrapText="1"/>
    </xf>
    <xf numFmtId="165" fontId="25" fillId="0" borderId="15" xfId="26" applyNumberFormat="1" applyFont="1" applyBorder="1" applyAlignment="1" applyProtection="1">
      <alignment horizontal="center" vertical="center" wrapText="1"/>
    </xf>
    <xf numFmtId="0" fontId="26" fillId="0" borderId="17" xfId="26" applyFont="1" applyBorder="1" applyAlignment="1" applyProtection="1">
      <alignment horizontal="center" vertical="center"/>
    </xf>
    <xf numFmtId="0" fontId="26" fillId="0" borderId="15" xfId="26" applyFont="1" applyBorder="1" applyAlignment="1" applyProtection="1">
      <alignment horizontal="center" vertical="center"/>
    </xf>
    <xf numFmtId="0" fontId="26" fillId="0" borderId="16" xfId="26" applyFont="1" applyBorder="1" applyAlignment="1" applyProtection="1">
      <alignment horizontal="center" vertical="center"/>
    </xf>
    <xf numFmtId="165" fontId="26" fillId="0" borderId="17" xfId="26" applyNumberFormat="1" applyFont="1" applyBorder="1" applyAlignment="1" applyProtection="1">
      <alignment horizontal="center" vertical="center" wrapText="1"/>
    </xf>
    <xf numFmtId="165" fontId="26" fillId="0" borderId="99" xfId="26" applyNumberFormat="1" applyFont="1" applyBorder="1" applyAlignment="1" applyProtection="1">
      <alignment horizontal="center" vertical="center"/>
    </xf>
    <xf numFmtId="0" fontId="26" fillId="0" borderId="27" xfId="26" applyFont="1" applyBorder="1" applyAlignment="1" applyProtection="1">
      <alignment horizontal="center" vertical="center"/>
    </xf>
    <xf numFmtId="0" fontId="26" fillId="0" borderId="71" xfId="26" applyFont="1" applyBorder="1" applyAlignment="1" applyProtection="1">
      <alignment horizontal="center" vertical="center"/>
    </xf>
    <xf numFmtId="10" fontId="26" fillId="0" borderId="17" xfId="26" applyNumberFormat="1" applyFont="1" applyBorder="1" applyAlignment="1" applyProtection="1">
      <alignment horizontal="left" vertical="center" indent="1"/>
    </xf>
    <xf numFmtId="10" fontId="26" fillId="0" borderId="15" xfId="26" applyNumberFormat="1" applyFont="1" applyBorder="1" applyAlignment="1" applyProtection="1">
      <alignment horizontal="left" vertical="center" indent="1"/>
    </xf>
    <xf numFmtId="0" fontId="25" fillId="0" borderId="13" xfId="26" applyFont="1" applyBorder="1" applyAlignment="1" applyProtection="1">
      <alignment horizontal="left" vertical="center"/>
    </xf>
    <xf numFmtId="0" fontId="25" fillId="0" borderId="39" xfId="26" applyFont="1" applyBorder="1" applyAlignment="1" applyProtection="1">
      <alignment horizontal="left" vertical="center"/>
    </xf>
    <xf numFmtId="0" fontId="26" fillId="0" borderId="26" xfId="26" applyFont="1" applyBorder="1" applyAlignment="1" applyProtection="1">
      <alignment horizontal="center" vertical="center"/>
    </xf>
    <xf numFmtId="10" fontId="25" fillId="0" borderId="54" xfId="26" applyNumberFormat="1" applyFont="1" applyBorder="1" applyAlignment="1" applyProtection="1">
      <alignment horizontal="left" vertical="center" wrapText="1" indent="1"/>
    </xf>
    <xf numFmtId="10" fontId="25" fillId="0" borderId="24" xfId="26" applyNumberFormat="1" applyFont="1" applyBorder="1" applyAlignment="1" applyProtection="1">
      <alignment horizontal="left" vertical="center" wrapText="1" indent="1"/>
    </xf>
    <xf numFmtId="0" fontId="61" fillId="0" borderId="46" xfId="26" applyFont="1" applyBorder="1" applyAlignment="1" applyProtection="1">
      <alignment horizontal="left" vertical="center" wrapText="1" indent="1"/>
    </xf>
    <xf numFmtId="1" fontId="25" fillId="0" borderId="46" xfId="26" applyNumberFormat="1" applyFont="1" applyFill="1" applyBorder="1" applyAlignment="1" applyProtection="1">
      <alignment horizontal="left" vertical="center" wrapText="1" indent="1"/>
    </xf>
    <xf numFmtId="0" fontId="25" fillId="0" borderId="46" xfId="26" applyFont="1" applyFill="1" applyBorder="1" applyAlignment="1" applyProtection="1">
      <alignment horizontal="left" vertical="center" wrapText="1" indent="1"/>
    </xf>
    <xf numFmtId="0" fontId="26" fillId="0" borderId="99" xfId="26" applyFont="1" applyBorder="1" applyAlignment="1" applyProtection="1">
      <alignment horizontal="center" vertical="center" wrapText="1"/>
    </xf>
    <xf numFmtId="0" fontId="26" fillId="0" borderId="27" xfId="26" applyFont="1" applyBorder="1" applyAlignment="1" applyProtection="1">
      <alignment horizontal="center" vertical="center" wrapText="1"/>
    </xf>
    <xf numFmtId="10" fontId="26" fillId="0" borderId="17" xfId="26" applyNumberFormat="1" applyFont="1" applyBorder="1" applyAlignment="1" applyProtection="1">
      <alignment horizontal="left" vertical="center" wrapText="1" indent="1"/>
    </xf>
    <xf numFmtId="10" fontId="26" fillId="0" borderId="15" xfId="26" applyNumberFormat="1" applyFont="1" applyBorder="1" applyAlignment="1" applyProtection="1">
      <alignment horizontal="left" vertical="center" wrapText="1" indent="1"/>
    </xf>
    <xf numFmtId="0" fontId="25" fillId="4" borderId="23" xfId="26" applyFont="1" applyFill="1" applyBorder="1" applyAlignment="1" applyProtection="1">
      <alignment horizontal="center" vertical="center" wrapText="1"/>
      <protection locked="0"/>
    </xf>
    <xf numFmtId="0" fontId="25" fillId="0" borderId="0" xfId="26" applyFont="1" applyBorder="1" applyAlignment="1" applyProtection="1">
      <alignment horizontal="right" vertical="center"/>
    </xf>
    <xf numFmtId="0" fontId="25" fillId="0" borderId="84" xfId="26" applyFont="1" applyBorder="1" applyAlignment="1" applyProtection="1">
      <alignment horizontal="left" vertical="center"/>
    </xf>
    <xf numFmtId="0" fontId="25" fillId="0" borderId="0" xfId="26" applyFont="1" applyBorder="1" applyAlignment="1" applyProtection="1">
      <alignment horizontal="left" vertical="center"/>
    </xf>
    <xf numFmtId="0" fontId="26" fillId="0" borderId="14" xfId="26" applyFont="1" applyBorder="1" applyAlignment="1" applyProtection="1">
      <alignment horizontal="center" vertical="center"/>
    </xf>
    <xf numFmtId="0" fontId="26" fillId="0" borderId="15" xfId="26" applyFont="1" applyBorder="1" applyAlignment="1" applyProtection="1">
      <alignment horizontal="center" vertical="center" wrapText="1" shrinkToFit="1"/>
    </xf>
    <xf numFmtId="0" fontId="25" fillId="0" borderId="14" xfId="26" applyFont="1" applyBorder="1" applyAlignment="1" applyProtection="1">
      <alignment horizontal="center" vertical="center" wrapText="1"/>
    </xf>
    <xf numFmtId="0" fontId="25" fillId="0" borderId="15" xfId="26" applyFont="1" applyBorder="1" applyAlignment="1" applyProtection="1">
      <alignment horizontal="center" vertical="center" wrapText="1"/>
    </xf>
    <xf numFmtId="0" fontId="25" fillId="0" borderId="16" xfId="26" applyFont="1" applyBorder="1" applyAlignment="1" applyProtection="1">
      <alignment horizontal="center" vertical="center" wrapText="1"/>
    </xf>
    <xf numFmtId="0" fontId="15" fillId="0" borderId="99" xfId="26" applyFont="1" applyBorder="1" applyAlignment="1" applyProtection="1">
      <alignment horizontal="center" vertical="center" wrapText="1"/>
    </xf>
    <xf numFmtId="0" fontId="15" fillId="0" borderId="27" xfId="26" applyFont="1" applyBorder="1" applyAlignment="1" applyProtection="1">
      <alignment horizontal="center" vertical="center" wrapText="1"/>
    </xf>
    <xf numFmtId="0" fontId="15" fillId="0" borderId="71" xfId="26" applyFont="1" applyBorder="1" applyAlignment="1" applyProtection="1">
      <alignment horizontal="center" vertical="center" wrapText="1"/>
    </xf>
    <xf numFmtId="0" fontId="55" fillId="0" borderId="41" xfId="26" applyFont="1" applyBorder="1" applyAlignment="1" applyProtection="1">
      <alignment horizontal="left" vertical="center" indent="1"/>
    </xf>
    <xf numFmtId="0" fontId="15" fillId="7" borderId="84" xfId="26" applyFont="1" applyFill="1" applyBorder="1" applyAlignment="1" applyProtection="1">
      <alignment horizontal="left" vertical="center" wrapText="1" indent="1"/>
    </xf>
    <xf numFmtId="166" fontId="25" fillId="0" borderId="14" xfId="26" applyNumberFormat="1" applyFont="1" applyBorder="1" applyAlignment="1" applyProtection="1">
      <alignment horizontal="center" vertical="center" wrapText="1"/>
    </xf>
    <xf numFmtId="166" fontId="25" fillId="0" borderId="16" xfId="26" applyNumberFormat="1" applyFont="1" applyBorder="1" applyAlignment="1" applyProtection="1">
      <alignment horizontal="center" vertical="center" wrapText="1"/>
    </xf>
    <xf numFmtId="0" fontId="26" fillId="0" borderId="71" xfId="26" applyFont="1" applyBorder="1" applyAlignment="1" applyProtection="1">
      <alignment horizontal="center" vertical="center" wrapText="1"/>
    </xf>
    <xf numFmtId="0" fontId="26" fillId="0" borderId="17" xfId="26" applyFont="1" applyBorder="1" applyAlignment="1" applyProtection="1">
      <alignment horizontal="center" vertical="center" wrapText="1"/>
    </xf>
    <xf numFmtId="49" fontId="25" fillId="4" borderId="14" xfId="26" applyNumberFormat="1" applyFont="1" applyFill="1" applyBorder="1" applyAlignment="1" applyProtection="1">
      <alignment horizontal="center" vertical="center" wrapText="1"/>
      <protection locked="0"/>
    </xf>
    <xf numFmtId="49" fontId="25" fillId="4" borderId="15" xfId="26" applyNumberFormat="1" applyFont="1" applyFill="1" applyBorder="1" applyAlignment="1" applyProtection="1">
      <alignment horizontal="center" vertical="center" wrapText="1"/>
      <protection locked="0"/>
    </xf>
    <xf numFmtId="0" fontId="15" fillId="0" borderId="84" xfId="0" applyFont="1" applyBorder="1" applyAlignment="1" applyProtection="1">
      <alignment horizontal="left" vertical="center" wrapText="1"/>
    </xf>
    <xf numFmtId="0" fontId="15" fillId="0" borderId="0" xfId="0" applyFont="1" applyBorder="1" applyAlignment="1" applyProtection="1">
      <alignment horizontal="left" vertical="center" wrapText="1"/>
    </xf>
    <xf numFmtId="0" fontId="25" fillId="0" borderId="17" xfId="26" applyFont="1" applyBorder="1" applyAlignment="1" applyProtection="1">
      <alignment horizontal="center" vertical="center" wrapText="1"/>
    </xf>
    <xf numFmtId="43" fontId="25" fillId="4" borderId="17" xfId="73" applyFont="1" applyFill="1" applyBorder="1" applyAlignment="1" applyProtection="1">
      <alignment horizontal="center" vertical="center" wrapText="1"/>
      <protection locked="0"/>
    </xf>
    <xf numFmtId="43" fontId="25" fillId="4" borderId="15" xfId="73" applyFont="1" applyFill="1" applyBorder="1" applyAlignment="1" applyProtection="1">
      <alignment horizontal="center" vertical="center" wrapText="1"/>
      <protection locked="0"/>
    </xf>
    <xf numFmtId="43" fontId="25" fillId="4" borderId="16" xfId="73" applyFont="1" applyFill="1" applyBorder="1" applyAlignment="1" applyProtection="1">
      <alignment horizontal="center" vertical="center" wrapText="1"/>
      <protection locked="0"/>
    </xf>
    <xf numFmtId="0" fontId="39" fillId="13" borderId="26" xfId="26" applyFont="1" applyFill="1" applyBorder="1" applyAlignment="1" applyProtection="1">
      <alignment horizontal="center" vertical="center" wrapText="1"/>
    </xf>
    <xf numFmtId="49" fontId="25" fillId="4" borderId="51" xfId="26" applyNumberFormat="1" applyFont="1" applyFill="1" applyBorder="1" applyAlignment="1" applyProtection="1">
      <alignment horizontal="center" vertical="center" wrapText="1"/>
      <protection locked="0"/>
    </xf>
    <xf numFmtId="49" fontId="25" fillId="4" borderId="19" xfId="26" applyNumberFormat="1" applyFont="1" applyFill="1" applyBorder="1" applyAlignment="1" applyProtection="1">
      <alignment horizontal="center" vertical="center" wrapText="1"/>
      <protection locked="0"/>
    </xf>
    <xf numFmtId="0" fontId="25" fillId="4" borderId="42" xfId="26" applyFont="1" applyFill="1" applyBorder="1" applyAlignment="1" applyProtection="1">
      <alignment horizontal="center" vertical="center" wrapText="1"/>
      <protection locked="0"/>
    </xf>
    <xf numFmtId="0" fontId="25" fillId="0" borderId="26" xfId="26" applyFont="1" applyBorder="1" applyAlignment="1" applyProtection="1">
      <alignment horizontal="center" vertical="center"/>
    </xf>
    <xf numFmtId="0" fontId="26" fillId="0" borderId="47" xfId="26" applyFont="1" applyBorder="1" applyAlignment="1" applyProtection="1">
      <alignment horizontal="right" vertical="center" indent="1"/>
    </xf>
    <xf numFmtId="0" fontId="26" fillId="0" borderId="28" xfId="26" applyFont="1" applyBorder="1" applyAlignment="1" applyProtection="1">
      <alignment horizontal="right" vertical="center" indent="1"/>
    </xf>
    <xf numFmtId="0" fontId="26" fillId="0" borderId="25" xfId="26" applyFont="1" applyBorder="1" applyAlignment="1" applyProtection="1">
      <alignment horizontal="right" vertical="center" indent="1"/>
    </xf>
    <xf numFmtId="0" fontId="26" fillId="0" borderId="26" xfId="26" applyFont="1" applyBorder="1" applyAlignment="1" applyProtection="1">
      <alignment horizontal="left" vertical="center" wrapText="1" indent="1"/>
    </xf>
    <xf numFmtId="0" fontId="25" fillId="4" borderId="26" xfId="26" applyFont="1" applyFill="1" applyBorder="1" applyAlignment="1" applyProtection="1">
      <alignment horizontal="left" vertical="center" indent="1"/>
      <protection locked="0"/>
    </xf>
    <xf numFmtId="165" fontId="25" fillId="4" borderId="19" xfId="26" applyNumberFormat="1" applyFont="1" applyFill="1" applyBorder="1" applyAlignment="1" applyProtection="1">
      <alignment horizontal="center" vertical="center" wrapText="1"/>
      <protection locked="0"/>
    </xf>
    <xf numFmtId="0" fontId="25" fillId="0" borderId="13" xfId="26" applyFont="1" applyBorder="1" applyAlignment="1" applyProtection="1">
      <alignment horizontal="left" vertical="center" wrapText="1" indent="1"/>
    </xf>
    <xf numFmtId="0" fontId="25" fillId="0" borderId="39" xfId="26" applyFont="1" applyBorder="1" applyAlignment="1" applyProtection="1">
      <alignment horizontal="left" vertical="center" wrapText="1" indent="1"/>
    </xf>
    <xf numFmtId="0" fontId="25" fillId="4" borderId="26" xfId="1" applyFont="1" applyFill="1" applyBorder="1" applyAlignment="1" applyProtection="1">
      <alignment horizontal="center" vertical="center" wrapText="1"/>
      <protection locked="0"/>
    </xf>
    <xf numFmtId="0" fontId="25" fillId="4" borderId="99" xfId="1" applyFont="1" applyFill="1" applyBorder="1" applyAlignment="1" applyProtection="1">
      <alignment horizontal="center" vertical="center" wrapText="1"/>
      <protection locked="0"/>
    </xf>
    <xf numFmtId="0" fontId="49" fillId="0" borderId="26" xfId="26" applyFont="1" applyBorder="1" applyAlignment="1" applyProtection="1">
      <alignment horizontal="left" vertical="center" indent="1"/>
    </xf>
    <xf numFmtId="165" fontId="25" fillId="4" borderId="24" xfId="26" applyNumberFormat="1" applyFont="1" applyFill="1" applyBorder="1" applyAlignment="1" applyProtection="1">
      <alignment horizontal="center" vertical="center" wrapText="1"/>
      <protection locked="0"/>
    </xf>
    <xf numFmtId="0" fontId="25" fillId="4" borderId="54" xfId="26" applyFont="1" applyFill="1" applyBorder="1" applyAlignment="1" applyProtection="1">
      <alignment horizontal="center" vertical="center" wrapText="1"/>
      <protection locked="0"/>
    </xf>
    <xf numFmtId="0" fontId="25" fillId="4" borderId="24" xfId="26" applyFont="1" applyFill="1" applyBorder="1" applyAlignment="1" applyProtection="1">
      <alignment horizontal="center" vertical="center" wrapText="1"/>
      <protection locked="0"/>
    </xf>
    <xf numFmtId="0" fontId="25" fillId="0" borderId="26" xfId="26" quotePrefix="1" applyFont="1" applyBorder="1" applyAlignment="1" applyProtection="1">
      <alignment horizontal="center" vertical="center" wrapText="1"/>
    </xf>
    <xf numFmtId="0" fontId="25" fillId="0" borderId="21" xfId="26" applyFont="1" applyBorder="1" applyAlignment="1" applyProtection="1">
      <alignment horizontal="left" vertical="center" wrapText="1" indent="1"/>
    </xf>
    <xf numFmtId="0" fontId="15" fillId="0" borderId="46" xfId="26" applyFont="1" applyBorder="1" applyAlignment="1" applyProtection="1">
      <alignment horizontal="left" vertical="center" wrapText="1"/>
    </xf>
    <xf numFmtId="0" fontId="15" fillId="0" borderId="47" xfId="26" applyFont="1" applyBorder="1" applyAlignment="1" applyProtection="1">
      <alignment horizontal="left" vertical="center" wrapText="1"/>
    </xf>
    <xf numFmtId="0" fontId="25" fillId="7" borderId="26" xfId="26" applyFont="1" applyFill="1" applyBorder="1" applyAlignment="1" applyProtection="1">
      <alignment horizontal="center" vertical="center"/>
    </xf>
    <xf numFmtId="0" fontId="26" fillId="0" borderId="26" xfId="26" applyFont="1" applyBorder="1" applyAlignment="1" applyProtection="1">
      <alignment horizontal="left" vertical="center" indent="1"/>
    </xf>
    <xf numFmtId="20" fontId="25" fillId="0" borderId="26" xfId="26" quotePrefix="1" applyNumberFormat="1" applyFont="1" applyBorder="1" applyAlignment="1" applyProtection="1">
      <alignment horizontal="center" vertical="center" wrapText="1"/>
    </xf>
    <xf numFmtId="0" fontId="26" fillId="13" borderId="26" xfId="26" applyFont="1" applyFill="1" applyBorder="1" applyAlignment="1" applyProtection="1">
      <alignment horizontal="center" vertical="center" wrapText="1"/>
    </xf>
    <xf numFmtId="0" fontId="26" fillId="0" borderId="26" xfId="26" applyFont="1" applyBorder="1" applyAlignment="1" applyProtection="1">
      <alignment horizontal="center" vertical="center" wrapText="1"/>
    </xf>
    <xf numFmtId="0" fontId="26" fillId="7" borderId="26" xfId="26" applyFont="1" applyFill="1" applyBorder="1" applyAlignment="1" applyProtection="1">
      <alignment horizontal="left" vertical="center" indent="1"/>
    </xf>
    <xf numFmtId="0" fontId="55" fillId="0" borderId="39" xfId="26" applyFont="1" applyBorder="1" applyAlignment="1" applyProtection="1">
      <alignment vertical="center"/>
    </xf>
    <xf numFmtId="0" fontId="55" fillId="0" borderId="84" xfId="26" applyFont="1" applyBorder="1" applyAlignment="1" applyProtection="1">
      <alignment horizontal="left" vertical="center"/>
    </xf>
    <xf numFmtId="0" fontId="55" fillId="0" borderId="84" xfId="26" applyFont="1" applyBorder="1" applyAlignment="1" applyProtection="1">
      <alignment horizontal="left" vertical="center" wrapText="1" indent="1"/>
    </xf>
    <xf numFmtId="0" fontId="55" fillId="0" borderId="0" xfId="26" applyFont="1" applyBorder="1" applyAlignment="1" applyProtection="1">
      <alignment horizontal="left" vertical="center" wrapText="1" indent="1"/>
    </xf>
    <xf numFmtId="0" fontId="25" fillId="4" borderId="26" xfId="26" applyFont="1" applyFill="1" applyBorder="1" applyAlignment="1" applyProtection="1">
      <alignment horizontal="center" vertical="center"/>
      <protection locked="0"/>
    </xf>
    <xf numFmtId="0" fontId="25" fillId="0" borderId="84" xfId="26" applyFont="1" applyBorder="1" applyAlignment="1" applyProtection="1">
      <alignment horizontal="left" vertical="center" indent="1"/>
    </xf>
    <xf numFmtId="0" fontId="25" fillId="0" borderId="0" xfId="26" applyFont="1" applyBorder="1" applyAlignment="1" applyProtection="1">
      <alignment horizontal="left" vertical="center" indent="1"/>
    </xf>
    <xf numFmtId="0" fontId="25" fillId="4" borderId="14" xfId="26" applyFont="1" applyFill="1" applyBorder="1" applyAlignment="1" applyProtection="1">
      <alignment horizontal="left" vertical="center" wrapText="1"/>
      <protection locked="0"/>
    </xf>
    <xf numFmtId="0" fontId="25" fillId="4" borderId="15" xfId="26" applyFont="1" applyFill="1" applyBorder="1" applyAlignment="1" applyProtection="1">
      <alignment horizontal="left" vertical="center" wrapText="1"/>
      <protection locked="0"/>
    </xf>
    <xf numFmtId="0" fontId="25" fillId="4" borderId="19" xfId="26" applyFont="1" applyFill="1" applyBorder="1" applyAlignment="1" applyProtection="1">
      <alignment horizontal="left" vertical="center" wrapText="1"/>
      <protection locked="0"/>
    </xf>
    <xf numFmtId="0" fontId="25" fillId="4" borderId="20" xfId="26" applyFont="1" applyFill="1" applyBorder="1" applyAlignment="1" applyProtection="1">
      <alignment horizontal="left" vertical="center" wrapText="1"/>
      <protection locked="0"/>
    </xf>
    <xf numFmtId="0" fontId="25" fillId="4" borderId="16" xfId="26" applyFont="1" applyFill="1" applyBorder="1" applyAlignment="1" applyProtection="1">
      <alignment horizontal="left" vertical="center" wrapText="1"/>
      <protection locked="0"/>
    </xf>
    <xf numFmtId="0" fontId="25" fillId="4" borderId="46" xfId="26" applyFont="1" applyFill="1" applyBorder="1" applyAlignment="1" applyProtection="1">
      <alignment horizontal="left" vertical="top" wrapText="1"/>
      <protection locked="0"/>
    </xf>
    <xf numFmtId="0" fontId="25" fillId="4" borderId="47" xfId="26" applyFont="1" applyFill="1" applyBorder="1" applyAlignment="1" applyProtection="1">
      <alignment horizontal="left" vertical="top" wrapText="1"/>
      <protection locked="0"/>
    </xf>
    <xf numFmtId="0" fontId="15" fillId="0" borderId="13" xfId="0" applyFont="1" applyBorder="1" applyAlignment="1" applyProtection="1">
      <alignment horizontal="left" vertical="center" wrapText="1"/>
    </xf>
    <xf numFmtId="0" fontId="15" fillId="0" borderId="39" xfId="0" applyFont="1" applyBorder="1" applyAlignment="1" applyProtection="1">
      <alignment horizontal="left" vertical="center" wrapText="1"/>
    </xf>
    <xf numFmtId="0" fontId="15" fillId="0" borderId="50" xfId="26" applyFont="1" applyBorder="1" applyAlignment="1" applyProtection="1">
      <alignment horizontal="left" vertical="center" wrapText="1"/>
    </xf>
    <xf numFmtId="0" fontId="15" fillId="0" borderId="24" xfId="26" applyFont="1" applyBorder="1" applyAlignment="1" applyProtection="1">
      <alignment horizontal="left" vertical="center" wrapText="1"/>
    </xf>
    <xf numFmtId="0" fontId="15" fillId="0" borderId="52" xfId="26" applyFont="1" applyBorder="1" applyAlignment="1" applyProtection="1">
      <alignment horizontal="left" vertical="center" wrapText="1"/>
    </xf>
    <xf numFmtId="0" fontId="15" fillId="0" borderId="51" xfId="26" applyFont="1" applyBorder="1" applyAlignment="1" applyProtection="1">
      <alignment horizontal="left" vertical="center" wrapText="1"/>
    </xf>
    <xf numFmtId="0" fontId="15" fillId="0" borderId="19" xfId="26" applyFont="1" applyBorder="1" applyAlignment="1" applyProtection="1">
      <alignment horizontal="left" vertical="center" wrapText="1"/>
    </xf>
    <xf numFmtId="0" fontId="15" fillId="0" borderId="20" xfId="26" applyFont="1" applyBorder="1" applyAlignment="1" applyProtection="1">
      <alignment horizontal="left" vertical="center" wrapText="1"/>
    </xf>
    <xf numFmtId="0" fontId="15" fillId="8" borderId="29" xfId="2" applyFont="1" applyFill="1" applyBorder="1" applyAlignment="1" applyProtection="1">
      <alignment horizontal="center" vertical="center" wrapText="1"/>
    </xf>
    <xf numFmtId="0" fontId="15" fillId="8" borderId="30" xfId="2" applyFont="1" applyFill="1" applyBorder="1" applyAlignment="1" applyProtection="1">
      <alignment horizontal="center" vertical="center" wrapText="1"/>
    </xf>
    <xf numFmtId="0" fontId="25" fillId="0" borderId="13" xfId="26" applyFont="1" applyBorder="1" applyAlignment="1" applyProtection="1">
      <alignment horizontal="left" vertical="center" wrapText="1"/>
    </xf>
    <xf numFmtId="0" fontId="25" fillId="0" borderId="39" xfId="26" applyFont="1" applyBorder="1" applyAlignment="1" applyProtection="1">
      <alignment horizontal="left" vertical="center" wrapText="1"/>
    </xf>
    <xf numFmtId="0" fontId="15" fillId="8" borderId="26" xfId="2" applyFont="1" applyFill="1" applyBorder="1" applyAlignment="1" applyProtection="1">
      <alignment horizontal="center" vertical="center" wrapText="1"/>
    </xf>
    <xf numFmtId="165" fontId="25" fillId="4" borderId="30" xfId="26" applyNumberFormat="1" applyFont="1" applyFill="1" applyBorder="1" applyAlignment="1" applyProtection="1">
      <alignment horizontal="center" vertical="center" wrapText="1"/>
      <protection locked="0"/>
    </xf>
    <xf numFmtId="0" fontId="55" fillId="0" borderId="47" xfId="26" applyFont="1" applyBorder="1" applyAlignment="1" applyProtection="1">
      <alignment horizontal="left" vertical="top" indent="1"/>
    </xf>
    <xf numFmtId="0" fontId="55" fillId="0" borderId="28" xfId="26" applyFont="1" applyBorder="1" applyAlignment="1" applyProtection="1">
      <alignment horizontal="left" vertical="top" indent="1"/>
    </xf>
    <xf numFmtId="0" fontId="55" fillId="0" borderId="38" xfId="26" applyFont="1" applyBorder="1" applyAlignment="1" applyProtection="1">
      <alignment horizontal="left" vertical="top" indent="1"/>
    </xf>
    <xf numFmtId="0" fontId="25" fillId="0" borderId="84" xfId="26" applyFont="1" applyBorder="1" applyAlignment="1" applyProtection="1">
      <alignment horizontal="right" vertical="center" indent="1"/>
    </xf>
    <xf numFmtId="0" fontId="25" fillId="0" borderId="0" xfId="26" applyFont="1" applyBorder="1" applyAlignment="1" applyProtection="1">
      <alignment horizontal="right" vertical="center" indent="1"/>
    </xf>
    <xf numFmtId="0" fontId="25" fillId="0" borderId="43" xfId="26" applyFont="1" applyBorder="1" applyAlignment="1" applyProtection="1">
      <alignment horizontal="right" vertical="center" indent="1"/>
    </xf>
    <xf numFmtId="0" fontId="25" fillId="0" borderId="43" xfId="26" applyFont="1" applyBorder="1" applyAlignment="1" applyProtection="1">
      <alignment horizontal="right" vertical="center" wrapText="1" indent="1"/>
    </xf>
    <xf numFmtId="0" fontId="25" fillId="7" borderId="13" xfId="26" applyFont="1" applyFill="1" applyBorder="1" applyAlignment="1" applyProtection="1">
      <alignment horizontal="right" vertical="center" wrapText="1" indent="1"/>
    </xf>
    <xf numFmtId="0" fontId="25" fillId="7" borderId="39" xfId="26" applyFont="1" applyFill="1" applyBorder="1" applyAlignment="1" applyProtection="1">
      <alignment horizontal="right" vertical="center" wrapText="1" indent="1"/>
    </xf>
    <xf numFmtId="0" fontId="25" fillId="7" borderId="170" xfId="26" applyFont="1" applyFill="1" applyBorder="1" applyAlignment="1" applyProtection="1">
      <alignment horizontal="right" vertical="center" wrapText="1" indent="1"/>
    </xf>
    <xf numFmtId="0" fontId="25" fillId="0" borderId="84" xfId="26" applyFont="1" applyBorder="1" applyAlignment="1" applyProtection="1">
      <alignment horizontal="left" vertical="center" wrapText="1" indent="2"/>
    </xf>
    <xf numFmtId="0" fontId="25" fillId="0" borderId="43" xfId="26" applyFont="1" applyBorder="1" applyAlignment="1" applyProtection="1">
      <alignment horizontal="left" vertical="center" wrapText="1" indent="2"/>
    </xf>
    <xf numFmtId="0" fontId="25" fillId="0" borderId="99" xfId="26" applyFont="1" applyBorder="1" applyAlignment="1" applyProtection="1">
      <alignment horizontal="left" vertical="center" wrapText="1" indent="2"/>
    </xf>
    <xf numFmtId="0" fontId="15" fillId="7" borderId="71" xfId="26" applyFont="1" applyFill="1" applyBorder="1" applyAlignment="1" applyProtection="1">
      <alignment horizontal="left" vertical="center" wrapText="1" indent="1"/>
    </xf>
    <xf numFmtId="0" fontId="15" fillId="7" borderId="26" xfId="26" applyFont="1" applyFill="1" applyBorder="1" applyAlignment="1" applyProtection="1">
      <alignment horizontal="left" vertical="center" wrapText="1" indent="1"/>
    </xf>
    <xf numFmtId="0" fontId="15" fillId="7" borderId="99" xfId="26" applyFont="1" applyFill="1" applyBorder="1" applyAlignment="1" applyProtection="1">
      <alignment horizontal="left" vertical="center" wrapText="1" indent="1"/>
    </xf>
    <xf numFmtId="0" fontId="55" fillId="0" borderId="71" xfId="26" applyFont="1" applyBorder="1" applyAlignment="1" applyProtection="1">
      <alignment horizontal="left" vertical="center"/>
    </xf>
    <xf numFmtId="0" fontId="55" fillId="0" borderId="26" xfId="26" applyFont="1" applyBorder="1" applyAlignment="1" applyProtection="1">
      <alignment horizontal="left" vertical="center"/>
    </xf>
    <xf numFmtId="0" fontId="55" fillId="0" borderId="99" xfId="26" applyFont="1" applyBorder="1" applyAlignment="1" applyProtection="1">
      <alignment horizontal="left" vertical="center"/>
    </xf>
    <xf numFmtId="0" fontId="15" fillId="0" borderId="26" xfId="26" applyFont="1" applyBorder="1" applyAlignment="1" applyProtection="1">
      <alignment horizontal="left" vertical="center" indent="1"/>
    </xf>
    <xf numFmtId="0" fontId="108" fillId="0" borderId="51" xfId="0" applyFont="1" applyBorder="1" applyAlignment="1" applyProtection="1">
      <alignment horizontal="right" vertical="center" indent="1"/>
    </xf>
    <xf numFmtId="0" fontId="25" fillId="0" borderId="19" xfId="0" applyFont="1" applyBorder="1" applyAlignment="1" applyProtection="1">
      <alignment horizontal="right" vertical="center" indent="1"/>
    </xf>
    <xf numFmtId="0" fontId="25" fillId="0" borderId="53" xfId="0" applyFont="1" applyBorder="1" applyAlignment="1" applyProtection="1">
      <alignment horizontal="right" vertical="center" indent="1"/>
    </xf>
    <xf numFmtId="0" fontId="15" fillId="0" borderId="26" xfId="26" applyFont="1" applyBorder="1" applyAlignment="1" applyProtection="1">
      <alignment horizontal="left" indent="1"/>
    </xf>
    <xf numFmtId="0" fontId="25" fillId="4" borderId="51" xfId="1" applyFont="1" applyFill="1" applyBorder="1" applyAlignment="1" applyProtection="1">
      <alignment horizontal="center" vertical="center" wrapText="1"/>
      <protection locked="0"/>
    </xf>
    <xf numFmtId="0" fontId="25" fillId="4" borderId="19" xfId="1" applyFont="1" applyFill="1" applyBorder="1" applyAlignment="1" applyProtection="1">
      <alignment horizontal="center" vertical="center" wrapText="1"/>
      <protection locked="0"/>
    </xf>
    <xf numFmtId="0" fontId="15" fillId="8" borderId="46" xfId="2" applyFont="1" applyFill="1" applyBorder="1" applyAlignment="1" applyProtection="1">
      <alignment horizontal="center" vertical="center" wrapText="1"/>
    </xf>
    <xf numFmtId="0" fontId="25" fillId="8" borderId="46" xfId="1" applyFont="1" applyFill="1" applyBorder="1" applyAlignment="1" applyProtection="1">
      <alignment horizontal="left" vertical="center" wrapText="1" indent="1"/>
    </xf>
    <xf numFmtId="0" fontId="39" fillId="7" borderId="26" xfId="26" applyFont="1" applyFill="1" applyBorder="1" applyAlignment="1" applyProtection="1">
      <alignment horizontal="left" vertical="center" indent="1"/>
    </xf>
    <xf numFmtId="3" fontId="15" fillId="7" borderId="26" xfId="26" applyNumberFormat="1" applyFont="1" applyFill="1" applyBorder="1" applyAlignment="1" applyProtection="1">
      <alignment horizontal="center" vertical="center"/>
    </xf>
    <xf numFmtId="0" fontId="15" fillId="7" borderId="99" xfId="26" applyFont="1" applyFill="1" applyBorder="1" applyAlignment="1" applyProtection="1">
      <alignment horizontal="center" vertical="center"/>
    </xf>
    <xf numFmtId="0" fontId="15" fillId="7" borderId="27" xfId="26" applyFont="1" applyFill="1" applyBorder="1" applyAlignment="1" applyProtection="1">
      <alignment horizontal="center" vertical="center"/>
    </xf>
    <xf numFmtId="0" fontId="15" fillId="7" borderId="71" xfId="26" applyFont="1" applyFill="1" applyBorder="1" applyAlignment="1" applyProtection="1">
      <alignment horizontal="center" vertical="center"/>
    </xf>
    <xf numFmtId="165" fontId="15" fillId="7" borderId="26" xfId="26" applyNumberFormat="1" applyFont="1" applyFill="1" applyBorder="1" applyAlignment="1" applyProtection="1">
      <alignment horizontal="center" vertical="center"/>
    </xf>
    <xf numFmtId="0" fontId="15" fillId="7" borderId="41" xfId="26" applyFont="1" applyFill="1" applyBorder="1" applyAlignment="1" applyProtection="1">
      <alignment horizontal="left" vertical="center" wrapText="1" indent="1"/>
    </xf>
    <xf numFmtId="3" fontId="15" fillId="4" borderId="26" xfId="26" applyNumberFormat="1" applyFont="1" applyFill="1" applyBorder="1" applyAlignment="1" applyProtection="1">
      <alignment horizontal="center" vertical="center"/>
      <protection locked="0"/>
    </xf>
    <xf numFmtId="165" fontId="15" fillId="7" borderId="99" xfId="26" applyNumberFormat="1" applyFont="1" applyFill="1" applyBorder="1" applyAlignment="1" applyProtection="1">
      <alignment horizontal="center" vertical="center"/>
    </xf>
    <xf numFmtId="165" fontId="15" fillId="7" borderId="27" xfId="26" applyNumberFormat="1" applyFont="1" applyFill="1" applyBorder="1" applyAlignment="1" applyProtection="1">
      <alignment horizontal="center" vertical="center"/>
    </xf>
    <xf numFmtId="165" fontId="15" fillId="7" borderId="71" xfId="26" applyNumberFormat="1" applyFont="1" applyFill="1" applyBorder="1" applyAlignment="1" applyProtection="1">
      <alignment horizontal="center" vertical="center"/>
    </xf>
    <xf numFmtId="0" fontId="15" fillId="7" borderId="47" xfId="26" applyFont="1" applyFill="1" applyBorder="1" applyAlignment="1" applyProtection="1">
      <alignment horizontal="left" vertical="center" wrapText="1" indent="1"/>
    </xf>
    <xf numFmtId="0" fontId="15" fillId="7" borderId="28" xfId="26" applyFont="1" applyFill="1" applyBorder="1" applyAlignment="1" applyProtection="1">
      <alignment horizontal="left" vertical="center" wrapText="1" indent="1"/>
    </xf>
    <xf numFmtId="0" fontId="15" fillId="7" borderId="38" xfId="26" applyFont="1" applyFill="1" applyBorder="1" applyAlignment="1" applyProtection="1">
      <alignment horizontal="left" vertical="center" wrapText="1" indent="1"/>
    </xf>
    <xf numFmtId="165" fontId="15" fillId="7" borderId="47" xfId="26" applyNumberFormat="1" applyFont="1" applyFill="1" applyBorder="1" applyAlignment="1" applyProtection="1">
      <alignment horizontal="center" vertical="center"/>
    </xf>
    <xf numFmtId="165" fontId="15" fillId="7" borderId="28" xfId="26" applyNumberFormat="1" applyFont="1" applyFill="1" applyBorder="1" applyAlignment="1" applyProtection="1">
      <alignment horizontal="center" vertical="center"/>
    </xf>
    <xf numFmtId="165" fontId="15" fillId="7" borderId="38" xfId="26" applyNumberFormat="1" applyFont="1" applyFill="1" applyBorder="1" applyAlignment="1" applyProtection="1">
      <alignment horizontal="center" vertical="center"/>
    </xf>
    <xf numFmtId="165" fontId="15" fillId="7" borderId="13" xfId="26" applyNumberFormat="1" applyFont="1" applyFill="1" applyBorder="1" applyAlignment="1" applyProtection="1">
      <alignment horizontal="center" vertical="center"/>
    </xf>
    <xf numFmtId="165" fontId="15" fillId="7" borderId="39" xfId="26" applyNumberFormat="1" applyFont="1" applyFill="1" applyBorder="1" applyAlignment="1" applyProtection="1">
      <alignment horizontal="center" vertical="center"/>
    </xf>
    <xf numFmtId="165" fontId="15" fillId="7" borderId="170" xfId="26" applyNumberFormat="1" applyFont="1" applyFill="1" applyBorder="1" applyAlignment="1" applyProtection="1">
      <alignment horizontal="center" vertical="center"/>
    </xf>
    <xf numFmtId="3" fontId="15" fillId="4" borderId="28" xfId="26" applyNumberFormat="1" applyFont="1" applyFill="1" applyBorder="1" applyAlignment="1" applyProtection="1">
      <alignment horizontal="center" vertical="center"/>
      <protection locked="0"/>
    </xf>
    <xf numFmtId="3" fontId="15" fillId="4" borderId="38" xfId="26" applyNumberFormat="1" applyFont="1" applyFill="1" applyBorder="1" applyAlignment="1" applyProtection="1">
      <alignment horizontal="center" vertical="center"/>
      <protection locked="0"/>
    </xf>
    <xf numFmtId="3" fontId="15" fillId="4" borderId="39" xfId="26" applyNumberFormat="1" applyFont="1" applyFill="1" applyBorder="1" applyAlignment="1" applyProtection="1">
      <alignment horizontal="center" vertical="center"/>
      <protection locked="0"/>
    </xf>
    <xf numFmtId="3" fontId="15" fillId="4" borderId="170" xfId="26" applyNumberFormat="1" applyFont="1" applyFill="1" applyBorder="1" applyAlignment="1" applyProtection="1">
      <alignment horizontal="center" vertical="center"/>
      <protection locked="0"/>
    </xf>
    <xf numFmtId="0" fontId="88" fillId="7" borderId="84" xfId="4" applyFont="1" applyFill="1" applyBorder="1" applyAlignment="1" applyProtection="1">
      <alignment horizontal="left" vertical="center" wrapText="1"/>
    </xf>
    <xf numFmtId="0" fontId="88" fillId="7" borderId="0" xfId="4" applyFont="1" applyFill="1" applyBorder="1" applyAlignment="1" applyProtection="1">
      <alignment horizontal="left" vertical="center" wrapText="1"/>
    </xf>
    <xf numFmtId="0" fontId="51" fillId="7" borderId="39" xfId="68" applyFont="1" applyFill="1" applyBorder="1" applyAlignment="1" applyProtection="1">
      <alignment horizontal="center" vertical="center" wrapText="1"/>
    </xf>
    <xf numFmtId="0" fontId="51" fillId="7" borderId="170" xfId="68" applyFont="1" applyFill="1" applyBorder="1" applyAlignment="1" applyProtection="1">
      <alignment horizontal="center" vertical="center" wrapText="1"/>
    </xf>
    <xf numFmtId="0" fontId="15" fillId="7" borderId="0" xfId="26" applyFont="1" applyFill="1" applyAlignment="1" applyProtection="1">
      <alignment horizontal="left" wrapText="1"/>
    </xf>
    <xf numFmtId="0" fontId="35" fillId="0" borderId="0" xfId="26" applyFont="1" applyFill="1" applyBorder="1" applyAlignment="1" applyProtection="1">
      <alignment horizontal="center" vertical="center"/>
    </xf>
    <xf numFmtId="0" fontId="39" fillId="7" borderId="26" xfId="26" applyFont="1" applyFill="1" applyBorder="1" applyAlignment="1" applyProtection="1">
      <alignment horizontal="left" vertical="center" wrapText="1" indent="1"/>
    </xf>
    <xf numFmtId="0" fontId="15" fillId="7" borderId="26" xfId="26" applyFont="1" applyFill="1" applyBorder="1" applyAlignment="1" applyProtection="1">
      <alignment horizontal="right" vertical="center" wrapText="1" indent="1"/>
    </xf>
    <xf numFmtId="38" fontId="15" fillId="0" borderId="26" xfId="26" applyNumberFormat="1" applyFont="1" applyBorder="1" applyAlignment="1" applyProtection="1">
      <alignment horizontal="center" vertical="center"/>
    </xf>
    <xf numFmtId="165" fontId="15" fillId="7" borderId="26" xfId="26" applyNumberFormat="1" applyFont="1" applyFill="1" applyBorder="1" applyAlignment="1" applyProtection="1">
      <alignment horizontal="right" vertical="center" wrapText="1" indent="1"/>
    </xf>
    <xf numFmtId="0" fontId="39" fillId="28" borderId="26" xfId="26" applyFont="1" applyFill="1" applyBorder="1" applyAlignment="1" applyProtection="1">
      <alignment horizontal="center" vertical="center" wrapText="1"/>
    </xf>
    <xf numFmtId="0" fontId="15" fillId="7" borderId="46" xfId="26" applyFont="1" applyFill="1" applyBorder="1" applyAlignment="1" applyProtection="1">
      <alignment horizontal="left" vertical="center" wrapText="1" indent="1"/>
    </xf>
    <xf numFmtId="0" fontId="25" fillId="4" borderId="26" xfId="17" applyBorder="1" applyAlignment="1" applyProtection="1">
      <alignment horizontal="center" vertical="center" wrapText="1"/>
      <protection locked="0"/>
    </xf>
    <xf numFmtId="0" fontId="25" fillId="0" borderId="26" xfId="20" applyFill="1" applyBorder="1" applyAlignment="1" applyProtection="1">
      <alignment horizontal="right" vertical="center" wrapText="1" indent="1"/>
    </xf>
    <xf numFmtId="0" fontId="25" fillId="4" borderId="26" xfId="12" applyFill="1" applyBorder="1" applyAlignment="1" applyProtection="1">
      <alignment horizontal="center" vertical="center" wrapText="1"/>
      <protection locked="0"/>
    </xf>
    <xf numFmtId="0" fontId="25" fillId="4" borderId="26" xfId="12" applyFill="1" applyBorder="1" applyAlignment="1" applyProtection="1">
      <alignment horizontal="left" vertical="center" wrapText="1" indent="1"/>
      <protection locked="0"/>
    </xf>
    <xf numFmtId="0" fontId="25" fillId="0" borderId="26" xfId="0" applyFont="1" applyFill="1" applyBorder="1" applyAlignment="1" applyProtection="1">
      <alignment horizontal="center" vertical="center" wrapText="1"/>
    </xf>
    <xf numFmtId="0" fontId="25" fillId="0" borderId="99" xfId="13" applyFont="1" applyFill="1" applyBorder="1" applyAlignment="1" applyProtection="1">
      <alignment horizontal="center" vertical="center" wrapText="1"/>
    </xf>
    <xf numFmtId="0" fontId="25" fillId="0" borderId="27" xfId="13" applyFont="1" applyFill="1" applyBorder="1" applyAlignment="1" applyProtection="1">
      <alignment horizontal="center" vertical="center" wrapText="1"/>
    </xf>
    <xf numFmtId="0" fontId="25" fillId="0" borderId="71" xfId="13" applyFont="1" applyFill="1" applyBorder="1" applyAlignment="1" applyProtection="1">
      <alignment horizontal="center" vertical="center" wrapText="1"/>
    </xf>
    <xf numFmtId="0" fontId="35" fillId="0" borderId="0" xfId="0" applyFont="1" applyBorder="1" applyAlignment="1" applyProtection="1">
      <alignment horizontal="center" vertical="center" wrapText="1"/>
    </xf>
    <xf numFmtId="0" fontId="25" fillId="4" borderId="26" xfId="0" applyFont="1" applyFill="1" applyBorder="1" applyAlignment="1" applyProtection="1">
      <alignment horizontal="center" vertical="center" wrapText="1"/>
      <protection locked="0"/>
    </xf>
    <xf numFmtId="0" fontId="55" fillId="0" borderId="26" xfId="11" applyFont="1" applyFill="1" applyBorder="1" applyAlignment="1" applyProtection="1">
      <alignment horizontal="left" vertical="center" wrapText="1" indent="1"/>
    </xf>
    <xf numFmtId="0" fontId="26" fillId="0" borderId="26" xfId="0" applyFont="1" applyFill="1" applyBorder="1" applyAlignment="1" applyProtection="1">
      <alignment horizontal="left" vertical="center" wrapText="1" indent="1"/>
    </xf>
    <xf numFmtId="0" fontId="25" fillId="0" borderId="26" xfId="0" applyFont="1" applyFill="1" applyBorder="1" applyAlignment="1" applyProtection="1">
      <alignment horizontal="left" vertical="center" wrapText="1" indent="1"/>
    </xf>
    <xf numFmtId="0" fontId="26" fillId="0" borderId="26" xfId="0" applyFont="1" applyBorder="1" applyAlignment="1" applyProtection="1">
      <alignment horizontal="center" vertical="center" wrapText="1"/>
    </xf>
    <xf numFmtId="0" fontId="25" fillId="0" borderId="26" xfId="0" applyFont="1" applyBorder="1" applyAlignment="1" applyProtection="1">
      <alignment horizontal="center" vertical="center" wrapText="1"/>
    </xf>
    <xf numFmtId="166" fontId="26" fillId="0" borderId="26" xfId="1" applyNumberFormat="1" applyFont="1" applyFill="1" applyBorder="1" applyAlignment="1" applyProtection="1">
      <alignment horizontal="center" vertical="center" wrapText="1"/>
    </xf>
    <xf numFmtId="0" fontId="15" fillId="0" borderId="41" xfId="12" applyFont="1" applyFill="1" applyBorder="1" applyAlignment="1" applyProtection="1">
      <alignment horizontal="left" vertical="center" wrapText="1" indent="1"/>
    </xf>
    <xf numFmtId="0" fontId="40" fillId="0" borderId="41" xfId="12" applyFont="1" applyFill="1" applyBorder="1" applyAlignment="1" applyProtection="1">
      <alignment horizontal="left" vertical="center" wrapText="1" indent="1"/>
    </xf>
    <xf numFmtId="0" fontId="25" fillId="4" borderId="41" xfId="12" applyFill="1" applyBorder="1" applyAlignment="1" applyProtection="1">
      <alignment horizontal="left" vertical="center" wrapText="1" indent="1"/>
      <protection locked="0"/>
    </xf>
    <xf numFmtId="0" fontId="25" fillId="0" borderId="26" xfId="0" applyFont="1" applyBorder="1" applyAlignment="1" applyProtection="1">
      <alignment horizontal="left" vertical="center" wrapText="1" indent="1"/>
    </xf>
    <xf numFmtId="0" fontId="25" fillId="4" borderId="26" xfId="0" applyFont="1" applyFill="1" applyBorder="1" applyAlignment="1" applyProtection="1">
      <alignment vertical="center" wrapText="1"/>
      <protection locked="0"/>
    </xf>
    <xf numFmtId="0" fontId="25" fillId="4" borderId="26" xfId="0" applyFont="1" applyFill="1" applyBorder="1" applyAlignment="1" applyProtection="1">
      <alignment vertical="center"/>
      <protection locked="0"/>
    </xf>
    <xf numFmtId="3" fontId="25" fillId="4" borderId="26" xfId="0" applyNumberFormat="1" applyFont="1" applyFill="1" applyBorder="1" applyAlignment="1" applyProtection="1">
      <alignment vertical="center"/>
      <protection locked="0"/>
    </xf>
    <xf numFmtId="0" fontId="25" fillId="4" borderId="26" xfId="0" applyFont="1" applyFill="1" applyBorder="1" applyAlignment="1" applyProtection="1">
      <alignment horizontal="left" vertical="center" wrapText="1" indent="1"/>
      <protection locked="0"/>
    </xf>
    <xf numFmtId="0" fontId="104" fillId="31" borderId="0" xfId="26" applyFont="1" applyFill="1" applyAlignment="1" applyProtection="1">
      <alignment horizontal="center"/>
    </xf>
    <xf numFmtId="0" fontId="15" fillId="4" borderId="99" xfId="26" applyFont="1" applyFill="1" applyBorder="1" applyAlignment="1" applyProtection="1">
      <alignment horizontal="left" vertical="top" wrapText="1" indent="1"/>
      <protection locked="0"/>
    </xf>
    <xf numFmtId="0" fontId="15" fillId="4" borderId="27" xfId="26" applyFont="1" applyFill="1" applyBorder="1" applyAlignment="1" applyProtection="1">
      <alignment horizontal="left" vertical="top" wrapText="1" indent="1"/>
      <protection locked="0"/>
    </xf>
    <xf numFmtId="0" fontId="15" fillId="4" borderId="71" xfId="26" applyFont="1" applyFill="1" applyBorder="1" applyAlignment="1" applyProtection="1">
      <alignment horizontal="left" vertical="top" wrapText="1" indent="1"/>
      <protection locked="0"/>
    </xf>
    <xf numFmtId="0" fontId="15" fillId="0" borderId="0" xfId="26" applyFont="1" applyBorder="1" applyAlignment="1" applyProtection="1">
      <alignment horizontal="center"/>
    </xf>
    <xf numFmtId="0" fontId="15" fillId="0" borderId="99" xfId="26" applyFont="1" applyBorder="1" applyAlignment="1" applyProtection="1">
      <alignment horizontal="left" vertical="center" indent="1"/>
    </xf>
    <xf numFmtId="0" fontId="15" fillId="0" borderId="27" xfId="26" applyFont="1" applyBorder="1" applyAlignment="1" applyProtection="1">
      <alignment horizontal="left" vertical="center" indent="1"/>
    </xf>
    <xf numFmtId="0" fontId="15" fillId="0" borderId="71" xfId="26" applyFont="1" applyBorder="1" applyAlignment="1" applyProtection="1">
      <alignment horizontal="left" vertical="center" indent="1"/>
    </xf>
    <xf numFmtId="0" fontId="15" fillId="0" borderId="0" xfId="26" applyFont="1" applyAlignment="1" applyProtection="1">
      <alignment horizontal="center"/>
    </xf>
    <xf numFmtId="0" fontId="35" fillId="7" borderId="0" xfId="26" applyFont="1" applyFill="1" applyBorder="1" applyAlignment="1" applyProtection="1">
      <alignment horizontal="center" vertical="center" wrapText="1"/>
    </xf>
    <xf numFmtId="0" fontId="61" fillId="7" borderId="0" xfId="26" applyFont="1" applyFill="1" applyBorder="1" applyAlignment="1" applyProtection="1">
      <alignment horizontal="center" vertical="center" wrapText="1"/>
    </xf>
    <xf numFmtId="0" fontId="15" fillId="4" borderId="26" xfId="26" applyFont="1" applyFill="1" applyBorder="1" applyAlignment="1" applyProtection="1">
      <alignment horizontal="left" vertical="center" indent="2"/>
      <protection locked="0"/>
    </xf>
    <xf numFmtId="0" fontId="15" fillId="0" borderId="47" xfId="26" applyFont="1" applyBorder="1" applyAlignment="1" applyProtection="1">
      <alignment horizontal="left" vertical="center" indent="1"/>
    </xf>
    <xf numFmtId="0" fontId="15" fillId="0" borderId="28" xfId="26" applyFont="1" applyBorder="1" applyAlignment="1" applyProtection="1">
      <alignment horizontal="left" vertical="center" indent="1"/>
    </xf>
    <xf numFmtId="0" fontId="15" fillId="0" borderId="38" xfId="26" applyFont="1" applyBorder="1" applyAlignment="1" applyProtection="1">
      <alignment horizontal="left" vertical="center" indent="1"/>
    </xf>
    <xf numFmtId="0" fontId="15" fillId="0" borderId="26" xfId="26" applyFont="1" applyBorder="1" applyAlignment="1" applyProtection="1">
      <alignment horizontal="right" vertical="center" wrapText="1" indent="1"/>
    </xf>
    <xf numFmtId="0" fontId="15" fillId="4" borderId="26" xfId="26" applyFont="1" applyFill="1" applyBorder="1" applyAlignment="1" applyProtection="1">
      <alignment horizontal="left" vertical="center" wrapText="1" indent="1"/>
      <protection locked="0"/>
    </xf>
    <xf numFmtId="0" fontId="61" fillId="0" borderId="0" xfId="0" applyFont="1" applyBorder="1" applyAlignment="1" applyProtection="1">
      <alignment horizontal="center" vertical="center" wrapText="1"/>
    </xf>
    <xf numFmtId="14" fontId="15" fillId="4" borderId="26" xfId="26" applyNumberFormat="1" applyFont="1" applyFill="1" applyBorder="1" applyAlignment="1" applyProtection="1">
      <alignment horizontal="center" vertical="center" wrapText="1"/>
      <protection locked="0"/>
    </xf>
    <xf numFmtId="0" fontId="41" fillId="0" borderId="26" xfId="26" applyFont="1" applyBorder="1" applyAlignment="1" applyProtection="1">
      <alignment horizontal="left" vertical="center" wrapText="1" indent="1"/>
    </xf>
    <xf numFmtId="0" fontId="15" fillId="0" borderId="26" xfId="26" applyFont="1" applyBorder="1" applyAlignment="1" applyProtection="1">
      <alignment horizontal="right" vertical="center" wrapText="1" indent="2"/>
    </xf>
    <xf numFmtId="0" fontId="15" fillId="0" borderId="0" xfId="26" applyFont="1" applyFill="1" applyBorder="1" applyAlignment="1" applyProtection="1">
      <alignment horizontal="left" vertical="center" indent="1"/>
    </xf>
    <xf numFmtId="0" fontId="15" fillId="0" borderId="43" xfId="26" applyFont="1" applyFill="1" applyBorder="1" applyAlignment="1" applyProtection="1">
      <alignment horizontal="left" vertical="center" indent="1"/>
    </xf>
    <xf numFmtId="0" fontId="61" fillId="0" borderId="41" xfId="26" applyFont="1" applyBorder="1" applyAlignment="1" applyProtection="1">
      <alignment horizontal="left" vertical="center" wrapText="1" indent="1"/>
    </xf>
    <xf numFmtId="0" fontId="61" fillId="0" borderId="26" xfId="26" applyFont="1" applyBorder="1" applyAlignment="1" applyProtection="1">
      <alignment horizontal="left" vertical="center" wrapText="1" indent="1"/>
    </xf>
    <xf numFmtId="49" fontId="15" fillId="4" borderId="26" xfId="26" applyNumberFormat="1" applyFont="1" applyFill="1" applyBorder="1" applyAlignment="1" applyProtection="1">
      <alignment horizontal="left" vertical="center"/>
      <protection locked="0"/>
    </xf>
    <xf numFmtId="49" fontId="15" fillId="4" borderId="71" xfId="26" applyNumberFormat="1" applyFont="1" applyFill="1" applyBorder="1" applyAlignment="1" applyProtection="1">
      <alignment horizontal="left" vertical="center"/>
      <protection locked="0"/>
    </xf>
    <xf numFmtId="0" fontId="15" fillId="0" borderId="47" xfId="26" applyFont="1" applyBorder="1" applyAlignment="1" applyProtection="1">
      <alignment horizontal="right" vertical="center" indent="2"/>
    </xf>
    <xf numFmtId="0" fontId="15" fillId="0" borderId="28" xfId="26" applyFont="1" applyBorder="1" applyAlignment="1" applyProtection="1">
      <alignment horizontal="right" vertical="center" indent="2"/>
    </xf>
    <xf numFmtId="0" fontId="15" fillId="0" borderId="38" xfId="26" applyFont="1" applyBorder="1" applyAlignment="1" applyProtection="1">
      <alignment horizontal="right" vertical="center" indent="2"/>
    </xf>
    <xf numFmtId="0" fontId="15" fillId="0" borderId="84" xfId="26" applyFont="1" applyBorder="1" applyAlignment="1" applyProtection="1">
      <alignment horizontal="right" vertical="center" wrapText="1" indent="2"/>
    </xf>
    <xf numFmtId="0" fontId="15" fillId="0" borderId="43" xfId="26" applyFont="1" applyBorder="1" applyAlignment="1" applyProtection="1">
      <alignment horizontal="right" vertical="center" indent="2"/>
    </xf>
    <xf numFmtId="0" fontId="15" fillId="0" borderId="0" xfId="26" applyFont="1" applyBorder="1" applyAlignment="1" applyProtection="1">
      <alignment horizontal="left" vertical="center" indent="1"/>
    </xf>
    <xf numFmtId="0" fontId="35" fillId="0" borderId="0" xfId="8" applyFont="1" applyBorder="1" applyAlignment="1" applyProtection="1">
      <alignment horizontal="center"/>
    </xf>
    <xf numFmtId="0" fontId="15" fillId="0" borderId="47" xfId="26" applyFont="1" applyBorder="1" applyAlignment="1" applyProtection="1">
      <alignment horizontal="left" vertical="center" wrapText="1" indent="1"/>
    </xf>
    <xf numFmtId="0" fontId="15" fillId="0" borderId="28" xfId="26" applyFont="1" applyBorder="1" applyAlignment="1" applyProtection="1">
      <alignment horizontal="left" vertical="center" wrapText="1" indent="1"/>
    </xf>
    <xf numFmtId="0" fontId="15" fillId="0" borderId="38" xfId="26" applyFont="1" applyBorder="1" applyAlignment="1" applyProtection="1">
      <alignment horizontal="left" vertical="center" wrapText="1" indent="1"/>
    </xf>
    <xf numFmtId="0" fontId="15" fillId="0" borderId="170" xfId="26" applyFont="1" applyBorder="1" applyAlignment="1" applyProtection="1">
      <alignment horizontal="left" vertical="center" wrapText="1" indent="1"/>
    </xf>
    <xf numFmtId="0" fontId="15" fillId="0" borderId="26" xfId="26" applyFont="1" applyBorder="1" applyAlignment="1" applyProtection="1">
      <alignment horizontal="center" vertical="center" wrapText="1"/>
    </xf>
    <xf numFmtId="14" fontId="15" fillId="4" borderId="26" xfId="26" applyNumberFormat="1" applyFont="1" applyFill="1" applyBorder="1" applyAlignment="1" applyProtection="1">
      <alignment horizontal="center" vertical="center"/>
      <protection locked="0"/>
    </xf>
    <xf numFmtId="0" fontId="15" fillId="4" borderId="71" xfId="26" applyFont="1" applyFill="1" applyBorder="1" applyAlignment="1" applyProtection="1">
      <alignment horizontal="center" vertical="center"/>
      <protection locked="0"/>
    </xf>
    <xf numFmtId="0" fontId="15" fillId="0" borderId="39" xfId="26" applyFont="1" applyFill="1" applyBorder="1" applyAlignment="1" applyProtection="1">
      <alignment horizontal="left" vertical="center" wrapText="1" indent="1"/>
    </xf>
    <xf numFmtId="0" fontId="15" fillId="0" borderId="47" xfId="26" applyFont="1" applyBorder="1" applyAlignment="1" applyProtection="1">
      <alignment vertical="center" wrapText="1"/>
    </xf>
    <xf numFmtId="0" fontId="15" fillId="0" borderId="28" xfId="26" applyFont="1" applyBorder="1" applyAlignment="1" applyProtection="1">
      <alignment vertical="center" wrapText="1"/>
    </xf>
    <xf numFmtId="0" fontId="15" fillId="0" borderId="38" xfId="26" applyFont="1" applyBorder="1" applyAlignment="1" applyProtection="1">
      <alignment vertical="center" wrapText="1"/>
    </xf>
    <xf numFmtId="0" fontId="15" fillId="4" borderId="46" xfId="26" applyFont="1" applyFill="1" applyBorder="1" applyAlignment="1" applyProtection="1">
      <alignment horizontal="center" vertical="center"/>
    </xf>
    <xf numFmtId="167" fontId="15" fillId="4" borderId="41" xfId="26" applyNumberFormat="1" applyFont="1" applyFill="1" applyBorder="1" applyAlignment="1" applyProtection="1">
      <alignment horizontal="center" vertical="center"/>
      <protection locked="0"/>
    </xf>
    <xf numFmtId="0" fontId="15" fillId="0" borderId="84" xfId="26" applyFont="1" applyBorder="1" applyAlignment="1" applyProtection="1">
      <alignment horizontal="right" vertical="center" indent="2"/>
    </xf>
    <xf numFmtId="0" fontId="39" fillId="0" borderId="41" xfId="26" applyFont="1" applyBorder="1" applyAlignment="1" applyProtection="1">
      <alignment horizontal="center" vertical="center" wrapText="1"/>
    </xf>
    <xf numFmtId="0" fontId="39" fillId="0" borderId="26" xfId="26" applyFont="1" applyBorder="1" applyAlignment="1" applyProtection="1">
      <alignment horizontal="center" vertical="center" wrapText="1"/>
    </xf>
    <xf numFmtId="0" fontId="15" fillId="0" borderId="41" xfId="26" applyFont="1" applyBorder="1" applyAlignment="1" applyProtection="1">
      <alignment horizontal="left" vertical="center" wrapText="1" indent="1"/>
    </xf>
    <xf numFmtId="167" fontId="15" fillId="4" borderId="26" xfId="26" applyNumberFormat="1" applyFont="1" applyFill="1" applyBorder="1" applyAlignment="1" applyProtection="1">
      <alignment horizontal="center" vertical="center"/>
      <protection locked="0"/>
    </xf>
    <xf numFmtId="0" fontId="15" fillId="4" borderId="41" xfId="26" applyFont="1" applyFill="1" applyBorder="1" applyAlignment="1" applyProtection="1">
      <alignment horizontal="center" vertical="center"/>
      <protection locked="0"/>
    </xf>
    <xf numFmtId="14" fontId="15" fillId="4" borderId="46" xfId="26" applyNumberFormat="1" applyFont="1" applyFill="1" applyBorder="1" applyAlignment="1" applyProtection="1">
      <alignment horizontal="center" vertical="center"/>
      <protection locked="0"/>
    </xf>
    <xf numFmtId="0" fontId="15" fillId="0" borderId="13" xfId="26" applyFont="1" applyBorder="1" applyAlignment="1" applyProtection="1">
      <alignment horizontal="right" vertical="center" indent="2"/>
    </xf>
    <xf numFmtId="0" fontId="15" fillId="0" borderId="39" xfId="26" applyFont="1" applyBorder="1" applyAlignment="1" applyProtection="1">
      <alignment horizontal="right" vertical="center" indent="2"/>
    </xf>
    <xf numFmtId="0" fontId="15" fillId="0" borderId="170" xfId="26" applyFont="1" applyBorder="1" applyAlignment="1" applyProtection="1">
      <alignment horizontal="right" vertical="center" indent="2"/>
    </xf>
    <xf numFmtId="169" fontId="15" fillId="4" borderId="71" xfId="26" applyNumberFormat="1" applyFont="1" applyFill="1" applyBorder="1" applyAlignment="1" applyProtection="1">
      <alignment horizontal="left" vertical="center"/>
      <protection locked="0"/>
    </xf>
    <xf numFmtId="169" fontId="15" fillId="4" borderId="26" xfId="26" applyNumberFormat="1" applyFont="1" applyFill="1" applyBorder="1" applyAlignment="1" applyProtection="1">
      <alignment horizontal="left" vertical="center"/>
      <protection locked="0"/>
    </xf>
    <xf numFmtId="0" fontId="15" fillId="0" borderId="84" xfId="21" applyFont="1" applyBorder="1" applyAlignment="1" applyProtection="1">
      <alignment horizontal="left" vertical="center" wrapText="1" indent="1"/>
    </xf>
    <xf numFmtId="0" fontId="15" fillId="0" borderId="0" xfId="21" applyFont="1" applyBorder="1" applyAlignment="1" applyProtection="1">
      <alignment horizontal="left" vertical="center" wrapText="1" indent="1"/>
    </xf>
    <xf numFmtId="0" fontId="15" fillId="0" borderId="43" xfId="21" applyFont="1" applyBorder="1" applyAlignment="1" applyProtection="1">
      <alignment horizontal="left" vertical="center" wrapText="1" indent="1"/>
    </xf>
    <xf numFmtId="0" fontId="15" fillId="7" borderId="13" xfId="21" applyFont="1" applyFill="1" applyBorder="1" applyAlignment="1" applyProtection="1">
      <alignment horizontal="left" vertical="center" wrapText="1" indent="1"/>
    </xf>
    <xf numFmtId="0" fontId="15" fillId="7" borderId="39" xfId="21" applyFont="1" applyFill="1" applyBorder="1" applyAlignment="1" applyProtection="1">
      <alignment horizontal="left" vertical="center" wrapText="1" indent="1"/>
    </xf>
    <xf numFmtId="0" fontId="15" fillId="7" borderId="170" xfId="21" applyFont="1" applyFill="1" applyBorder="1" applyAlignment="1" applyProtection="1">
      <alignment horizontal="left" vertical="center" wrapText="1" indent="1"/>
    </xf>
    <xf numFmtId="0" fontId="39" fillId="0" borderId="47" xfId="21" applyFont="1" applyBorder="1" applyAlignment="1" applyProtection="1">
      <alignment horizontal="left" vertical="center" wrapText="1" indent="1"/>
    </xf>
    <xf numFmtId="0" fontId="39" fillId="0" borderId="28" xfId="21" applyFont="1" applyBorder="1" applyAlignment="1" applyProtection="1">
      <alignment horizontal="left" vertical="center" wrapText="1" indent="1"/>
    </xf>
    <xf numFmtId="0" fontId="39" fillId="0" borderId="38" xfId="21" applyFont="1" applyBorder="1" applyAlignment="1" applyProtection="1">
      <alignment horizontal="left" vertical="center" wrapText="1" indent="1"/>
    </xf>
    <xf numFmtId="0" fontId="15" fillId="0" borderId="47" xfId="21" applyFont="1" applyBorder="1" applyAlignment="1" applyProtection="1">
      <alignment horizontal="center" vertical="center" wrapText="1"/>
    </xf>
    <xf numFmtId="0" fontId="15" fillId="0" borderId="28" xfId="21" applyFont="1" applyBorder="1" applyAlignment="1" applyProtection="1">
      <alignment horizontal="center" vertical="center" wrapText="1"/>
    </xf>
    <xf numFmtId="0" fontId="15" fillId="0" borderId="28" xfId="21" applyFont="1" applyBorder="1" applyAlignment="1" applyProtection="1">
      <alignment horizontal="center" vertical="center"/>
    </xf>
    <xf numFmtId="0" fontId="15" fillId="4" borderId="26" xfId="21" applyFont="1" applyFill="1" applyBorder="1" applyAlignment="1" applyProtection="1">
      <alignment horizontal="left" vertical="top" wrapText="1"/>
      <protection locked="0"/>
    </xf>
    <xf numFmtId="0" fontId="15" fillId="0" borderId="99" xfId="21" applyFont="1" applyBorder="1" applyAlignment="1" applyProtection="1">
      <alignment horizontal="left" vertical="center" wrapText="1" indent="1"/>
    </xf>
    <xf numFmtId="0" fontId="15" fillId="0" borderId="27" xfId="21" applyFont="1" applyBorder="1" applyAlignment="1" applyProtection="1">
      <alignment horizontal="left" vertical="center" wrapText="1" indent="1"/>
    </xf>
    <xf numFmtId="0" fontId="15" fillId="0" borderId="71" xfId="21" applyFont="1" applyBorder="1" applyAlignment="1" applyProtection="1">
      <alignment horizontal="left" vertical="center" wrapText="1" indent="1"/>
    </xf>
    <xf numFmtId="0" fontId="15" fillId="0" borderId="47" xfId="21" applyFont="1" applyBorder="1" applyAlignment="1" applyProtection="1">
      <alignment horizontal="left" vertical="center" wrapText="1" indent="1"/>
    </xf>
    <xf numFmtId="0" fontId="15" fillId="0" borderId="28" xfId="21" applyFont="1" applyBorder="1" applyAlignment="1" applyProtection="1">
      <alignment horizontal="left" vertical="center" wrapText="1" indent="1"/>
    </xf>
    <xf numFmtId="0" fontId="15" fillId="0" borderId="38" xfId="21" applyFont="1" applyBorder="1" applyAlignment="1" applyProtection="1">
      <alignment horizontal="left" vertical="center" wrapText="1" indent="1"/>
    </xf>
    <xf numFmtId="0" fontId="60" fillId="0" borderId="84" xfId="21" applyFont="1" applyFill="1" applyBorder="1" applyAlignment="1" applyProtection="1">
      <alignment horizontal="left" vertical="center" wrapText="1" indent="1"/>
    </xf>
    <xf numFmtId="0" fontId="60" fillId="0" borderId="0" xfId="21" applyFont="1" applyFill="1" applyBorder="1" applyAlignment="1" applyProtection="1">
      <alignment horizontal="left" vertical="center" wrapText="1" indent="1"/>
    </xf>
    <xf numFmtId="0" fontId="60" fillId="0" borderId="43" xfId="21" applyFont="1" applyFill="1" applyBorder="1" applyAlignment="1" applyProtection="1">
      <alignment horizontal="left" vertical="center" wrapText="1" indent="1"/>
    </xf>
    <xf numFmtId="0" fontId="15" fillId="0" borderId="84" xfId="21" applyFont="1" applyFill="1" applyBorder="1" applyAlignment="1" applyProtection="1">
      <alignment horizontal="left" vertical="center" wrapText="1" indent="1"/>
    </xf>
    <xf numFmtId="0" fontId="15" fillId="0" borderId="0" xfId="21" applyFont="1" applyFill="1" applyBorder="1" applyAlignment="1" applyProtection="1">
      <alignment horizontal="left" vertical="center" wrapText="1" indent="1"/>
    </xf>
    <xf numFmtId="0" fontId="15" fillId="0" borderId="43" xfId="21" applyFont="1" applyFill="1" applyBorder="1" applyAlignment="1" applyProtection="1">
      <alignment horizontal="left" vertical="center" wrapText="1" indent="1"/>
    </xf>
    <xf numFmtId="0" fontId="55" fillId="7" borderId="26" xfId="21" applyFont="1" applyFill="1" applyBorder="1" applyAlignment="1" applyProtection="1">
      <alignment horizontal="left" vertical="center" wrapText="1" indent="1"/>
    </xf>
    <xf numFmtId="0" fontId="55" fillId="7" borderId="46" xfId="21" applyFont="1" applyFill="1" applyBorder="1" applyAlignment="1" applyProtection="1">
      <alignment horizontal="left" vertical="center" wrapText="1" indent="1"/>
    </xf>
    <xf numFmtId="0" fontId="25" fillId="4" borderId="99" xfId="17" applyBorder="1" applyAlignment="1" applyProtection="1">
      <alignment horizontal="center" vertical="center" wrapText="1"/>
      <protection locked="0"/>
    </xf>
    <xf numFmtId="0" fontId="25" fillId="4" borderId="71" xfId="17" applyBorder="1" applyAlignment="1" applyProtection="1">
      <alignment horizontal="center" vertical="center" wrapText="1"/>
      <protection locked="0"/>
    </xf>
    <xf numFmtId="0" fontId="11" fillId="0" borderId="84" xfId="4" applyBorder="1" applyAlignment="1" applyProtection="1">
      <alignment horizontal="center"/>
    </xf>
    <xf numFmtId="0" fontId="11" fillId="0" borderId="0" xfId="4" applyAlignment="1" applyProtection="1">
      <alignment horizontal="center"/>
    </xf>
    <xf numFmtId="0" fontId="11" fillId="0" borderId="0" xfId="4" applyBorder="1" applyAlignment="1" applyProtection="1">
      <alignment horizontal="center" vertical="center"/>
    </xf>
    <xf numFmtId="0" fontId="11" fillId="0" borderId="0" xfId="4" applyAlignment="1" applyProtection="1">
      <alignment horizontal="center" vertical="center"/>
    </xf>
    <xf numFmtId="0" fontId="15" fillId="0" borderId="38" xfId="21" applyFont="1" applyBorder="1" applyAlignment="1" applyProtection="1">
      <alignment horizontal="center" vertical="center"/>
    </xf>
    <xf numFmtId="0" fontId="15" fillId="0" borderId="27" xfId="21" applyFont="1" applyBorder="1" applyAlignment="1" applyProtection="1">
      <alignment horizontal="center" vertical="center"/>
    </xf>
    <xf numFmtId="0" fontId="15" fillId="0" borderId="71" xfId="21" applyFont="1" applyBorder="1" applyAlignment="1" applyProtection="1">
      <alignment horizontal="center" vertical="center"/>
    </xf>
    <xf numFmtId="0" fontId="15" fillId="0" borderId="13" xfId="21" applyFont="1" applyBorder="1" applyAlignment="1" applyProtection="1">
      <alignment horizontal="center" vertical="center" wrapText="1"/>
    </xf>
    <xf numFmtId="0" fontId="15" fillId="0" borderId="39" xfId="21" applyFont="1" applyBorder="1" applyAlignment="1" applyProtection="1">
      <alignment horizontal="center" vertical="center" wrapText="1"/>
    </xf>
    <xf numFmtId="0" fontId="15" fillId="0" borderId="0" xfId="21" applyFont="1" applyBorder="1" applyAlignment="1" applyProtection="1">
      <alignment horizontal="center" vertical="center" wrapText="1"/>
    </xf>
    <xf numFmtId="0" fontId="15" fillId="0" borderId="170" xfId="21" applyFont="1" applyBorder="1" applyAlignment="1" applyProtection="1">
      <alignment horizontal="center" vertical="center" wrapText="1"/>
    </xf>
    <xf numFmtId="0" fontId="63" fillId="7" borderId="13" xfId="13" applyFont="1" applyFill="1" applyBorder="1" applyAlignment="1" applyProtection="1">
      <alignment horizontal="center" vertical="center"/>
    </xf>
    <xf numFmtId="0" fontId="63" fillId="7" borderId="39" xfId="13" applyFont="1" applyFill="1" applyBorder="1" applyAlignment="1" applyProtection="1">
      <alignment horizontal="center" vertical="center"/>
    </xf>
    <xf numFmtId="0" fontId="63" fillId="7" borderId="170" xfId="13" applyFont="1" applyFill="1" applyBorder="1" applyAlignment="1" applyProtection="1">
      <alignment horizontal="center" vertical="center"/>
    </xf>
    <xf numFmtId="0" fontId="15" fillId="0" borderId="26" xfId="21" applyFont="1" applyFill="1" applyBorder="1" applyAlignment="1" applyProtection="1">
      <alignment horizontal="left" vertical="center" wrapText="1" indent="1"/>
    </xf>
    <xf numFmtId="0" fontId="15" fillId="4" borderId="99" xfId="21" applyFont="1" applyFill="1" applyBorder="1" applyAlignment="1" applyProtection="1">
      <alignment horizontal="center" vertical="center" wrapText="1"/>
      <protection locked="0"/>
    </xf>
    <xf numFmtId="0" fontId="15" fillId="4" borderId="27" xfId="21" applyFont="1" applyFill="1" applyBorder="1" applyAlignment="1" applyProtection="1">
      <alignment horizontal="center" vertical="center" wrapText="1"/>
      <protection locked="0"/>
    </xf>
    <xf numFmtId="0" fontId="15" fillId="4" borderId="71" xfId="21" applyFont="1" applyFill="1" applyBorder="1" applyAlignment="1" applyProtection="1">
      <alignment horizontal="center" vertical="center" wrapText="1"/>
      <protection locked="0"/>
    </xf>
    <xf numFmtId="0" fontId="14" fillId="7" borderId="99" xfId="21" applyFont="1" applyFill="1" applyBorder="1" applyAlignment="1" applyProtection="1">
      <alignment horizontal="center" vertical="center"/>
    </xf>
    <xf numFmtId="0" fontId="14" fillId="7" borderId="27" xfId="21" applyFont="1" applyFill="1" applyBorder="1" applyAlignment="1" applyProtection="1">
      <alignment horizontal="center" vertical="center"/>
    </xf>
    <xf numFmtId="167" fontId="15" fillId="4" borderId="26" xfId="21" applyNumberFormat="1" applyFont="1" applyFill="1" applyBorder="1" applyAlignment="1" applyProtection="1">
      <alignment horizontal="center"/>
      <protection locked="0"/>
    </xf>
    <xf numFmtId="0" fontId="15" fillId="0" borderId="99" xfId="21" applyFont="1" applyFill="1" applyBorder="1" applyAlignment="1" applyProtection="1">
      <alignment horizontal="left" vertical="center" wrapText="1" indent="1"/>
    </xf>
    <xf numFmtId="0" fontId="15" fillId="0" borderId="27" xfId="21" applyFont="1" applyFill="1" applyBorder="1" applyAlignment="1" applyProtection="1">
      <alignment horizontal="left" vertical="center" wrapText="1" indent="1"/>
    </xf>
    <xf numFmtId="0" fontId="15" fillId="0" borderId="71" xfId="21" applyFont="1" applyFill="1" applyBorder="1" applyAlignment="1" applyProtection="1">
      <alignment horizontal="left" vertical="center" wrapText="1" indent="1"/>
    </xf>
    <xf numFmtId="0" fontId="60" fillId="0" borderId="26" xfId="21" applyFont="1" applyBorder="1" applyAlignment="1" applyProtection="1">
      <alignment horizontal="left" vertical="center" wrapText="1" indent="1"/>
    </xf>
    <xf numFmtId="0" fontId="15" fillId="0" borderId="99" xfId="21" applyFont="1" applyBorder="1" applyAlignment="1" applyProtection="1">
      <alignment horizontal="center" vertical="center" wrapText="1"/>
    </xf>
    <xf numFmtId="0" fontId="15" fillId="0" borderId="27" xfId="21" applyFont="1" applyBorder="1" applyAlignment="1" applyProtection="1">
      <alignment horizontal="center" vertical="center" wrapText="1"/>
    </xf>
    <xf numFmtId="0" fontId="72" fillId="0" borderId="84" xfId="21" applyFont="1" applyFill="1" applyBorder="1" applyAlignment="1" applyProtection="1">
      <alignment horizontal="left" vertical="center" wrapText="1" indent="1"/>
    </xf>
    <xf numFmtId="0" fontId="72" fillId="0" borderId="0" xfId="21" applyFont="1" applyFill="1" applyBorder="1" applyAlignment="1" applyProtection="1">
      <alignment horizontal="left" vertical="center" wrapText="1" indent="1"/>
    </xf>
    <xf numFmtId="0" fontId="72" fillId="0" borderId="43" xfId="21" applyFont="1" applyFill="1" applyBorder="1" applyAlignment="1" applyProtection="1">
      <alignment horizontal="left" vertical="center" wrapText="1" indent="1"/>
    </xf>
    <xf numFmtId="0" fontId="0" fillId="0" borderId="47" xfId="0" applyBorder="1" applyAlignment="1" applyProtection="1">
      <alignment horizontal="center"/>
    </xf>
    <xf numFmtId="0" fontId="0" fillId="0" borderId="28" xfId="0" applyBorder="1" applyAlignment="1" applyProtection="1">
      <alignment horizontal="center"/>
    </xf>
    <xf numFmtId="0" fontId="0" fillId="0" borderId="38" xfId="0" applyBorder="1" applyAlignment="1" applyProtection="1">
      <alignment horizontal="center"/>
    </xf>
    <xf numFmtId="0" fontId="15" fillId="0" borderId="99" xfId="19" applyFont="1" applyFill="1" applyBorder="1" applyAlignment="1" applyProtection="1">
      <alignment horizontal="center" vertical="center" wrapText="1"/>
    </xf>
    <xf numFmtId="0" fontId="15" fillId="0" borderId="27" xfId="19" applyFont="1" applyFill="1" applyBorder="1" applyAlignment="1" applyProtection="1">
      <alignment horizontal="center" vertical="center" wrapText="1"/>
    </xf>
    <xf numFmtId="0" fontId="15" fillId="0" borderId="71" xfId="19" applyFont="1" applyFill="1" applyBorder="1" applyAlignment="1" applyProtection="1">
      <alignment horizontal="center" vertical="center" wrapText="1"/>
    </xf>
    <xf numFmtId="0" fontId="10" fillId="0" borderId="28" xfId="26" applyBorder="1" applyAlignment="1" applyProtection="1">
      <alignment horizontal="center" vertical="center"/>
    </xf>
    <xf numFmtId="0" fontId="11" fillId="0" borderId="84" xfId="4" applyBorder="1" applyAlignment="1" applyProtection="1">
      <alignment horizontal="center" vertical="center"/>
    </xf>
    <xf numFmtId="0" fontId="15" fillId="7" borderId="41" xfId="16" applyFont="1" applyFill="1" applyBorder="1" applyAlignment="1" applyProtection="1">
      <alignment horizontal="left" vertical="center" wrapText="1" indent="1"/>
    </xf>
    <xf numFmtId="9" fontId="15" fillId="0" borderId="26" xfId="71" applyFont="1" applyBorder="1" applyAlignment="1" applyProtection="1">
      <alignment horizontal="left" vertical="center" wrapText="1" indent="1"/>
    </xf>
    <xf numFmtId="9" fontId="40" fillId="0" borderId="26" xfId="71" applyFont="1" applyBorder="1" applyAlignment="1" applyProtection="1">
      <alignment horizontal="left" vertical="center" wrapText="1" indent="1"/>
    </xf>
    <xf numFmtId="0" fontId="15" fillId="0" borderId="26" xfId="16" applyFont="1" applyBorder="1" applyAlignment="1" applyProtection="1">
      <alignment horizontal="left" vertical="center" wrapText="1" indent="1"/>
    </xf>
    <xf numFmtId="0" fontId="55" fillId="7" borderId="39" xfId="26" applyFont="1" applyFill="1" applyBorder="1" applyAlignment="1" applyProtection="1">
      <alignment horizontal="left" vertical="center" indent="1"/>
    </xf>
    <xf numFmtId="0" fontId="113" fillId="7" borderId="39" xfId="4" applyFont="1" applyFill="1" applyBorder="1" applyAlignment="1" applyProtection="1">
      <alignment horizontal="left" vertical="center" indent="1"/>
    </xf>
    <xf numFmtId="0" fontId="40" fillId="0" borderId="26" xfId="16" applyFont="1" applyBorder="1" applyAlignment="1" applyProtection="1">
      <alignment horizontal="left" vertical="center" wrapText="1" indent="1"/>
    </xf>
    <xf numFmtId="0" fontId="145" fillId="0" borderId="0" xfId="0" applyFont="1" applyBorder="1" applyAlignment="1">
      <alignment horizontal="left" vertical="center"/>
    </xf>
    <xf numFmtId="0" fontId="149" fillId="4" borderId="26" xfId="0" applyFont="1" applyFill="1" applyBorder="1" applyAlignment="1" applyProtection="1">
      <alignment horizontal="center" vertical="center"/>
      <protection locked="0"/>
    </xf>
    <xf numFmtId="0" fontId="15" fillId="0" borderId="0" xfId="0" applyFont="1" applyAlignment="1">
      <alignment horizontal="left" vertical="center" wrapText="1"/>
    </xf>
    <xf numFmtId="0" fontId="15" fillId="4" borderId="99" xfId="0" applyFont="1" applyFill="1" applyBorder="1" applyAlignment="1" applyProtection="1">
      <alignment horizontal="left" vertical="top"/>
      <protection locked="0"/>
    </xf>
    <xf numFmtId="0" fontId="15" fillId="4" borderId="27" xfId="0" applyFont="1" applyFill="1" applyBorder="1" applyAlignment="1" applyProtection="1">
      <alignment horizontal="left" vertical="top"/>
      <protection locked="0"/>
    </xf>
    <xf numFmtId="0" fontId="15" fillId="4" borderId="71" xfId="0" applyFont="1" applyFill="1" applyBorder="1" applyAlignment="1" applyProtection="1">
      <alignment horizontal="left" vertical="top"/>
      <protection locked="0"/>
    </xf>
    <xf numFmtId="0" fontId="15" fillId="0" borderId="0" xfId="0" applyFont="1" applyBorder="1" applyAlignment="1">
      <alignment horizontal="left" vertical="center"/>
    </xf>
    <xf numFmtId="0" fontId="15" fillId="0" borderId="43" xfId="0" applyFont="1" applyBorder="1" applyAlignment="1">
      <alignment horizontal="left" vertical="center"/>
    </xf>
    <xf numFmtId="0" fontId="15" fillId="7" borderId="0" xfId="0" applyFont="1" applyFill="1" applyAlignment="1">
      <alignment horizontal="left" vertical="center" wrapText="1"/>
    </xf>
    <xf numFmtId="0" fontId="15" fillId="0" borderId="0" xfId="0" quotePrefix="1" applyFont="1" applyAlignment="1">
      <alignment vertical="center" wrapText="1"/>
    </xf>
    <xf numFmtId="0" fontId="163" fillId="0" borderId="0" xfId="0" applyFont="1" applyBorder="1" applyAlignment="1">
      <alignment horizontal="left" vertical="center"/>
    </xf>
    <xf numFmtId="0" fontId="15" fillId="0" borderId="0" xfId="0" applyFont="1" applyBorder="1" applyAlignment="1">
      <alignment horizontal="left" vertical="center" wrapText="1"/>
    </xf>
    <xf numFmtId="0" fontId="15" fillId="7" borderId="99" xfId="0" applyFont="1" applyFill="1" applyBorder="1" applyAlignment="1">
      <alignment horizontal="center" vertical="center"/>
    </xf>
    <xf numFmtId="0" fontId="15" fillId="7" borderId="71" xfId="0" applyFont="1" applyFill="1" applyBorder="1" applyAlignment="1">
      <alignment horizontal="center" vertical="center"/>
    </xf>
    <xf numFmtId="0" fontId="15" fillId="4" borderId="99" xfId="0" applyFont="1" applyFill="1" applyBorder="1" applyAlignment="1">
      <alignment horizontal="left" vertical="top"/>
    </xf>
    <xf numFmtId="0" fontId="15" fillId="4" borderId="27" xfId="0" applyFont="1" applyFill="1" applyBorder="1" applyAlignment="1">
      <alignment horizontal="left" vertical="top"/>
    </xf>
    <xf numFmtId="0" fontId="15" fillId="4" borderId="71" xfId="0" applyFont="1" applyFill="1" applyBorder="1" applyAlignment="1">
      <alignment horizontal="left" vertical="top"/>
    </xf>
    <xf numFmtId="0" fontId="110" fillId="0" borderId="39" xfId="0" applyFont="1" applyBorder="1" applyAlignment="1">
      <alignment horizontal="left" wrapText="1"/>
    </xf>
    <xf numFmtId="0" fontId="15" fillId="0" borderId="43" xfId="0" applyFont="1" applyBorder="1" applyAlignment="1">
      <alignment horizontal="left" vertical="center" wrapText="1"/>
    </xf>
    <xf numFmtId="0" fontId="63" fillId="7" borderId="39" xfId="0" applyFont="1" applyFill="1" applyBorder="1" applyAlignment="1">
      <alignment horizontal="center" vertical="center"/>
    </xf>
    <xf numFmtId="0" fontId="15" fillId="0" borderId="0" xfId="0" applyFont="1" applyFill="1" applyBorder="1" applyAlignment="1">
      <alignment horizontal="center" vertical="center"/>
    </xf>
    <xf numFmtId="0" fontId="55" fillId="0" borderId="4" xfId="0" applyFont="1" applyBorder="1" applyAlignment="1">
      <alignment horizontal="left" vertical="center" wrapText="1"/>
    </xf>
    <xf numFmtId="0" fontId="15" fillId="0" borderId="4" xfId="0" applyFont="1" applyBorder="1" applyAlignment="1">
      <alignment horizontal="left" vertical="center"/>
    </xf>
    <xf numFmtId="0" fontId="15" fillId="0" borderId="47" xfId="0" applyFont="1" applyBorder="1" applyAlignment="1">
      <alignment horizontal="left" vertical="center" wrapText="1"/>
    </xf>
    <xf numFmtId="0" fontId="15" fillId="0" borderId="28" xfId="0" applyFont="1" applyBorder="1" applyAlignment="1">
      <alignment horizontal="left" vertical="center" wrapText="1"/>
    </xf>
    <xf numFmtId="165" fontId="15" fillId="0" borderId="26" xfId="0" applyNumberFormat="1" applyFont="1" applyBorder="1" applyAlignment="1">
      <alignment horizontal="center" vertical="center" wrapText="1"/>
    </xf>
    <xf numFmtId="0" fontId="15" fillId="0" borderId="13" xfId="0" applyFont="1" applyBorder="1" applyAlignment="1">
      <alignment horizontal="left" vertical="center"/>
    </xf>
    <xf numFmtId="0" fontId="15" fillId="0" borderId="39" xfId="0" applyFont="1" applyBorder="1" applyAlignment="1">
      <alignment horizontal="left" vertical="center"/>
    </xf>
    <xf numFmtId="0" fontId="15" fillId="0" borderId="84" xfId="0" applyFont="1" applyBorder="1" applyAlignment="1">
      <alignment horizontal="left" vertical="center"/>
    </xf>
    <xf numFmtId="0" fontId="15" fillId="7" borderId="27" xfId="0" applyFont="1" applyFill="1" applyBorder="1" applyAlignment="1">
      <alignment horizontal="center" vertical="center"/>
    </xf>
    <xf numFmtId="0" fontId="149" fillId="4" borderId="99" xfId="0" applyFont="1" applyFill="1" applyBorder="1" applyAlignment="1" applyProtection="1">
      <alignment horizontal="center" vertical="center"/>
      <protection locked="0"/>
    </xf>
    <xf numFmtId="0" fontId="149" fillId="4" borderId="71" xfId="0" applyFont="1" applyFill="1" applyBorder="1" applyAlignment="1" applyProtection="1">
      <alignment horizontal="center" vertical="center"/>
      <protection locked="0"/>
    </xf>
    <xf numFmtId="0" fontId="15" fillId="0" borderId="0" xfId="0" applyFont="1" applyAlignment="1">
      <alignment vertical="center"/>
    </xf>
    <xf numFmtId="0" fontId="15" fillId="0" borderId="99" xfId="0" applyFont="1" applyBorder="1" applyAlignment="1">
      <alignment horizontal="center" vertical="center" wrapText="1"/>
    </xf>
    <xf numFmtId="0" fontId="15" fillId="0" borderId="71" xfId="0" applyFont="1" applyBorder="1" applyAlignment="1">
      <alignment horizontal="center" vertical="center" wrapText="1"/>
    </xf>
    <xf numFmtId="0" fontId="15" fillId="0" borderId="28" xfId="0" applyFont="1" applyBorder="1" applyAlignment="1">
      <alignment horizontal="right" vertical="center" wrapText="1" indent="1"/>
    </xf>
    <xf numFmtId="0" fontId="15" fillId="7" borderId="0" xfId="0" applyFont="1" applyFill="1" applyAlignment="1">
      <alignment horizontal="left" vertical="center"/>
    </xf>
    <xf numFmtId="0" fontId="15" fillId="0" borderId="28" xfId="0" applyFont="1" applyFill="1" applyBorder="1" applyAlignment="1">
      <alignment horizontal="left" vertical="center" wrapText="1"/>
    </xf>
    <xf numFmtId="0" fontId="14" fillId="0" borderId="0" xfId="0" applyFont="1" applyAlignment="1">
      <alignment horizontal="left" vertical="center"/>
    </xf>
    <xf numFmtId="0" fontId="15" fillId="0" borderId="0" xfId="0" applyFont="1" applyAlignment="1">
      <alignment vertical="center" wrapText="1"/>
    </xf>
    <xf numFmtId="0" fontId="156" fillId="0" borderId="0" xfId="0" applyFont="1" applyAlignment="1">
      <alignment horizontal="left" vertical="center"/>
    </xf>
    <xf numFmtId="0" fontId="15" fillId="4" borderId="99" xfId="0" applyFont="1" applyFill="1" applyBorder="1" applyAlignment="1" applyProtection="1">
      <alignment horizontal="left" vertical="center" wrapText="1"/>
      <protection locked="0"/>
    </xf>
    <xf numFmtId="0" fontId="15" fillId="4" borderId="27" xfId="0" applyFont="1" applyFill="1" applyBorder="1" applyAlignment="1" applyProtection="1">
      <alignment horizontal="left" vertical="center" wrapText="1"/>
      <protection locked="0"/>
    </xf>
    <xf numFmtId="0" fontId="15" fillId="4" borderId="71" xfId="0" applyFont="1" applyFill="1" applyBorder="1" applyAlignment="1" applyProtection="1">
      <alignment horizontal="left" vertical="center" wrapText="1"/>
      <protection locked="0"/>
    </xf>
    <xf numFmtId="14" fontId="15" fillId="4" borderId="99" xfId="0" applyNumberFormat="1" applyFont="1" applyFill="1" applyBorder="1" applyAlignment="1" applyProtection="1">
      <alignment horizontal="center" vertical="center" wrapText="1"/>
      <protection locked="0"/>
    </xf>
    <xf numFmtId="14" fontId="15" fillId="4" borderId="27" xfId="0" applyNumberFormat="1" applyFont="1" applyFill="1" applyBorder="1" applyAlignment="1" applyProtection="1">
      <alignment horizontal="center" vertical="center" wrapText="1"/>
      <protection locked="0"/>
    </xf>
    <xf numFmtId="14" fontId="15" fillId="4" borderId="71" xfId="0" applyNumberFormat="1" applyFont="1" applyFill="1" applyBorder="1" applyAlignment="1" applyProtection="1">
      <alignment horizontal="center" vertical="center" wrapText="1"/>
      <protection locked="0"/>
    </xf>
    <xf numFmtId="0" fontId="15" fillId="0" borderId="0" xfId="0" applyFont="1" applyAlignment="1">
      <alignment horizontal="center" vertical="center"/>
    </xf>
    <xf numFmtId="1" fontId="15" fillId="4" borderId="99" xfId="0" applyNumberFormat="1" applyFont="1" applyFill="1" applyBorder="1" applyAlignment="1" applyProtection="1">
      <alignment horizontal="center" vertical="center"/>
      <protection locked="0"/>
    </xf>
    <xf numFmtId="1" fontId="15" fillId="4" borderId="71" xfId="0" applyNumberFormat="1" applyFont="1" applyFill="1" applyBorder="1" applyAlignment="1" applyProtection="1">
      <alignment horizontal="center" vertical="center"/>
      <protection locked="0"/>
    </xf>
    <xf numFmtId="0" fontId="55" fillId="7" borderId="39" xfId="0" applyFont="1" applyFill="1" applyBorder="1" applyAlignment="1">
      <alignment horizontal="center" vertical="center"/>
    </xf>
    <xf numFmtId="0" fontId="39" fillId="0" borderId="0" xfId="0" applyFont="1" applyBorder="1" applyAlignment="1">
      <alignment horizontal="left" vertical="center"/>
    </xf>
    <xf numFmtId="181" fontId="55" fillId="0" borderId="171" xfId="0" applyNumberFormat="1" applyFont="1" applyBorder="1" applyAlignment="1">
      <alignment horizontal="center" vertical="center"/>
    </xf>
    <xf numFmtId="181" fontId="55" fillId="0" borderId="173" xfId="0" applyNumberFormat="1" applyFont="1" applyBorder="1" applyAlignment="1">
      <alignment horizontal="center" vertical="center"/>
    </xf>
    <xf numFmtId="181" fontId="55" fillId="0" borderId="172" xfId="0" applyNumberFormat="1" applyFont="1" applyBorder="1" applyAlignment="1">
      <alignment horizontal="center" vertical="center"/>
    </xf>
    <xf numFmtId="2" fontId="79" fillId="31" borderId="49" xfId="8" applyNumberFormat="1" applyFont="1" applyFill="1" applyBorder="1" applyAlignment="1" applyProtection="1">
      <alignment horizontal="center" vertical="center"/>
    </xf>
    <xf numFmtId="0" fontId="15" fillId="0" borderId="0" xfId="8" applyFont="1" applyBorder="1" applyAlignment="1" applyProtection="1">
      <alignment horizontal="right" vertical="center" indent="1"/>
    </xf>
    <xf numFmtId="0" fontId="15" fillId="0" borderId="85" xfId="8" applyFont="1" applyBorder="1" applyAlignment="1" applyProtection="1">
      <alignment horizontal="right" vertical="center" indent="1"/>
    </xf>
    <xf numFmtId="0" fontId="15" fillId="0" borderId="26" xfId="0" applyFont="1" applyBorder="1" applyAlignment="1">
      <alignment horizontal="right" vertical="center"/>
    </xf>
    <xf numFmtId="0" fontId="15" fillId="0" borderId="99" xfId="0" applyFont="1" applyBorder="1" applyAlignment="1">
      <alignment horizontal="left" vertical="center"/>
    </xf>
    <xf numFmtId="0" fontId="15" fillId="0" borderId="27" xfId="0" applyFont="1" applyBorder="1" applyAlignment="1">
      <alignment horizontal="left" vertical="center"/>
    </xf>
    <xf numFmtId="0" fontId="15" fillId="0" borderId="71" xfId="0" applyFont="1" applyBorder="1" applyAlignment="1">
      <alignment horizontal="left" vertical="center"/>
    </xf>
    <xf numFmtId="165" fontId="15" fillId="0" borderId="99" xfId="0" applyNumberFormat="1" applyFont="1" applyBorder="1" applyAlignment="1">
      <alignment horizontal="left" vertical="center" wrapText="1" indent="1"/>
    </xf>
    <xf numFmtId="165" fontId="15" fillId="0" borderId="27" xfId="0" applyNumberFormat="1" applyFont="1" applyBorder="1" applyAlignment="1">
      <alignment horizontal="left" vertical="center" wrapText="1" indent="1"/>
    </xf>
    <xf numFmtId="165" fontId="15" fillId="0" borderId="71" xfId="0" applyNumberFormat="1" applyFont="1" applyBorder="1" applyAlignment="1">
      <alignment horizontal="left" vertical="center" wrapText="1" indent="1"/>
    </xf>
    <xf numFmtId="0" fontId="15" fillId="0" borderId="26" xfId="0" applyFont="1" applyBorder="1" applyAlignment="1">
      <alignment horizontal="right" vertical="center" indent="1"/>
    </xf>
    <xf numFmtId="2" fontId="15" fillId="0" borderId="99" xfId="0" applyNumberFormat="1" applyFont="1" applyBorder="1" applyAlignment="1">
      <alignment horizontal="center" vertical="center"/>
    </xf>
    <xf numFmtId="2" fontId="15" fillId="0" borderId="27" xfId="0" applyNumberFormat="1" applyFont="1" applyBorder="1" applyAlignment="1">
      <alignment horizontal="center" vertical="center"/>
    </xf>
    <xf numFmtId="2" fontId="15" fillId="0" borderId="71" xfId="0" applyNumberFormat="1" applyFont="1" applyBorder="1" applyAlignment="1">
      <alignment horizontal="center" vertical="center"/>
    </xf>
    <xf numFmtId="0" fontId="60" fillId="0" borderId="0" xfId="13" applyFont="1" applyBorder="1" applyAlignment="1" applyProtection="1">
      <alignment horizontal="left" vertical="center"/>
    </xf>
    <xf numFmtId="167" fontId="60" fillId="0" borderId="0" xfId="13" applyNumberFormat="1" applyFont="1" applyBorder="1" applyAlignment="1" applyProtection="1">
      <alignment horizontal="left" vertical="center" indent="1"/>
    </xf>
    <xf numFmtId="0" fontId="55" fillId="0" borderId="0" xfId="0" applyFont="1" applyBorder="1" applyAlignment="1" applyProtection="1">
      <alignment horizontal="left" vertical="center"/>
    </xf>
    <xf numFmtId="0" fontId="14" fillId="0" borderId="0" xfId="0" applyFont="1" applyBorder="1" applyAlignment="1">
      <alignment horizontal="left" vertical="center"/>
    </xf>
    <xf numFmtId="0" fontId="14" fillId="0" borderId="43" xfId="0" applyFont="1" applyBorder="1" applyAlignment="1">
      <alignment horizontal="left" vertical="center"/>
    </xf>
    <xf numFmtId="2" fontId="15" fillId="0" borderId="99" xfId="0" applyNumberFormat="1" applyFont="1" applyBorder="1" applyAlignment="1">
      <alignment horizontal="center" vertical="center" wrapText="1"/>
    </xf>
    <xf numFmtId="2" fontId="15" fillId="0" borderId="27" xfId="0" applyNumberFormat="1" applyFont="1" applyBorder="1" applyAlignment="1">
      <alignment horizontal="center" vertical="center" wrapText="1"/>
    </xf>
    <xf numFmtId="2" fontId="15" fillId="0" borderId="71" xfId="0" applyNumberFormat="1" applyFont="1" applyBorder="1" applyAlignment="1">
      <alignment horizontal="center" vertical="center" wrapText="1"/>
    </xf>
    <xf numFmtId="2" fontId="39" fillId="0" borderId="99" xfId="0" applyNumberFormat="1" applyFont="1" applyBorder="1" applyAlignment="1">
      <alignment horizontal="center" vertical="center" wrapText="1"/>
    </xf>
    <xf numFmtId="2" fontId="39" fillId="0" borderId="27" xfId="0" applyNumberFormat="1" applyFont="1" applyBorder="1" applyAlignment="1">
      <alignment horizontal="center" vertical="center" wrapText="1"/>
    </xf>
    <xf numFmtId="2" fontId="39" fillId="0" borderId="71" xfId="0" applyNumberFormat="1" applyFont="1" applyBorder="1" applyAlignment="1">
      <alignment horizontal="center" vertical="center" wrapText="1"/>
    </xf>
    <xf numFmtId="0" fontId="25" fillId="0" borderId="0" xfId="0" applyFont="1" applyBorder="1" applyAlignment="1" applyProtection="1">
      <alignment horizontal="left" vertical="center" wrapText="1"/>
    </xf>
    <xf numFmtId="0" fontId="15" fillId="53" borderId="26" xfId="0" applyNumberFormat="1" applyFont="1" applyFill="1" applyBorder="1" applyAlignment="1">
      <alignment horizontal="center" vertical="center" wrapText="1"/>
    </xf>
    <xf numFmtId="0" fontId="39" fillId="0" borderId="28" xfId="0" applyFont="1" applyBorder="1" applyAlignment="1">
      <alignment horizontal="left" vertical="center" wrapText="1"/>
    </xf>
    <xf numFmtId="2" fontId="26" fillId="32" borderId="26" xfId="12" applyNumberFormat="1" applyFont="1" applyFill="1" applyBorder="1" applyAlignment="1" applyProtection="1">
      <alignment horizontal="center" vertical="center" wrapText="1"/>
    </xf>
    <xf numFmtId="0" fontId="15" fillId="0" borderId="38" xfId="0" applyFont="1" applyBorder="1" applyAlignment="1">
      <alignment horizontal="left" vertical="center" wrapText="1"/>
    </xf>
    <xf numFmtId="0" fontId="25" fillId="0" borderId="0" xfId="0" applyFont="1" applyBorder="1" applyAlignment="1" applyProtection="1">
      <alignment horizontal="left" vertical="center"/>
    </xf>
    <xf numFmtId="0" fontId="25" fillId="0" borderId="43" xfId="0" applyFont="1" applyBorder="1" applyAlignment="1" applyProtection="1">
      <alignment horizontal="left" vertical="center"/>
    </xf>
    <xf numFmtId="0" fontId="25" fillId="0" borderId="26" xfId="12" applyFont="1" applyFill="1" applyBorder="1" applyAlignment="1" applyProtection="1">
      <alignment horizontal="right" vertical="center" wrapText="1" indent="1"/>
    </xf>
    <xf numFmtId="0" fontId="25" fillId="0" borderId="0" xfId="12" applyFont="1" applyFill="1" applyBorder="1" applyAlignment="1" applyProtection="1">
      <alignment horizontal="center" vertical="center" wrapText="1"/>
    </xf>
    <xf numFmtId="0" fontId="15" fillId="4" borderId="26" xfId="0" applyFont="1" applyFill="1" applyBorder="1" applyAlignment="1">
      <alignment horizontal="center" vertical="center" wrapText="1"/>
    </xf>
    <xf numFmtId="0" fontId="15" fillId="53" borderId="26" xfId="0" applyFont="1" applyFill="1" applyBorder="1" applyAlignment="1">
      <alignment horizontal="center" vertical="center" wrapText="1"/>
    </xf>
    <xf numFmtId="2" fontId="79" fillId="31" borderId="109" xfId="8" applyNumberFormat="1" applyFont="1" applyFill="1" applyBorder="1" applyAlignment="1" applyProtection="1">
      <alignment horizontal="center" vertical="center"/>
    </xf>
    <xf numFmtId="2" fontId="79" fillId="31" borderId="108" xfId="8" applyNumberFormat="1" applyFont="1" applyFill="1" applyBorder="1" applyAlignment="1" applyProtection="1">
      <alignment horizontal="center" vertical="center"/>
    </xf>
    <xf numFmtId="2" fontId="79" fillId="31" borderId="107" xfId="8" applyNumberFormat="1" applyFont="1" applyFill="1" applyBorder="1" applyAlignment="1" applyProtection="1">
      <alignment horizontal="center" vertical="center"/>
    </xf>
    <xf numFmtId="0" fontId="25" fillId="4" borderId="26" xfId="1" applyFont="1" applyFill="1" applyBorder="1" applyAlignment="1" applyProtection="1">
      <alignment horizontal="left" vertical="center" wrapText="1" indent="1"/>
      <protection locked="0"/>
    </xf>
    <xf numFmtId="0" fontId="15" fillId="0" borderId="39" xfId="0" applyFont="1" applyBorder="1" applyAlignment="1">
      <alignment horizontal="right" vertical="center" wrapText="1" indent="1"/>
    </xf>
    <xf numFmtId="0" fontId="15" fillId="0" borderId="170" xfId="0" applyFont="1" applyBorder="1" applyAlignment="1">
      <alignment horizontal="right" vertical="center" wrapText="1" indent="1"/>
    </xf>
    <xf numFmtId="0" fontId="25" fillId="7" borderId="28" xfId="12" applyFont="1" applyFill="1" applyBorder="1" applyAlignment="1" applyProtection="1">
      <alignment horizontal="left" vertical="center" wrapText="1"/>
    </xf>
    <xf numFmtId="0" fontId="25" fillId="7" borderId="38" xfId="12" applyFont="1" applyFill="1" applyBorder="1" applyAlignment="1" applyProtection="1">
      <alignment horizontal="left" vertical="center" wrapText="1"/>
    </xf>
    <xf numFmtId="0" fontId="25" fillId="4" borderId="41" xfId="1" applyFont="1" applyFill="1" applyBorder="1" applyAlignment="1" applyProtection="1">
      <alignment horizontal="center" vertical="center" wrapText="1"/>
      <protection locked="0"/>
    </xf>
    <xf numFmtId="0" fontId="39" fillId="0" borderId="41" xfId="8" applyFont="1" applyBorder="1" applyAlignment="1">
      <alignment horizontal="right" vertical="center" indent="1"/>
    </xf>
    <xf numFmtId="3" fontId="61" fillId="0" borderId="26" xfId="82" applyNumberFormat="1" applyFont="1" applyFill="1" applyBorder="1" applyAlignment="1" applyProtection="1">
      <alignment horizontal="center" vertical="center"/>
    </xf>
    <xf numFmtId="3" fontId="61" fillId="0" borderId="99" xfId="82" applyNumberFormat="1" applyFont="1" applyFill="1" applyBorder="1" applyAlignment="1" applyProtection="1">
      <alignment horizontal="center" vertical="center"/>
    </xf>
    <xf numFmtId="3" fontId="87" fillId="4" borderId="26" xfId="8" quotePrefix="1" applyNumberFormat="1" applyFont="1" applyFill="1" applyBorder="1" applyAlignment="1" applyProtection="1">
      <alignment horizontal="center" vertical="center" wrapText="1"/>
      <protection locked="0"/>
    </xf>
    <xf numFmtId="0" fontId="15" fillId="4" borderId="26" xfId="8" applyFont="1" applyFill="1" applyBorder="1" applyAlignment="1" applyProtection="1">
      <alignment horizontal="center" vertical="center"/>
      <protection locked="0"/>
    </xf>
    <xf numFmtId="0" fontId="25" fillId="8" borderId="99" xfId="20" applyFont="1" applyFill="1" applyBorder="1" applyAlignment="1" applyProtection="1">
      <alignment horizontal="left" vertical="center" wrapText="1"/>
    </xf>
    <xf numFmtId="0" fontId="25" fillId="8" borderId="27" xfId="20" applyFont="1" applyFill="1" applyBorder="1" applyAlignment="1" applyProtection="1">
      <alignment horizontal="left" vertical="center" wrapText="1"/>
    </xf>
    <xf numFmtId="0" fontId="25" fillId="8" borderId="71" xfId="20" applyFont="1" applyFill="1" applyBorder="1" applyAlignment="1" applyProtection="1">
      <alignment horizontal="left" vertical="center" wrapText="1"/>
    </xf>
    <xf numFmtId="0" fontId="25" fillId="8" borderId="99" xfId="20" applyFont="1" applyFill="1" applyBorder="1" applyAlignment="1" applyProtection="1">
      <alignment horizontal="left" vertical="center" wrapText="1" indent="1"/>
    </xf>
    <xf numFmtId="0" fontId="25" fillId="8" borderId="27" xfId="20" applyFont="1" applyFill="1" applyBorder="1" applyAlignment="1" applyProtection="1">
      <alignment horizontal="left" vertical="center" wrapText="1" indent="1"/>
    </xf>
    <xf numFmtId="0" fontId="25" fillId="8" borderId="71" xfId="20" applyFont="1" applyFill="1" applyBorder="1" applyAlignment="1" applyProtection="1">
      <alignment horizontal="left" vertical="center" wrapText="1" indent="1"/>
    </xf>
    <xf numFmtId="0" fontId="25" fillId="0" borderId="43" xfId="8" applyFont="1" applyBorder="1" applyAlignment="1" applyProtection="1">
      <alignment horizontal="left" vertical="center" wrapText="1"/>
    </xf>
    <xf numFmtId="2" fontId="25" fillId="52" borderId="26" xfId="0" applyNumberFormat="1" applyFont="1" applyFill="1" applyBorder="1" applyAlignment="1" applyProtection="1">
      <alignment horizontal="center" vertical="center" wrapText="1"/>
    </xf>
    <xf numFmtId="0" fontId="15" fillId="4" borderId="26" xfId="0" applyFont="1" applyFill="1" applyBorder="1" applyAlignment="1">
      <alignment horizontal="left" vertical="center" wrapText="1" indent="1"/>
    </xf>
    <xf numFmtId="0" fontId="25" fillId="0" borderId="99" xfId="12" applyFont="1" applyFill="1" applyBorder="1" applyAlignment="1" applyProtection="1">
      <alignment horizontal="left" vertical="center" wrapText="1" indent="1"/>
    </xf>
    <xf numFmtId="0" fontId="25" fillId="0" borderId="27" xfId="12" applyFont="1" applyFill="1" applyBorder="1" applyAlignment="1" applyProtection="1">
      <alignment horizontal="left" vertical="center" wrapText="1" indent="1"/>
    </xf>
    <xf numFmtId="0" fontId="25" fillId="0" borderId="71" xfId="12" applyFont="1" applyFill="1" applyBorder="1" applyAlignment="1" applyProtection="1">
      <alignment horizontal="left" vertical="center" wrapText="1" indent="1"/>
    </xf>
    <xf numFmtId="0" fontId="87" fillId="0" borderId="0" xfId="8" applyFont="1" applyBorder="1" applyAlignment="1">
      <alignment horizontal="center" vertical="center" wrapText="1"/>
    </xf>
    <xf numFmtId="0" fontId="25" fillId="0" borderId="43" xfId="0" applyFont="1" applyBorder="1" applyAlignment="1" applyProtection="1">
      <alignment horizontal="left" vertical="center" wrapText="1"/>
    </xf>
    <xf numFmtId="0" fontId="25" fillId="0" borderId="26" xfId="8" applyBorder="1" applyAlignment="1">
      <alignment horizontal="left" vertical="center" indent="1"/>
    </xf>
    <xf numFmtId="3" fontId="15" fillId="0" borderId="0" xfId="82" applyNumberFormat="1" applyFont="1" applyFill="1" applyBorder="1" applyAlignment="1" applyProtection="1">
      <alignment horizontal="right" vertical="center" indent="1"/>
    </xf>
    <xf numFmtId="0" fontId="25" fillId="0" borderId="26" xfId="8" applyBorder="1" applyAlignment="1">
      <alignment horizontal="center" vertical="center"/>
    </xf>
    <xf numFmtId="0" fontId="25" fillId="0" borderId="99" xfId="8" applyBorder="1" applyAlignment="1">
      <alignment horizontal="center" vertical="center"/>
    </xf>
    <xf numFmtId="4" fontId="25" fillId="7" borderId="26" xfId="82" applyNumberFormat="1" applyFill="1" applyBorder="1" applyAlignment="1" applyProtection="1">
      <alignment horizontal="center" vertical="center"/>
    </xf>
    <xf numFmtId="0" fontId="25" fillId="0" borderId="0" xfId="0" applyFont="1" applyBorder="1" applyAlignment="1" applyProtection="1">
      <alignment horizontal="center" vertical="center"/>
    </xf>
    <xf numFmtId="2" fontId="25" fillId="20" borderId="26" xfId="0" applyNumberFormat="1" applyFont="1" applyFill="1" applyBorder="1" applyAlignment="1" applyProtection="1">
      <alignment horizontal="center" vertical="center" wrapText="1"/>
    </xf>
    <xf numFmtId="0" fontId="15" fillId="0" borderId="0" xfId="12" applyFont="1" applyFill="1" applyBorder="1" applyAlignment="1" applyProtection="1">
      <alignment horizontal="left" vertical="center" wrapText="1"/>
    </xf>
    <xf numFmtId="0" fontId="15" fillId="0" borderId="39" xfId="12" applyFont="1" applyFill="1" applyBorder="1" applyAlignment="1" applyProtection="1">
      <alignment horizontal="left" vertical="center" wrapText="1"/>
    </xf>
    <xf numFmtId="0" fontId="15" fillId="0" borderId="170" xfId="12" applyFont="1" applyFill="1" applyBorder="1" applyAlignment="1" applyProtection="1">
      <alignment horizontal="left" vertical="center" wrapText="1"/>
    </xf>
    <xf numFmtId="0" fontId="25" fillId="34" borderId="99" xfId="8" applyFont="1" applyFill="1" applyBorder="1" applyAlignment="1" applyProtection="1">
      <alignment horizontal="center" vertical="center"/>
    </xf>
    <xf numFmtId="0" fontId="25" fillId="34" borderId="71" xfId="8" applyFont="1" applyFill="1" applyBorder="1" applyAlignment="1" applyProtection="1">
      <alignment horizontal="center" vertical="center"/>
    </xf>
    <xf numFmtId="0" fontId="25" fillId="0" borderId="0" xfId="12" applyFont="1" applyFill="1" applyBorder="1" applyAlignment="1" applyProtection="1">
      <alignment horizontal="left" vertical="center" wrapText="1"/>
    </xf>
    <xf numFmtId="0" fontId="25" fillId="0" borderId="43" xfId="12" applyFont="1" applyFill="1" applyBorder="1" applyAlignment="1" applyProtection="1">
      <alignment horizontal="left" vertical="center" wrapText="1"/>
    </xf>
    <xf numFmtId="0" fontId="25" fillId="4" borderId="99" xfId="1" applyFont="1" applyFill="1" applyBorder="1" applyAlignment="1" applyProtection="1">
      <alignment horizontal="left" vertical="center" wrapText="1" indent="1"/>
      <protection locked="0"/>
    </xf>
    <xf numFmtId="0" fontId="25" fillId="4" borderId="27" xfId="1" applyFont="1" applyFill="1" applyBorder="1" applyAlignment="1" applyProtection="1">
      <alignment horizontal="left" vertical="center" wrapText="1" indent="1"/>
      <protection locked="0"/>
    </xf>
    <xf numFmtId="0" fontId="25" fillId="4" borderId="71" xfId="1" applyFont="1" applyFill="1" applyBorder="1" applyAlignment="1" applyProtection="1">
      <alignment horizontal="left" vertical="center" wrapText="1" indent="1"/>
      <protection locked="0"/>
    </xf>
    <xf numFmtId="0" fontId="15" fillId="0" borderId="0" xfId="0" applyFont="1" applyBorder="1" applyAlignment="1">
      <alignment horizontal="right" vertical="center" wrapText="1" indent="1"/>
    </xf>
    <xf numFmtId="0" fontId="15" fillId="0" borderId="43" xfId="0" applyFont="1" applyBorder="1" applyAlignment="1">
      <alignment horizontal="right" vertical="center" wrapText="1" indent="1"/>
    </xf>
    <xf numFmtId="0" fontId="25" fillId="0" borderId="84" xfId="8" applyBorder="1" applyAlignment="1">
      <alignment horizontal="left" vertical="center" indent="5"/>
    </xf>
    <xf numFmtId="0" fontId="25" fillId="0" borderId="0" xfId="8" applyBorder="1" applyAlignment="1">
      <alignment horizontal="left" vertical="center" indent="5"/>
    </xf>
    <xf numFmtId="0" fontId="15" fillId="0" borderId="13" xfId="0" applyFont="1" applyBorder="1" applyAlignment="1">
      <alignment horizontal="left" vertical="center" wrapText="1" indent="4"/>
    </xf>
    <xf numFmtId="0" fontId="15" fillId="0" borderId="39" xfId="0" applyFont="1" applyBorder="1" applyAlignment="1">
      <alignment horizontal="left" vertical="center" wrapText="1" indent="4"/>
    </xf>
    <xf numFmtId="0" fontId="15" fillId="0" borderId="170" xfId="0" applyFont="1" applyBorder="1" applyAlignment="1">
      <alignment horizontal="left" vertical="center" wrapText="1" indent="4"/>
    </xf>
    <xf numFmtId="0" fontId="15" fillId="0" borderId="170" xfId="0" applyFont="1" applyBorder="1" applyAlignment="1">
      <alignment horizontal="left" vertical="center"/>
    </xf>
    <xf numFmtId="0" fontId="25" fillId="0" borderId="99" xfId="13" applyFont="1" applyBorder="1" applyAlignment="1" applyProtection="1">
      <alignment horizontal="center" vertical="center" wrapText="1"/>
    </xf>
    <xf numFmtId="0" fontId="25" fillId="0" borderId="27" xfId="13" applyFont="1" applyBorder="1" applyAlignment="1" applyProtection="1">
      <alignment horizontal="center" vertical="center" wrapText="1"/>
    </xf>
    <xf numFmtId="0" fontId="25" fillId="0" borderId="71" xfId="13" applyFont="1" applyBorder="1" applyAlignment="1" applyProtection="1">
      <alignment horizontal="center" vertical="center" wrapText="1"/>
    </xf>
    <xf numFmtId="1" fontId="25" fillId="0" borderId="99" xfId="8" applyNumberFormat="1" applyFont="1" applyBorder="1" applyAlignment="1" applyProtection="1">
      <alignment horizontal="center" vertical="center"/>
    </xf>
    <xf numFmtId="1" fontId="25" fillId="0" borderId="71" xfId="8" applyNumberFormat="1" applyFont="1" applyBorder="1" applyAlignment="1" applyProtection="1">
      <alignment horizontal="center" vertical="center"/>
    </xf>
    <xf numFmtId="3" fontId="87" fillId="0" borderId="0" xfId="8" applyNumberFormat="1" applyFont="1" applyBorder="1" applyAlignment="1">
      <alignment horizontal="left" vertical="center" indent="1"/>
    </xf>
    <xf numFmtId="3" fontId="87" fillId="0" borderId="43" xfId="8" applyNumberFormat="1" applyFont="1" applyBorder="1" applyAlignment="1">
      <alignment horizontal="left" vertical="center" indent="1"/>
    </xf>
    <xf numFmtId="0" fontId="25" fillId="53" borderId="26" xfId="0" applyNumberFormat="1" applyFont="1" applyFill="1" applyBorder="1" applyAlignment="1" applyProtection="1">
      <alignment horizontal="center" vertical="center" wrapText="1"/>
    </xf>
    <xf numFmtId="0" fontId="160" fillId="0" borderId="0" xfId="0" applyFont="1" applyBorder="1" applyAlignment="1">
      <alignment horizontal="left" vertical="center" wrapText="1"/>
    </xf>
    <xf numFmtId="0" fontId="15" fillId="0" borderId="84" xfId="0" applyFont="1" applyBorder="1" applyAlignment="1">
      <alignment horizontal="center" vertical="center" wrapText="1"/>
    </xf>
    <xf numFmtId="0" fontId="15" fillId="0" borderId="0" xfId="0" applyFont="1" applyAlignment="1">
      <alignment horizontal="center" vertical="center" wrapText="1"/>
    </xf>
    <xf numFmtId="0" fontId="10" fillId="0" borderId="26" xfId="0" applyFont="1" applyFill="1" applyBorder="1" applyAlignment="1">
      <alignment horizontal="center" vertical="center" wrapText="1"/>
    </xf>
    <xf numFmtId="0" fontId="15" fillId="0" borderId="0" xfId="0" applyFont="1" applyBorder="1" applyAlignment="1">
      <alignment horizontal="center" wrapText="1"/>
    </xf>
    <xf numFmtId="0" fontId="15" fillId="0" borderId="39" xfId="0" applyFont="1" applyBorder="1" applyAlignment="1">
      <alignment horizontal="center" wrapText="1"/>
    </xf>
    <xf numFmtId="0" fontId="10" fillId="0" borderId="26" xfId="0" applyFont="1" applyBorder="1" applyAlignment="1">
      <alignment horizontal="center" vertical="center" wrapText="1"/>
    </xf>
    <xf numFmtId="0" fontId="25" fillId="0" borderId="47" xfId="0" applyFont="1" applyBorder="1" applyAlignment="1" applyProtection="1">
      <alignment horizontal="center" vertical="center"/>
    </xf>
    <xf numFmtId="0" fontId="25" fillId="0" borderId="84" xfId="0" applyFont="1" applyBorder="1" applyAlignment="1" applyProtection="1">
      <alignment horizontal="center" vertical="center"/>
    </xf>
    <xf numFmtId="0" fontId="25" fillId="0" borderId="13" xfId="0" applyFont="1" applyBorder="1" applyAlignment="1" applyProtection="1">
      <alignment horizontal="center" vertical="center"/>
    </xf>
    <xf numFmtId="0" fontId="15" fillId="7" borderId="71" xfId="8" applyFont="1" applyFill="1" applyBorder="1" applyAlignment="1">
      <alignment horizontal="center" vertical="center" wrapText="1"/>
    </xf>
    <xf numFmtId="0" fontId="15" fillId="7" borderId="26" xfId="8" applyFont="1" applyFill="1" applyBorder="1" applyAlignment="1">
      <alignment horizontal="center" vertical="center" wrapText="1"/>
    </xf>
    <xf numFmtId="0" fontId="15" fillId="7" borderId="99" xfId="8" applyFont="1" applyFill="1" applyBorder="1" applyAlignment="1">
      <alignment horizontal="center" vertical="center" wrapText="1"/>
    </xf>
    <xf numFmtId="0" fontId="15" fillId="7" borderId="38" xfId="8" applyFont="1" applyFill="1" applyBorder="1" applyAlignment="1">
      <alignment horizontal="center" vertical="center" wrapText="1"/>
    </xf>
    <xf numFmtId="0" fontId="15" fillId="7" borderId="46" xfId="8" applyFont="1" applyFill="1" applyBorder="1" applyAlignment="1">
      <alignment horizontal="center" vertical="center" wrapText="1"/>
    </xf>
    <xf numFmtId="0" fontId="15" fillId="0" borderId="99" xfId="0" applyFont="1" applyBorder="1" applyAlignment="1">
      <alignment horizontal="center" vertical="center" textRotation="90" wrapText="1"/>
    </xf>
    <xf numFmtId="0" fontId="15" fillId="0" borderId="71" xfId="0" applyFont="1" applyBorder="1" applyAlignment="1">
      <alignment horizontal="center" vertical="center" textRotation="90" wrapText="1"/>
    </xf>
    <xf numFmtId="9" fontId="25" fillId="4" borderId="26" xfId="12" applyNumberFormat="1" applyFont="1" applyFill="1" applyBorder="1" applyAlignment="1" applyProtection="1">
      <alignment horizontal="center" vertical="center" wrapText="1"/>
      <protection locked="0"/>
    </xf>
    <xf numFmtId="1" fontId="25" fillId="4" borderId="99" xfId="12" applyNumberFormat="1" applyFont="1" applyFill="1" applyBorder="1" applyAlignment="1" applyProtection="1">
      <alignment horizontal="center" vertical="center" wrapText="1"/>
      <protection locked="0"/>
    </xf>
    <xf numFmtId="1" fontId="25" fillId="4" borderId="27" xfId="12" applyNumberFormat="1" applyFont="1" applyFill="1" applyBorder="1" applyAlignment="1" applyProtection="1">
      <alignment horizontal="center" vertical="center" wrapText="1"/>
      <protection locked="0"/>
    </xf>
    <xf numFmtId="1" fontId="25" fillId="4" borderId="71" xfId="12" applyNumberFormat="1" applyFont="1" applyFill="1" applyBorder="1" applyAlignment="1" applyProtection="1">
      <alignment horizontal="center" vertical="center" wrapText="1"/>
      <protection locked="0"/>
    </xf>
    <xf numFmtId="0" fontId="50" fillId="0" borderId="0" xfId="12" applyFont="1" applyFill="1" applyBorder="1" applyAlignment="1" applyProtection="1">
      <alignment horizontal="left" vertical="center" wrapText="1"/>
    </xf>
    <xf numFmtId="0" fontId="50" fillId="0" borderId="43" xfId="12" applyFont="1" applyFill="1" applyBorder="1" applyAlignment="1" applyProtection="1">
      <alignment horizontal="left" vertical="center" wrapText="1"/>
    </xf>
    <xf numFmtId="167" fontId="25" fillId="4" borderId="99" xfId="12" applyNumberFormat="1" applyFont="1" applyFill="1" applyBorder="1" applyAlignment="1" applyProtection="1">
      <alignment horizontal="center" vertical="center" wrapText="1"/>
      <protection locked="0"/>
    </xf>
    <xf numFmtId="167" fontId="25" fillId="4" borderId="27" xfId="12" applyNumberFormat="1" applyFont="1" applyFill="1" applyBorder="1" applyAlignment="1" applyProtection="1">
      <alignment horizontal="center" vertical="center" wrapText="1"/>
      <protection locked="0"/>
    </xf>
    <xf numFmtId="167" fontId="25" fillId="4" borderId="71" xfId="12" applyNumberFormat="1" applyFont="1" applyFill="1" applyBorder="1" applyAlignment="1" applyProtection="1">
      <alignment horizontal="center" vertical="center" wrapText="1"/>
      <protection locked="0"/>
    </xf>
    <xf numFmtId="167" fontId="25" fillId="4" borderId="26" xfId="12" applyNumberFormat="1" applyFont="1" applyFill="1" applyBorder="1" applyAlignment="1" applyProtection="1">
      <alignment horizontal="center" vertical="center" wrapText="1"/>
      <protection locked="0"/>
    </xf>
    <xf numFmtId="0" fontId="25" fillId="4" borderId="13" xfId="12" applyFont="1" applyFill="1" applyBorder="1" applyAlignment="1" applyProtection="1">
      <alignment horizontal="left" vertical="center" wrapText="1"/>
      <protection locked="0"/>
    </xf>
    <xf numFmtId="0" fontId="25" fillId="4" borderId="39" xfId="12" applyFont="1" applyFill="1" applyBorder="1" applyAlignment="1" applyProtection="1">
      <alignment horizontal="left" vertical="center" wrapText="1"/>
      <protection locked="0"/>
    </xf>
    <xf numFmtId="0" fontId="25" fillId="4" borderId="170" xfId="12" applyFont="1" applyFill="1" applyBorder="1" applyAlignment="1" applyProtection="1">
      <alignment horizontal="left" vertical="center" wrapText="1"/>
      <protection locked="0"/>
    </xf>
    <xf numFmtId="1" fontId="15" fillId="7" borderId="26" xfId="8" applyNumberFormat="1" applyFont="1" applyFill="1" applyBorder="1" applyAlignment="1" applyProtection="1">
      <alignment horizontal="center" vertical="center"/>
    </xf>
    <xf numFmtId="0" fontId="25" fillId="4" borderId="26" xfId="12" applyFont="1" applyFill="1" applyBorder="1" applyAlignment="1" applyProtection="1">
      <alignment horizontal="center" vertical="center" wrapText="1"/>
      <protection locked="0"/>
    </xf>
    <xf numFmtId="0" fontId="25" fillId="4" borderId="26" xfId="12" applyFont="1" applyFill="1" applyBorder="1" applyAlignment="1" applyProtection="1">
      <alignment vertical="center" wrapText="1"/>
      <protection locked="0"/>
    </xf>
    <xf numFmtId="0" fontId="25" fillId="4" borderId="26" xfId="12" applyFont="1" applyFill="1" applyBorder="1" applyAlignment="1" applyProtection="1">
      <alignment horizontal="center" vertical="center"/>
      <protection locked="0"/>
    </xf>
    <xf numFmtId="3" fontId="25" fillId="4" borderId="26" xfId="82" applyNumberFormat="1" applyBorder="1" applyAlignment="1">
      <alignment horizontal="center" vertical="center"/>
      <protection locked="0"/>
    </xf>
    <xf numFmtId="3" fontId="25" fillId="4" borderId="99" xfId="82" applyNumberFormat="1" applyBorder="1" applyAlignment="1">
      <alignment horizontal="center" vertical="center"/>
      <protection locked="0"/>
    </xf>
    <xf numFmtId="4" fontId="25" fillId="0" borderId="26" xfId="82" applyNumberFormat="1" applyFill="1" applyBorder="1" applyAlignment="1" applyProtection="1">
      <alignment horizontal="center" vertical="center"/>
    </xf>
    <xf numFmtId="4" fontId="25" fillId="0" borderId="99" xfId="82" applyNumberFormat="1" applyFill="1" applyBorder="1" applyAlignment="1" applyProtection="1">
      <alignment horizontal="center" vertical="center"/>
    </xf>
    <xf numFmtId="0" fontId="15" fillId="4" borderId="26" xfId="0" applyFont="1" applyFill="1" applyBorder="1" applyAlignment="1">
      <alignment horizontal="left" vertical="center" wrapText="1"/>
    </xf>
    <xf numFmtId="0" fontId="54" fillId="0" borderId="0" xfId="4" applyFont="1" applyBorder="1" applyAlignment="1" applyProtection="1">
      <alignment horizontal="left" vertical="top" wrapText="1"/>
    </xf>
    <xf numFmtId="0" fontId="25" fillId="7" borderId="0" xfId="12" applyFont="1" applyFill="1" applyBorder="1" applyAlignment="1" applyProtection="1">
      <alignment horizontal="left" vertical="center" wrapText="1"/>
    </xf>
    <xf numFmtId="0" fontId="25" fillId="4" borderId="26" xfId="9" applyFont="1" applyFill="1" applyBorder="1" applyAlignment="1" applyProtection="1">
      <alignment horizontal="center" vertical="center" wrapText="1"/>
      <protection locked="0"/>
    </xf>
    <xf numFmtId="166" fontId="25" fillId="54" borderId="99" xfId="9" applyNumberFormat="1" applyFont="1" applyFill="1" applyBorder="1" applyAlignment="1">
      <alignment horizontal="center" vertical="center" wrapText="1"/>
    </xf>
    <xf numFmtId="166" fontId="25" fillId="54" borderId="71" xfId="9" applyNumberFormat="1" applyFont="1" applyFill="1" applyBorder="1" applyAlignment="1">
      <alignment horizontal="center" vertical="center" wrapText="1"/>
    </xf>
    <xf numFmtId="0" fontId="88" fillId="0" borderId="26" xfId="4" applyFont="1" applyFill="1" applyBorder="1" applyAlignment="1" applyProtection="1">
      <alignment horizontal="center" vertical="center" wrapText="1"/>
    </xf>
    <xf numFmtId="3" fontId="15" fillId="0" borderId="28" xfId="82" applyNumberFormat="1" applyFont="1" applyFill="1" applyBorder="1" applyAlignment="1" applyProtection="1">
      <alignment horizontal="right" vertical="center" indent="1"/>
    </xf>
    <xf numFmtId="0" fontId="25" fillId="4" borderId="26" xfId="0" applyFont="1" applyFill="1" applyBorder="1" applyAlignment="1" applyProtection="1">
      <alignment horizontal="left" vertical="top"/>
      <protection locked="0"/>
    </xf>
    <xf numFmtId="0" fontId="25" fillId="4" borderId="99" xfId="12" applyFont="1" applyFill="1" applyBorder="1" applyAlignment="1" applyProtection="1">
      <alignment horizontal="left" vertical="center" wrapText="1" indent="1"/>
      <protection locked="0"/>
    </xf>
    <xf numFmtId="0" fontId="25" fillId="4" borderId="27" xfId="12" applyFont="1" applyFill="1" applyBorder="1" applyAlignment="1" applyProtection="1">
      <alignment horizontal="left" vertical="center" wrapText="1" indent="1"/>
      <protection locked="0"/>
    </xf>
    <xf numFmtId="0" fontId="25" fillId="4" borderId="71" xfId="12" applyFont="1" applyFill="1" applyBorder="1" applyAlignment="1" applyProtection="1">
      <alignment horizontal="left" vertical="center" wrapText="1" indent="1"/>
      <protection locked="0"/>
    </xf>
    <xf numFmtId="0" fontId="15" fillId="8" borderId="26" xfId="11" applyFont="1" applyFill="1" applyBorder="1" applyAlignment="1" applyProtection="1">
      <alignment horizontal="center" vertical="center" wrapText="1"/>
    </xf>
    <xf numFmtId="2" fontId="25" fillId="21" borderId="26" xfId="12" applyNumberFormat="1" applyFont="1" applyFill="1" applyBorder="1" applyAlignment="1" applyProtection="1">
      <alignment horizontal="center" vertical="center" wrapText="1"/>
    </xf>
    <xf numFmtId="0" fontId="25" fillId="34" borderId="99" xfId="13" applyFont="1" applyFill="1" applyBorder="1" applyAlignment="1" applyProtection="1">
      <alignment horizontal="center" vertical="center" wrapText="1"/>
    </xf>
    <xf numFmtId="0" fontId="25" fillId="34" borderId="27" xfId="13" applyFont="1" applyFill="1" applyBorder="1" applyAlignment="1" applyProtection="1">
      <alignment horizontal="center" vertical="center" wrapText="1"/>
    </xf>
    <xf numFmtId="0" fontId="25" fillId="34" borderId="71" xfId="13" applyFont="1" applyFill="1" applyBorder="1" applyAlignment="1" applyProtection="1">
      <alignment horizontal="center" vertical="center" wrapText="1"/>
    </xf>
    <xf numFmtId="0" fontId="39" fillId="7" borderId="28" xfId="13" applyFont="1" applyFill="1" applyBorder="1" applyAlignment="1" applyProtection="1">
      <alignment horizontal="left" vertical="center" wrapText="1"/>
    </xf>
    <xf numFmtId="0" fontId="39" fillId="7" borderId="38" xfId="13" applyFont="1" applyFill="1" applyBorder="1" applyAlignment="1" applyProtection="1">
      <alignment horizontal="left" vertical="center" wrapText="1"/>
    </xf>
    <xf numFmtId="2" fontId="25" fillId="20" borderId="26" xfId="12" applyNumberFormat="1" applyFont="1" applyFill="1" applyBorder="1" applyAlignment="1" applyProtection="1">
      <alignment horizontal="center" vertical="center" wrapText="1"/>
    </xf>
    <xf numFmtId="2" fontId="25" fillId="0" borderId="26" xfId="12" applyNumberFormat="1" applyFont="1" applyFill="1" applyBorder="1" applyAlignment="1" applyProtection="1">
      <alignment horizontal="center" vertical="center" wrapText="1"/>
    </xf>
    <xf numFmtId="0" fontId="25" fillId="0" borderId="84" xfId="8" applyFont="1" applyBorder="1" applyAlignment="1" applyProtection="1">
      <alignment horizontal="left" vertical="center" wrapText="1"/>
    </xf>
    <xf numFmtId="0" fontId="15" fillId="0" borderId="84" xfId="12" applyFont="1" applyFill="1" applyBorder="1" applyAlignment="1" applyProtection="1">
      <alignment vertical="center" wrapText="1"/>
    </xf>
    <xf numFmtId="0" fontId="15" fillId="0" borderId="0" xfId="12" applyFont="1" applyFill="1" applyBorder="1" applyAlignment="1" applyProtection="1">
      <alignment vertical="center" wrapText="1"/>
    </xf>
    <xf numFmtId="0" fontId="25" fillId="0" borderId="84" xfId="12" applyFont="1" applyFill="1" applyBorder="1" applyAlignment="1" applyProtection="1">
      <alignment vertical="center" wrapText="1"/>
    </xf>
    <xf numFmtId="0" fontId="25" fillId="0" borderId="0" xfId="12" applyFont="1" applyFill="1" applyBorder="1" applyAlignment="1" applyProtection="1">
      <alignment vertical="center" wrapText="1"/>
    </xf>
    <xf numFmtId="0" fontId="25" fillId="0" borderId="84" xfId="12" applyFont="1" applyFill="1" applyBorder="1" applyAlignment="1" applyProtection="1">
      <alignment horizontal="left" vertical="center" wrapText="1"/>
    </xf>
    <xf numFmtId="0" fontId="15" fillId="21" borderId="26" xfId="8" applyFont="1" applyFill="1" applyBorder="1" applyAlignment="1" applyProtection="1">
      <alignment horizontal="center" vertical="center" textRotation="90" wrapText="1"/>
    </xf>
    <xf numFmtId="9" fontId="39" fillId="7" borderId="26" xfId="0" applyNumberFormat="1" applyFont="1" applyFill="1" applyBorder="1" applyAlignment="1" applyProtection="1">
      <alignment horizontal="center" vertical="center"/>
    </xf>
    <xf numFmtId="0" fontId="39" fillId="7" borderId="26" xfId="0" applyFont="1" applyFill="1" applyBorder="1" applyAlignment="1" applyProtection="1">
      <alignment horizontal="center" vertical="center" wrapText="1"/>
    </xf>
    <xf numFmtId="9" fontId="15" fillId="0" borderId="26" xfId="0" applyNumberFormat="1" applyFont="1" applyBorder="1" applyAlignment="1" applyProtection="1">
      <alignment horizontal="center" vertical="center" textRotation="90" wrapText="1"/>
    </xf>
    <xf numFmtId="9" fontId="15" fillId="20" borderId="26" xfId="0" applyNumberFormat="1" applyFont="1" applyFill="1" applyBorder="1" applyAlignment="1" applyProtection="1">
      <alignment horizontal="center" vertical="center" textRotation="90" wrapText="1"/>
    </xf>
    <xf numFmtId="9" fontId="26" fillId="7" borderId="26" xfId="12" applyNumberFormat="1" applyFont="1" applyFill="1" applyBorder="1" applyAlignment="1" applyProtection="1">
      <alignment horizontal="center" vertical="center" wrapText="1"/>
    </xf>
    <xf numFmtId="2" fontId="26" fillId="32" borderId="46" xfId="12" applyNumberFormat="1" applyFont="1" applyFill="1" applyBorder="1" applyAlignment="1" applyProtection="1">
      <alignment horizontal="center" vertical="center" wrapText="1"/>
    </xf>
    <xf numFmtId="0" fontId="108" fillId="0" borderId="26" xfId="1" applyFont="1" applyFill="1" applyBorder="1" applyAlignment="1" applyProtection="1">
      <alignment horizontal="right" vertical="center" wrapText="1" indent="1"/>
    </xf>
    <xf numFmtId="0" fontId="25" fillId="0" borderId="26" xfId="1" applyFont="1" applyFill="1" applyBorder="1" applyAlignment="1" applyProtection="1">
      <alignment horizontal="right" vertical="center" wrapText="1" indent="1"/>
    </xf>
    <xf numFmtId="0" fontId="25" fillId="0" borderId="26" xfId="8" applyFont="1" applyBorder="1" applyAlignment="1" applyProtection="1">
      <alignment horizontal="left" vertical="center" wrapText="1" indent="2"/>
    </xf>
    <xf numFmtId="0" fontId="25" fillId="0" borderId="26" xfId="8" applyFont="1" applyBorder="1" applyAlignment="1" applyProtection="1">
      <alignment horizontal="left" vertical="center" indent="2"/>
    </xf>
    <xf numFmtId="0" fontId="25" fillId="4" borderId="26" xfId="20" applyFont="1" applyFill="1" applyBorder="1" applyAlignment="1" applyProtection="1">
      <alignment horizontal="center" vertical="center" wrapText="1"/>
      <protection locked="0"/>
    </xf>
    <xf numFmtId="3" fontId="25" fillId="4" borderId="41" xfId="82" applyNumberFormat="1" applyBorder="1" applyAlignment="1">
      <alignment horizontal="center" vertical="center"/>
      <protection locked="0"/>
    </xf>
    <xf numFmtId="3" fontId="25" fillId="4" borderId="13" xfId="82" applyNumberFormat="1" applyBorder="1" applyAlignment="1">
      <alignment horizontal="center" vertical="center"/>
      <protection locked="0"/>
    </xf>
    <xf numFmtId="0" fontId="25" fillId="7" borderId="43" xfId="12" applyFont="1" applyFill="1" applyBorder="1" applyAlignment="1" applyProtection="1">
      <alignment horizontal="left" vertical="center" wrapText="1"/>
    </xf>
    <xf numFmtId="2" fontId="15" fillId="0" borderId="26" xfId="0" applyNumberFormat="1" applyFont="1" applyFill="1" applyBorder="1" applyAlignment="1" applyProtection="1">
      <alignment horizontal="center" vertical="center"/>
    </xf>
    <xf numFmtId="2" fontId="25" fillId="0" borderId="26" xfId="8" applyNumberFormat="1" applyFont="1" applyBorder="1" applyAlignment="1" applyProtection="1">
      <alignment horizontal="center" vertical="center"/>
    </xf>
    <xf numFmtId="0" fontId="26" fillId="0" borderId="26" xfId="8" applyFont="1" applyBorder="1" applyAlignment="1" applyProtection="1">
      <alignment horizontal="center" wrapText="1"/>
    </xf>
    <xf numFmtId="0" fontId="25" fillId="4" borderId="47" xfId="12" applyFont="1" applyFill="1" applyBorder="1" applyAlignment="1" applyProtection="1">
      <alignment horizontal="left" vertical="center" wrapText="1" indent="1"/>
      <protection locked="0"/>
    </xf>
    <xf numFmtId="0" fontId="25" fillId="4" borderId="28" xfId="12" applyFont="1" applyFill="1" applyBorder="1" applyAlignment="1" applyProtection="1">
      <alignment horizontal="left" vertical="center" wrapText="1" indent="1"/>
      <protection locked="0"/>
    </xf>
    <xf numFmtId="0" fontId="25" fillId="4" borderId="38" xfId="12" applyFont="1" applyFill="1" applyBorder="1" applyAlignment="1" applyProtection="1">
      <alignment horizontal="left" vertical="center" wrapText="1" indent="1"/>
      <protection locked="0"/>
    </xf>
    <xf numFmtId="0" fontId="25" fillId="0" borderId="47" xfId="13" applyFont="1" applyBorder="1" applyAlignment="1" applyProtection="1">
      <alignment horizontal="center" vertical="center" wrapText="1"/>
    </xf>
    <xf numFmtId="0" fontId="25" fillId="0" borderId="28" xfId="13" applyFont="1" applyBorder="1" applyAlignment="1" applyProtection="1">
      <alignment horizontal="center" vertical="center" wrapText="1"/>
    </xf>
    <xf numFmtId="0" fontId="25" fillId="0" borderId="38" xfId="13" applyFont="1" applyBorder="1" applyAlignment="1" applyProtection="1">
      <alignment horizontal="center" vertical="center" wrapText="1"/>
    </xf>
    <xf numFmtId="0" fontId="25" fillId="0" borderId="13" xfId="13" applyFont="1" applyBorder="1" applyAlignment="1" applyProtection="1">
      <alignment horizontal="center" vertical="center" wrapText="1"/>
    </xf>
    <xf numFmtId="0" fontId="25" fillId="0" borderId="39" xfId="13" applyFont="1" applyBorder="1" applyAlignment="1" applyProtection="1">
      <alignment horizontal="center" vertical="center" wrapText="1"/>
    </xf>
    <xf numFmtId="0" fontId="25" fillId="0" borderId="170" xfId="13" applyFont="1" applyBorder="1" applyAlignment="1" applyProtection="1">
      <alignment horizontal="center" vertical="center" wrapText="1"/>
    </xf>
    <xf numFmtId="0" fontId="25" fillId="0" borderId="26" xfId="13" applyFont="1" applyBorder="1" applyAlignment="1" applyProtection="1">
      <alignment horizontal="center" vertical="center" wrapText="1"/>
    </xf>
    <xf numFmtId="2" fontId="15" fillId="20" borderId="26" xfId="8" applyNumberFormat="1" applyFont="1" applyFill="1" applyBorder="1" applyAlignment="1" applyProtection="1">
      <alignment horizontal="center" vertical="center"/>
    </xf>
    <xf numFmtId="0" fontId="25" fillId="0" borderId="84" xfId="13" applyFont="1" applyBorder="1" applyAlignment="1" applyProtection="1">
      <alignment horizontal="center" vertical="center" wrapText="1"/>
    </xf>
    <xf numFmtId="0" fontId="25" fillId="0" borderId="0" xfId="13" applyFont="1" applyBorder="1" applyAlignment="1" applyProtection="1">
      <alignment horizontal="center" vertical="center" wrapText="1"/>
    </xf>
    <xf numFmtId="0" fontId="25" fillId="0" borderId="43" xfId="13" applyFont="1" applyBorder="1" applyAlignment="1" applyProtection="1">
      <alignment horizontal="center" vertical="center" wrapText="1"/>
    </xf>
    <xf numFmtId="0" fontId="25" fillId="7" borderId="39" xfId="12" applyFont="1" applyFill="1" applyBorder="1" applyAlignment="1" applyProtection="1">
      <alignment horizontal="left" vertical="center" wrapText="1"/>
    </xf>
    <xf numFmtId="2" fontId="25" fillId="7" borderId="26" xfId="12" applyNumberFormat="1" applyFont="1" applyFill="1" applyBorder="1" applyAlignment="1" applyProtection="1">
      <alignment horizontal="center" vertical="center" wrapText="1"/>
    </xf>
    <xf numFmtId="0" fontId="25" fillId="4" borderId="71" xfId="12" applyFont="1" applyFill="1" applyBorder="1" applyAlignment="1" applyProtection="1">
      <alignment horizontal="center" vertical="center" wrapText="1"/>
      <protection locked="0"/>
    </xf>
    <xf numFmtId="0" fontId="25" fillId="0" borderId="0" xfId="13" applyFont="1" applyBorder="1" applyAlignment="1" applyProtection="1">
      <alignment horizontal="left" vertical="center" wrapText="1"/>
    </xf>
    <xf numFmtId="2" fontId="25" fillId="7" borderId="41" xfId="12" applyNumberFormat="1" applyFont="1" applyFill="1" applyBorder="1" applyAlignment="1" applyProtection="1">
      <alignment horizontal="center" vertical="center" wrapText="1"/>
    </xf>
    <xf numFmtId="0" fontId="15" fillId="0" borderId="0" xfId="16" applyFont="1" applyBorder="1" applyAlignment="1" applyProtection="1">
      <alignment horizontal="left" vertical="center" wrapText="1" indent="1"/>
    </xf>
    <xf numFmtId="0" fontId="15" fillId="0" borderId="84" xfId="8" applyFont="1" applyBorder="1" applyAlignment="1" applyProtection="1">
      <alignment horizontal="left" vertical="center" wrapText="1"/>
    </xf>
    <xf numFmtId="0" fontId="15" fillId="0" borderId="0" xfId="8" applyFont="1" applyBorder="1" applyAlignment="1" applyProtection="1">
      <alignment horizontal="left" vertical="center"/>
    </xf>
    <xf numFmtId="0" fontId="15" fillId="0" borderId="28" xfId="8" applyFont="1" applyBorder="1" applyAlignment="1" applyProtection="1">
      <alignment horizontal="left" vertical="center"/>
    </xf>
    <xf numFmtId="0" fontId="15" fillId="0" borderId="38" xfId="8" applyFont="1" applyBorder="1" applyAlignment="1" applyProtection="1">
      <alignment horizontal="left" vertical="center"/>
    </xf>
    <xf numFmtId="2" fontId="25" fillId="20" borderId="41" xfId="0" applyNumberFormat="1" applyFont="1" applyFill="1" applyBorder="1" applyAlignment="1" applyProtection="1">
      <alignment horizontal="center" vertical="center" wrapText="1"/>
    </xf>
    <xf numFmtId="0" fontId="60" fillId="0" borderId="0" xfId="16" applyFont="1" applyBorder="1" applyAlignment="1" applyProtection="1">
      <alignment horizontal="left" vertical="center" wrapText="1" indent="1"/>
    </xf>
    <xf numFmtId="0" fontId="25" fillId="4" borderId="46" xfId="0" applyFont="1" applyFill="1" applyBorder="1" applyAlignment="1" applyProtection="1">
      <alignment horizontal="center" vertical="center" wrapText="1"/>
      <protection locked="0"/>
    </xf>
    <xf numFmtId="3" fontId="17" fillId="0" borderId="0" xfId="82" applyNumberFormat="1" applyFont="1" applyFill="1" applyBorder="1" applyAlignment="1" applyProtection="1">
      <alignment horizontal="center" vertical="center" wrapText="1"/>
    </xf>
    <xf numFmtId="0" fontId="15" fillId="0" borderId="39" xfId="0" applyFont="1" applyBorder="1" applyAlignment="1">
      <alignment horizontal="left" vertical="center" wrapText="1"/>
    </xf>
    <xf numFmtId="0" fontId="15" fillId="0" borderId="170" xfId="0" applyFont="1" applyBorder="1" applyAlignment="1">
      <alignment horizontal="left" vertical="center" wrapText="1"/>
    </xf>
    <xf numFmtId="0" fontId="61" fillId="0" borderId="46" xfId="8" applyFont="1" applyBorder="1" applyAlignment="1">
      <alignment horizontal="left" vertical="center" indent="1"/>
    </xf>
    <xf numFmtId="3" fontId="17" fillId="0" borderId="0" xfId="82" applyNumberFormat="1" applyFont="1" applyFill="1" applyBorder="1" applyAlignment="1" applyProtection="1">
      <alignment horizontal="center" vertical="center"/>
    </xf>
    <xf numFmtId="10" fontId="25" fillId="54" borderId="41" xfId="82" applyNumberFormat="1" applyFont="1" applyFill="1" applyBorder="1" applyAlignment="1" applyProtection="1">
      <alignment horizontal="center" vertical="center"/>
    </xf>
    <xf numFmtId="10" fontId="25" fillId="54" borderId="26" xfId="82" applyNumberFormat="1" applyFont="1" applyFill="1" applyBorder="1" applyAlignment="1" applyProtection="1">
      <alignment horizontal="center" vertical="center"/>
    </xf>
    <xf numFmtId="3" fontId="25" fillId="0" borderId="39" xfId="82" applyNumberFormat="1" applyFill="1" applyBorder="1" applyAlignment="1" applyProtection="1">
      <alignment horizontal="right" vertical="center" wrapText="1" indent="1"/>
    </xf>
    <xf numFmtId="3" fontId="25" fillId="0" borderId="170" xfId="82" applyNumberFormat="1" applyFill="1" applyBorder="1" applyAlignment="1" applyProtection="1">
      <alignment horizontal="right" vertical="center" wrapText="1" indent="1"/>
    </xf>
    <xf numFmtId="0" fontId="26" fillId="0" borderId="13" xfId="8" applyFont="1" applyBorder="1" applyAlignment="1">
      <alignment horizontal="left" vertical="center" wrapText="1" indent="5"/>
    </xf>
    <xf numFmtId="0" fontId="26" fillId="0" borderId="39" xfId="8" applyFont="1" applyBorder="1" applyAlignment="1">
      <alignment horizontal="left" vertical="center" wrapText="1" indent="5"/>
    </xf>
    <xf numFmtId="0" fontId="26" fillId="0" borderId="170" xfId="8" applyFont="1" applyBorder="1" applyAlignment="1">
      <alignment horizontal="left" vertical="center" wrapText="1" indent="5"/>
    </xf>
    <xf numFmtId="0" fontId="25" fillId="0" borderId="99" xfId="0" applyFont="1" applyBorder="1" applyAlignment="1" applyProtection="1">
      <alignment horizontal="center" vertical="center"/>
    </xf>
    <xf numFmtId="0" fontId="39" fillId="7" borderId="0" xfId="8" applyFont="1" applyFill="1" applyBorder="1" applyAlignment="1" applyProtection="1">
      <alignment vertical="center"/>
    </xf>
    <xf numFmtId="2" fontId="25" fillId="52" borderId="99" xfId="0" applyNumberFormat="1" applyFont="1" applyFill="1" applyBorder="1" applyAlignment="1" applyProtection="1">
      <alignment horizontal="center" vertical="center" wrapText="1"/>
    </xf>
    <xf numFmtId="2" fontId="25" fillId="52" borderId="71" xfId="0" applyNumberFormat="1" applyFont="1" applyFill="1" applyBorder="1" applyAlignment="1" applyProtection="1">
      <alignment horizontal="center" vertical="center" wrapText="1"/>
    </xf>
    <xf numFmtId="0" fontId="15" fillId="0" borderId="84" xfId="0" applyFont="1" applyBorder="1" applyAlignment="1">
      <alignment horizontal="left" vertical="center" wrapText="1"/>
    </xf>
    <xf numFmtId="0" fontId="15" fillId="0" borderId="43" xfId="0" applyFont="1" applyBorder="1" applyAlignment="1" applyProtection="1">
      <alignment horizontal="left" vertical="center" wrapText="1"/>
    </xf>
    <xf numFmtId="0" fontId="108" fillId="0" borderId="41" xfId="0" applyFont="1" applyBorder="1" applyAlignment="1" applyProtection="1">
      <alignment horizontal="right" vertical="center" indent="1"/>
    </xf>
    <xf numFmtId="0" fontId="25" fillId="0" borderId="41" xfId="0" applyFont="1" applyBorder="1" applyAlignment="1" applyProtection="1">
      <alignment horizontal="right" vertical="center" indent="1"/>
    </xf>
    <xf numFmtId="0" fontId="15" fillId="7" borderId="28" xfId="8" applyFont="1" applyFill="1" applyBorder="1" applyAlignment="1" applyProtection="1">
      <alignment horizontal="left" vertical="center" wrapText="1"/>
    </xf>
    <xf numFmtId="0" fontId="15" fillId="7" borderId="38" xfId="8" applyFont="1" applyFill="1" applyBorder="1" applyAlignment="1" applyProtection="1">
      <alignment horizontal="left" vertical="center" wrapText="1"/>
    </xf>
    <xf numFmtId="0" fontId="16" fillId="0" borderId="28" xfId="0" applyFont="1" applyBorder="1" applyAlignment="1">
      <alignment horizontal="left"/>
    </xf>
    <xf numFmtId="0" fontId="25" fillId="0" borderId="28" xfId="0" applyFont="1" applyBorder="1" applyAlignment="1" applyProtection="1">
      <alignment horizontal="left" vertical="center" wrapText="1"/>
    </xf>
    <xf numFmtId="0" fontId="39" fillId="7" borderId="47" xfId="8" applyFont="1" applyFill="1" applyBorder="1" applyAlignment="1" applyProtection="1">
      <alignment horizontal="left" vertical="center"/>
    </xf>
    <xf numFmtId="0" fontId="39" fillId="7" borderId="28" xfId="8" applyFont="1" applyFill="1" applyBorder="1" applyAlignment="1" applyProtection="1">
      <alignment horizontal="left" vertical="center"/>
    </xf>
    <xf numFmtId="0" fontId="39" fillId="7" borderId="38" xfId="8" applyFont="1" applyFill="1" applyBorder="1" applyAlignment="1" applyProtection="1">
      <alignment horizontal="left" vertical="center"/>
    </xf>
    <xf numFmtId="0" fontId="15" fillId="0" borderId="84" xfId="0" applyFont="1" applyFill="1" applyBorder="1" applyAlignment="1">
      <alignment horizontal="left" vertical="center" wrapText="1" indent="5"/>
    </xf>
    <xf numFmtId="0" fontId="15" fillId="0" borderId="0" xfId="0" applyFont="1" applyFill="1" applyBorder="1" applyAlignment="1">
      <alignment horizontal="left" vertical="center" wrapText="1" indent="5"/>
    </xf>
    <xf numFmtId="0" fontId="15" fillId="0" borderId="39" xfId="0" applyFont="1" applyFill="1" applyBorder="1" applyAlignment="1">
      <alignment horizontal="left" vertical="center" wrapText="1" indent="5"/>
    </xf>
    <xf numFmtId="0" fontId="15" fillId="0" borderId="170" xfId="0" applyFont="1" applyFill="1" applyBorder="1" applyAlignment="1">
      <alignment horizontal="left" vertical="center" wrapText="1" indent="5"/>
    </xf>
    <xf numFmtId="0" fontId="50" fillId="0" borderId="0" xfId="0" applyFont="1" applyFill="1" applyBorder="1" applyAlignment="1">
      <alignment horizontal="right" vertical="center" wrapText="1" indent="1"/>
    </xf>
    <xf numFmtId="0" fontId="50" fillId="0" borderId="39" xfId="0" applyFont="1" applyFill="1" applyBorder="1" applyAlignment="1">
      <alignment horizontal="right" vertical="center" wrapText="1" indent="1"/>
    </xf>
    <xf numFmtId="0" fontId="50" fillId="0" borderId="170" xfId="0" applyFont="1" applyFill="1" applyBorder="1" applyAlignment="1">
      <alignment horizontal="right" vertical="center" wrapText="1" indent="1"/>
    </xf>
    <xf numFmtId="0" fontId="25" fillId="0" borderId="13" xfId="9" applyFont="1" applyBorder="1" applyAlignment="1">
      <alignment horizontal="left" vertical="center" wrapText="1" indent="5"/>
    </xf>
    <xf numFmtId="0" fontId="25" fillId="0" borderId="39" xfId="9" applyFont="1" applyBorder="1" applyAlignment="1">
      <alignment horizontal="left" vertical="center" wrapText="1" indent="5"/>
    </xf>
    <xf numFmtId="0" fontId="25" fillId="0" borderId="47" xfId="0" applyFont="1" applyBorder="1" applyAlignment="1" applyProtection="1">
      <alignment horizontal="left" vertical="center" wrapText="1"/>
    </xf>
    <xf numFmtId="0" fontId="25" fillId="0" borderId="38" xfId="0" applyFont="1" applyBorder="1" applyAlignment="1" applyProtection="1">
      <alignment horizontal="left" vertical="center" wrapText="1"/>
    </xf>
    <xf numFmtId="0" fontId="25" fillId="0" borderId="26" xfId="1" applyFont="1" applyFill="1" applyBorder="1" applyAlignment="1" applyProtection="1">
      <alignment horizontal="left" vertical="center" wrapText="1" indent="1"/>
    </xf>
    <xf numFmtId="0" fontId="15" fillId="0" borderId="0" xfId="16" applyFont="1" applyBorder="1" applyAlignment="1" applyProtection="1">
      <alignment horizontal="left" vertical="center" wrapText="1"/>
    </xf>
    <xf numFmtId="0" fontId="15" fillId="0" borderId="43" xfId="16" applyFont="1" applyBorder="1" applyAlignment="1" applyProtection="1">
      <alignment horizontal="left" vertical="center" wrapText="1"/>
    </xf>
    <xf numFmtId="0" fontId="25" fillId="7" borderId="41" xfId="11" applyFont="1" applyFill="1" applyBorder="1" applyAlignment="1" applyProtection="1">
      <alignment horizontal="left" vertical="center" wrapText="1" indent="1"/>
    </xf>
    <xf numFmtId="0" fontId="25" fillId="0" borderId="13" xfId="12" applyFont="1" applyFill="1" applyBorder="1" applyAlignment="1" applyProtection="1">
      <alignment horizontal="left" vertical="center" wrapText="1" indent="4"/>
    </xf>
    <xf numFmtId="0" fontId="25" fillId="0" borderId="39" xfId="12" applyFont="1" applyFill="1" applyBorder="1" applyAlignment="1" applyProtection="1">
      <alignment horizontal="left" vertical="center" wrapText="1" indent="4"/>
    </xf>
    <xf numFmtId="0" fontId="25" fillId="4" borderId="26" xfId="12" applyFont="1" applyFill="1" applyBorder="1" applyAlignment="1" applyProtection="1">
      <alignment horizontal="left" vertical="center" wrapText="1" indent="1"/>
    </xf>
    <xf numFmtId="0" fontId="25" fillId="0" borderId="84" xfId="12" applyFont="1" applyFill="1" applyBorder="1" applyAlignment="1" applyProtection="1">
      <alignment horizontal="left" vertical="center" wrapText="1" indent="4"/>
    </xf>
    <xf numFmtId="0" fontId="25" fillId="0" borderId="0" xfId="12" applyFont="1" applyFill="1" applyBorder="1" applyAlignment="1" applyProtection="1">
      <alignment horizontal="left" vertical="center" wrapText="1" indent="4"/>
    </xf>
    <xf numFmtId="0" fontId="25" fillId="0" borderId="99" xfId="12" applyFont="1" applyFill="1" applyBorder="1" applyAlignment="1" applyProtection="1">
      <alignment horizontal="left" vertical="center" wrapText="1" indent="2"/>
    </xf>
    <xf numFmtId="0" fontId="25" fillId="0" borderId="27" xfId="12" applyFont="1" applyFill="1" applyBorder="1" applyAlignment="1" applyProtection="1">
      <alignment horizontal="left" vertical="center" wrapText="1" indent="2"/>
    </xf>
    <xf numFmtId="0" fontId="25" fillId="0" borderId="71" xfId="12" applyFont="1" applyFill="1" applyBorder="1" applyAlignment="1" applyProtection="1">
      <alignment horizontal="left" vertical="center" wrapText="1" indent="2"/>
    </xf>
    <xf numFmtId="0" fontId="25" fillId="0" borderId="47" xfId="13" applyFont="1" applyBorder="1" applyAlignment="1" applyProtection="1">
      <alignment horizontal="center" vertical="center" textRotation="90" wrapText="1"/>
    </xf>
    <xf numFmtId="0" fontId="25" fillId="0" borderId="28" xfId="13" applyFont="1" applyBorder="1" applyAlignment="1" applyProtection="1">
      <alignment horizontal="center" vertical="center" textRotation="90" wrapText="1"/>
    </xf>
    <xf numFmtId="0" fontId="25" fillId="0" borderId="38" xfId="13" applyFont="1" applyBorder="1" applyAlignment="1" applyProtection="1">
      <alignment horizontal="center" vertical="center" textRotation="90" wrapText="1"/>
    </xf>
    <xf numFmtId="0" fontId="25" fillId="0" borderId="13" xfId="13" applyFont="1" applyBorder="1" applyAlignment="1" applyProtection="1">
      <alignment horizontal="center" vertical="center" textRotation="90" wrapText="1"/>
    </xf>
    <xf numFmtId="0" fontId="25" fillId="0" borderId="39" xfId="13" applyFont="1" applyBorder="1" applyAlignment="1" applyProtection="1">
      <alignment horizontal="center" vertical="center" textRotation="90" wrapText="1"/>
    </xf>
    <xf numFmtId="0" fontId="25" fillId="0" borderId="170" xfId="13" applyFont="1" applyBorder="1" applyAlignment="1" applyProtection="1">
      <alignment horizontal="center" vertical="center" textRotation="90" wrapText="1"/>
    </xf>
    <xf numFmtId="0" fontId="25" fillId="0" borderId="26" xfId="8" applyFont="1" applyFill="1" applyBorder="1" applyAlignment="1" applyProtection="1">
      <alignment horizontal="center" vertical="center" textRotation="90" wrapText="1"/>
    </xf>
    <xf numFmtId="0" fontId="25" fillId="8" borderId="41" xfId="12" applyFont="1" applyFill="1" applyBorder="1" applyAlignment="1" applyProtection="1">
      <alignment horizontal="left" vertical="center" wrapText="1" indent="1"/>
    </xf>
    <xf numFmtId="0" fontId="108" fillId="0" borderId="41" xfId="20" applyFont="1" applyFill="1" applyBorder="1" applyAlignment="1" applyProtection="1">
      <alignment horizontal="right" vertical="center" wrapText="1" indent="1"/>
    </xf>
    <xf numFmtId="0" fontId="25" fillId="0" borderId="41" xfId="20" applyFont="1" applyFill="1" applyBorder="1" applyAlignment="1" applyProtection="1">
      <alignment horizontal="right" vertical="center" wrapText="1" indent="1"/>
    </xf>
    <xf numFmtId="0" fontId="25" fillId="0" borderId="26" xfId="13" applyFont="1" applyBorder="1" applyAlignment="1" applyProtection="1">
      <alignment horizontal="center" vertical="center" textRotation="90" wrapText="1"/>
    </xf>
    <xf numFmtId="0" fontId="25" fillId="34" borderId="26" xfId="13" applyFont="1" applyFill="1" applyBorder="1" applyAlignment="1" applyProtection="1">
      <alignment horizontal="center" vertical="center" wrapText="1"/>
    </xf>
    <xf numFmtId="0" fontId="25" fillId="4" borderId="99" xfId="12" applyFont="1" applyFill="1" applyBorder="1" applyAlignment="1" applyProtection="1">
      <alignment horizontal="left" vertical="center" wrapText="1"/>
      <protection locked="0"/>
    </xf>
    <xf numFmtId="0" fontId="25" fillId="4" borderId="27" xfId="12" applyFont="1" applyFill="1" applyBorder="1" applyAlignment="1" applyProtection="1">
      <alignment horizontal="left" vertical="center" wrapText="1"/>
      <protection locked="0"/>
    </xf>
    <xf numFmtId="0" fontId="25" fillId="4" borderId="71" xfId="12" applyFont="1" applyFill="1" applyBorder="1" applyAlignment="1" applyProtection="1">
      <alignment horizontal="left" vertical="center" wrapText="1"/>
      <protection locked="0"/>
    </xf>
    <xf numFmtId="0" fontId="15" fillId="0" borderId="84" xfId="0" applyFont="1" applyBorder="1" applyAlignment="1" applyProtection="1">
      <alignment horizontal="right" vertical="center" wrapText="1" indent="1"/>
    </xf>
    <xf numFmtId="0" fontId="15" fillId="0" borderId="0" xfId="0" applyFont="1" applyBorder="1" applyAlignment="1" applyProtection="1">
      <alignment horizontal="right" vertical="center" wrapText="1" indent="1"/>
    </xf>
    <xf numFmtId="0" fontId="15" fillId="0" borderId="43" xfId="0" applyFont="1" applyBorder="1" applyAlignment="1" applyProtection="1">
      <alignment horizontal="right" vertical="center" wrapText="1" indent="1"/>
    </xf>
    <xf numFmtId="0" fontId="25" fillId="0" borderId="39" xfId="0" applyFont="1" applyBorder="1" applyAlignment="1" applyProtection="1">
      <alignment horizontal="left" vertical="center"/>
    </xf>
    <xf numFmtId="0" fontId="25" fillId="0" borderId="170" xfId="0" applyFont="1" applyBorder="1" applyAlignment="1" applyProtection="1">
      <alignment horizontal="left" vertical="center"/>
    </xf>
    <xf numFmtId="0" fontId="25" fillId="4" borderId="99" xfId="0" applyFont="1" applyFill="1" applyBorder="1" applyAlignment="1" applyProtection="1">
      <alignment horizontal="left" vertical="top"/>
      <protection locked="0"/>
    </xf>
    <xf numFmtId="0" fontId="25" fillId="4" borderId="27" xfId="0" applyFont="1" applyFill="1" applyBorder="1" applyAlignment="1" applyProtection="1">
      <alignment horizontal="left" vertical="top"/>
      <protection locked="0"/>
    </xf>
    <xf numFmtId="0" fontId="25" fillId="4" borderId="71" xfId="0" applyFont="1" applyFill="1" applyBorder="1" applyAlignment="1" applyProtection="1">
      <alignment horizontal="left" vertical="top"/>
      <protection locked="0"/>
    </xf>
    <xf numFmtId="2" fontId="25" fillId="20" borderId="71" xfId="0" applyNumberFormat="1" applyFont="1" applyFill="1" applyBorder="1" applyAlignment="1" applyProtection="1">
      <alignment horizontal="center" vertical="center" wrapText="1"/>
    </xf>
    <xf numFmtId="0" fontId="159" fillId="0" borderId="0" xfId="0" applyFont="1" applyBorder="1" applyAlignment="1">
      <alignment horizontal="left" vertical="center"/>
    </xf>
    <xf numFmtId="0" fontId="159" fillId="0" borderId="43" xfId="0" applyFont="1" applyBorder="1" applyAlignment="1">
      <alignment horizontal="left" vertical="center"/>
    </xf>
    <xf numFmtId="0" fontId="25" fillId="4" borderId="26" xfId="0" applyFont="1" applyFill="1" applyBorder="1" applyAlignment="1" applyProtection="1">
      <alignment horizontal="left" vertical="center" wrapText="1" indent="1"/>
    </xf>
    <xf numFmtId="3" fontId="61" fillId="0" borderId="26" xfId="82" applyNumberFormat="1" applyFont="1" applyFill="1" applyBorder="1" applyAlignment="1" applyProtection="1">
      <alignment horizontal="right" vertical="center" indent="1"/>
    </xf>
    <xf numFmtId="0" fontId="25" fillId="4" borderId="71" xfId="1" applyFont="1" applyFill="1" applyBorder="1" applyAlignment="1" applyProtection="1">
      <alignment horizontal="center" vertical="center" wrapText="1"/>
      <protection locked="0"/>
    </xf>
    <xf numFmtId="0" fontId="25" fillId="0" borderId="39" xfId="8" applyFont="1" applyBorder="1" applyAlignment="1" applyProtection="1">
      <alignment horizontal="left" vertical="center" wrapText="1"/>
    </xf>
    <xf numFmtId="0" fontId="25" fillId="0" borderId="170" xfId="8" applyFont="1" applyBorder="1" applyAlignment="1" applyProtection="1">
      <alignment horizontal="left" vertical="center" wrapText="1"/>
    </xf>
    <xf numFmtId="0" fontId="15" fillId="0" borderId="28" xfId="0" applyFont="1" applyBorder="1" applyAlignment="1">
      <alignment horizontal="center" wrapText="1"/>
    </xf>
    <xf numFmtId="0" fontId="15" fillId="7" borderId="0" xfId="0" applyNumberFormat="1" applyFont="1" applyFill="1" applyBorder="1" applyAlignment="1">
      <alignment horizontal="center" wrapText="1"/>
    </xf>
    <xf numFmtId="0" fontId="15" fillId="7" borderId="43" xfId="0" applyNumberFormat="1" applyFont="1" applyFill="1" applyBorder="1" applyAlignment="1">
      <alignment horizontal="center" wrapText="1"/>
    </xf>
    <xf numFmtId="0" fontId="15" fillId="7" borderId="39" xfId="0" applyNumberFormat="1" applyFont="1" applyFill="1" applyBorder="1" applyAlignment="1">
      <alignment horizontal="center" wrapText="1"/>
    </xf>
    <xf numFmtId="0" fontId="15" fillId="7" borderId="170" xfId="0" applyNumberFormat="1" applyFont="1" applyFill="1" applyBorder="1" applyAlignment="1">
      <alignment horizontal="center" wrapText="1"/>
    </xf>
    <xf numFmtId="2" fontId="26" fillId="32" borderId="99" xfId="0" applyNumberFormat="1" applyFont="1" applyFill="1" applyBorder="1" applyAlignment="1" applyProtection="1">
      <alignment horizontal="center" vertical="center" wrapText="1"/>
    </xf>
    <xf numFmtId="2" fontId="26" fillId="32" borderId="71" xfId="0" applyNumberFormat="1" applyFont="1" applyFill="1" applyBorder="1" applyAlignment="1" applyProtection="1">
      <alignment horizontal="center" vertical="center" wrapText="1"/>
    </xf>
    <xf numFmtId="0" fontId="160" fillId="0" borderId="39" xfId="0" applyFont="1" applyBorder="1" applyAlignment="1">
      <alignment horizontal="left" vertical="center"/>
    </xf>
    <xf numFmtId="0" fontId="160" fillId="0" borderId="170" xfId="0" applyFont="1" applyBorder="1" applyAlignment="1">
      <alignment horizontal="left" vertical="center"/>
    </xf>
    <xf numFmtId="0" fontId="15" fillId="53" borderId="99" xfId="0" applyNumberFormat="1" applyFont="1" applyFill="1" applyBorder="1" applyAlignment="1">
      <alignment horizontal="center" vertical="center" wrapText="1"/>
    </xf>
    <xf numFmtId="0" fontId="15" fillId="53" borderId="71" xfId="0" applyNumberFormat="1" applyFont="1" applyFill="1" applyBorder="1" applyAlignment="1">
      <alignment horizontal="center" vertical="center" wrapText="1"/>
    </xf>
    <xf numFmtId="0" fontId="25" fillId="0" borderId="0" xfId="0" applyFont="1" applyBorder="1" applyAlignment="1" applyProtection="1">
      <alignment horizontal="left" vertical="center" indent="3"/>
    </xf>
    <xf numFmtId="0" fontId="11" fillId="0" borderId="0" xfId="4" applyBorder="1" applyAlignment="1" applyProtection="1">
      <alignment horizontal="left" vertical="center"/>
    </xf>
    <xf numFmtId="0" fontId="26" fillId="0" borderId="0" xfId="0" applyFont="1" applyBorder="1" applyAlignment="1" applyProtection="1">
      <alignment vertical="center"/>
    </xf>
    <xf numFmtId="10" fontId="25" fillId="4" borderId="99" xfId="0" applyNumberFormat="1" applyFont="1" applyFill="1" applyBorder="1" applyAlignment="1" applyProtection="1">
      <alignment horizontal="center" vertical="center"/>
      <protection locked="0"/>
    </xf>
    <xf numFmtId="10" fontId="25" fillId="4" borderId="71" xfId="0" applyNumberFormat="1" applyFont="1" applyFill="1" applyBorder="1" applyAlignment="1" applyProtection="1">
      <alignment horizontal="center" vertical="center"/>
      <protection locked="0"/>
    </xf>
    <xf numFmtId="0" fontId="160" fillId="0" borderId="0" xfId="0" applyFont="1" applyBorder="1" applyAlignment="1">
      <alignment horizontal="left" vertical="center"/>
    </xf>
    <xf numFmtId="0" fontId="25" fillId="0" borderId="43" xfId="0" applyFont="1" applyBorder="1" applyAlignment="1" applyProtection="1">
      <alignment horizontal="left" vertical="center" indent="3"/>
    </xf>
    <xf numFmtId="0" fontId="35" fillId="0" borderId="0" xfId="8" applyFont="1" applyBorder="1" applyAlignment="1" applyProtection="1">
      <alignment horizontal="left" vertical="center"/>
    </xf>
    <xf numFmtId="0" fontId="25" fillId="0" borderId="43" xfId="12" applyFont="1" applyFill="1" applyBorder="1" applyAlignment="1" applyProtection="1">
      <alignment vertical="center" wrapText="1"/>
    </xf>
    <xf numFmtId="0" fontId="25" fillId="7" borderId="84" xfId="8" applyFont="1" applyFill="1" applyBorder="1" applyAlignment="1" applyProtection="1">
      <alignment horizontal="left" vertical="center" wrapText="1"/>
    </xf>
    <xf numFmtId="0" fontId="15" fillId="7" borderId="0" xfId="8" applyFont="1" applyFill="1" applyBorder="1" applyAlignment="1" applyProtection="1">
      <alignment horizontal="left" vertical="center" wrapText="1"/>
    </xf>
    <xf numFmtId="0" fontId="15" fillId="7" borderId="43" xfId="8" applyFont="1" applyFill="1" applyBorder="1" applyAlignment="1" applyProtection="1">
      <alignment horizontal="left" vertical="center" wrapText="1"/>
    </xf>
    <xf numFmtId="0" fontId="25" fillId="7" borderId="0" xfId="0" applyFont="1" applyFill="1" applyAlignment="1" applyProtection="1">
      <alignment horizontal="left" vertical="center" wrapText="1"/>
    </xf>
    <xf numFmtId="0" fontId="25" fillId="7" borderId="0" xfId="0" applyFont="1" applyFill="1" applyAlignment="1" applyProtection="1">
      <alignment horizontal="left" vertical="center"/>
    </xf>
    <xf numFmtId="0" fontId="25" fillId="7" borderId="43" xfId="0" applyFont="1" applyFill="1" applyBorder="1" applyAlignment="1" applyProtection="1">
      <alignment horizontal="left" vertical="center"/>
    </xf>
    <xf numFmtId="0" fontId="25" fillId="7" borderId="43" xfId="0" applyFont="1" applyFill="1" applyBorder="1" applyAlignment="1" applyProtection="1">
      <alignment horizontal="left" vertical="center" wrapText="1"/>
    </xf>
    <xf numFmtId="0" fontId="25" fillId="0" borderId="26" xfId="12" applyFont="1" applyFill="1" applyBorder="1" applyAlignment="1" applyProtection="1">
      <alignment horizontal="center" vertical="center" wrapText="1"/>
      <protection locked="0"/>
    </xf>
    <xf numFmtId="0" fontId="25" fillId="7" borderId="0" xfId="8" applyFont="1" applyFill="1" applyBorder="1" applyAlignment="1" applyProtection="1">
      <alignment horizontal="right" vertical="center" indent="1"/>
    </xf>
    <xf numFmtId="0" fontId="25" fillId="7" borderId="43" xfId="8" applyFont="1" applyFill="1" applyBorder="1" applyAlignment="1" applyProtection="1">
      <alignment horizontal="right" vertical="center" indent="1"/>
    </xf>
    <xf numFmtId="0" fontId="25" fillId="0" borderId="26" xfId="12" applyFont="1" applyFill="1" applyBorder="1" applyAlignment="1" applyProtection="1">
      <alignment horizontal="left" vertical="center" wrapText="1" indent="1"/>
    </xf>
    <xf numFmtId="0" fontId="15" fillId="0" borderId="0" xfId="0" applyFont="1" applyBorder="1" applyAlignment="1">
      <alignment vertical="center" wrapText="1"/>
    </xf>
    <xf numFmtId="0" fontId="25" fillId="0" borderId="0" xfId="0" applyFont="1" applyBorder="1" applyAlignment="1" applyProtection="1">
      <alignment horizontal="left" vertical="center" wrapText="1" indent="3"/>
    </xf>
    <xf numFmtId="0" fontId="39" fillId="0" borderId="28" xfId="0" applyFont="1" applyBorder="1" applyAlignment="1">
      <alignment horizontal="left" vertical="center"/>
    </xf>
    <xf numFmtId="2" fontId="26" fillId="32" borderId="26" xfId="0" applyNumberFormat="1" applyFont="1" applyFill="1" applyBorder="1" applyAlignment="1" applyProtection="1">
      <alignment horizontal="center" vertical="center" wrapText="1"/>
    </xf>
    <xf numFmtId="0" fontId="41" fillId="0" borderId="0" xfId="0" applyFont="1" applyBorder="1" applyAlignment="1">
      <alignment horizontal="left" vertical="center" wrapText="1"/>
    </xf>
    <xf numFmtId="0" fontId="41" fillId="0" borderId="28" xfId="0" applyFont="1" applyBorder="1" applyAlignment="1">
      <alignment horizontal="left" vertical="center" wrapText="1"/>
    </xf>
    <xf numFmtId="0" fontId="25" fillId="0" borderId="47" xfId="12" applyFont="1" applyFill="1" applyBorder="1" applyAlignment="1" applyProtection="1">
      <alignment horizontal="center" vertical="center" wrapText="1"/>
    </xf>
    <xf numFmtId="0" fontId="25" fillId="0" borderId="28" xfId="12" applyFont="1" applyFill="1" applyBorder="1" applyAlignment="1" applyProtection="1">
      <alignment horizontal="center" vertical="center" wrapText="1"/>
    </xf>
    <xf numFmtId="0" fontId="25" fillId="0" borderId="47" xfId="0" applyFont="1" applyBorder="1" applyAlignment="1" applyProtection="1">
      <alignment horizontal="left" vertical="center" indent="1"/>
    </xf>
    <xf numFmtId="0" fontId="25" fillId="0" borderId="28" xfId="0" applyFont="1" applyBorder="1" applyAlignment="1" applyProtection="1">
      <alignment horizontal="left" vertical="center" indent="1"/>
    </xf>
    <xf numFmtId="0" fontId="25" fillId="0" borderId="38" xfId="0" applyFont="1" applyBorder="1" applyAlignment="1" applyProtection="1">
      <alignment horizontal="left" vertical="center" indent="1"/>
    </xf>
    <xf numFmtId="0" fontId="25" fillId="4" borderId="99" xfId="0" applyFont="1" applyFill="1" applyBorder="1" applyAlignment="1" applyProtection="1">
      <alignment horizontal="left" vertical="center" wrapText="1"/>
    </xf>
    <xf numFmtId="0" fontId="25" fillId="4" borderId="27" xfId="0" applyFont="1" applyFill="1" applyBorder="1" applyAlignment="1" applyProtection="1">
      <alignment horizontal="left" vertical="center" wrapText="1"/>
    </xf>
    <xf numFmtId="0" fontId="25" fillId="4" borderId="71" xfId="0" applyFont="1" applyFill="1" applyBorder="1" applyAlignment="1" applyProtection="1">
      <alignment horizontal="left" vertical="center" wrapText="1"/>
    </xf>
    <xf numFmtId="0" fontId="108" fillId="0" borderId="26" xfId="20" applyFont="1" applyFill="1" applyBorder="1" applyAlignment="1" applyProtection="1">
      <alignment horizontal="center" vertical="center" wrapText="1"/>
    </xf>
    <xf numFmtId="10" fontId="26" fillId="54" borderId="0" xfId="82" applyNumberFormat="1" applyFont="1" applyFill="1" applyBorder="1" applyAlignment="1" applyProtection="1">
      <alignment horizontal="center" vertical="center"/>
    </xf>
    <xf numFmtId="0" fontId="15" fillId="4" borderId="99" xfId="12" applyFont="1" applyFill="1" applyBorder="1" applyAlignment="1" applyProtection="1">
      <alignment horizontal="left" vertical="center" wrapText="1" indent="1"/>
    </xf>
    <xf numFmtId="0" fontId="15" fillId="4" borderId="27" xfId="12" applyFont="1" applyFill="1" applyBorder="1" applyAlignment="1" applyProtection="1">
      <alignment horizontal="left" vertical="center" wrapText="1" indent="1"/>
    </xf>
    <xf numFmtId="0" fontId="15" fillId="4" borderId="71" xfId="12" applyFont="1" applyFill="1" applyBorder="1" applyAlignment="1" applyProtection="1">
      <alignment horizontal="left" vertical="center" wrapText="1" indent="1"/>
    </xf>
    <xf numFmtId="0" fontId="15" fillId="0" borderId="47" xfId="12" applyFont="1" applyFill="1" applyBorder="1" applyAlignment="1" applyProtection="1">
      <alignment horizontal="left" vertical="center" wrapText="1"/>
    </xf>
    <xf numFmtId="0" fontId="15" fillId="0" borderId="28" xfId="12" applyFont="1" applyFill="1" applyBorder="1" applyAlignment="1" applyProtection="1">
      <alignment horizontal="left" vertical="center" wrapText="1"/>
    </xf>
    <xf numFmtId="0" fontId="15" fillId="0" borderId="38" xfId="12" applyFont="1" applyFill="1" applyBorder="1" applyAlignment="1" applyProtection="1">
      <alignment horizontal="left" vertical="center" wrapText="1"/>
    </xf>
    <xf numFmtId="0" fontId="55" fillId="0" borderId="0" xfId="0" applyFont="1" applyBorder="1" applyAlignment="1">
      <alignment horizontal="left" vertical="center" wrapText="1"/>
    </xf>
    <xf numFmtId="0" fontId="40" fillId="0" borderId="28" xfId="0" applyFont="1" applyBorder="1" applyAlignment="1">
      <alignment horizontal="left" vertical="center"/>
    </xf>
    <xf numFmtId="0" fontId="40" fillId="0" borderId="38" xfId="0" applyFont="1" applyBorder="1" applyAlignment="1">
      <alignment horizontal="left" vertical="center"/>
    </xf>
    <xf numFmtId="0" fontId="40" fillId="0" borderId="0" xfId="0" applyFont="1" applyBorder="1" applyAlignment="1">
      <alignment horizontal="left" vertical="center"/>
    </xf>
    <xf numFmtId="0" fontId="40" fillId="0" borderId="43" xfId="0" applyFont="1" applyBorder="1" applyAlignment="1">
      <alignment horizontal="left" vertical="center"/>
    </xf>
    <xf numFmtId="0" fontId="55" fillId="0" borderId="0" xfId="0" applyFont="1" applyAlignment="1">
      <alignment horizontal="left" vertical="center"/>
    </xf>
    <xf numFmtId="3" fontId="25" fillId="0" borderId="26" xfId="12" applyNumberFormat="1" applyFont="1" applyFill="1" applyBorder="1" applyAlignment="1" applyProtection="1">
      <alignment horizontal="center" vertical="center" wrapText="1"/>
    </xf>
    <xf numFmtId="0" fontId="15" fillId="0" borderId="0" xfId="0" applyFont="1" applyFill="1" applyBorder="1" applyAlignment="1">
      <alignment horizontal="left" vertical="center" wrapText="1"/>
    </xf>
    <xf numFmtId="0" fontId="25" fillId="0" borderId="0" xfId="8" applyFont="1" applyBorder="1" applyAlignment="1" applyProtection="1">
      <alignment vertical="center" wrapText="1"/>
    </xf>
    <xf numFmtId="0" fontId="88" fillId="0" borderId="0" xfId="4" applyFont="1" applyBorder="1" applyAlignment="1" applyProtection="1">
      <alignment horizontal="left" vertical="center"/>
    </xf>
    <xf numFmtId="2" fontId="25" fillId="20" borderId="46" xfId="0" applyNumberFormat="1" applyFont="1" applyFill="1" applyBorder="1" applyAlignment="1" applyProtection="1">
      <alignment horizontal="center" vertical="center" wrapText="1"/>
    </xf>
    <xf numFmtId="0" fontId="25" fillId="4" borderId="26" xfId="8" applyFont="1" applyFill="1" applyBorder="1" applyAlignment="1" applyProtection="1">
      <alignment horizontal="left" vertical="center" wrapText="1"/>
      <protection locked="0"/>
    </xf>
    <xf numFmtId="0" fontId="25" fillId="8" borderId="99" xfId="12" applyFont="1" applyFill="1" applyBorder="1" applyAlignment="1" applyProtection="1">
      <alignment horizontal="left" vertical="center" wrapText="1" indent="1"/>
    </xf>
    <xf numFmtId="0" fontId="25" fillId="8" borderId="27" xfId="12" applyFont="1" applyFill="1" applyBorder="1" applyAlignment="1" applyProtection="1">
      <alignment horizontal="left" vertical="center" wrapText="1" indent="1"/>
    </xf>
    <xf numFmtId="0" fontId="25" fillId="8" borderId="71" xfId="12" applyFont="1" applyFill="1" applyBorder="1" applyAlignment="1" applyProtection="1">
      <alignment horizontal="left" vertical="center" wrapText="1" indent="1"/>
    </xf>
    <xf numFmtId="0" fontId="15" fillId="7" borderId="39" xfId="8" applyFont="1" applyFill="1" applyBorder="1" applyAlignment="1" applyProtection="1">
      <alignment horizontal="left" vertical="center" wrapText="1"/>
    </xf>
    <xf numFmtId="0" fontId="15" fillId="7" borderId="170" xfId="8" applyFont="1" applyFill="1" applyBorder="1" applyAlignment="1" applyProtection="1">
      <alignment horizontal="left" vertical="center" wrapText="1"/>
    </xf>
    <xf numFmtId="0" fontId="39" fillId="0" borderId="0" xfId="12" applyFont="1" applyFill="1" applyBorder="1" applyAlignment="1" applyProtection="1">
      <alignment horizontal="left" vertical="center" wrapText="1"/>
    </xf>
    <xf numFmtId="2" fontId="15" fillId="20" borderId="71" xfId="8" applyNumberFormat="1" applyFont="1" applyFill="1" applyBorder="1" applyAlignment="1" applyProtection="1">
      <alignment horizontal="center" vertical="center"/>
    </xf>
    <xf numFmtId="4" fontId="26" fillId="4" borderId="26" xfId="44" applyNumberFormat="1" applyFont="1" applyFill="1" applyBorder="1" applyAlignment="1" applyProtection="1">
      <alignment horizontal="center" vertical="center" wrapText="1"/>
      <protection locked="0"/>
    </xf>
    <xf numFmtId="4" fontId="26" fillId="7" borderId="26" xfId="44" applyNumberFormat="1" applyFont="1" applyFill="1" applyBorder="1" applyAlignment="1" applyProtection="1">
      <alignment horizontal="center" vertical="center"/>
    </xf>
    <xf numFmtId="167" fontId="26" fillId="7" borderId="26" xfId="44" applyNumberFormat="1" applyFont="1" applyFill="1" applyBorder="1" applyAlignment="1" applyProtection="1">
      <alignment horizontal="center" vertical="center"/>
    </xf>
    <xf numFmtId="1" fontId="25" fillId="0" borderId="26" xfId="44" applyNumberFormat="1" applyFont="1" applyBorder="1" applyAlignment="1" applyProtection="1">
      <alignment horizontal="center" vertical="center"/>
    </xf>
    <xf numFmtId="0" fontId="25" fillId="4" borderId="26" xfId="44" applyFont="1" applyFill="1" applyBorder="1" applyAlignment="1" applyProtection="1">
      <alignment horizontal="center" vertical="center" wrapText="1"/>
      <protection locked="0"/>
    </xf>
    <xf numFmtId="0" fontId="25" fillId="4" borderId="26" xfId="44" applyFont="1" applyFill="1" applyBorder="1" applyAlignment="1" applyProtection="1">
      <alignment horizontal="left" vertical="top" wrapText="1"/>
      <protection locked="0"/>
    </xf>
    <xf numFmtId="0" fontId="25" fillId="4" borderId="99" xfId="44" applyFont="1" applyFill="1" applyBorder="1" applyAlignment="1" applyProtection="1">
      <alignment horizontal="left" vertical="center" wrapText="1" indent="1"/>
      <protection locked="0"/>
    </xf>
    <xf numFmtId="0" fontId="25" fillId="4" borderId="27" xfId="44" applyFont="1" applyFill="1" applyBorder="1" applyAlignment="1" applyProtection="1">
      <alignment horizontal="left" vertical="center" wrapText="1" indent="1"/>
      <protection locked="0"/>
    </xf>
    <xf numFmtId="0" fontId="25" fillId="4" borderId="71" xfId="44" applyFont="1" applyFill="1" applyBorder="1" applyAlignment="1" applyProtection="1">
      <alignment horizontal="left" vertical="center" wrapText="1" indent="1"/>
      <protection locked="0"/>
    </xf>
    <xf numFmtId="0" fontId="25" fillId="0" borderId="26" xfId="44" applyFont="1" applyBorder="1" applyAlignment="1" applyProtection="1">
      <alignment horizontal="center" vertical="center"/>
    </xf>
    <xf numFmtId="0" fontId="35" fillId="2" borderId="0" xfId="44" applyFont="1" applyFill="1" applyBorder="1" applyAlignment="1" applyProtection="1">
      <alignment horizontal="center" wrapText="1"/>
    </xf>
    <xf numFmtId="0" fontId="51" fillId="4" borderId="26" xfId="45" applyFont="1" applyFill="1" applyBorder="1" applyAlignment="1" applyProtection="1">
      <alignment horizontal="left" vertical="top" wrapText="1" shrinkToFit="1"/>
      <protection locked="0"/>
    </xf>
    <xf numFmtId="0" fontId="25" fillId="4" borderId="26" xfId="45" applyFill="1" applyBorder="1" applyAlignment="1" applyProtection="1">
      <alignment horizontal="left" vertical="top" wrapText="1" shrinkToFit="1"/>
      <protection locked="0"/>
    </xf>
    <xf numFmtId="14" fontId="14" fillId="7" borderId="26" xfId="44" applyNumberFormat="1" applyFont="1" applyFill="1" applyBorder="1" applyAlignment="1" applyProtection="1">
      <alignment horizontal="center" vertical="center" wrapText="1" shrinkToFit="1"/>
    </xf>
    <xf numFmtId="14" fontId="14" fillId="7" borderId="99" xfId="44" applyNumberFormat="1" applyFont="1" applyFill="1" applyBorder="1" applyAlignment="1" applyProtection="1">
      <alignment horizontal="center" vertical="center" wrapText="1" shrinkToFit="1"/>
    </xf>
    <xf numFmtId="14" fontId="14" fillId="7" borderId="27" xfId="44" applyNumberFormat="1" applyFont="1" applyFill="1" applyBorder="1" applyAlignment="1" applyProtection="1">
      <alignment horizontal="center" vertical="center" wrapText="1" shrinkToFit="1"/>
    </xf>
    <xf numFmtId="14" fontId="14" fillId="7" borderId="71" xfId="44" applyNumberFormat="1" applyFont="1" applyFill="1" applyBorder="1" applyAlignment="1" applyProtection="1">
      <alignment horizontal="center" vertical="center" wrapText="1" shrinkToFit="1"/>
    </xf>
    <xf numFmtId="0" fontId="25" fillId="0" borderId="26" xfId="45" applyFill="1" applyBorder="1" applyAlignment="1" applyProtection="1">
      <alignment horizontal="left" vertical="center" wrapText="1" indent="1" shrinkToFit="1"/>
    </xf>
    <xf numFmtId="0" fontId="25" fillId="4" borderId="26" xfId="46" applyBorder="1" applyAlignment="1" applyProtection="1">
      <alignment horizontal="left" vertical="center" wrapText="1" shrinkToFit="1"/>
      <protection locked="0"/>
    </xf>
    <xf numFmtId="0" fontId="25" fillId="0" borderId="26" xfId="45" applyFill="1" applyBorder="1" applyAlignment="1" applyProtection="1">
      <alignment horizontal="right" vertical="center" wrapText="1" shrinkToFit="1"/>
    </xf>
    <xf numFmtId="0" fontId="34" fillId="4" borderId="26" xfId="47" applyFont="1" applyFill="1" applyBorder="1" applyAlignment="1" applyProtection="1">
      <alignment horizontal="left" vertical="center" wrapText="1" shrinkToFit="1"/>
      <protection locked="0"/>
    </xf>
    <xf numFmtId="0" fontId="25" fillId="4" borderId="26" xfId="45" applyFill="1" applyBorder="1" applyAlignment="1" applyProtection="1">
      <alignment horizontal="center" vertical="center" wrapText="1" shrinkToFit="1"/>
      <protection locked="0"/>
    </xf>
    <xf numFmtId="0" fontId="14" fillId="0" borderId="0" xfId="44" applyFont="1" applyFill="1" applyBorder="1" applyAlignment="1" applyProtection="1">
      <alignment horizontal="center" vertical="center" wrapText="1"/>
    </xf>
    <xf numFmtId="0" fontId="25" fillId="0" borderId="26" xfId="45" applyFill="1" applyBorder="1" applyAlignment="1" applyProtection="1">
      <alignment horizontal="center" vertical="center" wrapText="1" shrinkToFit="1"/>
    </xf>
    <xf numFmtId="0" fontId="25" fillId="4" borderId="26" xfId="46" applyBorder="1" applyAlignment="1" applyProtection="1">
      <alignment horizontal="left" vertical="center" wrapText="1" indent="1" shrinkToFit="1"/>
      <protection locked="0"/>
    </xf>
    <xf numFmtId="0" fontId="25" fillId="7" borderId="26" xfId="46" applyFill="1" applyBorder="1" applyAlignment="1" applyProtection="1">
      <alignment horizontal="right" vertical="center" wrapText="1" shrinkToFit="1"/>
    </xf>
    <xf numFmtId="167" fontId="25" fillId="4" borderId="26" xfId="44" applyNumberFormat="1" applyFont="1" applyFill="1" applyBorder="1" applyAlignment="1" applyProtection="1">
      <alignment horizontal="center" vertical="center" wrapText="1" shrinkToFit="1"/>
      <protection locked="0"/>
    </xf>
    <xf numFmtId="0" fontId="25" fillId="0" borderId="26" xfId="46" applyFill="1" applyBorder="1" applyAlignment="1" applyProtection="1">
      <alignment horizontal="right" vertical="center" wrapText="1" shrinkToFit="1"/>
    </xf>
  </cellXfs>
  <cellStyles count="187">
    <cellStyle name="01 #" xfId="82" xr:uid="{796D0BF2-728D-4082-B5F0-AB92AC45D523}"/>
    <cellStyle name="01 # 2" xfId="84" xr:uid="{9F4B256E-9758-4F2B-9646-2D569994D1E5}"/>
    <cellStyle name="01 #_Dropdowns" xfId="83" xr:uid="{55164634-2B64-4F97-9F12-C6EF07598133}"/>
    <cellStyle name="01 $" xfId="85" xr:uid="{E2DC7910-4671-4EDB-8B6B-9901A92DC13D}"/>
    <cellStyle name="01 $ 2" xfId="86" xr:uid="{9E9B879A-829E-412B-84AC-029E22FCACE1}"/>
    <cellStyle name="01 %" xfId="87" xr:uid="{58D7F141-189F-41CF-99F4-F3AB652B1A74}"/>
    <cellStyle name="01 DATE" xfId="88" xr:uid="{BD77BAC0-6292-4D03-8555-216303D6B780}"/>
    <cellStyle name="01 DATE 2" xfId="89" xr:uid="{88916580-5B73-4B29-A87E-C8F533904165}"/>
    <cellStyle name="01 TEXT" xfId="15" xr:uid="{00000000-0005-0000-0000-000000000000}"/>
    <cellStyle name="01 TEXT 2" xfId="17" xr:uid="{00000000-0005-0000-0000-000001000000}"/>
    <cellStyle name="01 TEXT 2 2" xfId="46" xr:uid="{00000000-0005-0000-0000-000002000000}"/>
    <cellStyle name="01 TEXT 2 2 2" xfId="81" xr:uid="{79A1A650-DA1E-4DFB-AA44-8F583C5E4901}"/>
    <cellStyle name="01 TEXT 2 2_Dropdowns" xfId="92" xr:uid="{BAD7B611-ADCD-4486-84C8-4FD74097DB4E}"/>
    <cellStyle name="01 TEXT 2_Dropdowns" xfId="91" xr:uid="{54C7F4EA-CC89-4B4A-BB53-59DB9627F169}"/>
    <cellStyle name="01 TEXT_Dropdowns" xfId="90" xr:uid="{606D0B51-009A-4F2E-B45F-B30E04F635F9}"/>
    <cellStyle name="02 Prompt" xfId="93" xr:uid="{3A48722D-E5BE-4ADB-91AC-D2684D73BA01}"/>
    <cellStyle name="02 Prompt 2" xfId="1" xr:uid="{00000000-0005-0000-0000-000005000000}"/>
    <cellStyle name="02 Prompt 2 2" xfId="12" xr:uid="{00000000-0005-0000-0000-000006000000}"/>
    <cellStyle name="02 Prompt 2 3" xfId="20" xr:uid="{00000000-0005-0000-0000-000007000000}"/>
    <cellStyle name="02 Prompt 2 3 2" xfId="45" xr:uid="{00000000-0005-0000-0000-000008000000}"/>
    <cellStyle name="02 Prompt 2 3 2 2" xfId="80" xr:uid="{D0A78035-A337-4AFA-B953-B072D8A26F44}"/>
    <cellStyle name="02 Prompt 2 3 2_Dropdowns" xfId="96" xr:uid="{32B27C6F-B03B-4E54-BE1C-80EB80AE60FA}"/>
    <cellStyle name="02 Prompt 2 3_Dropdowns" xfId="95" xr:uid="{29D6C9F9-A185-4C5D-BEEE-A4FD8795D699}"/>
    <cellStyle name="02 Prompt 2_Dropdowns" xfId="94" xr:uid="{FE12A30B-500F-4382-B818-5F96B30DE104}"/>
    <cellStyle name="02 Prompt TITLE" xfId="97" xr:uid="{8932D499-859A-4E0A-A590-E7F20C2094F8}"/>
    <cellStyle name="02 Prompt TITLE 2" xfId="2" xr:uid="{00000000-0005-0000-0000-00000B000000}"/>
    <cellStyle name="02 Prompt TITLE 2 2" xfId="11" xr:uid="{00000000-0005-0000-0000-00000C000000}"/>
    <cellStyle name="02 Prompt TITLE 2 3" xfId="19" xr:uid="{00000000-0005-0000-0000-00000D000000}"/>
    <cellStyle name="02 Prompt TITLE 2_Dropdowns" xfId="98" xr:uid="{5A29DC93-EBA3-416E-8EE1-25C5CC405CC3}"/>
    <cellStyle name="03 Notes" xfId="99" xr:uid="{9ABD0102-F8F2-4D62-BC9B-4DACF7141C80}"/>
    <cellStyle name="03 Notes 2" xfId="22" xr:uid="{00000000-0005-0000-0000-00000F000000}"/>
    <cellStyle name="03 Notes 2 2" xfId="101" xr:uid="{3FF36C0F-5292-4DA6-B74C-2F034254E32F}"/>
    <cellStyle name="03 Notes 2_Dropdowns" xfId="100" xr:uid="{3D6C629F-BC08-4FCD-9AFA-91361F03AD4A}"/>
    <cellStyle name="05 Warning Text 2" xfId="23" xr:uid="{00000000-0005-0000-0000-000010000000}"/>
    <cellStyle name="Bad 2" xfId="28" xr:uid="{00000000-0005-0000-0000-000011000000}"/>
    <cellStyle name="Comma" xfId="73" builtinId="3"/>
    <cellStyle name="Comma 2" xfId="53" xr:uid="{00000000-0005-0000-0000-000013000000}"/>
    <cellStyle name="Comma 3" xfId="75" xr:uid="{00000000-0005-0000-0000-000014000000}"/>
    <cellStyle name="Comma 4" xfId="102" xr:uid="{058A4844-95FA-40D7-96E4-51504BCB8C3B}"/>
    <cellStyle name="Comma 5" xfId="103" xr:uid="{015B716B-C332-4A0A-B0AD-1AFD39DE8963}"/>
    <cellStyle name="Comma 6" xfId="104" xr:uid="{71CBBF05-95CE-44F4-A9E3-A4DB9E2BCD84}"/>
    <cellStyle name="Comma 7" xfId="105" xr:uid="{B606C58F-6F77-44B9-83DC-B351B5B6184F}"/>
    <cellStyle name="Comma 8" xfId="70" xr:uid="{00000000-0005-0000-0000-000015000000}"/>
    <cellStyle name="Currency" xfId="3" builtinId="4"/>
    <cellStyle name="Currency 2" xfId="106" xr:uid="{CF47C625-6510-46DC-B34C-AE6CAAED5352}"/>
    <cellStyle name="Currency 2 2" xfId="107" xr:uid="{98BDA06E-D710-43EE-8F26-8CAC8E73ED1A}"/>
    <cellStyle name="Currency 2 3" xfId="67" xr:uid="{00000000-0005-0000-0000-000017000000}"/>
    <cellStyle name="Currency 3" xfId="108" xr:uid="{00613C44-735A-41D1-AA6A-A58135DFCA9C}"/>
    <cellStyle name="Currency 4" xfId="109" xr:uid="{5B61F591-60A5-459A-9EA5-EFD3A4F849AC}"/>
    <cellStyle name="Currency 5" xfId="110" xr:uid="{120399A0-AD5C-469B-A28B-33669F73CB27}"/>
    <cellStyle name="Currency 6" xfId="111" xr:uid="{A1F16DE6-5D42-42D3-98AD-9F478032AFB2}"/>
    <cellStyle name="Currency 7" xfId="112" xr:uid="{EB82BB8F-F2D9-4B1D-BE1D-91BE441DC110}"/>
    <cellStyle name="Currency 8" xfId="113" xr:uid="{61525E50-884F-4716-BA2B-04A94F3A0A90}"/>
    <cellStyle name="End of Section" xfId="114" xr:uid="{49E5DFFC-8025-4AF5-A836-C30F8B976C3F}"/>
    <cellStyle name="FAAST Uploads header" xfId="115" xr:uid="{B6B8E31D-9E12-418C-A8FD-8DA0649F44C9}"/>
    <cellStyle name="FAAST Uploads header 2" xfId="116" xr:uid="{BFFDE67C-7C5C-4651-8560-AE8EA29D6B4C}"/>
    <cellStyle name="Good 2" xfId="29" xr:uid="{00000000-0005-0000-0000-000018000000}"/>
    <cellStyle name="Heading 2 2" xfId="117" xr:uid="{693DC913-CC0B-4E96-951F-88303F9A446C}"/>
    <cellStyle name="Heading 4 2" xfId="13" xr:uid="{00000000-0005-0000-0000-000019000000}"/>
    <cellStyle name="Hyperlink" xfId="4" builtinId="8"/>
    <cellStyle name="Hyperlink 2" xfId="14" xr:uid="{00000000-0005-0000-0000-00001B000000}"/>
    <cellStyle name="Hyperlink 2 2" xfId="31" xr:uid="{00000000-0005-0000-0000-00001C000000}"/>
    <cellStyle name="Hyperlink 2 3" xfId="68" xr:uid="{00000000-0005-0000-0000-00001D000000}"/>
    <cellStyle name="Hyperlink 2_Dropdowns" xfId="118" xr:uid="{B639F12D-5439-4852-BDC1-B0EFF1030F3C}"/>
    <cellStyle name="Hyperlink 3" xfId="30" xr:uid="{00000000-0005-0000-0000-00001F000000}"/>
    <cellStyle name="Hyperlink 3 2" xfId="120" xr:uid="{38755800-83F7-4B04-9A1C-53C0370B262F}"/>
    <cellStyle name="Hyperlink 3 3" xfId="121" xr:uid="{113B3C50-7358-4648-98DA-C9E36DA5F56A}"/>
    <cellStyle name="Hyperlink 3_Dropdowns" xfId="119" xr:uid="{E5993B5A-F91B-4E0F-B6C1-067CB186C187}"/>
    <cellStyle name="Hyperlink 4" xfId="47" xr:uid="{00000000-0005-0000-0000-000020000000}"/>
    <cellStyle name="Hyperlink 4 2" xfId="123" xr:uid="{FDFCF40E-32F4-4D9B-9BCB-E021839EA1C9}"/>
    <cellStyle name="Hyperlink 4 3" xfId="124" xr:uid="{FDE27B55-72F9-4421-B254-5BDADE677109}"/>
    <cellStyle name="Hyperlink 4_Dropdowns" xfId="122" xr:uid="{17DF37EC-D1F1-4F18-B8E9-DC5BC5EDB6DB}"/>
    <cellStyle name="Hyperlink 5" xfId="54" xr:uid="{00000000-0005-0000-0000-000021000000}"/>
    <cellStyle name="Label" xfId="5" xr:uid="{00000000-0005-0000-0000-000022000000}"/>
    <cellStyle name="Label No Shade" xfId="6" xr:uid="{00000000-0005-0000-0000-000023000000}"/>
    <cellStyle name="Label Shaded" xfId="7" xr:uid="{00000000-0005-0000-0000-000024000000}"/>
    <cellStyle name="Neutral 2" xfId="32" xr:uid="{00000000-0005-0000-0000-000025000000}"/>
    <cellStyle name="Normal" xfId="0" builtinId="0"/>
    <cellStyle name="Normal 10" xfId="26" xr:uid="{00000000-0005-0000-0000-000027000000}"/>
    <cellStyle name="Normal 10 2" xfId="50" xr:uid="{00000000-0005-0000-0000-000028000000}"/>
    <cellStyle name="Normal 11" xfId="74" xr:uid="{00000000-0005-0000-0000-000029000000}"/>
    <cellStyle name="Normal 11 2" xfId="76" xr:uid="{00000000-0005-0000-0000-00002A000000}"/>
    <cellStyle name="Normal 11_Dropdowns" xfId="126" xr:uid="{82854FE7-66E8-47E5-9226-93C5B7F6D938}"/>
    <cellStyle name="Normal 12" xfId="79" xr:uid="{00000000-0005-0000-0000-00002B000000}"/>
    <cellStyle name="Normal 12 2" xfId="128" xr:uid="{36325B13-473F-49E8-9B9E-8C1042305237}"/>
    <cellStyle name="Normal 12 3" xfId="129" xr:uid="{EADB519A-ECD7-4C8D-9DE2-7EE5C831ADFC}"/>
    <cellStyle name="Normal 12_Dropdowns" xfId="127" xr:uid="{EE975714-B25D-48F7-9F7C-DCE3454B7A56}"/>
    <cellStyle name="Normal 13" xfId="130" xr:uid="{7D8298AE-62F1-4457-965B-3703C005495B}"/>
    <cellStyle name="Normal 13 2" xfId="131" xr:uid="{92455A78-82E0-4893-AE98-CA84792DEF16}"/>
    <cellStyle name="Normal 14" xfId="132" xr:uid="{E1602CAF-7D36-465C-AA66-A82789354E18}"/>
    <cellStyle name="Normal 14 2" xfId="133" xr:uid="{669D36C7-BF4E-48D3-A942-4773FFFBDD13}"/>
    <cellStyle name="Normal 15" xfId="49" xr:uid="{00000000-0005-0000-0000-00002C000000}"/>
    <cellStyle name="Normal 15 2" xfId="134" xr:uid="{5DD534D1-D2C9-4073-8786-521EF5FA5E99}"/>
    <cellStyle name="Normal 15 3" xfId="56" xr:uid="{00000000-0005-0000-0000-00002D000000}"/>
    <cellStyle name="Normal 16" xfId="16" xr:uid="{00000000-0005-0000-0000-00002E000000}"/>
    <cellStyle name="Normal 16 2" xfId="135" xr:uid="{3ABA674A-ED46-4F6A-AFE0-4F7704AAEA7F}"/>
    <cellStyle name="Normal 17" xfId="136" xr:uid="{76943D90-2FB0-4DA4-A8BE-327329A14DF3}"/>
    <cellStyle name="Normal 17 2" xfId="137" xr:uid="{ED6D259E-023A-4096-B336-39BED0C2CD19}"/>
    <cellStyle name="Normal 17 2 2" xfId="138" xr:uid="{E79CE0CE-2633-4987-9CE3-1D49387B2B2A}"/>
    <cellStyle name="Normal 18" xfId="139" xr:uid="{62EE3E56-7C57-4DA6-B999-11C74CB2DFAD}"/>
    <cellStyle name="Normal 19" xfId="140" xr:uid="{F2A4BB8E-7FB7-4E92-B3D4-4EB078F4B03D}"/>
    <cellStyle name="Normal 2" xfId="33" xr:uid="{00000000-0005-0000-0000-00002F000000}"/>
    <cellStyle name="Normal 2 2" xfId="21" xr:uid="{00000000-0005-0000-0000-000030000000}"/>
    <cellStyle name="Normal 2 2 2" xfId="25" xr:uid="{00000000-0005-0000-0000-000031000000}"/>
    <cellStyle name="Normal 2 2 2 2" xfId="35" xr:uid="{00000000-0005-0000-0000-000032000000}"/>
    <cellStyle name="Normal 2 2 2_Dropdowns" xfId="142" xr:uid="{0C6394B4-AB32-48C4-A414-7CEAF0644004}"/>
    <cellStyle name="Normal 2 2 3" xfId="34" xr:uid="{00000000-0005-0000-0000-000034000000}"/>
    <cellStyle name="Normal 2 2 3 2" xfId="58" xr:uid="{00000000-0005-0000-0000-000035000000}"/>
    <cellStyle name="Normal 2 2 3 3" xfId="144" xr:uid="{C361F4E7-479A-49E1-8743-28D56CC0CE73}"/>
    <cellStyle name="Normal 2 2 3_Dropdowns" xfId="143" xr:uid="{E722C231-09F7-4493-A63F-32065B609919}"/>
    <cellStyle name="Normal 2 2 4" xfId="65" xr:uid="{00000000-0005-0000-0000-000036000000}"/>
    <cellStyle name="Normal 2 3" xfId="36" xr:uid="{00000000-0005-0000-0000-000037000000}"/>
    <cellStyle name="Normal 2 4" xfId="37" xr:uid="{00000000-0005-0000-0000-000038000000}"/>
    <cellStyle name="Normal 2 5" xfId="38" xr:uid="{00000000-0005-0000-0000-000039000000}"/>
    <cellStyle name="Normal 2 5 2" xfId="66" xr:uid="{00000000-0005-0000-0000-00003A000000}"/>
    <cellStyle name="Normal 2 5_Dropdowns" xfId="145" xr:uid="{138DDE45-18EC-4205-9BCC-D7A59F448957}"/>
    <cellStyle name="Normal 2 6" xfId="146" xr:uid="{92428F42-2517-41CB-8C26-14AE0D7A7995}"/>
    <cellStyle name="Normal 2_Dropdowns" xfId="141" xr:uid="{F117F251-98BC-40E2-8FDF-A4822D0DF6DF}"/>
    <cellStyle name="Normal 20" xfId="63" xr:uid="{00000000-0005-0000-0000-00003C000000}"/>
    <cellStyle name="Normal 21" xfId="69" xr:uid="{00000000-0005-0000-0000-00003D000000}"/>
    <cellStyle name="Normal 22" xfId="57" xr:uid="{00000000-0005-0000-0000-00003E000000}"/>
    <cellStyle name="Normal 22 2" xfId="148" xr:uid="{C0329738-97BF-41E1-9B2A-8C0CC735C643}"/>
    <cellStyle name="Normal 22_Dropdowns" xfId="147" xr:uid="{E209CCC5-163C-40C0-AC69-08C14EB8AFE0}"/>
    <cellStyle name="Normal 23" xfId="149" xr:uid="{98857C9C-119B-4108-BC89-3C181503B6F3}"/>
    <cellStyle name="Normal 3" xfId="8" xr:uid="{00000000-0005-0000-0000-00003F000000}"/>
    <cellStyle name="Normal 3 2" xfId="24" xr:uid="{00000000-0005-0000-0000-000040000000}"/>
    <cellStyle name="Normal 3 2 2" xfId="9" xr:uid="{00000000-0005-0000-0000-000041000000}"/>
    <cellStyle name="Normal 3 2 2 2" xfId="18" xr:uid="{00000000-0005-0000-0000-000042000000}"/>
    <cellStyle name="Normal 3 2 2_Dropdowns" xfId="151" xr:uid="{5AB6C9A0-CCF4-4D55-8425-488E5ECB7639}"/>
    <cellStyle name="Normal 3 2 3" xfId="152" xr:uid="{75E77E55-2D54-49EB-8B24-142BC1F8F06F}"/>
    <cellStyle name="Normal 3 2_Item C7" xfId="153" xr:uid="{D381395B-BEB3-44A9-918A-FB444D61E626}"/>
    <cellStyle name="Normal 3 3" xfId="39" xr:uid="{00000000-0005-0000-0000-000044000000}"/>
    <cellStyle name="Normal 3 3 2" xfId="155" xr:uid="{9BCF0246-B667-4C00-AEB1-6E9A648C8971}"/>
    <cellStyle name="Normal 3 3_Dropdowns" xfId="154" xr:uid="{E5EBBC4F-54A8-4CCD-A7B1-769D60786484}"/>
    <cellStyle name="Normal 3 4" xfId="156" xr:uid="{D12C89A0-127E-40FC-9DFA-60813BE11114}"/>
    <cellStyle name="Normal 3 5" xfId="61" xr:uid="{00000000-0005-0000-0000-000045000000}"/>
    <cellStyle name="Normal 3 5 2" xfId="158" xr:uid="{7AAE29FE-0941-4DAC-94B3-2970D2ABC820}"/>
    <cellStyle name="Normal 3 5 3" xfId="159" xr:uid="{62B34F6C-9F74-4B35-9393-6347E6F0DF13}"/>
    <cellStyle name="Normal 3 5_Dropdowns" xfId="157" xr:uid="{BDAE0D13-D8F5-4B39-8FF9-D963105E6F66}"/>
    <cellStyle name="Normal 3 6" xfId="160" xr:uid="{67B469E4-AA6E-48C3-8F8F-B250D8BCE57D}"/>
    <cellStyle name="Normal 3 7" xfId="161" xr:uid="{64E1384C-4883-4988-BFDA-E1784A9590F7}"/>
    <cellStyle name="Normal 3_Dropdowns" xfId="150" xr:uid="{B379C931-2D84-4B41-88AB-5191EBE63CA2}"/>
    <cellStyle name="Normal 4" xfId="40" xr:uid="{00000000-0005-0000-0000-000047000000}"/>
    <cellStyle name="Normal 4 2" xfId="163" xr:uid="{D7F20850-AAF5-43AC-A318-231A3352D9C3}"/>
    <cellStyle name="Normal 4 2 2" xfId="48" xr:uid="{00000000-0005-0000-0000-000048000000}"/>
    <cellStyle name="Normal 4 2 3" xfId="59" xr:uid="{00000000-0005-0000-0000-000049000000}"/>
    <cellStyle name="Normal 4 2 3 2" xfId="165" xr:uid="{11A8E490-13E6-4E5D-BFB9-8B09D9154428}"/>
    <cellStyle name="Normal 4 2 3 3" xfId="166" xr:uid="{0FEC85AF-BCE8-45AF-A11B-3A304A62A0ED}"/>
    <cellStyle name="Normal 4 2 3_Dropdowns" xfId="164" xr:uid="{F120AE8B-8887-4BBE-8232-6CD99B1CF3F9}"/>
    <cellStyle name="Normal 4 2 4" xfId="167" xr:uid="{8946DCB3-CE30-4A26-A8B8-113F6F114C7E}"/>
    <cellStyle name="Normal 4 2_Item C7" xfId="168" xr:uid="{2D329788-5D45-4913-90CA-8705C4730F57}"/>
    <cellStyle name="Normal 4 3" xfId="169" xr:uid="{B573D21D-6EB9-495F-8FA5-B43F48E3A26B}"/>
    <cellStyle name="Normal 4 3 2" xfId="170" xr:uid="{41DB1242-D3F3-4388-AEF7-53F0D17AFD30}"/>
    <cellStyle name="Normal 4 3_Item C7" xfId="171" xr:uid="{4DF6800F-6581-4565-B48D-608DADD75C03}"/>
    <cellStyle name="Normal 4 4" xfId="172" xr:uid="{1397D7ED-2B60-41B1-8806-F6FBA4CD4992}"/>
    <cellStyle name="Normal 4 5" xfId="64" xr:uid="{00000000-0005-0000-0000-00004A000000}"/>
    <cellStyle name="Normal 4_Dropdowns" xfId="162" xr:uid="{9644CB2B-1892-4661-8173-75981A904172}"/>
    <cellStyle name="Normal 5" xfId="41" xr:uid="{00000000-0005-0000-0000-00004C000000}"/>
    <cellStyle name="Normal 5 2" xfId="174" xr:uid="{5FFF93B9-4758-4137-B9D2-98B3060E9EB7}"/>
    <cellStyle name="Normal 5 2 2" xfId="175" xr:uid="{5E4A2ACF-6EDF-4995-B659-688FDF405CE2}"/>
    <cellStyle name="Normal 5 2_Item C7" xfId="176" xr:uid="{22B5CF4F-AD25-4764-A791-F905861ED267}"/>
    <cellStyle name="Normal 5 3" xfId="177" xr:uid="{9E07424C-0449-464D-B2E4-F5D1F92094D1}"/>
    <cellStyle name="Normal 5 4" xfId="178" xr:uid="{78CF0677-CD7A-4BC3-8DE9-4650991C150F}"/>
    <cellStyle name="Normal 5_Dropdowns" xfId="173" xr:uid="{F4AE9401-5B58-4C84-842B-6A7572B60CA5}"/>
    <cellStyle name="Normal 6" xfId="42" xr:uid="{00000000-0005-0000-0000-00004D000000}"/>
    <cellStyle name="Normal 6 2" xfId="180" xr:uid="{03CB3708-222C-49D0-9B60-395D96C113DD}"/>
    <cellStyle name="Normal 6 3" xfId="181" xr:uid="{132A9B31-439D-4A2B-BF7C-C23A257616CB}"/>
    <cellStyle name="Normal 6_Dropdowns" xfId="179" xr:uid="{37F79B86-1DA9-4BC3-8C6A-B5E16D793361}"/>
    <cellStyle name="Normal 7" xfId="27" xr:uid="{00000000-0005-0000-0000-00004E000000}"/>
    <cellStyle name="Normal 8" xfId="44" xr:uid="{00000000-0005-0000-0000-00004F000000}"/>
    <cellStyle name="Normal 8 2" xfId="183" xr:uid="{8A33992B-6204-4073-A0B5-8D40F8A184D9}"/>
    <cellStyle name="Normal 8 3" xfId="184" xr:uid="{34C0EC89-7EB7-427A-B2B0-2A03F57592E7}"/>
    <cellStyle name="Normal 8_Dropdowns" xfId="182" xr:uid="{12CCBC72-93D0-426B-928D-96970CE8A461}"/>
    <cellStyle name="Normal 9" xfId="72" xr:uid="{00000000-0005-0000-0000-000050000000}"/>
    <cellStyle name="Normal 9 2" xfId="78" xr:uid="{00000000-0005-0000-0000-000051000000}"/>
    <cellStyle name="Normal 9_Dropdowns" xfId="185" xr:uid="{F1B62C57-7B83-4900-BB5C-D94F07984610}"/>
    <cellStyle name="Normal_CTCAC 9% Application 7-18-07 practice run 3" xfId="60" xr:uid="{00000000-0005-0000-0000-000052000000}"/>
    <cellStyle name="Normal_CTCAC 9% Application 7-18-07 practice run 3 2" xfId="62" xr:uid="{00000000-0005-0000-0000-000053000000}"/>
    <cellStyle name="Normal_Draft Rent &amp; Unit Mix Sheet" xfId="52" xr:uid="{00000000-0005-0000-0000-000054000000}"/>
    <cellStyle name="Normal_Dropdowns" xfId="125" xr:uid="{E124D99F-8837-4DF3-A9B8-D92729408EC3}"/>
    <cellStyle name="Normal_Sheet2" xfId="51" xr:uid="{00000000-0005-0000-0000-000056000000}"/>
    <cellStyle name="Percent" xfId="71" builtinId="5"/>
    <cellStyle name="Percent 2" xfId="43" xr:uid="{00000000-0005-0000-0000-000058000000}"/>
    <cellStyle name="Percent 2 2" xfId="186" xr:uid="{4C3FD27A-2799-41F3-99E7-E22869C43734}"/>
    <cellStyle name="Percent 3" xfId="55" xr:uid="{00000000-0005-0000-0000-000059000000}"/>
    <cellStyle name="Percent 4" xfId="77" xr:uid="{00000000-0005-0000-0000-00005A000000}"/>
    <cellStyle name="Text Entry" xfId="10" xr:uid="{00000000-0005-0000-0000-00005B000000}"/>
  </cellStyles>
  <dxfs count="1090">
    <dxf>
      <fill>
        <patternFill>
          <bgColor indexed="43"/>
        </patternFill>
      </fill>
    </dxf>
    <dxf>
      <fill>
        <patternFill>
          <bgColor indexed="43"/>
        </patternFill>
      </fill>
    </dxf>
    <dxf>
      <fill>
        <patternFill>
          <bgColor indexed="43"/>
        </patternFill>
      </fill>
    </dxf>
    <dxf>
      <fill>
        <patternFill>
          <bgColor indexed="43"/>
        </patternFill>
      </fill>
    </dxf>
    <dxf>
      <fill>
        <patternFill>
          <bgColor rgb="FF92D050"/>
        </patternFill>
      </fill>
    </dxf>
    <dxf>
      <fill>
        <patternFill>
          <bgColor rgb="FF00B0F0"/>
        </patternFill>
      </fill>
    </dxf>
    <dxf>
      <font>
        <color theme="0"/>
      </font>
      <fill>
        <patternFill>
          <bgColor rgb="FF002060"/>
        </patternFill>
      </fill>
    </dxf>
    <dxf>
      <fill>
        <patternFill>
          <bgColor rgb="FFFFFF00"/>
        </patternFill>
      </fill>
    </dxf>
    <dxf>
      <fill>
        <patternFill>
          <bgColor rgb="FFFFC000"/>
        </patternFill>
      </fill>
    </dxf>
    <dxf>
      <fill>
        <patternFill>
          <bgColor rgb="FFFF0000"/>
        </patternFill>
      </fill>
    </dxf>
    <dxf>
      <font>
        <color theme="0"/>
      </font>
    </dxf>
    <dxf>
      <font>
        <color theme="0"/>
      </font>
    </dxf>
    <dxf>
      <fill>
        <gradientFill degree="90">
          <stop position="0">
            <color theme="0"/>
          </stop>
          <stop position="1">
            <color rgb="FFDEFED6"/>
          </stop>
        </gradientFill>
      </fill>
    </dxf>
    <dxf>
      <font>
        <color theme="0"/>
      </font>
    </dxf>
    <dxf>
      <fill>
        <gradientFill degree="90">
          <stop position="0">
            <color theme="0"/>
          </stop>
          <stop position="1">
            <color rgb="FFDEFED6"/>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ont>
        <color theme="0"/>
      </font>
    </dxf>
    <dxf>
      <fill>
        <gradientFill degree="90">
          <stop position="0">
            <color theme="0"/>
          </stop>
          <stop position="1">
            <color rgb="FFFF8383"/>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ill>
        <patternFill>
          <bgColor rgb="FFFFFFCC"/>
        </pattern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7171"/>
          </stop>
        </gradientFill>
      </fill>
    </dxf>
    <dxf>
      <fill>
        <gradientFill degree="90">
          <stop position="0">
            <color theme="0"/>
          </stop>
          <stop position="1">
            <color rgb="FFFF7171"/>
          </stop>
        </gradientFill>
      </fill>
    </dxf>
    <dxf>
      <font>
        <color rgb="FFFF0000"/>
      </font>
    </dxf>
    <dxf>
      <font>
        <color rgb="FFC00000"/>
      </font>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ont>
        <color rgb="FFC00000"/>
      </font>
    </dxf>
    <dxf>
      <font>
        <color rgb="FFC00000"/>
      </font>
    </dxf>
    <dxf>
      <font>
        <color rgb="FFC00000"/>
      </font>
    </dxf>
    <dxf>
      <fill>
        <gradientFill degree="90">
          <stop position="0">
            <color theme="0"/>
          </stop>
          <stop position="1">
            <color rgb="FF92D050"/>
          </stop>
        </gradientFill>
      </fill>
    </dxf>
    <dxf>
      <fill>
        <gradientFill degree="90">
          <stop position="0">
            <color theme="0"/>
          </stop>
          <stop position="1">
            <color rgb="FFFF7575"/>
          </stop>
        </gradientFill>
      </fill>
    </dxf>
    <dxf>
      <font>
        <color rgb="FFC00000"/>
      </font>
    </dxf>
    <dxf>
      <font>
        <color rgb="FFC00000"/>
      </font>
    </dxf>
    <dxf>
      <font>
        <color rgb="FFC00000"/>
      </font>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ont>
        <color rgb="FFC00000"/>
      </font>
    </dxf>
    <dxf>
      <fill>
        <gradientFill degree="90">
          <stop position="0">
            <color theme="0"/>
          </stop>
          <stop position="1">
            <color rgb="FFFF8585"/>
          </stop>
        </gradientFill>
      </fill>
    </dxf>
    <dxf>
      <font>
        <color rgb="FFC00000"/>
      </font>
    </dxf>
    <dxf>
      <fill>
        <gradientFill degree="90">
          <stop position="0">
            <color theme="0"/>
          </stop>
          <stop position="1">
            <color rgb="FF92D050"/>
          </stop>
        </gradientFill>
      </fill>
    </dxf>
    <dxf>
      <fill>
        <gradientFill degree="90">
          <stop position="0">
            <color theme="0"/>
          </stop>
          <stop position="1">
            <color rgb="FFFF7575"/>
          </stop>
        </gradientFill>
      </fill>
    </dxf>
    <dxf>
      <font>
        <color rgb="FFC00000"/>
      </font>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ont>
        <color rgb="FFC00000"/>
      </font>
    </dxf>
    <dxf>
      <font>
        <color rgb="FFC00000"/>
      </font>
    </dxf>
    <dxf>
      <font>
        <color rgb="FFC00000"/>
      </font>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ont>
        <color rgb="FFC00000"/>
      </font>
    </dxf>
    <dxf>
      <font>
        <color rgb="FFC00000"/>
      </font>
    </dxf>
    <dxf>
      <font>
        <color rgb="FFC00000"/>
      </font>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0"/>
      </font>
    </dxf>
    <dxf>
      <font>
        <color rgb="FFC00000"/>
      </font>
    </dxf>
    <dxf>
      <font>
        <color rgb="FF00B050"/>
      </font>
    </dxf>
    <dxf>
      <font>
        <color rgb="FFC00000"/>
      </font>
    </dxf>
    <dxf>
      <font>
        <color rgb="FF00B050"/>
      </font>
    </dxf>
    <dxf>
      <font>
        <color rgb="FFC00000"/>
      </font>
    </dxf>
    <dxf>
      <font>
        <color rgb="FF00B050"/>
      </font>
    </dxf>
    <dxf>
      <font>
        <color rgb="FFC00000"/>
      </font>
    </dxf>
    <dxf>
      <font>
        <color rgb="FFC00000"/>
      </font>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ill>
        <gradientFill degree="90">
          <stop position="0">
            <color theme="0"/>
          </stop>
          <stop position="1">
            <color rgb="FF92D050"/>
          </stop>
        </gradientFill>
      </fill>
    </dxf>
    <dxf>
      <fill>
        <gradientFill degree="90">
          <stop position="0">
            <color theme="0"/>
          </stop>
          <stop position="1">
            <color rgb="FFFF7575"/>
          </stop>
        </gradientFill>
      </fill>
    </dxf>
    <dxf>
      <font>
        <color rgb="FFC00000"/>
      </font>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theme="5" tint="0.40000610370189521"/>
          </stop>
        </gradientFill>
      </fill>
    </dxf>
    <dxf>
      <fill>
        <gradientFill degree="90">
          <stop position="0">
            <color theme="0"/>
          </stop>
          <stop position="1">
            <color theme="5" tint="0.40000610370189521"/>
          </stop>
        </gradientFill>
      </fill>
    </dxf>
    <dxf>
      <fill>
        <patternFill>
          <bgColor rgb="FFFFFF00"/>
        </patternFill>
      </fill>
    </dxf>
    <dxf>
      <fill>
        <gradientFill degree="90">
          <stop position="0">
            <color theme="0"/>
          </stop>
          <stop position="1">
            <color theme="5" tint="0.40000610370189521"/>
          </stop>
        </gradientFill>
      </fill>
    </dxf>
    <dxf>
      <fill>
        <gradientFill degree="90">
          <stop position="0">
            <color theme="0"/>
          </stop>
          <stop position="1">
            <color theme="5" tint="0.40000610370189521"/>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patternFill>
          <bgColor rgb="FFFFFF00"/>
        </pattern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rgb="FFFFFFFF"/>
          </stop>
          <stop position="1">
            <color rgb="FFFF8585"/>
          </stop>
        </gradientFill>
      </fill>
    </dxf>
    <dxf>
      <fill>
        <gradientFill degree="90">
          <stop position="0">
            <color rgb="FFFFFFFF"/>
          </stop>
          <stop position="1">
            <color rgb="FFFF8585"/>
          </stop>
        </gradientFill>
      </fill>
    </dxf>
    <dxf>
      <fill>
        <gradientFill degree="90">
          <stop position="0">
            <color rgb="FFFFFFFF"/>
          </stop>
          <stop position="1">
            <color rgb="FFFF8585"/>
          </stop>
        </gradientFill>
      </fill>
    </dxf>
    <dxf>
      <fill>
        <gradientFill degree="90">
          <stop position="0">
            <color theme="0"/>
          </stop>
          <stop position="1">
            <color rgb="FFFF7171"/>
          </stop>
        </gradientFill>
      </fill>
      <border>
        <left/>
        <right/>
        <top/>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gradientFill degree="90">
          <stop position="0">
            <color theme="0"/>
          </stop>
          <stop position="1">
            <color rgb="FFFF8585"/>
          </stop>
        </gradientFill>
      </fill>
    </dxf>
    <dxf>
      <fill>
        <gradientFill degree="90">
          <stop position="0">
            <color theme="0"/>
          </stop>
          <stop position="1">
            <color rgb="FFFF8585"/>
          </stop>
        </gradientFill>
      </fill>
    </dxf>
    <dxf>
      <font>
        <color theme="9" tint="0.59996337778862885"/>
      </font>
    </dxf>
    <dxf>
      <fill>
        <gradientFill degree="90">
          <stop position="0">
            <color theme="0"/>
          </stop>
          <stop position="1">
            <color rgb="FFFF8585"/>
          </stop>
        </gradientFill>
      </fill>
    </dxf>
    <dxf>
      <font>
        <color theme="9" tint="0.59996337778862885"/>
      </font>
    </dxf>
    <dxf>
      <fill>
        <patternFill>
          <bgColor rgb="FFFFFFCC"/>
        </patternFill>
      </fill>
    </dxf>
    <dxf>
      <fill>
        <gradientFill degree="90">
          <stop position="0">
            <color theme="0"/>
          </stop>
          <stop position="1">
            <color rgb="FFDEFED6"/>
          </stop>
        </gradientFill>
      </fill>
    </dxf>
    <dxf>
      <fill>
        <gradientFill degree="90">
          <stop position="0">
            <color theme="0"/>
          </stop>
          <stop position="1">
            <color rgb="FFFF9393"/>
          </stop>
        </gradientFill>
      </fill>
    </dxf>
    <dxf>
      <fill>
        <patternFill>
          <bgColor rgb="FFFFFFCC"/>
        </patternFill>
      </fill>
    </dxf>
    <dxf>
      <fill>
        <patternFill>
          <bgColor rgb="FFFFFFCC"/>
        </patternFill>
      </fill>
    </dxf>
    <dxf>
      <fill>
        <patternFill>
          <bgColor rgb="FFFFFFCC"/>
        </patternFill>
      </fill>
    </dxf>
    <dxf>
      <font>
        <color rgb="FFFF0000"/>
      </font>
    </dxf>
    <dxf>
      <font>
        <condense val="0"/>
        <extend val="0"/>
        <color indexed="10"/>
      </font>
    </dxf>
    <dxf>
      <fill>
        <gradientFill degree="90">
          <stop position="0">
            <color rgb="FFFFFF00"/>
          </stop>
          <stop position="0.5">
            <color theme="0"/>
          </stop>
          <stop position="1">
            <color rgb="FFFFFF00"/>
          </stop>
        </gradientFill>
      </fill>
      <border>
        <left/>
        <right/>
        <top style="thin">
          <color rgb="FF0000FF"/>
        </top>
        <bottom style="thin">
          <color rgb="FF0000FF"/>
        </bottom>
      </border>
    </dxf>
    <dxf>
      <fill>
        <gradientFill degree="90">
          <stop position="0">
            <color rgb="FFFFFF00"/>
          </stop>
          <stop position="0.5">
            <color theme="0"/>
          </stop>
          <stop position="1">
            <color rgb="FFFFFF00"/>
          </stop>
        </gradientFill>
      </fill>
      <border>
        <left/>
        <right/>
        <top style="thin">
          <color rgb="FF0000FF"/>
        </top>
        <bottom style="thin">
          <color rgb="FF0000FF"/>
        </bottom>
      </border>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rgb="FFFFFF00"/>
          </stop>
          <stop position="0.5">
            <color theme="0"/>
          </stop>
          <stop position="1">
            <color rgb="FFFFFF00"/>
          </stop>
        </gradientFill>
      </fill>
      <border>
        <left/>
        <right/>
        <top style="thin">
          <color rgb="FF0000FF"/>
        </top>
        <bottom style="thin">
          <color rgb="FF0000FF"/>
        </bottom>
      </border>
    </dxf>
    <dxf>
      <fill>
        <gradientFill degree="90">
          <stop position="0">
            <color theme="0"/>
          </stop>
          <stop position="1">
            <color rgb="FF92D050"/>
          </stop>
        </gradientFill>
      </fill>
    </dxf>
    <dxf>
      <fill>
        <gradientFill degree="90">
          <stop position="0">
            <color theme="0"/>
          </stop>
          <stop position="1">
            <color rgb="FFFF7575"/>
          </stop>
        </gradientFill>
      </fill>
    </dxf>
    <dxf>
      <font>
        <color theme="0"/>
      </font>
    </dxf>
    <dxf>
      <font>
        <b val="0"/>
        <i val="0"/>
        <strike val="0"/>
        <condense val="0"/>
        <extend val="0"/>
        <outline val="0"/>
        <shadow val="0"/>
        <u val="none"/>
        <vertAlign val="baseline"/>
        <sz val="11"/>
        <color theme="1"/>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165" formatCode="&quot;$&quot;#,##0"/>
      <fill>
        <patternFill patternType="solid">
          <fgColor indexed="64"/>
          <bgColor rgb="FFFFFFCC"/>
        </patternFill>
      </fill>
      <alignment horizontal="center" vertical="center" textRotation="0" wrapText="0"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1"/>
        <color theme="1"/>
        <name val="Arial"/>
        <scheme val="none"/>
      </font>
      <numFmt numFmtId="165" formatCode="&quot;$&quot;#,##0"/>
      <fill>
        <patternFill patternType="solid">
          <fgColor indexed="64"/>
          <bgColor rgb="FFFFFFCC"/>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1"/>
        <color theme="1"/>
        <name val="Arial"/>
        <scheme val="none"/>
      </font>
      <numFmt numFmtId="165" formatCode="&quot;$&quot;#,##0"/>
      <fill>
        <patternFill patternType="solid">
          <fgColor indexed="64"/>
          <bgColor rgb="FFFFFFCC"/>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1"/>
        <color theme="1"/>
        <name val="Arial"/>
        <scheme val="none"/>
      </font>
      <numFmt numFmtId="165" formatCode="&quot;$&quot;#,##0"/>
      <fill>
        <patternFill patternType="solid">
          <fgColor indexed="64"/>
          <bgColor rgb="FFFFFFCC"/>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1"/>
        <color theme="1"/>
        <name val="Arial"/>
        <scheme val="none"/>
      </font>
      <numFmt numFmtId="165" formatCode="&quot;$&quot;#,##0"/>
      <fill>
        <patternFill patternType="solid">
          <fgColor indexed="64"/>
          <bgColor rgb="FFFFFFCC"/>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1"/>
        <color theme="1"/>
        <name val="Arial"/>
        <scheme val="none"/>
      </font>
      <numFmt numFmtId="165" formatCode="&quot;$&quot;#,##0"/>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auto="1"/>
        </right>
        <top style="thin">
          <color auto="1"/>
        </top>
        <bottom style="thin">
          <color auto="1"/>
        </bottom>
      </border>
    </dxf>
    <dxf>
      <font>
        <b val="0"/>
        <i val="0"/>
        <strike val="0"/>
        <condense val="0"/>
        <extend val="0"/>
        <outline val="0"/>
        <shadow val="0"/>
        <u val="none"/>
        <vertAlign val="baseline"/>
        <sz val="11"/>
        <color theme="1"/>
        <name val="Arial"/>
        <scheme val="none"/>
      </font>
      <numFmt numFmtId="0" formatCode="General"/>
      <fill>
        <patternFill patternType="solid">
          <fgColor theme="4" tint="0.59999389629810485"/>
          <bgColor theme="0"/>
        </patternFill>
      </fill>
      <alignment horizontal="right" vertical="center" textRotation="0" wrapText="0" indent="0" justifyLastLine="0" shrinkToFit="0" readingOrder="0"/>
      <border diagonalUp="0" diagonalDown="0">
        <left/>
        <right style="thin">
          <color auto="1"/>
        </right>
        <top style="thin">
          <color auto="1"/>
        </top>
        <bottom style="thin">
          <color auto="1"/>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scheme val="none"/>
      </font>
      <fill>
        <patternFill patternType="solid">
          <fgColor indexed="64"/>
          <bgColor rgb="FFFFFFCC"/>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Arial"/>
        <scheme val="none"/>
      </font>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style="thin">
          <color auto="1"/>
        </horizontal>
      </border>
    </dxf>
    <dxf>
      <font>
        <b val="0"/>
        <i val="0"/>
        <strike val="0"/>
        <condense val="0"/>
        <extend val="0"/>
        <outline val="0"/>
        <shadow val="0"/>
        <u val="none"/>
        <vertAlign val="baseline"/>
        <sz val="11"/>
        <color theme="1"/>
        <name val="Arial"/>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165" formatCode="&quot;$&quot;#,##0"/>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scheme val="none"/>
      </font>
      <numFmt numFmtId="165" formatCode="&quot;$&quot;#,##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scheme val="none"/>
      </font>
      <numFmt numFmtId="165" formatCode="&quot;$&quot;#,##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scheme val="none"/>
      </font>
      <numFmt numFmtId="165" formatCode="&quot;$&quot;#,##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scheme val="none"/>
      </font>
      <numFmt numFmtId="165" formatCode="&quot;$&quot;#,##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scheme val="none"/>
      </font>
      <numFmt numFmtId="165" formatCode="&quot;$&quot;#,##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scheme val="none"/>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scheme val="none"/>
      </font>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theme="1"/>
        <name val="Arial"/>
        <scheme val="none"/>
      </font>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rgb="FF000000"/>
        <name val="Arial"/>
        <scheme val="none"/>
      </font>
      <numFmt numFmtId="178" formatCode="\$#,##0"/>
      <alignment horizontal="general" vertical="top" textRotation="0" wrapText="0" indent="0" justifyLastLine="0" shrinkToFit="1"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Arial"/>
        <scheme val="none"/>
      </font>
      <numFmt numFmtId="178" formatCode="\$#,##0"/>
      <alignment horizontal="general" vertical="top"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Arial"/>
        <scheme val="none"/>
      </font>
      <numFmt numFmtId="178" formatCode="\$#,##0"/>
      <alignment horizontal="general" vertical="top"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Arial"/>
        <scheme val="none"/>
      </font>
      <numFmt numFmtId="178" formatCode="\$#,##0"/>
      <alignment horizontal="general" vertical="top"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Arial"/>
        <scheme val="none"/>
      </font>
      <numFmt numFmtId="178" formatCode="\$#,##0"/>
      <alignment horizontal="general" vertical="top"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Arial"/>
        <scheme val="none"/>
      </font>
      <numFmt numFmtId="178" formatCode="\$#,##0"/>
      <alignment horizontal="general" vertical="top"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Arial"/>
        <scheme val="none"/>
      </font>
      <numFmt numFmtId="178" formatCode="\$#,##0"/>
      <alignment horizontal="general" vertical="top"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Arial"/>
        <scheme val="none"/>
      </font>
      <numFmt numFmtId="178" formatCode="\$#,##0"/>
      <alignment horizontal="general" vertical="top"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Arial"/>
        <scheme val="none"/>
      </font>
      <numFmt numFmtId="178" formatCode="\$#,##0"/>
      <alignment horizontal="general" vertical="top"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Arial"/>
        <scheme val="none"/>
      </font>
      <numFmt numFmtId="178" formatCode="\$#,##0"/>
      <alignment horizontal="general" vertical="top"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rial"/>
        <scheme val="none"/>
      </font>
      <numFmt numFmtId="13" formatCode="0%"/>
      <fill>
        <patternFill patternType="none">
          <fgColor indexed="64"/>
          <bgColor indexed="65"/>
        </patternFill>
      </fill>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scheme val="none"/>
      </font>
      <alignment horizontal="general" vertical="top" textRotation="0" wrapText="0" indent="0" justifyLastLine="0" shrinkToFit="1" readingOrder="0"/>
    </dxf>
    <dxf>
      <border>
        <bottom style="thin">
          <color indexed="64"/>
        </bottom>
      </border>
    </dxf>
    <dxf>
      <font>
        <b val="0"/>
        <i val="0"/>
        <strike val="0"/>
        <condense val="0"/>
        <extend val="0"/>
        <outline val="0"/>
        <shadow val="0"/>
        <u val="none"/>
        <vertAlign val="baseline"/>
        <sz val="11"/>
        <color auto="1"/>
        <name val="Arial"/>
        <scheme val="none"/>
      </font>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strike val="0"/>
        <outline val="0"/>
        <shadow val="0"/>
        <u val="none"/>
        <vertAlign val="baseline"/>
        <sz val="11"/>
        <name val="Arial"/>
        <scheme val="none"/>
      </font>
      <numFmt numFmtId="3" formatCode="#,##0"/>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1"/>
        <name val="Arial"/>
        <scheme val="none"/>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name val="Arial"/>
        <scheme val="none"/>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name val="Arial"/>
        <scheme val="none"/>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name val="Arial"/>
        <scheme val="none"/>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name val="Arial"/>
        <scheme val="none"/>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name val="Arial"/>
        <scheme val="none"/>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name val="Arial"/>
        <scheme val="none"/>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name val="Arial"/>
        <scheme val="none"/>
      </font>
      <numFmt numFmtId="13" formatCode="0%"/>
      <alignment horizontal="left"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Arial"/>
        <scheme val="none"/>
      </font>
      <alignment horizontal="center" vertical="center" textRotation="0" wrapText="0" indent="0" justifyLastLine="0" shrinkToFit="0" readingOrder="0"/>
    </dxf>
    <dxf>
      <border>
        <bottom style="thin">
          <color indexed="64"/>
        </bottom>
      </border>
    </dxf>
    <dxf>
      <font>
        <strike val="0"/>
        <outline val="0"/>
        <shadow val="0"/>
        <u val="none"/>
        <vertAlign val="baseline"/>
        <sz val="11"/>
        <name val="Arial"/>
        <scheme val="none"/>
      </font>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rgb="FF000000"/>
        <name val="Arial"/>
        <scheme val="none"/>
      </font>
      <numFmt numFmtId="178" formatCode="\$#,##0"/>
      <alignment horizontal="general" vertical="center" textRotation="0" wrapText="0" indent="0" justifyLastLine="0" shrinkToFit="1"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Arial"/>
        <scheme val="none"/>
      </font>
      <numFmt numFmtId="178" formatCode="\$#,##0"/>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scheme val="none"/>
      </font>
      <numFmt numFmtId="178" formatCode="\$#,##0"/>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scheme val="none"/>
      </font>
      <numFmt numFmtId="178" formatCode="\$#,##0"/>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scheme val="none"/>
      </font>
      <numFmt numFmtId="178" formatCode="\$#,##0"/>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scheme val="none"/>
      </font>
      <numFmt numFmtId="178" formatCode="\$#,##0"/>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scheme val="none"/>
      </font>
      <numFmt numFmtId="178" formatCode="\$#,##0"/>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scheme val="none"/>
      </font>
      <numFmt numFmtId="178" formatCode="\$#,##0"/>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scheme val="none"/>
      </font>
      <numFmt numFmtId="178" formatCode="\$#,##0"/>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scheme val="none"/>
      </font>
      <numFmt numFmtId="178" formatCode="\$#,##0"/>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scheme val="none"/>
      </font>
      <numFmt numFmtId="13" formatCode="0%"/>
      <fill>
        <patternFill patternType="none">
          <fgColor indexed="64"/>
          <bgColor indexed="65"/>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rial"/>
        <scheme val="none"/>
      </font>
      <numFmt numFmtId="178" formatCode="\$#,##0"/>
      <alignment horizontal="general" vertical="center" textRotation="0" wrapText="0" indent="0" justifyLastLine="0" shrinkToFit="1" readingOrder="0"/>
    </dxf>
    <dxf>
      <border>
        <bottom style="thin">
          <color indexed="64"/>
        </bottom>
      </border>
    </dxf>
    <dxf>
      <font>
        <b val="0"/>
        <i val="0"/>
        <strike val="0"/>
        <condense val="0"/>
        <extend val="0"/>
        <outline val="0"/>
        <shadow val="0"/>
        <u val="none"/>
        <vertAlign val="baseline"/>
        <sz val="11"/>
        <color auto="1"/>
        <name val="Arial"/>
        <scheme val="none"/>
      </font>
      <numFmt numFmtId="165" formatCode="&quot;$&quot;#,##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auto="1"/>
        <name val="Arial"/>
        <scheme val="none"/>
      </font>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scheme val="none"/>
      </font>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scheme val="none"/>
      </font>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scheme val="none"/>
      </font>
      <numFmt numFmtId="165" formatCode="&quot;$&quot;#,##0"/>
      <fill>
        <patternFill patternType="none">
          <fgColor indexed="64"/>
          <bgColor indexed="65"/>
        </patternFill>
      </fill>
      <alignment horizontal="right" vertical="center" textRotation="0" wrapText="0" indent="0" justifyLastLine="0" shrinkToFit="0" readingOrder="0"/>
      <border diagonalUp="0" diagonalDown="0">
        <left style="thin">
          <color indexed="64"/>
        </left>
        <right style="thick">
          <color theme="6" tint="-0.499984740745262"/>
        </right>
        <top style="thin">
          <color indexed="64"/>
        </top>
        <bottom style="thin">
          <color indexed="64"/>
        </bottom>
        <horizontal style="thin">
          <color indexed="64"/>
        </horizontal>
      </border>
    </dxf>
    <dxf>
      <font>
        <b val="0"/>
        <i val="0"/>
        <strike val="0"/>
        <condense val="0"/>
        <extend val="0"/>
        <outline val="0"/>
        <shadow val="0"/>
        <u val="none"/>
        <vertAlign val="baseline"/>
        <sz val="11"/>
        <color auto="1"/>
        <name val="Arial"/>
        <scheme val="none"/>
      </font>
      <fill>
        <patternFill patternType="solid">
          <fgColor indexed="64"/>
          <bgColor rgb="FFFFFFCC"/>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auto="1"/>
        <name val="Arial"/>
        <scheme val="none"/>
      </font>
      <numFmt numFmtId="165" formatCode="&quot;$&quot;#,##0"/>
      <fill>
        <patternFill patternType="none">
          <fgColor indexed="64"/>
          <bgColor indexed="65"/>
        </patternFill>
      </fill>
      <alignment horizontal="right" vertical="center" textRotation="0" wrapText="0" indent="0" justifyLastLine="0" shrinkToFit="0" readingOrder="0"/>
      <border diagonalUp="0" diagonalDown="0" outline="0">
        <left style="thin">
          <color auto="1"/>
        </left>
        <right style="thin">
          <color indexed="64"/>
        </right>
        <top style="thin">
          <color auto="1"/>
        </top>
        <bottom style="thin">
          <color auto="1"/>
        </bottom>
      </border>
    </dxf>
    <dxf>
      <font>
        <b val="0"/>
        <i val="0"/>
        <strike val="0"/>
        <condense val="0"/>
        <extend val="0"/>
        <outline val="0"/>
        <shadow val="0"/>
        <u val="none"/>
        <vertAlign val="baseline"/>
        <sz val="11"/>
        <color auto="1"/>
        <name val="Arial"/>
        <scheme val="none"/>
      </font>
      <numFmt numFmtId="165" formatCode="&quot;$&quot;#,##0"/>
      <fill>
        <patternFill patternType="solid">
          <fgColor indexed="64"/>
          <bgColor rgb="FFFFFFCC"/>
        </patternFill>
      </fill>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border>
    </dxf>
    <dxf>
      <font>
        <strike val="0"/>
        <outline val="0"/>
        <shadow val="0"/>
        <u val="none"/>
        <vertAlign val="baseline"/>
        <sz val="11"/>
        <color auto="1"/>
        <name val="Arial"/>
        <scheme val="none"/>
      </font>
      <numFmt numFmtId="165" formatCode="&quot;$&quot;#,##0"/>
      <alignment horizontal="right" vertical="center" textRotation="0" wrapText="0" indent="0" justifyLastLine="0" shrinkToFit="0" readingOrder="0"/>
      <border diagonalUp="0" diagonalDown="0" outline="0">
        <left style="thin">
          <color indexed="64"/>
        </left>
        <right style="thin">
          <color auto="1"/>
        </right>
        <top style="thin">
          <color auto="1"/>
        </top>
        <bottom style="thin">
          <color auto="1"/>
        </bottom>
      </border>
    </dxf>
    <dxf>
      <font>
        <b val="0"/>
        <i val="0"/>
        <strike val="0"/>
        <condense val="0"/>
        <extend val="0"/>
        <outline val="0"/>
        <shadow val="0"/>
        <u val="none"/>
        <vertAlign val="baseline"/>
        <sz val="11"/>
        <color auto="1"/>
        <name val="Arial"/>
        <scheme val="none"/>
      </font>
      <fill>
        <patternFill patternType="solid">
          <fgColor indexed="64"/>
          <bgColor rgb="FFFFFFCC"/>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auto="1"/>
        <name val="Arial"/>
        <scheme val="none"/>
      </font>
      <numFmt numFmtId="165" formatCode="&quot;$&quot;#,##0"/>
      <alignment horizontal="right" vertical="center" textRotation="0" wrapText="0" indent="0" justifyLastLine="0" shrinkToFit="0" readingOrder="0"/>
      <border diagonalUp="0" diagonalDown="0" outline="0">
        <left style="thin">
          <color auto="1"/>
        </left>
        <right style="thin">
          <color indexed="64"/>
        </right>
        <top style="thin">
          <color auto="1"/>
        </top>
        <bottom style="thin">
          <color auto="1"/>
        </bottom>
      </border>
    </dxf>
    <dxf>
      <font>
        <b val="0"/>
        <i val="0"/>
        <strike val="0"/>
        <condense val="0"/>
        <extend val="0"/>
        <outline val="0"/>
        <shadow val="0"/>
        <u val="none"/>
        <vertAlign val="baseline"/>
        <sz val="11"/>
        <color auto="1"/>
        <name val="Arial"/>
        <scheme val="none"/>
      </font>
      <numFmt numFmtId="165" formatCode="&quot;$&quot;#,##0"/>
      <fill>
        <patternFill patternType="solid">
          <fgColor indexed="64"/>
          <bgColor rgb="FFFFFFCC"/>
        </patternFill>
      </fill>
      <alignment horizontal="right" vertical="center" textRotation="0" wrapText="0" indent="0" justifyLastLine="0" shrinkToFit="0" readingOrder="0"/>
      <border diagonalUp="0" diagonalDown="0">
        <left style="thick">
          <color theme="6" tint="-0.499984740745262"/>
        </left>
        <right style="thin">
          <color auto="1"/>
        </right>
        <top style="thin">
          <color auto="1"/>
        </top>
        <bottom style="thin">
          <color auto="1"/>
        </bottom>
        <horizontal style="thin">
          <color auto="1"/>
        </horizontal>
      </border>
    </dxf>
    <dxf>
      <font>
        <b val="0"/>
        <i val="0"/>
        <strike val="0"/>
        <condense val="0"/>
        <extend val="0"/>
        <outline val="0"/>
        <shadow val="0"/>
        <u val="none"/>
        <vertAlign val="baseline"/>
        <sz val="11"/>
        <color auto="1"/>
        <name val="Arial"/>
        <scheme val="none"/>
      </font>
      <numFmt numFmtId="165" formatCode="&quot;$&quot;#,##0"/>
      <alignment horizontal="right" vertical="center" textRotation="0" wrapText="0" indent="0" justifyLastLine="0" shrinkToFit="0" readingOrder="0"/>
      <border diagonalUp="0" diagonalDown="0">
        <left style="thin">
          <color indexed="64"/>
        </left>
        <right style="thick">
          <color theme="7" tint="-0.249977111117893"/>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Arial"/>
        <scheme val="none"/>
      </font>
      <numFmt numFmtId="165" formatCode="&quot;$&quot;#,##0"/>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Arial"/>
        <scheme val="none"/>
      </font>
      <numFmt numFmtId="165" formatCode="&quot;$&quot;#,##0"/>
      <fill>
        <patternFill patternType="solid">
          <fgColor indexed="64"/>
          <bgColor rgb="FFFFFFCC"/>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1"/>
        <color auto="1"/>
        <name val="Arial"/>
        <scheme val="none"/>
      </font>
      <numFmt numFmtId="165" formatCode="&quot;$&quot;#,##0"/>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Arial"/>
        <scheme val="none"/>
      </font>
      <numFmt numFmtId="165" formatCode="&quot;$&quot;#,##0"/>
      <fill>
        <patternFill patternType="solid">
          <fgColor indexed="64"/>
          <bgColor rgb="FFFFFFCC"/>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1"/>
        <color auto="1"/>
        <name val="Arial"/>
        <scheme val="none"/>
      </font>
      <numFmt numFmtId="165" formatCode="&quot;$&quot;#,##0"/>
      <fill>
        <patternFill patternType="solid">
          <fgColor indexed="64"/>
          <bgColor rgb="FFFFFFCC"/>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1"/>
        <color auto="1"/>
        <name val="Arial"/>
        <scheme val="none"/>
      </font>
      <numFmt numFmtId="9" formatCode="&quot;$&quot;#,##0_);\(&quot;$&quot;#,##0\)"/>
      <fill>
        <patternFill patternType="solid">
          <fgColor indexed="64"/>
          <bgColor theme="0"/>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Arial"/>
        <scheme val="none"/>
      </font>
      <numFmt numFmtId="165" formatCode="&quot;$&quot;#,##0"/>
      <fill>
        <patternFill patternType="solid">
          <fgColor indexed="64"/>
          <bgColor rgb="FFFFFFCC"/>
        </patternFill>
      </fill>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scheme val="none"/>
      </font>
      <numFmt numFmtId="165" formatCode="&quot;$&quot;#,##0"/>
      <fill>
        <patternFill patternType="solid">
          <fgColor indexed="64"/>
          <bgColor theme="0"/>
        </patternFill>
      </fill>
      <alignment horizontal="left" vertical="center" textRotation="0" wrapText="0" relativeIndent="1" justifyLastLine="0" shrinkToFit="0" readingOrder="0"/>
      <border diagonalUp="0" diagonalDown="0" outline="0">
        <left/>
        <right style="thick">
          <color theme="7" tint="-0.249977111117893"/>
        </right>
        <top style="thin">
          <color indexed="64"/>
        </top>
        <bottom style="thin">
          <color indexed="64"/>
        </bottom>
      </border>
    </dxf>
    <dxf>
      <font>
        <b val="0"/>
        <i val="0"/>
        <strike val="0"/>
        <condense val="0"/>
        <extend val="0"/>
        <outline val="0"/>
        <shadow val="0"/>
        <u val="none"/>
        <vertAlign val="baseline"/>
        <sz val="11"/>
        <color auto="1"/>
        <name val="Arial"/>
        <scheme val="none"/>
      </font>
      <numFmt numFmtId="165" formatCode="&quot;$&quot;#,##0"/>
      <fill>
        <patternFill patternType="solid">
          <fgColor indexed="64"/>
          <bgColor theme="0"/>
        </patternFill>
      </fill>
      <alignment horizontal="left" vertical="center" textRotation="0" wrapText="0" relativeIndent="1"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theme="0"/>
        </patternFill>
      </fill>
      <alignment horizontal="left" vertical="center" textRotation="0" wrapText="0" relativeIndent="1"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theme="0"/>
        </patternFill>
      </fill>
      <alignment horizontal="left" vertical="center" textRotation="0" wrapText="0" relativeIndent="1"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theme="0"/>
        </patternFill>
      </fill>
      <alignment horizontal="left" vertical="center" textRotation="0" wrapText="0" relativeIndent="1"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theme="0"/>
        </patternFill>
      </fill>
      <alignment horizontal="left" vertical="center" textRotation="0" wrapText="0" relativeIndent="1"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theme="0"/>
        </patternFill>
      </fill>
      <alignment horizontal="left" vertical="center" textRotation="0" wrapText="0" relativeIndent="1"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auto="1"/>
        <name val="Arial"/>
        <scheme val="none"/>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auto="1"/>
        </left>
        <right style="thick">
          <color theme="2" tint="-0.499984740745262"/>
        </right>
        <top style="thin">
          <color indexed="64"/>
        </top>
        <bottom style="thin">
          <color indexed="64"/>
        </bottom>
        <vertical/>
      </border>
    </dxf>
    <dxf>
      <font>
        <b val="0"/>
        <i val="0"/>
        <strike val="0"/>
        <condense val="0"/>
        <extend val="0"/>
        <outline val="0"/>
        <shadow val="0"/>
        <u val="none"/>
        <vertAlign val="baseline"/>
        <sz val="11"/>
        <color auto="1"/>
        <name val="Arial"/>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ck">
          <color theme="2" tint="-0.499984740745262"/>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scheme val="none"/>
      </font>
      <fill>
        <patternFill patternType="solid">
          <fgColor indexed="64"/>
          <bgColor rgb="FFFFFFCC"/>
        </patternFill>
      </fill>
      <alignment horizontal="center" vertical="center" textRotation="0" wrapText="0" indent="0" justifyLastLine="0" shrinkToFit="0" readingOrder="0"/>
      <border diagonalUp="0" diagonalDown="0">
        <left style="thick">
          <color theme="2" tint="-0.499984740745262"/>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ck">
          <color theme="2" tint="-0.499984740745262"/>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scheme val="none"/>
      </font>
      <fill>
        <patternFill patternType="solid">
          <fgColor indexed="64"/>
          <bgColor rgb="FFFFFFCC"/>
        </patternFill>
      </fill>
      <alignment horizontal="center" vertical="center" textRotation="0" wrapText="0" indent="0" justifyLastLine="0" shrinkToFit="0" readingOrder="0"/>
      <border diagonalUp="0" diagonalDown="0">
        <left style="thick">
          <color theme="2" tint="-0.499984740745262"/>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ck">
          <color theme="2" tint="-0.499984740745262"/>
        </right>
        <top style="thin">
          <color indexed="64"/>
        </top>
        <bottom style="thin">
          <color indexed="64"/>
        </bottom>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ck">
          <color theme="2" tint="-0.499984740745262"/>
        </left>
        <right style="thin">
          <color indexed="64"/>
        </right>
        <top style="thin">
          <color indexed="64"/>
        </top>
        <bottom style="thin">
          <color indexed="64"/>
        </bottom>
        <vertical/>
        <horizontal/>
      </border>
    </dxf>
    <dxf>
      <font>
        <strike val="0"/>
        <outline val="0"/>
        <shadow val="0"/>
        <u val="none"/>
        <vertAlign val="baseline"/>
        <sz val="11"/>
        <color auto="1"/>
        <name val="Arial"/>
        <scheme val="none"/>
      </font>
      <fill>
        <patternFill patternType="solid">
          <fgColor indexed="64"/>
          <bgColor rgb="FFFFFFCC"/>
        </patternFill>
      </fill>
      <alignment horizontal="center" vertical="center" textRotation="0" indent="0" justifyLastLine="0" shrinkToFit="0" readingOrder="0"/>
      <border diagonalUp="0" diagonalDown="0">
        <left style="thin">
          <color indexed="64"/>
        </left>
        <right style="thick">
          <color theme="2" tint="-0.499984740745262"/>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Arial"/>
        <scheme val="none"/>
      </font>
      <fill>
        <patternFill patternType="solid">
          <fgColor indexed="64"/>
          <bgColor rgb="FFFFFFCC"/>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medium">
          <color theme="2" tint="-0.499984740745262"/>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Arial"/>
        <scheme val="none"/>
      </font>
      <alignment horizontal="center" vertical="center" textRotation="0" indent="0" justifyLastLine="0" shrinkToFit="0" readingOrder="0"/>
    </dxf>
    <dxf>
      <border>
        <bottom style="thin">
          <color indexed="64"/>
        </bottom>
      </border>
    </dxf>
    <dxf>
      <font>
        <b val="0"/>
        <i val="0"/>
        <strike val="0"/>
        <condense val="0"/>
        <extend val="0"/>
        <outline val="0"/>
        <shadow val="0"/>
        <u val="none"/>
        <vertAlign val="baseline"/>
        <sz val="11"/>
        <color theme="1"/>
        <name val="Arial"/>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0"/>
      </font>
    </dxf>
    <dxf>
      <font>
        <color theme="0"/>
      </font>
    </dxf>
    <dxf>
      <font>
        <color theme="0"/>
      </font>
    </dxf>
    <dxf>
      <fill>
        <gradientFill degree="90">
          <stop position="0">
            <color theme="0"/>
          </stop>
          <stop position="1">
            <color rgb="FF92D050"/>
          </stop>
        </gradientFill>
      </fill>
    </dxf>
    <dxf>
      <fill>
        <gradientFill degree="90">
          <stop position="0">
            <color theme="0"/>
          </stop>
          <stop position="1">
            <color rgb="FFFF7575"/>
          </stop>
        </gradientFill>
      </fill>
    </dxf>
    <dxf>
      <font>
        <color theme="0"/>
      </font>
    </dxf>
    <dxf>
      <font>
        <color theme="0"/>
      </font>
    </dxf>
    <dxf>
      <font>
        <color theme="0"/>
      </font>
    </dxf>
    <dxf>
      <font>
        <color theme="0"/>
      </font>
    </dxf>
    <dxf>
      <fill>
        <gradientFill degree="90">
          <stop position="0">
            <color theme="0"/>
          </stop>
          <stop position="1">
            <color rgb="FF00A33C"/>
          </stop>
        </gradientFill>
      </fill>
    </dxf>
    <dxf>
      <font>
        <color theme="0"/>
      </font>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00A33C"/>
          </stop>
        </gradientFill>
      </fill>
    </dxf>
    <dxf>
      <font>
        <color theme="0"/>
      </font>
    </dxf>
    <dxf>
      <fill>
        <gradientFill degree="90">
          <stop position="0">
            <color theme="0"/>
          </stop>
          <stop position="1">
            <color rgb="FF00A33C"/>
          </stop>
        </gradientFill>
      </fill>
    </dxf>
    <dxf>
      <fill>
        <gradientFill degree="90">
          <stop position="0">
            <color theme="0"/>
          </stop>
          <stop position="1">
            <color rgb="FF00A33C"/>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00B050"/>
          </stop>
        </gradientFill>
      </fill>
    </dxf>
    <dxf>
      <fill>
        <gradientFill degree="90">
          <stop position="0">
            <color theme="0"/>
          </stop>
          <stop position="1">
            <color rgb="FF00B050"/>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ill>
        <gradientFill degree="90">
          <stop position="0">
            <color theme="0"/>
          </stop>
          <stop position="1">
            <color rgb="FFFF4F4F"/>
          </stop>
        </gradientFill>
      </fill>
    </dxf>
    <dxf>
      <font>
        <color theme="0"/>
      </font>
      <fill>
        <patternFill>
          <bgColor theme="0"/>
        </patternFill>
      </fill>
    </dxf>
    <dxf>
      <font>
        <color theme="0"/>
      </font>
    </dxf>
    <dxf>
      <fill>
        <patternFill>
          <bgColor indexed="43"/>
        </patternFill>
      </fill>
    </dxf>
    <dxf>
      <fill>
        <patternFill>
          <bgColor indexed="43"/>
        </patternFill>
      </fill>
    </dxf>
    <dxf>
      <fill>
        <patternFill>
          <bgColor indexed="43"/>
        </patternFill>
      </fill>
    </dxf>
    <dxf>
      <font>
        <color rgb="FFC00000"/>
      </font>
    </dxf>
    <dxf>
      <fill>
        <patternFill>
          <bgColor theme="0" tint="-0.24994659260841701"/>
        </patternFill>
      </fill>
    </dxf>
    <dxf>
      <fill>
        <patternFill>
          <bgColor theme="0" tint="-0.24994659260841701"/>
        </patternFill>
      </fill>
    </dxf>
    <dxf>
      <fill>
        <patternFill>
          <bgColor theme="0" tint="-0.24994659260841701"/>
        </patternFill>
      </fill>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theme="0"/>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theme="0"/>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theme="0"/>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Arial"/>
        <family val="2"/>
        <scheme val="none"/>
      </font>
      <alignment horizontal="right" vertical="center" textRotation="0" wrapText="0" indent="0" justifyLastLine="0" shrinkToFit="1"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auto="1"/>
        <name val="Arial"/>
        <family val="2"/>
        <scheme val="none"/>
      </font>
      <numFmt numFmtId="165" formatCode="&quot;$&quot;#,##0"/>
      <alignment horizontal="righ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right" vertical="center"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theme="0"/>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general" vertical="center"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outline="0">
        <top style="thin">
          <color indexed="64"/>
        </top>
        <bottom style="thin">
          <color indexed="64"/>
        </bottom>
      </border>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right" vertical="center" textRotation="0" wrapText="1"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left" vertical="center" textRotation="0" wrapText="1" indent="1" justifyLastLine="0" shrinkToFit="0" readingOrder="0"/>
      <border diagonalUp="0" diagonalDown="0" outline="0">
        <left style="thin">
          <color indexed="64"/>
        </left>
        <right style="thin">
          <color indexed="64"/>
        </right>
        <top/>
        <bottom/>
      </border>
      <protection locked="0" hidden="0"/>
    </dxf>
    <dxf>
      <font>
        <color theme="0"/>
      </font>
    </dxf>
    <dxf>
      <fill>
        <patternFill>
          <bgColor theme="8" tint="0.79998168889431442"/>
        </patternFill>
      </fill>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left"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auto="1"/>
        <name val="Arial"/>
        <family val="2"/>
        <scheme val="none"/>
      </font>
      <numFmt numFmtId="14" formatCode="0.00%"/>
      <fill>
        <patternFill patternType="solid">
          <fgColor indexed="64"/>
          <bgColor rgb="FFFFFFCC"/>
        </patternFill>
      </fill>
      <alignment horizontal="center" vertical="center" textRotation="0" wrapText="0" indent="0" justifyLastLine="0" shrinkToFit="0" readingOrder="0"/>
      <border diagonalUp="0" diagonalDown="0">
        <left style="medium">
          <color indexed="64"/>
        </left>
        <right/>
        <top style="thin">
          <color indexed="64"/>
        </top>
        <bottom/>
        <vertical/>
        <horizontal/>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auto="1"/>
        <name val="Arial"/>
        <family val="2"/>
        <scheme val="none"/>
      </font>
      <numFmt numFmtId="14" formatCode="0.00%"/>
      <fill>
        <patternFill patternType="solid">
          <fgColor indexed="64"/>
          <bgColor rgb="FFFFFFCC"/>
        </patternFill>
      </fill>
      <alignment horizontal="center" vertical="center" textRotation="0" wrapText="0" indent="0" justifyLastLine="0" shrinkToFit="0" readingOrder="0"/>
      <border diagonalUp="0" diagonalDown="0">
        <left style="medium">
          <color indexed="64"/>
        </left>
        <right style="thin">
          <color indexed="64"/>
        </right>
        <top style="thin">
          <color indexed="64"/>
        </top>
        <bottom/>
      </border>
      <protection locked="0" hidden="0"/>
    </dxf>
    <dxf>
      <font>
        <b val="0"/>
        <i val="0"/>
        <strike val="0"/>
        <condense val="0"/>
        <extend val="0"/>
        <outline val="0"/>
        <shadow val="0"/>
        <u val="none"/>
        <vertAlign val="baseline"/>
        <sz val="11"/>
        <color auto="1"/>
        <name val="Arial"/>
        <family val="2"/>
        <scheme val="none"/>
      </font>
      <numFmt numFmtId="165" formatCode="&quot;$&quot;#,##0"/>
      <fill>
        <patternFill patternType="solid">
          <fgColor indexed="64"/>
          <bgColor rgb="FFFFFFCC"/>
        </patternFill>
      </fill>
      <alignment horizontal="right"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left" vertical="center" textRotation="0" wrapText="1" relativeIndent="1" justifyLastLine="0" shrinkToFit="1"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1"/>
        <color auto="1"/>
        <name val="Arial"/>
        <family val="2"/>
        <scheme val="none"/>
      </font>
      <numFmt numFmtId="19" formatCode="m/d/yyyy"/>
      <fill>
        <patternFill patternType="solid">
          <fgColor indexed="64"/>
          <bgColor rgb="FFFFFFCC"/>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1" indent="0" justifyLastLine="0" shrinkToFit="0" readingOrder="0"/>
      <protection locked="1" hidden="0"/>
    </dxf>
    <dxf>
      <font>
        <color theme="0"/>
      </font>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rgb="FFFFFF00"/>
          </stop>
          <stop position="0.5">
            <color theme="0"/>
          </stop>
          <stop position="1">
            <color rgb="FFFFFF00"/>
          </stop>
        </gradientFill>
      </fill>
      <border>
        <left/>
        <right/>
        <top style="thin">
          <color rgb="FF0000FF"/>
        </top>
        <bottom style="thin">
          <color rgb="FF0000FF"/>
        </bottom>
      </border>
    </dxf>
    <dxf>
      <fill>
        <gradientFill degree="90">
          <stop position="0">
            <color rgb="FFFFFF00"/>
          </stop>
          <stop position="0.5">
            <color theme="0"/>
          </stop>
          <stop position="1">
            <color rgb="FFFFFF00"/>
          </stop>
        </gradientFill>
      </fill>
      <border>
        <left/>
        <right/>
        <top style="thin">
          <color rgb="FF0000FF"/>
        </top>
        <bottom style="thin">
          <color rgb="FF0000FF"/>
        </bottom>
      </border>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tint="-0.1490218817712943"/>
          </stop>
          <stop position="0.5">
            <color rgb="FFFFFF00"/>
          </stop>
          <stop position="1">
            <color theme="0" tint="-0.1490218817712943"/>
          </stop>
        </gradientFill>
      </fill>
    </dxf>
    <dxf>
      <fill>
        <gradientFill degree="90">
          <stop position="0">
            <color theme="0"/>
          </stop>
          <stop position="1">
            <color rgb="FFFF8585"/>
          </stop>
        </gradientFill>
      </fill>
    </dxf>
    <dxf>
      <fill>
        <gradientFill degree="90">
          <stop position="0">
            <color theme="0" tint="-0.1490218817712943"/>
          </stop>
          <stop position="0.5">
            <color rgb="FFFFFF00"/>
          </stop>
          <stop position="1">
            <color theme="0" tint="-0.1490218817712943"/>
          </stop>
        </gradientFill>
      </fill>
    </dxf>
    <dxf>
      <font>
        <b val="0"/>
      </font>
      <fill>
        <patternFill patternType="solid">
          <fgColor indexed="64"/>
          <bgColor rgb="FFFFFFCC"/>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1"/>
        <color theme="1"/>
        <name val="Arial"/>
        <scheme val="none"/>
      </font>
      <numFmt numFmtId="30" formatCode="@"/>
      <fill>
        <patternFill patternType="solid">
          <fgColor indexed="64"/>
          <bgColor rgb="FFFFFFCC"/>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font>
      <fill>
        <patternFill patternType="solid">
          <fgColor indexed="64"/>
          <bgColor rgb="FFFFFFCC"/>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Arial"/>
        <scheme val="none"/>
      </font>
      <numFmt numFmtId="30" formatCode="@"/>
      <fill>
        <patternFill patternType="solid">
          <fgColor indexed="64"/>
          <bgColor rgb="FFFFFFCC"/>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font>
      <fill>
        <patternFill patternType="solid">
          <fgColor indexed="64"/>
          <bgColor rgb="FFFFFFCC"/>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Arial"/>
        <scheme val="none"/>
      </font>
      <numFmt numFmtId="30" formatCode="@"/>
      <fill>
        <patternFill patternType="solid">
          <fgColor indexed="64"/>
          <bgColor rgb="FFFFFFCC"/>
        </patternFill>
      </fill>
      <alignment horizontal="center" vertical="center" textRotation="0" wrapText="0" indent="0" justifyLastLine="0" shrinkToFit="0" readingOrder="0"/>
      <border diagonalUp="0" diagonalDown="0" outline="0">
        <left/>
        <right style="thin">
          <color indexed="64"/>
        </right>
        <top style="thin">
          <color auto="1"/>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font>
    </dxf>
    <dxf>
      <border outline="0">
        <bottom style="thin">
          <color indexed="64"/>
        </bottom>
      </border>
    </dxf>
    <dxf>
      <font>
        <b/>
        <i val="0"/>
        <strike val="0"/>
        <condense val="0"/>
        <extend val="0"/>
        <outline val="0"/>
        <shadow val="0"/>
        <u val="none"/>
        <vertAlign val="baseline"/>
        <sz val="11"/>
        <color theme="1"/>
        <name val="Arial"/>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theme="1"/>
        <name val="Arial"/>
        <scheme val="none"/>
      </font>
      <fill>
        <patternFill patternType="solid">
          <fgColor indexed="64"/>
          <bgColor rgb="FFFFFFCC"/>
        </patternFill>
      </fill>
      <alignment horizontal="center"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Arial"/>
        <scheme val="none"/>
      </font>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protection locked="1" hidden="0"/>
    </dxf>
    <dxf>
      <font>
        <b val="0"/>
        <i val="0"/>
        <strike val="0"/>
        <condense val="0"/>
        <extend val="0"/>
        <outline val="0"/>
        <shadow val="0"/>
        <u val="none"/>
        <vertAlign val="baseline"/>
        <sz val="11"/>
        <color theme="1"/>
        <name val="Arial"/>
        <scheme val="none"/>
      </font>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protection locked="1" hidden="0"/>
    </dxf>
    <dxf>
      <font>
        <b val="0"/>
        <i val="0"/>
        <strike val="0"/>
        <condense val="0"/>
        <extend val="0"/>
        <outline val="0"/>
        <shadow val="0"/>
        <u val="none"/>
        <vertAlign val="baseline"/>
        <sz val="11"/>
        <color theme="1"/>
        <name val="Arial"/>
        <scheme val="none"/>
      </font>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protection locked="1" hidden="0"/>
    </dxf>
    <dxf>
      <font>
        <b val="0"/>
        <i val="0"/>
        <strike val="0"/>
        <condense val="0"/>
        <extend val="0"/>
        <outline val="0"/>
        <shadow val="0"/>
        <u val="none"/>
        <vertAlign val="baseline"/>
        <sz val="11"/>
        <color theme="1"/>
        <name val="Arial"/>
        <scheme val="none"/>
      </font>
      <numFmt numFmtId="169" formatCode="[&lt;=9999999]###\-####;\(###\)\ ###\-####"/>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protection locked="1" hidden="0"/>
    </dxf>
    <dxf>
      <numFmt numFmtId="30" formatCode="@"/>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protection locked="1" hidden="0"/>
    </dxf>
    <dxf>
      <font>
        <b val="0"/>
        <i val="0"/>
        <strike val="0"/>
        <condense val="0"/>
        <extend val="0"/>
        <outline val="0"/>
        <shadow val="0"/>
        <u val="none"/>
        <vertAlign val="baseline"/>
        <sz val="11"/>
        <color theme="1"/>
        <name val="Arial"/>
        <scheme val="none"/>
      </font>
      <numFmt numFmtId="30" formatCode="@"/>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protection locked="1" hidden="0"/>
    </dxf>
    <dxf>
      <font>
        <b val="0"/>
        <i val="0"/>
        <strike val="0"/>
        <condense val="0"/>
        <extend val="0"/>
        <outline val="0"/>
        <shadow val="0"/>
        <u val="none"/>
        <vertAlign val="baseline"/>
        <sz val="11"/>
        <color theme="1"/>
        <name val="Arial"/>
        <scheme val="none"/>
      </font>
      <numFmt numFmtId="30" formatCode="@"/>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protection locked="1" hidden="0"/>
    </dxf>
    <dxf>
      <font>
        <b val="0"/>
        <i val="0"/>
        <strike val="0"/>
        <condense val="0"/>
        <extend val="0"/>
        <outline val="0"/>
        <shadow val="0"/>
        <u val="none"/>
        <vertAlign val="baseline"/>
        <sz val="11"/>
        <color theme="1"/>
        <name val="Arial"/>
        <scheme val="none"/>
      </font>
      <numFmt numFmtId="169" formatCode="[&lt;=9999999]###\-####;\(###\)\ ###\-####"/>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protection locked="1" hidden="0"/>
    </dxf>
    <dxf>
      <numFmt numFmtId="30" formatCode="@"/>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protection locked="1" hidden="0"/>
    </dxf>
    <dxf>
      <font>
        <b val="0"/>
        <i val="0"/>
        <strike val="0"/>
        <condense val="0"/>
        <extend val="0"/>
        <outline val="0"/>
        <shadow val="0"/>
        <u val="none"/>
        <vertAlign val="baseline"/>
        <sz val="11"/>
        <color theme="1"/>
        <name val="Arial"/>
        <scheme val="none"/>
      </font>
      <numFmt numFmtId="30" formatCode="@"/>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protection locked="1" hidden="0"/>
    </dxf>
    <dxf>
      <font>
        <b val="0"/>
        <i val="0"/>
        <strike val="0"/>
        <condense val="0"/>
        <extend val="0"/>
        <outline val="0"/>
        <shadow val="0"/>
        <u val="none"/>
        <vertAlign val="baseline"/>
        <sz val="11"/>
        <color theme="1"/>
        <name val="Arial"/>
        <scheme val="none"/>
      </font>
      <numFmt numFmtId="30" formatCode="@"/>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protection locked="1" hidden="0"/>
    </dxf>
    <dxf>
      <font>
        <b val="0"/>
        <i val="0"/>
        <strike val="0"/>
        <condense val="0"/>
        <extend val="0"/>
        <outline val="0"/>
        <shadow val="0"/>
        <u val="none"/>
        <vertAlign val="baseline"/>
        <sz val="11"/>
        <color theme="1"/>
        <name val="Arial"/>
        <scheme val="none"/>
      </font>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protection locked="1" hidden="0"/>
    </dxf>
    <dxf>
      <font>
        <b val="0"/>
        <i val="0"/>
        <strike val="0"/>
        <condense val="0"/>
        <extend val="0"/>
        <outline val="0"/>
        <shadow val="0"/>
        <u val="none"/>
        <vertAlign val="baseline"/>
        <sz val="11"/>
        <color theme="1"/>
        <name val="Arial"/>
        <scheme val="none"/>
      </font>
      <numFmt numFmtId="30" formatCode="@"/>
      <fill>
        <patternFill patternType="solid">
          <fgColor indexed="64"/>
          <bgColor rgb="FFFFFFCC"/>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protection locked="1" hidden="0"/>
    </dxf>
    <dxf>
      <font>
        <b val="0"/>
        <i val="0"/>
        <strike val="0"/>
        <condense val="0"/>
        <extend val="0"/>
        <outline val="0"/>
        <shadow val="0"/>
        <u val="none"/>
        <vertAlign val="baseline"/>
        <sz val="11"/>
        <color theme="1"/>
        <name val="Arial"/>
        <scheme val="none"/>
      </font>
      <numFmt numFmtId="30" formatCode="@"/>
      <fill>
        <patternFill patternType="solid">
          <fgColor indexed="64"/>
          <bgColor rgb="FFFFFFCC"/>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1"/>
        <color theme="1"/>
        <name val="Arial"/>
        <scheme val="none"/>
      </font>
      <numFmt numFmtId="30" formatCode="@"/>
      <fill>
        <patternFill patternType="solid">
          <fgColor indexed="64"/>
          <bgColor rgb="FFFFFFCC"/>
        </patternFill>
      </fill>
      <alignment horizontal="left" vertical="center"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1"/>
        <color theme="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1"/>
        <color theme="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1"/>
        <color theme="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right" vertical="center" textRotation="0" wrapText="1" indent="1" justifyLastLine="0" shrinkToFit="0" readingOrder="0"/>
      <border diagonalUp="0" diagonalDown="0" outline="0">
        <left/>
        <right style="thin">
          <color auto="1"/>
        </right>
        <top style="thin">
          <color auto="1"/>
        </top>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scheme val="none"/>
      </font>
      <fill>
        <patternFill patternType="solid">
          <fgColor indexed="64"/>
          <bgColor rgb="FFFFFFCC"/>
        </patternFill>
      </fill>
      <alignment horizontal="center" vertical="center" textRotation="0" wrapText="1" indent="0" justifyLastLine="0" shrinkToFit="0" readingOrder="0"/>
      <protection locked="1" hidden="0"/>
    </dxf>
    <dxf>
      <border outline="0">
        <bottom style="thin">
          <color indexed="64"/>
        </bottom>
      </border>
    </dxf>
    <dxf>
      <font>
        <b/>
        <i val="0"/>
        <strike val="0"/>
        <condense val="0"/>
        <extend val="0"/>
        <outline val="0"/>
        <shadow val="0"/>
        <u val="none"/>
        <vertAlign val="baseline"/>
        <sz val="11"/>
        <color theme="1"/>
        <name val="Arial"/>
        <scheme val="none"/>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ont>
        <color theme="0"/>
      </font>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92D050"/>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type="path" left="0.5" right="0.5" top="0.5" bottom="0.5">
          <stop position="0">
            <color rgb="FFDDFFE9"/>
          </stop>
          <stop position="1">
            <color theme="0"/>
          </stop>
        </gradientFill>
      </fill>
      <border>
        <left style="thin">
          <color rgb="FF00A33C"/>
        </left>
        <right style="thin">
          <color rgb="FF00A33C"/>
        </right>
        <top style="thin">
          <color rgb="FF00A33C"/>
        </top>
        <bottom style="thin">
          <color rgb="FF00A33C"/>
        </bottom>
      </border>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type="path" left="0.5" right="0.5" top="0.5" bottom="0.5">
          <stop position="0">
            <color rgb="FFDDFFE9"/>
          </stop>
          <stop position="1">
            <color theme="0"/>
          </stop>
        </gradientFill>
      </fill>
      <border>
        <left style="thin">
          <color rgb="FF00A33C"/>
        </left>
        <right style="thin">
          <color rgb="FF00A33C"/>
        </right>
        <top style="thin">
          <color rgb="FF00A33C"/>
        </top>
        <bottom style="thin">
          <color rgb="FF00A33C"/>
        </bottom>
      </border>
    </dxf>
    <dxf>
      <fill>
        <gradientFill type="path" left="0.5" right="0.5" top="0.5" bottom="0.5">
          <stop position="0">
            <color rgb="FFDDFFE9"/>
          </stop>
          <stop position="1">
            <color theme="0"/>
          </stop>
        </gradientFill>
      </fill>
      <border>
        <left style="thin">
          <color rgb="FF00A33C"/>
        </left>
        <right style="thin">
          <color rgb="FF00A33C"/>
        </right>
        <top style="thin">
          <color rgb="FF00A33C"/>
        </top>
        <bottom style="thin">
          <color rgb="FF00A33C"/>
        </bottom>
      </border>
    </dxf>
    <dxf>
      <fill>
        <gradientFill degree="90">
          <stop position="0">
            <color theme="0"/>
          </stop>
          <stop position="1">
            <color rgb="FFFF8585"/>
          </stop>
        </gradientFill>
      </fill>
    </dxf>
    <dxf>
      <fill>
        <gradientFill degree="90">
          <stop position="0">
            <color theme="0"/>
          </stop>
          <stop position="1">
            <color rgb="FFFF8585"/>
          </stop>
        </gradientFill>
      </fill>
    </dxf>
    <dxf>
      <fill>
        <gradientFill type="path" left="0.5" right="0.5" top="0.5" bottom="0.5">
          <stop position="0">
            <color rgb="FFDDFFE9"/>
          </stop>
          <stop position="1">
            <color theme="0"/>
          </stop>
        </gradientFill>
      </fill>
      <border>
        <left style="thin">
          <color rgb="FF00A33C"/>
        </left>
        <right style="thin">
          <color rgb="FF00A33C"/>
        </right>
        <top style="thin">
          <color rgb="FF00A33C"/>
        </top>
        <bottom style="thin">
          <color rgb="FF00A33C"/>
        </bottom>
      </border>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ont>
        <color rgb="FFC00000"/>
      </font>
    </dxf>
    <dxf>
      <font>
        <color rgb="FFC00000"/>
      </font>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ont>
        <color theme="0"/>
      </font>
      <fill>
        <patternFill>
          <bgColor theme="0"/>
        </patternFill>
      </fill>
    </dxf>
    <dxf>
      <font>
        <color theme="0"/>
      </font>
      <fill>
        <patternFill>
          <bgColor theme="0"/>
        </pattern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type="path" left="0.5" right="0.5" top="0.5" bottom="0.5">
          <stop position="0">
            <color rgb="FFDDFFE9"/>
          </stop>
          <stop position="1">
            <color theme="0"/>
          </stop>
        </gradientFill>
      </fill>
      <border>
        <left style="thin">
          <color rgb="FF00A33C"/>
        </left>
        <right style="thin">
          <color rgb="FF00A33C"/>
        </right>
        <top style="thin">
          <color rgb="FF00A33C"/>
        </top>
        <bottom style="thin">
          <color rgb="FF00A33C"/>
        </bottom>
      </border>
    </dxf>
    <dxf>
      <fill>
        <gradientFill type="path" left="0.5" right="0.5" top="0.5" bottom="0.5">
          <stop position="0">
            <color rgb="FFDDFFE9"/>
          </stop>
          <stop position="1">
            <color theme="0"/>
          </stop>
        </gradientFill>
      </fill>
      <border>
        <left style="thin">
          <color rgb="FF00A33C"/>
        </left>
        <right style="thin">
          <color rgb="FF00A33C"/>
        </right>
        <top style="thin">
          <color rgb="FF00A33C"/>
        </top>
        <bottom style="thin">
          <color rgb="FF00A33C"/>
        </bottom>
      </border>
    </dxf>
    <dxf>
      <fill>
        <gradientFill type="path" left="0.5" right="0.5" top="0.5" bottom="0.5">
          <stop position="0">
            <color rgb="FFDDFFE9"/>
          </stop>
          <stop position="1">
            <color theme="0"/>
          </stop>
        </gradientFill>
      </fill>
      <border>
        <left style="thin">
          <color rgb="FF00A33C"/>
        </left>
        <right style="thin">
          <color rgb="FF00A33C"/>
        </right>
        <top style="thin">
          <color rgb="FF00A33C"/>
        </top>
        <bottom style="thin">
          <color rgb="FF00A33C"/>
        </bottom>
      </border>
    </dxf>
    <dxf>
      <fill>
        <gradientFill type="path" left="0.5" right="0.5" top="0.5" bottom="0.5">
          <stop position="0">
            <color rgb="FFDDFFE9"/>
          </stop>
          <stop position="1">
            <color theme="0"/>
          </stop>
        </gradientFill>
      </fill>
      <border>
        <left style="thin">
          <color rgb="FF00A33C"/>
        </left>
        <right style="thin">
          <color rgb="FF00A33C"/>
        </right>
        <top style="thin">
          <color rgb="FF00A33C"/>
        </top>
        <bottom style="thin">
          <color rgb="FF00A33C"/>
        </bottom>
      </border>
    </dxf>
    <dxf>
      <fill>
        <gradientFill type="path" left="0.5" right="0.5" top="0.5" bottom="0.5">
          <stop position="0">
            <color rgb="FFDDFFE9"/>
          </stop>
          <stop position="1">
            <color theme="0"/>
          </stop>
        </gradientFill>
      </fill>
      <border>
        <left style="thin">
          <color rgb="FF00A33C"/>
        </left>
        <right style="thin">
          <color rgb="FF00A33C"/>
        </right>
        <top style="thin">
          <color rgb="FF00A33C"/>
        </top>
        <bottom style="thin">
          <color rgb="FF00A33C"/>
        </bottom>
      </border>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patternFill>
          <bgColor theme="0"/>
        </patternFill>
      </fill>
    </dxf>
    <dxf>
      <fill>
        <gradientFill degree="90">
          <stop position="0">
            <color theme="0"/>
          </stop>
          <stop position="1">
            <color rgb="FFFF4F4F"/>
          </stop>
        </gradientFill>
      </fill>
    </dxf>
    <dxf>
      <fill>
        <patternFill>
          <bgColor theme="0"/>
        </pattern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type="path" left="0.5" right="0.5" top="0.5" bottom="0.5">
          <stop position="0">
            <color rgb="FFDDFFE9"/>
          </stop>
          <stop position="1">
            <color theme="0"/>
          </stop>
        </gradientFill>
      </fill>
      <border>
        <left style="thin">
          <color rgb="FF00A33C"/>
        </left>
        <right style="thin">
          <color rgb="FF00A33C"/>
        </right>
        <top style="thin">
          <color rgb="FF00A33C"/>
        </top>
        <bottom style="thin">
          <color rgb="FF00A33C"/>
        </bottom>
      </border>
    </dxf>
    <dxf>
      <fill>
        <gradientFill type="path" left="0.5" right="0.5" top="0.5" bottom="0.5">
          <stop position="0">
            <color rgb="FFDDFFE9"/>
          </stop>
          <stop position="1">
            <color theme="0"/>
          </stop>
        </gradientFill>
      </fill>
      <border>
        <left style="thin">
          <color rgb="FF00A33C"/>
        </left>
        <right style="thin">
          <color rgb="FF00A33C"/>
        </right>
        <top style="thin">
          <color rgb="FF00A33C"/>
        </top>
        <bottom style="thin">
          <color rgb="FF00A33C"/>
        </bottom>
      </border>
    </dxf>
    <dxf>
      <fill>
        <gradientFill type="path" left="0.5" right="0.5" top="0.5" bottom="0.5">
          <stop position="0">
            <color rgb="FFDDFFE9"/>
          </stop>
          <stop position="1">
            <color theme="0"/>
          </stop>
        </gradientFill>
      </fill>
      <border>
        <left style="thin">
          <color rgb="FF00A33C"/>
        </left>
        <right style="thin">
          <color rgb="FF00A33C"/>
        </right>
        <top style="thin">
          <color rgb="FF00A33C"/>
        </top>
        <bottom style="thin">
          <color rgb="FF00A33C"/>
        </bottom>
      </border>
    </dxf>
    <dxf>
      <font>
        <color theme="0"/>
      </font>
      <fill>
        <patternFill>
          <bgColor rgb="FFFFFFFF"/>
        </patternFill>
      </fill>
    </dxf>
    <dxf>
      <font>
        <color theme="0"/>
      </font>
      <fill>
        <patternFill>
          <bgColor rgb="FFFFFFFF"/>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rgb="FFFFFFFF"/>
        </pattern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theme="5" tint="0.40000610370189521"/>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ill>
        <gradientFill degree="90">
          <stop position="0">
            <color theme="0"/>
          </stop>
          <stop position="1">
            <color rgb="FFFF8585"/>
          </stop>
        </gradientFill>
      </fill>
    </dxf>
    <dxf>
      <font>
        <strike val="0"/>
        <outline val="0"/>
        <shadow val="0"/>
        <u val="none"/>
        <vertAlign val="baseline"/>
        <sz val="11"/>
        <color theme="0" tint="-0.34998626667073579"/>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0" tint="-0.34998626667073579"/>
        <name val="Arial"/>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0" tint="-0.34998626667073579"/>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0" tint="-0.34998626667073579"/>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0" tint="-0.34998626667073579"/>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0" tint="-0.34998626667073579"/>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0" tint="-0.34998626667073579"/>
        <name val="Arial"/>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tint="-0.34998626667073579"/>
        <name val="Arial"/>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0" tint="-0.34998626667073579"/>
        <name val="Arial"/>
        <family val="2"/>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scheme val="none"/>
      </font>
      <alignment horizontal="left" vertical="center"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0" tint="-0.34998626667073579"/>
        <name val="Arial"/>
        <scheme val="none"/>
      </font>
      <numFmt numFmtId="0" formatCode="Genera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vertAlign val="baseline"/>
        <sz val="11"/>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1"/>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1"/>
        <name val="Arial"/>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1"/>
        <name val="Arial"/>
        <scheme val="none"/>
      </font>
      <numFmt numFmtId="0" formatCode="Genera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vertAlign val="baseline"/>
        <sz val="11"/>
        <name val="Arial"/>
        <scheme val="none"/>
      </font>
      <alignment horizontal="left" vertical="center" textRotation="0" wrapText="0" relativeIndent="1" justifyLastLine="0" shrinkToFit="0" readingOrder="0"/>
      <border diagonalUp="0" diagonalDown="0" outline="0">
        <left/>
        <right style="thin">
          <color indexed="64"/>
        </right>
        <top style="thin">
          <color indexed="64"/>
        </top>
        <bottom style="thin">
          <color indexed="64"/>
        </bottom>
      </border>
    </dxf>
    <dxf>
      <font>
        <strike val="0"/>
        <outline val="0"/>
        <shadow val="0"/>
        <vertAlign val="baseline"/>
        <sz val="11"/>
        <name val="Arial"/>
        <scheme val="none"/>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0"/>
        <name val="Arial"/>
        <scheme val="none"/>
      </font>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B050"/>
      </font>
    </dxf>
    <dxf>
      <font>
        <color rgb="FF00B050"/>
      </font>
      <fill>
        <patternFill>
          <bgColor theme="6" tint="0.79998168889431442"/>
        </patternFill>
      </fill>
    </dxf>
    <dxf>
      <font>
        <color rgb="FF00B050"/>
      </font>
      <fill>
        <patternFill>
          <bgColor theme="6" tint="0.79998168889431442"/>
        </patternFill>
      </fill>
    </dxf>
    <dxf>
      <font>
        <color rgb="FF00B050"/>
      </font>
    </dxf>
    <dxf>
      <font>
        <color rgb="FF00B050"/>
      </font>
      <fill>
        <patternFill>
          <bgColor theme="6" tint="0.79998168889431442"/>
        </patternFill>
      </fill>
    </dxf>
    <dxf>
      <font>
        <color rgb="FF00B050"/>
      </font>
      <fill>
        <patternFill>
          <bgColor theme="6" tint="0.79998168889431442"/>
        </patternFill>
      </fill>
    </dxf>
    <dxf>
      <font>
        <color rgb="FF00B050"/>
      </font>
      <fill>
        <patternFill>
          <bgColor theme="6" tint="0.79998168889431442"/>
        </patternFill>
      </fill>
    </dxf>
    <dxf>
      <font>
        <color rgb="FF00B050"/>
      </font>
    </dxf>
    <dxf>
      <font>
        <color rgb="FF00B050"/>
      </font>
      <fill>
        <patternFill>
          <bgColor theme="6" tint="0.79998168889431442"/>
        </patternFill>
      </fill>
    </dxf>
  </dxfs>
  <tableStyles count="0" defaultTableStyle="TableStyleMedium9" defaultPivotStyle="PivotStyleLight16"/>
  <colors>
    <mruColors>
      <color rgb="FF0000FF"/>
      <color rgb="FFFF9393"/>
      <color rgb="FFDEFED6"/>
      <color rgb="FFFFFFCC"/>
      <color rgb="FFFF00FF"/>
      <color rgb="FF66FF66"/>
      <color rgb="FFFF7575"/>
      <color rgb="FFFFCC99"/>
      <color rgb="FFFFC5C5"/>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3.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sharedStrings" Target="sharedString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openxmlformats.org/officeDocument/2006/relationships/sheetMetadata" Target="metadata.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155</xdr:row>
      <xdr:rowOff>123825</xdr:rowOff>
    </xdr:from>
    <xdr:to>
      <xdr:col>10</xdr:col>
      <xdr:colOff>147637</xdr:colOff>
      <xdr:row>194</xdr:row>
      <xdr:rowOff>111761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273844" y="13613606"/>
          <a:ext cx="10834687" cy="8810468"/>
        </a:xfrm>
        <a:prstGeom prst="rect">
          <a:avLst/>
        </a:prstGeom>
        <a:ln w="19050">
          <a:solidFill>
            <a:schemeClr val="accent4">
              <a:lumMod val="60000"/>
              <a:lumOff val="40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123826</xdr:colOff>
      <xdr:row>6</xdr:row>
      <xdr:rowOff>85725</xdr:rowOff>
    </xdr:from>
    <xdr:to>
      <xdr:col>24</xdr:col>
      <xdr:colOff>152401</xdr:colOff>
      <xdr:row>19</xdr:row>
      <xdr:rowOff>19050</xdr:rowOff>
    </xdr:to>
    <xdr:pic>
      <xdr:nvPicPr>
        <xdr:cNvPr id="2" name="Picture 1">
          <a:extLst>
            <a:ext uri="{FF2B5EF4-FFF2-40B4-BE49-F238E27FC236}">
              <a16:creationId xmlns:a16="http://schemas.microsoft.com/office/drawing/2014/main" id="{00000000-0008-0000-0200-000002000000}"/>
            </a:ext>
            <a:ext uri="{C183D7F6-B498-43B3-948B-1728B52AA6E4}">
              <adec:decorative xmlns:adec="http://schemas.microsoft.com/office/drawing/2017/decorative" val="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3990976" y="1990725"/>
          <a:ext cx="2514600" cy="2409825"/>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1114425</xdr:colOff>
      <xdr:row>12</xdr:row>
      <xdr:rowOff>57150</xdr:rowOff>
    </xdr:from>
    <xdr:to>
      <xdr:col>7</xdr:col>
      <xdr:colOff>295</xdr:colOff>
      <xdr:row>24</xdr:row>
      <xdr:rowOff>86048</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581900" y="2343150"/>
          <a:ext cx="2114845" cy="23148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30</xdr:col>
          <xdr:colOff>0</xdr:colOff>
          <xdr:row>25</xdr:row>
          <xdr:rowOff>22860</xdr:rowOff>
        </xdr:from>
        <xdr:to>
          <xdr:col>42</xdr:col>
          <xdr:colOff>342900</xdr:colOff>
          <xdr:row>60</xdr:row>
          <xdr:rowOff>30480</xdr:rowOff>
        </xdr:to>
        <xdr:sp macro="" textlink="">
          <xdr:nvSpPr>
            <xdr:cNvPr id="458753" name="Group Box 1" hidden="1">
              <a:extLst>
                <a:ext uri="{63B3BB69-23CF-44E3-9099-C40C66FF867C}">
                  <a14:compatExt spid="_x0000_s458753"/>
                </a:ext>
                <a:ext uri="{FF2B5EF4-FFF2-40B4-BE49-F238E27FC236}">
                  <a16:creationId xmlns:a16="http://schemas.microsoft.com/office/drawing/2014/main" id="{00000000-0008-0000-1100-00000100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24</xdr:row>
          <xdr:rowOff>0</xdr:rowOff>
        </xdr:from>
        <xdr:to>
          <xdr:col>42</xdr:col>
          <xdr:colOff>342900</xdr:colOff>
          <xdr:row>60</xdr:row>
          <xdr:rowOff>45720</xdr:rowOff>
        </xdr:to>
        <xdr:sp macro="" textlink="">
          <xdr:nvSpPr>
            <xdr:cNvPr id="458754" name="Group Box 2" hidden="1">
              <a:extLst>
                <a:ext uri="{63B3BB69-23CF-44E3-9099-C40C66FF867C}">
                  <a14:compatExt spid="_x0000_s458754"/>
                </a:ext>
                <a:ext uri="{FF2B5EF4-FFF2-40B4-BE49-F238E27FC236}">
                  <a16:creationId xmlns:a16="http://schemas.microsoft.com/office/drawing/2014/main" id="{00000000-0008-0000-1100-00000200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41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7620</xdr:colOff>
          <xdr:row>26</xdr:row>
          <xdr:rowOff>7620</xdr:rowOff>
        </xdr:from>
        <xdr:to>
          <xdr:col>42</xdr:col>
          <xdr:colOff>297180</xdr:colOff>
          <xdr:row>60</xdr:row>
          <xdr:rowOff>68580</xdr:rowOff>
        </xdr:to>
        <xdr:sp macro="" textlink="">
          <xdr:nvSpPr>
            <xdr:cNvPr id="458755" name="Group Box 3" hidden="1">
              <a:extLst>
                <a:ext uri="{63B3BB69-23CF-44E3-9099-C40C66FF867C}">
                  <a14:compatExt spid="_x0000_s458755"/>
                </a:ext>
                <a:ext uri="{FF2B5EF4-FFF2-40B4-BE49-F238E27FC236}">
                  <a16:creationId xmlns:a16="http://schemas.microsoft.com/office/drawing/2014/main" id="{00000000-0008-0000-1100-00000300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44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24</xdr:row>
          <xdr:rowOff>0</xdr:rowOff>
        </xdr:from>
        <xdr:to>
          <xdr:col>42</xdr:col>
          <xdr:colOff>342900</xdr:colOff>
          <xdr:row>60</xdr:row>
          <xdr:rowOff>45720</xdr:rowOff>
        </xdr:to>
        <xdr:sp macro="" textlink="">
          <xdr:nvSpPr>
            <xdr:cNvPr id="458756" name="Group Box 4" hidden="1">
              <a:extLst>
                <a:ext uri="{63B3BB69-23CF-44E3-9099-C40C66FF867C}">
                  <a14:compatExt spid="_x0000_s458756"/>
                </a:ext>
                <a:ext uri="{FF2B5EF4-FFF2-40B4-BE49-F238E27FC236}">
                  <a16:creationId xmlns:a16="http://schemas.microsoft.com/office/drawing/2014/main" id="{00000000-0008-0000-1100-00000400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41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25</xdr:row>
          <xdr:rowOff>0</xdr:rowOff>
        </xdr:from>
        <xdr:to>
          <xdr:col>42</xdr:col>
          <xdr:colOff>342900</xdr:colOff>
          <xdr:row>60</xdr:row>
          <xdr:rowOff>45720</xdr:rowOff>
        </xdr:to>
        <xdr:sp macro="" textlink="">
          <xdr:nvSpPr>
            <xdr:cNvPr id="458757" name="Group Box 5" hidden="1">
              <a:extLst>
                <a:ext uri="{63B3BB69-23CF-44E3-9099-C40C66FF867C}">
                  <a14:compatExt spid="_x0000_s458757"/>
                </a:ext>
                <a:ext uri="{FF2B5EF4-FFF2-40B4-BE49-F238E27FC236}">
                  <a16:creationId xmlns:a16="http://schemas.microsoft.com/office/drawing/2014/main" id="{00000000-0008-0000-1100-00000500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41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25</xdr:row>
          <xdr:rowOff>0</xdr:rowOff>
        </xdr:from>
        <xdr:to>
          <xdr:col>42</xdr:col>
          <xdr:colOff>342900</xdr:colOff>
          <xdr:row>60</xdr:row>
          <xdr:rowOff>45720</xdr:rowOff>
        </xdr:to>
        <xdr:sp macro="" textlink="">
          <xdr:nvSpPr>
            <xdr:cNvPr id="458758" name="Group Box 6" hidden="1">
              <a:extLst>
                <a:ext uri="{63B3BB69-23CF-44E3-9099-C40C66FF867C}">
                  <a14:compatExt spid="_x0000_s458758"/>
                </a:ext>
                <a:ext uri="{FF2B5EF4-FFF2-40B4-BE49-F238E27FC236}">
                  <a16:creationId xmlns:a16="http://schemas.microsoft.com/office/drawing/2014/main" id="{00000000-0008-0000-1100-00000600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41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26</xdr:row>
          <xdr:rowOff>0</xdr:rowOff>
        </xdr:from>
        <xdr:to>
          <xdr:col>42</xdr:col>
          <xdr:colOff>342900</xdr:colOff>
          <xdr:row>60</xdr:row>
          <xdr:rowOff>45720</xdr:rowOff>
        </xdr:to>
        <xdr:sp macro="" textlink="">
          <xdr:nvSpPr>
            <xdr:cNvPr id="458759" name="Group Box 7" hidden="1">
              <a:extLst>
                <a:ext uri="{63B3BB69-23CF-44E3-9099-C40C66FF867C}">
                  <a14:compatExt spid="_x0000_s458759"/>
                </a:ext>
                <a:ext uri="{FF2B5EF4-FFF2-40B4-BE49-F238E27FC236}">
                  <a16:creationId xmlns:a16="http://schemas.microsoft.com/office/drawing/2014/main" id="{00000000-0008-0000-1100-00000700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41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26</xdr:row>
          <xdr:rowOff>0</xdr:rowOff>
        </xdr:from>
        <xdr:to>
          <xdr:col>42</xdr:col>
          <xdr:colOff>342900</xdr:colOff>
          <xdr:row>60</xdr:row>
          <xdr:rowOff>45720</xdr:rowOff>
        </xdr:to>
        <xdr:sp macro="" textlink="">
          <xdr:nvSpPr>
            <xdr:cNvPr id="458760" name="Group Box 8" hidden="1">
              <a:extLst>
                <a:ext uri="{63B3BB69-23CF-44E3-9099-C40C66FF867C}">
                  <a14:compatExt spid="_x0000_s458760"/>
                </a:ext>
                <a:ext uri="{FF2B5EF4-FFF2-40B4-BE49-F238E27FC236}">
                  <a16:creationId xmlns:a16="http://schemas.microsoft.com/office/drawing/2014/main" id="{00000000-0008-0000-1100-00000800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41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24</xdr:row>
          <xdr:rowOff>0</xdr:rowOff>
        </xdr:from>
        <xdr:to>
          <xdr:col>42</xdr:col>
          <xdr:colOff>342900</xdr:colOff>
          <xdr:row>60</xdr:row>
          <xdr:rowOff>45720</xdr:rowOff>
        </xdr:to>
        <xdr:sp macro="" textlink="">
          <xdr:nvSpPr>
            <xdr:cNvPr id="458761" name="Group Box 9" hidden="1">
              <a:extLst>
                <a:ext uri="{63B3BB69-23CF-44E3-9099-C40C66FF867C}">
                  <a14:compatExt spid="_x0000_s458761"/>
                </a:ext>
                <a:ext uri="{FF2B5EF4-FFF2-40B4-BE49-F238E27FC236}">
                  <a16:creationId xmlns:a16="http://schemas.microsoft.com/office/drawing/2014/main" id="{00000000-0008-0000-1100-00000900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41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24</xdr:row>
          <xdr:rowOff>0</xdr:rowOff>
        </xdr:from>
        <xdr:to>
          <xdr:col>42</xdr:col>
          <xdr:colOff>342900</xdr:colOff>
          <xdr:row>60</xdr:row>
          <xdr:rowOff>45720</xdr:rowOff>
        </xdr:to>
        <xdr:sp macro="" textlink="">
          <xdr:nvSpPr>
            <xdr:cNvPr id="458762" name="Group Box 10" hidden="1">
              <a:extLst>
                <a:ext uri="{63B3BB69-23CF-44E3-9099-C40C66FF867C}">
                  <a14:compatExt spid="_x0000_s458762"/>
                </a:ext>
                <a:ext uri="{FF2B5EF4-FFF2-40B4-BE49-F238E27FC236}">
                  <a16:creationId xmlns:a16="http://schemas.microsoft.com/office/drawing/2014/main" id="{00000000-0008-0000-1100-00000A00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41</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qfiles\groups\DFA\Programs\VHHP\4.%20VHHP%20Round%203%20(12-14-16)%20Planning\Application\Copy%20of%20universalapplication.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QFILES\groups\CA\AMC-RHDS%20P&amp;P%20Task%20Force\Universal%20Application\Core%20UA%2008-24-10%20unprotected.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qfiles\groups\Users\grodine\Downloads\universalapplic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eneral "/>
      <sheetName val="Narrative "/>
      <sheetName val="Contacts"/>
      <sheetName val="Site &amp; Units"/>
      <sheetName val="Misc."/>
      <sheetName val="Rents "/>
      <sheetName val="VHHP Rents"/>
      <sheetName val="Subsidies"/>
      <sheetName val="Dev Sources"/>
      <sheetName val="Dev Budget"/>
      <sheetName val="Perm S&amp;U"/>
      <sheetName val="Operating "/>
      <sheetName val="Cash Flow"/>
      <sheetName val="VHHP Cash Flow"/>
      <sheetName val="Experience"/>
      <sheetName val="Certifications"/>
      <sheetName val="Legal Status"/>
      <sheetName val="Narrative-Concat."/>
      <sheetName val="SD_Dropdowns"/>
      <sheetName val="Drop Down"/>
      <sheetName val="Contact Names Formula"/>
      <sheetName val="MAPPING"/>
    </sheetNames>
    <sheetDataSet>
      <sheetData sheetId="0" refreshError="1"/>
      <sheetData sheetId="1"/>
      <sheetData sheetId="2" refreshError="1"/>
      <sheetData sheetId="3" refreshError="1"/>
      <sheetData sheetId="4" refreshError="1"/>
      <sheetData sheetId="5">
        <row r="15">
          <cell r="I15">
            <v>0</v>
          </cell>
        </row>
      </sheetData>
      <sheetData sheetId="6">
        <row r="25">
          <cell r="Z25">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1</v>
          </cell>
          <cell r="C2">
            <v>1</v>
          </cell>
          <cell r="E2">
            <v>1</v>
          </cell>
          <cell r="G2" t="str">
            <v>AK</v>
          </cell>
        </row>
        <row r="3">
          <cell r="A3">
            <v>2</v>
          </cell>
          <cell r="C3">
            <v>2</v>
          </cell>
          <cell r="E3">
            <v>2</v>
          </cell>
          <cell r="G3" t="str">
            <v>AL</v>
          </cell>
        </row>
        <row r="4">
          <cell r="A4">
            <v>3</v>
          </cell>
          <cell r="C4">
            <v>3</v>
          </cell>
          <cell r="E4">
            <v>3</v>
          </cell>
          <cell r="G4" t="str">
            <v>AR</v>
          </cell>
        </row>
        <row r="5">
          <cell r="A5">
            <v>4</v>
          </cell>
          <cell r="C5">
            <v>4</v>
          </cell>
          <cell r="E5">
            <v>4</v>
          </cell>
          <cell r="G5" t="str">
            <v>AZ</v>
          </cell>
        </row>
        <row r="6">
          <cell r="A6">
            <v>5</v>
          </cell>
          <cell r="C6">
            <v>5</v>
          </cell>
          <cell r="E6">
            <v>5</v>
          </cell>
          <cell r="G6" t="str">
            <v>CA</v>
          </cell>
        </row>
        <row r="7">
          <cell r="A7">
            <v>6</v>
          </cell>
          <cell r="C7">
            <v>6</v>
          </cell>
          <cell r="E7">
            <v>6</v>
          </cell>
          <cell r="G7" t="str">
            <v>CO</v>
          </cell>
        </row>
        <row r="8">
          <cell r="A8">
            <v>7</v>
          </cell>
          <cell r="C8">
            <v>7</v>
          </cell>
          <cell r="E8">
            <v>7</v>
          </cell>
          <cell r="G8" t="str">
            <v>CT</v>
          </cell>
        </row>
        <row r="9">
          <cell r="A9">
            <v>8</v>
          </cell>
          <cell r="C9">
            <v>8</v>
          </cell>
          <cell r="E9">
            <v>8</v>
          </cell>
          <cell r="G9" t="str">
            <v>DC</v>
          </cell>
        </row>
        <row r="10">
          <cell r="A10">
            <v>9</v>
          </cell>
          <cell r="C10">
            <v>9</v>
          </cell>
          <cell r="E10">
            <v>9</v>
          </cell>
          <cell r="G10" t="str">
            <v>DE</v>
          </cell>
        </row>
        <row r="11">
          <cell r="A11">
            <v>10</v>
          </cell>
          <cell r="C11">
            <v>10</v>
          </cell>
          <cell r="E11">
            <v>10</v>
          </cell>
          <cell r="G11" t="str">
            <v>FL</v>
          </cell>
        </row>
        <row r="12">
          <cell r="A12">
            <v>11</v>
          </cell>
          <cell r="C12">
            <v>11</v>
          </cell>
          <cell r="E12">
            <v>11</v>
          </cell>
          <cell r="G12" t="str">
            <v>GA</v>
          </cell>
        </row>
        <row r="13">
          <cell r="A13">
            <v>12</v>
          </cell>
          <cell r="C13">
            <v>12</v>
          </cell>
          <cell r="E13">
            <v>12</v>
          </cell>
          <cell r="G13" t="str">
            <v>HI</v>
          </cell>
        </row>
        <row r="14">
          <cell r="A14">
            <v>13</v>
          </cell>
          <cell r="C14">
            <v>13</v>
          </cell>
          <cell r="E14">
            <v>13</v>
          </cell>
          <cell r="G14" t="str">
            <v>IA</v>
          </cell>
        </row>
        <row r="15">
          <cell r="A15">
            <v>14</v>
          </cell>
          <cell r="C15">
            <v>14</v>
          </cell>
          <cell r="E15">
            <v>14</v>
          </cell>
          <cell r="G15" t="str">
            <v>ID</v>
          </cell>
        </row>
        <row r="16">
          <cell r="A16">
            <v>15</v>
          </cell>
          <cell r="C16">
            <v>15</v>
          </cell>
          <cell r="E16">
            <v>15</v>
          </cell>
          <cell r="G16" t="str">
            <v>IL</v>
          </cell>
        </row>
        <row r="17">
          <cell r="A17">
            <v>16</v>
          </cell>
          <cell r="C17">
            <v>16</v>
          </cell>
          <cell r="E17">
            <v>16</v>
          </cell>
          <cell r="G17" t="str">
            <v>IN</v>
          </cell>
        </row>
        <row r="18">
          <cell r="A18">
            <v>17</v>
          </cell>
          <cell r="C18">
            <v>17</v>
          </cell>
          <cell r="E18">
            <v>17</v>
          </cell>
          <cell r="G18" t="str">
            <v>KS</v>
          </cell>
        </row>
        <row r="19">
          <cell r="A19">
            <v>18</v>
          </cell>
          <cell r="C19">
            <v>18</v>
          </cell>
          <cell r="E19">
            <v>18</v>
          </cell>
          <cell r="G19" t="str">
            <v>KY</v>
          </cell>
        </row>
        <row r="20">
          <cell r="A20">
            <v>19</v>
          </cell>
          <cell r="C20">
            <v>19</v>
          </cell>
          <cell r="E20">
            <v>19</v>
          </cell>
          <cell r="G20" t="str">
            <v>LA</v>
          </cell>
        </row>
        <row r="21">
          <cell r="A21">
            <v>20</v>
          </cell>
          <cell r="C21">
            <v>20</v>
          </cell>
          <cell r="E21">
            <v>20</v>
          </cell>
          <cell r="G21" t="str">
            <v>MA</v>
          </cell>
        </row>
        <row r="22">
          <cell r="A22">
            <v>22</v>
          </cell>
          <cell r="C22">
            <v>22</v>
          </cell>
          <cell r="E22">
            <v>21</v>
          </cell>
          <cell r="G22" t="str">
            <v>MD</v>
          </cell>
        </row>
        <row r="23">
          <cell r="A23">
            <v>23</v>
          </cell>
          <cell r="C23">
            <v>23</v>
          </cell>
          <cell r="E23">
            <v>22</v>
          </cell>
          <cell r="G23" t="str">
            <v>ME</v>
          </cell>
        </row>
        <row r="24">
          <cell r="A24">
            <v>24</v>
          </cell>
          <cell r="C24">
            <v>24</v>
          </cell>
          <cell r="E24">
            <v>23</v>
          </cell>
          <cell r="G24" t="str">
            <v>MI</v>
          </cell>
        </row>
        <row r="25">
          <cell r="A25">
            <v>25</v>
          </cell>
          <cell r="C25">
            <v>25</v>
          </cell>
          <cell r="E25">
            <v>24</v>
          </cell>
          <cell r="G25" t="str">
            <v>MN</v>
          </cell>
        </row>
        <row r="26">
          <cell r="A26">
            <v>26</v>
          </cell>
          <cell r="C26">
            <v>26</v>
          </cell>
          <cell r="E26">
            <v>25</v>
          </cell>
          <cell r="G26" t="str">
            <v>MO</v>
          </cell>
        </row>
        <row r="27">
          <cell r="A27">
            <v>27</v>
          </cell>
          <cell r="C27">
            <v>27</v>
          </cell>
          <cell r="E27">
            <v>26</v>
          </cell>
          <cell r="G27" t="str">
            <v>MS</v>
          </cell>
        </row>
        <row r="28">
          <cell r="A28">
            <v>28</v>
          </cell>
          <cell r="C28">
            <v>28</v>
          </cell>
          <cell r="E28">
            <v>27</v>
          </cell>
          <cell r="G28" t="str">
            <v>MT</v>
          </cell>
        </row>
        <row r="29">
          <cell r="A29">
            <v>29</v>
          </cell>
          <cell r="C29">
            <v>29</v>
          </cell>
          <cell r="E29">
            <v>28</v>
          </cell>
          <cell r="G29" t="str">
            <v>NC</v>
          </cell>
        </row>
        <row r="30">
          <cell r="A30">
            <v>30</v>
          </cell>
          <cell r="C30">
            <v>30</v>
          </cell>
          <cell r="E30">
            <v>29</v>
          </cell>
          <cell r="G30" t="str">
            <v>ND</v>
          </cell>
        </row>
        <row r="31">
          <cell r="A31">
            <v>31</v>
          </cell>
          <cell r="C31">
            <v>31</v>
          </cell>
          <cell r="E31">
            <v>30</v>
          </cell>
          <cell r="G31" t="str">
            <v>NE</v>
          </cell>
        </row>
        <row r="32">
          <cell r="A32">
            <v>32</v>
          </cell>
          <cell r="C32">
            <v>32</v>
          </cell>
          <cell r="E32">
            <v>31</v>
          </cell>
          <cell r="G32" t="str">
            <v>NH</v>
          </cell>
        </row>
        <row r="33">
          <cell r="A33">
            <v>33</v>
          </cell>
          <cell r="C33">
            <v>33</v>
          </cell>
          <cell r="E33">
            <v>32</v>
          </cell>
          <cell r="G33" t="str">
            <v>NJ</v>
          </cell>
        </row>
        <row r="34">
          <cell r="A34">
            <v>34</v>
          </cell>
          <cell r="C34">
            <v>34</v>
          </cell>
          <cell r="E34">
            <v>33</v>
          </cell>
          <cell r="G34" t="str">
            <v>NM</v>
          </cell>
        </row>
        <row r="35">
          <cell r="A35">
            <v>35</v>
          </cell>
          <cell r="C35">
            <v>35</v>
          </cell>
          <cell r="E35">
            <v>34</v>
          </cell>
          <cell r="G35" t="str">
            <v>NV</v>
          </cell>
        </row>
        <row r="36">
          <cell r="A36">
            <v>36</v>
          </cell>
          <cell r="C36">
            <v>36</v>
          </cell>
          <cell r="E36">
            <v>35</v>
          </cell>
          <cell r="G36" t="str">
            <v>NY</v>
          </cell>
        </row>
        <row r="37">
          <cell r="A37">
            <v>37</v>
          </cell>
          <cell r="C37">
            <v>37</v>
          </cell>
          <cell r="E37">
            <v>36</v>
          </cell>
          <cell r="G37" t="str">
            <v>OH</v>
          </cell>
        </row>
        <row r="38">
          <cell r="A38">
            <v>38</v>
          </cell>
          <cell r="C38">
            <v>38</v>
          </cell>
          <cell r="E38">
            <v>37</v>
          </cell>
          <cell r="G38" t="str">
            <v>OK</v>
          </cell>
        </row>
        <row r="39">
          <cell r="A39">
            <v>39</v>
          </cell>
          <cell r="C39">
            <v>39</v>
          </cell>
          <cell r="E39">
            <v>38</v>
          </cell>
          <cell r="G39" t="str">
            <v>OR</v>
          </cell>
        </row>
        <row r="40">
          <cell r="A40">
            <v>40</v>
          </cell>
          <cell r="C40">
            <v>40</v>
          </cell>
          <cell r="E40">
            <v>39</v>
          </cell>
          <cell r="G40" t="str">
            <v>PA</v>
          </cell>
        </row>
        <row r="41">
          <cell r="A41">
            <v>41</v>
          </cell>
          <cell r="E41">
            <v>40</v>
          </cell>
          <cell r="G41" t="str">
            <v>RI</v>
          </cell>
        </row>
        <row r="42">
          <cell r="A42">
            <v>42</v>
          </cell>
          <cell r="E42">
            <v>41</v>
          </cell>
          <cell r="G42" t="str">
            <v>SC</v>
          </cell>
        </row>
        <row r="43">
          <cell r="A43">
            <v>43</v>
          </cell>
          <cell r="E43">
            <v>42</v>
          </cell>
          <cell r="G43" t="str">
            <v>SD</v>
          </cell>
        </row>
        <row r="44">
          <cell r="A44">
            <v>44</v>
          </cell>
          <cell r="E44">
            <v>43</v>
          </cell>
          <cell r="G44" t="str">
            <v>TN</v>
          </cell>
        </row>
        <row r="45">
          <cell r="A45">
            <v>45</v>
          </cell>
          <cell r="E45">
            <v>44</v>
          </cell>
          <cell r="G45" t="str">
            <v>TX</v>
          </cell>
        </row>
        <row r="46">
          <cell r="A46">
            <v>46</v>
          </cell>
          <cell r="E46">
            <v>45</v>
          </cell>
          <cell r="G46" t="str">
            <v>UT</v>
          </cell>
        </row>
        <row r="47">
          <cell r="A47">
            <v>47</v>
          </cell>
          <cell r="E47">
            <v>46</v>
          </cell>
          <cell r="G47" t="str">
            <v>VA</v>
          </cell>
        </row>
        <row r="48">
          <cell r="A48">
            <v>48</v>
          </cell>
          <cell r="E48">
            <v>47</v>
          </cell>
          <cell r="G48" t="str">
            <v>VT</v>
          </cell>
        </row>
        <row r="49">
          <cell r="A49">
            <v>49</v>
          </cell>
          <cell r="E49">
            <v>48</v>
          </cell>
          <cell r="G49" t="str">
            <v>WA</v>
          </cell>
        </row>
        <row r="50">
          <cell r="A50">
            <v>50</v>
          </cell>
          <cell r="E50">
            <v>49</v>
          </cell>
          <cell r="G50" t="str">
            <v>WI</v>
          </cell>
        </row>
        <row r="51">
          <cell r="A51">
            <v>51</v>
          </cell>
          <cell r="E51">
            <v>50</v>
          </cell>
          <cell r="G51" t="str">
            <v>WV</v>
          </cell>
        </row>
        <row r="52">
          <cell r="A52">
            <v>52</v>
          </cell>
          <cell r="E52">
            <v>51</v>
          </cell>
          <cell r="G52" t="str">
            <v>WY</v>
          </cell>
        </row>
        <row r="53">
          <cell r="E53">
            <v>52</v>
          </cell>
        </row>
        <row r="54">
          <cell r="E54">
            <v>53</v>
          </cell>
        </row>
        <row r="55">
          <cell r="E55">
            <v>54</v>
          </cell>
        </row>
        <row r="56">
          <cell r="E56">
            <v>55</v>
          </cell>
        </row>
        <row r="57">
          <cell r="E57">
            <v>56</v>
          </cell>
        </row>
        <row r="58">
          <cell r="E58">
            <v>57</v>
          </cell>
        </row>
        <row r="59">
          <cell r="E59">
            <v>58</v>
          </cell>
        </row>
        <row r="60">
          <cell r="E60">
            <v>59</v>
          </cell>
        </row>
        <row r="61">
          <cell r="E61">
            <v>60</v>
          </cell>
        </row>
        <row r="62">
          <cell r="E62">
            <v>61</v>
          </cell>
        </row>
        <row r="63">
          <cell r="E63">
            <v>62</v>
          </cell>
        </row>
        <row r="64">
          <cell r="E64">
            <v>63</v>
          </cell>
        </row>
        <row r="65">
          <cell r="E65">
            <v>64</v>
          </cell>
        </row>
        <row r="66">
          <cell r="E66">
            <v>65</v>
          </cell>
        </row>
        <row r="67">
          <cell r="E67">
            <v>66</v>
          </cell>
        </row>
        <row r="68">
          <cell r="E68">
            <v>67</v>
          </cell>
        </row>
        <row r="69">
          <cell r="E69">
            <v>68</v>
          </cell>
        </row>
        <row r="70">
          <cell r="E70">
            <v>69</v>
          </cell>
        </row>
        <row r="71">
          <cell r="E71">
            <v>70</v>
          </cell>
        </row>
        <row r="72">
          <cell r="E72">
            <v>71</v>
          </cell>
        </row>
        <row r="73">
          <cell r="E73">
            <v>72</v>
          </cell>
        </row>
        <row r="74">
          <cell r="E74">
            <v>73</v>
          </cell>
        </row>
        <row r="75">
          <cell r="E75">
            <v>74</v>
          </cell>
        </row>
        <row r="76">
          <cell r="E76">
            <v>75</v>
          </cell>
        </row>
        <row r="77">
          <cell r="E77">
            <v>76</v>
          </cell>
        </row>
        <row r="78">
          <cell r="E78">
            <v>77</v>
          </cell>
        </row>
        <row r="79">
          <cell r="E79">
            <v>78</v>
          </cell>
        </row>
        <row r="80">
          <cell r="E80">
            <v>79</v>
          </cell>
        </row>
        <row r="81">
          <cell r="E81">
            <v>80</v>
          </cell>
        </row>
      </sheetData>
      <sheetData sheetId="20">
        <row r="3">
          <cell r="B3" t="str">
            <v>20% at 50%</v>
          </cell>
        </row>
      </sheetData>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eneral "/>
      <sheetName val="Narrative "/>
      <sheetName val="Contacts"/>
      <sheetName val="Site &amp; Units"/>
      <sheetName val="Misc."/>
      <sheetName val="Rents "/>
      <sheetName val="Subsidies"/>
      <sheetName val="Dev Sources"/>
      <sheetName val="Dev Budget"/>
      <sheetName val="Perm S&amp;U"/>
      <sheetName val="Operating "/>
      <sheetName val="Cash Flow"/>
      <sheetName val="Experience"/>
      <sheetName val="Certifications"/>
      <sheetName val="Legal Status"/>
      <sheetName val="Narrative-Concat."/>
      <sheetName val="SD_Dropdowns"/>
      <sheetName val="Drop Down"/>
      <sheetName val="Contact Names Formula"/>
    </sheetNames>
    <sheetDataSet>
      <sheetData sheetId="0"/>
      <sheetData sheetId="1"/>
      <sheetData sheetId="2"/>
      <sheetData sheetId="3"/>
      <sheetData sheetId="4"/>
      <sheetData sheetId="5"/>
      <sheetData sheetId="6">
        <row r="25">
          <cell r="Z25">
            <v>0.5</v>
          </cell>
        </row>
      </sheetData>
      <sheetData sheetId="7"/>
      <sheetData sheetId="8"/>
      <sheetData sheetId="9"/>
      <sheetData sheetId="10"/>
      <sheetData sheetId="11"/>
      <sheetData sheetId="12"/>
      <sheetData sheetId="13"/>
      <sheetData sheetId="14"/>
      <sheetData sheetId="15"/>
      <sheetData sheetId="16"/>
      <sheetData sheetId="17">
        <row r="2">
          <cell r="A2">
            <v>1</v>
          </cell>
          <cell r="C2">
            <v>1</v>
          </cell>
          <cell r="E2">
            <v>1</v>
          </cell>
          <cell r="G2" t="str">
            <v>AK</v>
          </cell>
        </row>
        <row r="3">
          <cell r="A3">
            <v>2</v>
          </cell>
          <cell r="C3">
            <v>2</v>
          </cell>
          <cell r="E3">
            <v>2</v>
          </cell>
          <cell r="G3" t="str">
            <v>AL</v>
          </cell>
        </row>
        <row r="4">
          <cell r="A4">
            <v>3</v>
          </cell>
          <cell r="C4">
            <v>3</v>
          </cell>
          <cell r="E4">
            <v>3</v>
          </cell>
          <cell r="G4" t="str">
            <v>AR</v>
          </cell>
        </row>
        <row r="5">
          <cell r="A5">
            <v>4</v>
          </cell>
          <cell r="C5">
            <v>4</v>
          </cell>
          <cell r="E5">
            <v>4</v>
          </cell>
          <cell r="G5" t="str">
            <v>AZ</v>
          </cell>
        </row>
        <row r="6">
          <cell r="A6">
            <v>5</v>
          </cell>
          <cell r="C6">
            <v>5</v>
          </cell>
          <cell r="E6">
            <v>5</v>
          </cell>
          <cell r="G6" t="str">
            <v>CA</v>
          </cell>
        </row>
        <row r="7">
          <cell r="A7">
            <v>6</v>
          </cell>
          <cell r="C7">
            <v>6</v>
          </cell>
          <cell r="E7">
            <v>6</v>
          </cell>
          <cell r="G7" t="str">
            <v>CO</v>
          </cell>
        </row>
        <row r="8">
          <cell r="A8">
            <v>7</v>
          </cell>
          <cell r="C8">
            <v>7</v>
          </cell>
          <cell r="E8">
            <v>7</v>
          </cell>
          <cell r="G8" t="str">
            <v>CT</v>
          </cell>
        </row>
        <row r="9">
          <cell r="A9">
            <v>8</v>
          </cell>
          <cell r="C9">
            <v>8</v>
          </cell>
          <cell r="E9">
            <v>8</v>
          </cell>
          <cell r="G9" t="str">
            <v>DC</v>
          </cell>
        </row>
        <row r="10">
          <cell r="A10">
            <v>9</v>
          </cell>
          <cell r="C10">
            <v>9</v>
          </cell>
          <cell r="E10">
            <v>9</v>
          </cell>
          <cell r="G10" t="str">
            <v>DE</v>
          </cell>
        </row>
        <row r="11">
          <cell r="A11">
            <v>10</v>
          </cell>
          <cell r="C11">
            <v>10</v>
          </cell>
          <cell r="E11">
            <v>10</v>
          </cell>
          <cell r="G11" t="str">
            <v>FL</v>
          </cell>
        </row>
        <row r="12">
          <cell r="A12">
            <v>11</v>
          </cell>
          <cell r="C12">
            <v>11</v>
          </cell>
          <cell r="E12">
            <v>11</v>
          </cell>
          <cell r="G12" t="str">
            <v>GA</v>
          </cell>
        </row>
        <row r="13">
          <cell r="A13">
            <v>12</v>
          </cell>
          <cell r="C13">
            <v>12</v>
          </cell>
          <cell r="E13">
            <v>12</v>
          </cell>
          <cell r="G13" t="str">
            <v>HI</v>
          </cell>
        </row>
        <row r="14">
          <cell r="A14">
            <v>13</v>
          </cell>
          <cell r="C14">
            <v>13</v>
          </cell>
          <cell r="E14">
            <v>13</v>
          </cell>
          <cell r="G14" t="str">
            <v>IA</v>
          </cell>
        </row>
        <row r="15">
          <cell r="A15">
            <v>14</v>
          </cell>
          <cell r="C15">
            <v>14</v>
          </cell>
          <cell r="E15">
            <v>14</v>
          </cell>
          <cell r="G15" t="str">
            <v>ID</v>
          </cell>
        </row>
        <row r="16">
          <cell r="A16">
            <v>15</v>
          </cell>
          <cell r="C16">
            <v>15</v>
          </cell>
          <cell r="E16">
            <v>15</v>
          </cell>
          <cell r="G16" t="str">
            <v>IL</v>
          </cell>
        </row>
        <row r="17">
          <cell r="A17">
            <v>16</v>
          </cell>
          <cell r="C17">
            <v>16</v>
          </cell>
          <cell r="E17">
            <v>16</v>
          </cell>
          <cell r="G17" t="str">
            <v>IN</v>
          </cell>
        </row>
        <row r="18">
          <cell r="A18">
            <v>17</v>
          </cell>
          <cell r="C18">
            <v>17</v>
          </cell>
          <cell r="E18">
            <v>17</v>
          </cell>
          <cell r="G18" t="str">
            <v>KS</v>
          </cell>
        </row>
        <row r="19">
          <cell r="A19">
            <v>18</v>
          </cell>
          <cell r="C19">
            <v>18</v>
          </cell>
          <cell r="E19">
            <v>18</v>
          </cell>
          <cell r="G19" t="str">
            <v>KY</v>
          </cell>
        </row>
        <row r="20">
          <cell r="A20">
            <v>19</v>
          </cell>
          <cell r="C20">
            <v>19</v>
          </cell>
          <cell r="E20">
            <v>19</v>
          </cell>
          <cell r="G20" t="str">
            <v>LA</v>
          </cell>
        </row>
        <row r="21">
          <cell r="A21">
            <v>20</v>
          </cell>
          <cell r="C21">
            <v>20</v>
          </cell>
          <cell r="E21">
            <v>20</v>
          </cell>
          <cell r="G21" t="str">
            <v>MA</v>
          </cell>
        </row>
        <row r="22">
          <cell r="A22">
            <v>22</v>
          </cell>
          <cell r="C22">
            <v>22</v>
          </cell>
          <cell r="E22">
            <v>21</v>
          </cell>
          <cell r="G22" t="str">
            <v>MD</v>
          </cell>
        </row>
        <row r="23">
          <cell r="A23">
            <v>23</v>
          </cell>
          <cell r="C23">
            <v>23</v>
          </cell>
          <cell r="E23">
            <v>22</v>
          </cell>
          <cell r="G23" t="str">
            <v>ME</v>
          </cell>
        </row>
        <row r="24">
          <cell r="A24">
            <v>24</v>
          </cell>
          <cell r="C24">
            <v>24</v>
          </cell>
          <cell r="E24">
            <v>23</v>
          </cell>
          <cell r="G24" t="str">
            <v>MI</v>
          </cell>
        </row>
        <row r="25">
          <cell r="A25">
            <v>25</v>
          </cell>
          <cell r="C25">
            <v>25</v>
          </cell>
          <cell r="E25">
            <v>24</v>
          </cell>
          <cell r="G25" t="str">
            <v>MN</v>
          </cell>
        </row>
        <row r="26">
          <cell r="A26">
            <v>26</v>
          </cell>
          <cell r="C26">
            <v>26</v>
          </cell>
          <cell r="E26">
            <v>25</v>
          </cell>
          <cell r="G26" t="str">
            <v>MO</v>
          </cell>
        </row>
        <row r="27">
          <cell r="A27">
            <v>27</v>
          </cell>
          <cell r="C27">
            <v>27</v>
          </cell>
          <cell r="E27">
            <v>26</v>
          </cell>
          <cell r="G27" t="str">
            <v>MS</v>
          </cell>
        </row>
        <row r="28">
          <cell r="A28">
            <v>28</v>
          </cell>
          <cell r="C28">
            <v>28</v>
          </cell>
          <cell r="E28">
            <v>27</v>
          </cell>
          <cell r="G28" t="str">
            <v>MT</v>
          </cell>
        </row>
        <row r="29">
          <cell r="A29">
            <v>29</v>
          </cell>
          <cell r="C29">
            <v>29</v>
          </cell>
          <cell r="E29">
            <v>28</v>
          </cell>
          <cell r="G29" t="str">
            <v>NC</v>
          </cell>
        </row>
        <row r="30">
          <cell r="A30">
            <v>30</v>
          </cell>
          <cell r="C30">
            <v>30</v>
          </cell>
          <cell r="E30">
            <v>29</v>
          </cell>
          <cell r="G30" t="str">
            <v>ND</v>
          </cell>
        </row>
        <row r="31">
          <cell r="A31">
            <v>31</v>
          </cell>
          <cell r="C31">
            <v>31</v>
          </cell>
          <cell r="E31">
            <v>30</v>
          </cell>
          <cell r="G31" t="str">
            <v>NE</v>
          </cell>
        </row>
        <row r="32">
          <cell r="A32">
            <v>32</v>
          </cell>
          <cell r="C32">
            <v>32</v>
          </cell>
          <cell r="E32">
            <v>31</v>
          </cell>
          <cell r="G32" t="str">
            <v>NH</v>
          </cell>
        </row>
        <row r="33">
          <cell r="A33">
            <v>33</v>
          </cell>
          <cell r="C33">
            <v>33</v>
          </cell>
          <cell r="E33">
            <v>32</v>
          </cell>
          <cell r="G33" t="str">
            <v>NJ</v>
          </cell>
        </row>
        <row r="34">
          <cell r="A34">
            <v>34</v>
          </cell>
          <cell r="C34">
            <v>34</v>
          </cell>
          <cell r="E34">
            <v>33</v>
          </cell>
          <cell r="G34" t="str">
            <v>NM</v>
          </cell>
        </row>
        <row r="35">
          <cell r="A35">
            <v>35</v>
          </cell>
          <cell r="C35">
            <v>35</v>
          </cell>
          <cell r="E35">
            <v>34</v>
          </cell>
          <cell r="G35" t="str">
            <v>NV</v>
          </cell>
        </row>
        <row r="36">
          <cell r="A36">
            <v>36</v>
          </cell>
          <cell r="C36">
            <v>36</v>
          </cell>
          <cell r="E36">
            <v>35</v>
          </cell>
          <cell r="G36" t="str">
            <v>NY</v>
          </cell>
        </row>
        <row r="37">
          <cell r="A37">
            <v>37</v>
          </cell>
          <cell r="C37">
            <v>37</v>
          </cell>
          <cell r="E37">
            <v>36</v>
          </cell>
          <cell r="G37" t="str">
            <v>OH</v>
          </cell>
        </row>
        <row r="38">
          <cell r="A38">
            <v>38</v>
          </cell>
          <cell r="C38">
            <v>38</v>
          </cell>
          <cell r="E38">
            <v>37</v>
          </cell>
          <cell r="G38" t="str">
            <v>OK</v>
          </cell>
        </row>
        <row r="39">
          <cell r="A39">
            <v>39</v>
          </cell>
          <cell r="C39">
            <v>39</v>
          </cell>
          <cell r="E39">
            <v>38</v>
          </cell>
          <cell r="G39" t="str">
            <v>OR</v>
          </cell>
        </row>
        <row r="40">
          <cell r="A40">
            <v>40</v>
          </cell>
          <cell r="C40">
            <v>40</v>
          </cell>
          <cell r="E40">
            <v>39</v>
          </cell>
          <cell r="G40" t="str">
            <v>PA</v>
          </cell>
        </row>
        <row r="41">
          <cell r="A41">
            <v>41</v>
          </cell>
          <cell r="E41">
            <v>40</v>
          </cell>
          <cell r="G41" t="str">
            <v>RI</v>
          </cell>
        </row>
        <row r="42">
          <cell r="A42">
            <v>42</v>
          </cell>
          <cell r="E42">
            <v>41</v>
          </cell>
          <cell r="G42" t="str">
            <v>SC</v>
          </cell>
        </row>
        <row r="43">
          <cell r="A43">
            <v>43</v>
          </cell>
          <cell r="E43">
            <v>42</v>
          </cell>
          <cell r="G43" t="str">
            <v>SD</v>
          </cell>
        </row>
        <row r="44">
          <cell r="A44">
            <v>44</v>
          </cell>
          <cell r="E44">
            <v>43</v>
          </cell>
          <cell r="G44" t="str">
            <v>TN</v>
          </cell>
        </row>
        <row r="45">
          <cell r="A45">
            <v>45</v>
          </cell>
          <cell r="E45">
            <v>44</v>
          </cell>
          <cell r="G45" t="str">
            <v>TX</v>
          </cell>
        </row>
        <row r="46">
          <cell r="A46">
            <v>46</v>
          </cell>
          <cell r="E46">
            <v>45</v>
          </cell>
          <cell r="G46" t="str">
            <v>UT</v>
          </cell>
        </row>
        <row r="47">
          <cell r="A47">
            <v>47</v>
          </cell>
          <cell r="E47">
            <v>46</v>
          </cell>
          <cell r="G47" t="str">
            <v>VA</v>
          </cell>
        </row>
        <row r="48">
          <cell r="A48">
            <v>48</v>
          </cell>
          <cell r="E48">
            <v>47</v>
          </cell>
          <cell r="G48" t="str">
            <v>VT</v>
          </cell>
        </row>
        <row r="49">
          <cell r="A49">
            <v>49</v>
          </cell>
          <cell r="E49">
            <v>48</v>
          </cell>
          <cell r="G49" t="str">
            <v>WA</v>
          </cell>
        </row>
        <row r="50">
          <cell r="A50">
            <v>50</v>
          </cell>
          <cell r="E50">
            <v>49</v>
          </cell>
          <cell r="G50" t="str">
            <v>WI</v>
          </cell>
        </row>
        <row r="51">
          <cell r="A51">
            <v>51</v>
          </cell>
          <cell r="E51">
            <v>50</v>
          </cell>
          <cell r="G51" t="str">
            <v>WV</v>
          </cell>
        </row>
        <row r="52">
          <cell r="A52">
            <v>52</v>
          </cell>
          <cell r="E52">
            <v>51</v>
          </cell>
          <cell r="G52" t="str">
            <v>WY</v>
          </cell>
        </row>
        <row r="53">
          <cell r="E53">
            <v>52</v>
          </cell>
        </row>
        <row r="54">
          <cell r="E54">
            <v>53</v>
          </cell>
        </row>
        <row r="55">
          <cell r="E55">
            <v>54</v>
          </cell>
        </row>
        <row r="56">
          <cell r="E56">
            <v>55</v>
          </cell>
        </row>
        <row r="57">
          <cell r="E57">
            <v>56</v>
          </cell>
        </row>
        <row r="58">
          <cell r="E58">
            <v>57</v>
          </cell>
        </row>
        <row r="59">
          <cell r="E59">
            <v>58</v>
          </cell>
        </row>
        <row r="60">
          <cell r="E60">
            <v>59</v>
          </cell>
        </row>
        <row r="61">
          <cell r="E61">
            <v>60</v>
          </cell>
        </row>
        <row r="62">
          <cell r="E62">
            <v>61</v>
          </cell>
        </row>
        <row r="63">
          <cell r="E63">
            <v>62</v>
          </cell>
        </row>
        <row r="64">
          <cell r="E64">
            <v>63</v>
          </cell>
        </row>
        <row r="65">
          <cell r="E65">
            <v>64</v>
          </cell>
        </row>
        <row r="66">
          <cell r="E66">
            <v>65</v>
          </cell>
        </row>
        <row r="67">
          <cell r="E67">
            <v>66</v>
          </cell>
        </row>
        <row r="68">
          <cell r="E68">
            <v>67</v>
          </cell>
        </row>
        <row r="69">
          <cell r="E69">
            <v>68</v>
          </cell>
        </row>
        <row r="70">
          <cell r="E70">
            <v>69</v>
          </cell>
        </row>
        <row r="71">
          <cell r="E71">
            <v>70</v>
          </cell>
        </row>
        <row r="72">
          <cell r="E72">
            <v>71</v>
          </cell>
        </row>
        <row r="73">
          <cell r="E73">
            <v>72</v>
          </cell>
        </row>
        <row r="74">
          <cell r="E74">
            <v>73</v>
          </cell>
        </row>
        <row r="75">
          <cell r="E75">
            <v>74</v>
          </cell>
        </row>
        <row r="76">
          <cell r="E76">
            <v>75</v>
          </cell>
        </row>
        <row r="77">
          <cell r="E77">
            <v>76</v>
          </cell>
        </row>
        <row r="78">
          <cell r="E78">
            <v>77</v>
          </cell>
        </row>
        <row r="79">
          <cell r="E79">
            <v>78</v>
          </cell>
        </row>
        <row r="80">
          <cell r="E80">
            <v>79</v>
          </cell>
        </row>
        <row r="81">
          <cell r="E81">
            <v>80</v>
          </cell>
        </row>
      </sheetData>
      <sheetData sheetId="18">
        <row r="3">
          <cell r="B3" t="str">
            <v>20% at 50%</v>
          </cell>
        </row>
      </sheetData>
      <sheetData sheetId="1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eneral "/>
      <sheetName val="Narrative "/>
      <sheetName val="Contacts"/>
      <sheetName val="Site &amp; Units"/>
      <sheetName val="Misc."/>
      <sheetName val="Rents "/>
      <sheetName val="VHHP Rents"/>
      <sheetName val="Subsidies"/>
      <sheetName val="Dev Sources"/>
      <sheetName val="Dev Budget"/>
      <sheetName val="Perm S&amp;U"/>
      <sheetName val="Operating "/>
      <sheetName val="Cash Flow"/>
      <sheetName val="VHHP Cash Flow"/>
      <sheetName val="Experience"/>
      <sheetName val="Certifications"/>
      <sheetName val="Legal Status"/>
      <sheetName val="Narrative-Concat."/>
      <sheetName val="SD_Dropdowns"/>
      <sheetName val="Drop Down"/>
      <sheetName val="Contact Names Formula"/>
      <sheetName val="MAPPIN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1</v>
          </cell>
          <cell r="C2">
            <v>1</v>
          </cell>
          <cell r="E2">
            <v>1</v>
          </cell>
          <cell r="G2" t="str">
            <v>AK</v>
          </cell>
        </row>
        <row r="3">
          <cell r="A3">
            <v>2</v>
          </cell>
          <cell r="C3">
            <v>2</v>
          </cell>
          <cell r="E3">
            <v>2</v>
          </cell>
          <cell r="G3" t="str">
            <v>AL</v>
          </cell>
        </row>
        <row r="4">
          <cell r="A4">
            <v>3</v>
          </cell>
          <cell r="C4">
            <v>3</v>
          </cell>
          <cell r="E4">
            <v>3</v>
          </cell>
          <cell r="G4" t="str">
            <v>AR</v>
          </cell>
        </row>
        <row r="5">
          <cell r="A5">
            <v>4</v>
          </cell>
          <cell r="C5">
            <v>4</v>
          </cell>
          <cell r="E5">
            <v>4</v>
          </cell>
          <cell r="G5" t="str">
            <v>AZ</v>
          </cell>
        </row>
        <row r="6">
          <cell r="A6">
            <v>5</v>
          </cell>
          <cell r="C6">
            <v>5</v>
          </cell>
          <cell r="E6">
            <v>5</v>
          </cell>
          <cell r="G6" t="str">
            <v>CA</v>
          </cell>
        </row>
        <row r="7">
          <cell r="A7">
            <v>6</v>
          </cell>
          <cell r="C7">
            <v>6</v>
          </cell>
          <cell r="E7">
            <v>6</v>
          </cell>
          <cell r="G7" t="str">
            <v>CO</v>
          </cell>
        </row>
        <row r="8">
          <cell r="A8">
            <v>7</v>
          </cell>
          <cell r="C8">
            <v>7</v>
          </cell>
          <cell r="E8">
            <v>7</v>
          </cell>
          <cell r="G8" t="str">
            <v>CT</v>
          </cell>
        </row>
        <row r="9">
          <cell r="A9">
            <v>8</v>
          </cell>
          <cell r="C9">
            <v>8</v>
          </cell>
          <cell r="E9">
            <v>8</v>
          </cell>
          <cell r="G9" t="str">
            <v>DC</v>
          </cell>
        </row>
        <row r="10">
          <cell r="A10">
            <v>9</v>
          </cell>
          <cell r="C10">
            <v>9</v>
          </cell>
          <cell r="E10">
            <v>9</v>
          </cell>
          <cell r="G10" t="str">
            <v>DE</v>
          </cell>
        </row>
        <row r="11">
          <cell r="A11">
            <v>10</v>
          </cell>
          <cell r="C11">
            <v>10</v>
          </cell>
          <cell r="E11">
            <v>10</v>
          </cell>
          <cell r="G11" t="str">
            <v>FL</v>
          </cell>
        </row>
        <row r="12">
          <cell r="A12">
            <v>11</v>
          </cell>
          <cell r="C12">
            <v>11</v>
          </cell>
          <cell r="E12">
            <v>11</v>
          </cell>
          <cell r="G12" t="str">
            <v>GA</v>
          </cell>
        </row>
        <row r="13">
          <cell r="A13">
            <v>12</v>
          </cell>
          <cell r="C13">
            <v>12</v>
          </cell>
          <cell r="E13">
            <v>12</v>
          </cell>
          <cell r="G13" t="str">
            <v>HI</v>
          </cell>
        </row>
        <row r="14">
          <cell r="A14">
            <v>13</v>
          </cell>
          <cell r="C14">
            <v>13</v>
          </cell>
          <cell r="E14">
            <v>13</v>
          </cell>
          <cell r="G14" t="str">
            <v>IA</v>
          </cell>
        </row>
        <row r="15">
          <cell r="A15">
            <v>14</v>
          </cell>
          <cell r="C15">
            <v>14</v>
          </cell>
          <cell r="E15">
            <v>14</v>
          </cell>
          <cell r="G15" t="str">
            <v>ID</v>
          </cell>
        </row>
        <row r="16">
          <cell r="A16">
            <v>15</v>
          </cell>
          <cell r="C16">
            <v>15</v>
          </cell>
          <cell r="E16">
            <v>15</v>
          </cell>
          <cell r="G16" t="str">
            <v>IL</v>
          </cell>
        </row>
        <row r="17">
          <cell r="A17">
            <v>16</v>
          </cell>
          <cell r="C17">
            <v>16</v>
          </cell>
          <cell r="E17">
            <v>16</v>
          </cell>
          <cell r="G17" t="str">
            <v>IN</v>
          </cell>
        </row>
        <row r="18">
          <cell r="A18">
            <v>17</v>
          </cell>
          <cell r="C18">
            <v>17</v>
          </cell>
          <cell r="E18">
            <v>17</v>
          </cell>
          <cell r="G18" t="str">
            <v>KS</v>
          </cell>
        </row>
        <row r="19">
          <cell r="A19">
            <v>18</v>
          </cell>
          <cell r="C19">
            <v>18</v>
          </cell>
          <cell r="E19">
            <v>18</v>
          </cell>
          <cell r="G19" t="str">
            <v>KY</v>
          </cell>
        </row>
        <row r="20">
          <cell r="A20">
            <v>19</v>
          </cell>
          <cell r="C20">
            <v>19</v>
          </cell>
          <cell r="E20">
            <v>19</v>
          </cell>
          <cell r="G20" t="str">
            <v>LA</v>
          </cell>
        </row>
        <row r="21">
          <cell r="A21">
            <v>20</v>
          </cell>
          <cell r="C21">
            <v>20</v>
          </cell>
          <cell r="E21">
            <v>20</v>
          </cell>
          <cell r="G21" t="str">
            <v>MA</v>
          </cell>
        </row>
        <row r="22">
          <cell r="A22">
            <v>22</v>
          </cell>
          <cell r="C22">
            <v>22</v>
          </cell>
          <cell r="E22">
            <v>21</v>
          </cell>
          <cell r="G22" t="str">
            <v>MD</v>
          </cell>
        </row>
        <row r="23">
          <cell r="A23">
            <v>23</v>
          </cell>
          <cell r="C23">
            <v>23</v>
          </cell>
          <cell r="E23">
            <v>22</v>
          </cell>
          <cell r="G23" t="str">
            <v>ME</v>
          </cell>
        </row>
        <row r="24">
          <cell r="A24">
            <v>24</v>
          </cell>
          <cell r="C24">
            <v>24</v>
          </cell>
          <cell r="E24">
            <v>23</v>
          </cell>
          <cell r="G24" t="str">
            <v>MI</v>
          </cell>
        </row>
        <row r="25">
          <cell r="A25">
            <v>25</v>
          </cell>
          <cell r="C25">
            <v>25</v>
          </cell>
          <cell r="E25">
            <v>24</v>
          </cell>
          <cell r="G25" t="str">
            <v>MN</v>
          </cell>
        </row>
        <row r="26">
          <cell r="A26">
            <v>26</v>
          </cell>
          <cell r="C26">
            <v>26</v>
          </cell>
          <cell r="E26">
            <v>25</v>
          </cell>
          <cell r="G26" t="str">
            <v>MO</v>
          </cell>
        </row>
        <row r="27">
          <cell r="A27">
            <v>27</v>
          </cell>
          <cell r="C27">
            <v>27</v>
          </cell>
          <cell r="E27">
            <v>26</v>
          </cell>
          <cell r="G27" t="str">
            <v>MS</v>
          </cell>
        </row>
        <row r="28">
          <cell r="A28">
            <v>28</v>
          </cell>
          <cell r="C28">
            <v>28</v>
          </cell>
          <cell r="E28">
            <v>27</v>
          </cell>
          <cell r="G28" t="str">
            <v>MT</v>
          </cell>
        </row>
        <row r="29">
          <cell r="A29">
            <v>29</v>
          </cell>
          <cell r="C29">
            <v>29</v>
          </cell>
          <cell r="E29">
            <v>28</v>
          </cell>
          <cell r="G29" t="str">
            <v>NC</v>
          </cell>
        </row>
        <row r="30">
          <cell r="A30">
            <v>30</v>
          </cell>
          <cell r="C30">
            <v>30</v>
          </cell>
          <cell r="E30">
            <v>29</v>
          </cell>
          <cell r="G30" t="str">
            <v>ND</v>
          </cell>
        </row>
        <row r="31">
          <cell r="A31">
            <v>31</v>
          </cell>
          <cell r="C31">
            <v>31</v>
          </cell>
          <cell r="E31">
            <v>30</v>
          </cell>
          <cell r="G31" t="str">
            <v>NE</v>
          </cell>
        </row>
        <row r="32">
          <cell r="A32">
            <v>32</v>
          </cell>
          <cell r="C32">
            <v>32</v>
          </cell>
          <cell r="E32">
            <v>31</v>
          </cell>
          <cell r="G32" t="str">
            <v>NH</v>
          </cell>
        </row>
        <row r="33">
          <cell r="A33">
            <v>33</v>
          </cell>
          <cell r="C33">
            <v>33</v>
          </cell>
          <cell r="E33">
            <v>32</v>
          </cell>
          <cell r="G33" t="str">
            <v>NJ</v>
          </cell>
        </row>
        <row r="34">
          <cell r="A34">
            <v>34</v>
          </cell>
          <cell r="C34">
            <v>34</v>
          </cell>
          <cell r="E34">
            <v>33</v>
          </cell>
          <cell r="G34" t="str">
            <v>NM</v>
          </cell>
        </row>
        <row r="35">
          <cell r="A35">
            <v>35</v>
          </cell>
          <cell r="C35">
            <v>35</v>
          </cell>
          <cell r="E35">
            <v>34</v>
          </cell>
          <cell r="G35" t="str">
            <v>NV</v>
          </cell>
        </row>
        <row r="36">
          <cell r="A36">
            <v>36</v>
          </cell>
          <cell r="C36">
            <v>36</v>
          </cell>
          <cell r="E36">
            <v>35</v>
          </cell>
          <cell r="G36" t="str">
            <v>NY</v>
          </cell>
        </row>
        <row r="37">
          <cell r="A37">
            <v>37</v>
          </cell>
          <cell r="C37">
            <v>37</v>
          </cell>
          <cell r="E37">
            <v>36</v>
          </cell>
          <cell r="G37" t="str">
            <v>OH</v>
          </cell>
        </row>
        <row r="38">
          <cell r="A38">
            <v>38</v>
          </cell>
          <cell r="C38">
            <v>38</v>
          </cell>
          <cell r="E38">
            <v>37</v>
          </cell>
          <cell r="G38" t="str">
            <v>OK</v>
          </cell>
        </row>
        <row r="39">
          <cell r="A39">
            <v>39</v>
          </cell>
          <cell r="C39">
            <v>39</v>
          </cell>
          <cell r="E39">
            <v>38</v>
          </cell>
          <cell r="G39" t="str">
            <v>OR</v>
          </cell>
        </row>
        <row r="40">
          <cell r="A40">
            <v>40</v>
          </cell>
          <cell r="C40">
            <v>40</v>
          </cell>
          <cell r="E40">
            <v>39</v>
          </cell>
          <cell r="G40" t="str">
            <v>PA</v>
          </cell>
        </row>
        <row r="41">
          <cell r="A41">
            <v>41</v>
          </cell>
          <cell r="E41">
            <v>40</v>
          </cell>
          <cell r="G41" t="str">
            <v>RI</v>
          </cell>
        </row>
        <row r="42">
          <cell r="A42">
            <v>42</v>
          </cell>
          <cell r="E42">
            <v>41</v>
          </cell>
          <cell r="G42" t="str">
            <v>SC</v>
          </cell>
        </row>
        <row r="43">
          <cell r="A43">
            <v>43</v>
          </cell>
          <cell r="E43">
            <v>42</v>
          </cell>
          <cell r="G43" t="str">
            <v>SD</v>
          </cell>
        </row>
        <row r="44">
          <cell r="A44">
            <v>44</v>
          </cell>
          <cell r="E44">
            <v>43</v>
          </cell>
          <cell r="G44" t="str">
            <v>TN</v>
          </cell>
        </row>
        <row r="45">
          <cell r="A45">
            <v>45</v>
          </cell>
          <cell r="E45">
            <v>44</v>
          </cell>
          <cell r="G45" t="str">
            <v>TX</v>
          </cell>
        </row>
        <row r="46">
          <cell r="A46">
            <v>46</v>
          </cell>
          <cell r="E46">
            <v>45</v>
          </cell>
          <cell r="G46" t="str">
            <v>UT</v>
          </cell>
        </row>
        <row r="47">
          <cell r="A47">
            <v>47</v>
          </cell>
          <cell r="E47">
            <v>46</v>
          </cell>
          <cell r="G47" t="str">
            <v>VA</v>
          </cell>
        </row>
        <row r="48">
          <cell r="A48">
            <v>48</v>
          </cell>
          <cell r="E48">
            <v>47</v>
          </cell>
          <cell r="G48" t="str">
            <v>VT</v>
          </cell>
        </row>
        <row r="49">
          <cell r="A49">
            <v>49</v>
          </cell>
          <cell r="E49">
            <v>48</v>
          </cell>
          <cell r="G49" t="str">
            <v>WA</v>
          </cell>
        </row>
        <row r="50">
          <cell r="A50">
            <v>50</v>
          </cell>
          <cell r="E50">
            <v>49</v>
          </cell>
          <cell r="G50" t="str">
            <v>WI</v>
          </cell>
        </row>
        <row r="51">
          <cell r="A51">
            <v>51</v>
          </cell>
          <cell r="E51">
            <v>50</v>
          </cell>
          <cell r="G51" t="str">
            <v>WV</v>
          </cell>
        </row>
        <row r="52">
          <cell r="A52">
            <v>52</v>
          </cell>
          <cell r="E52">
            <v>51</v>
          </cell>
          <cell r="G52" t="str">
            <v>WY</v>
          </cell>
        </row>
        <row r="53">
          <cell r="E53">
            <v>52</v>
          </cell>
        </row>
        <row r="54">
          <cell r="E54">
            <v>53</v>
          </cell>
        </row>
        <row r="55">
          <cell r="E55">
            <v>54</v>
          </cell>
        </row>
        <row r="56">
          <cell r="E56">
            <v>55</v>
          </cell>
        </row>
        <row r="57">
          <cell r="E57">
            <v>56</v>
          </cell>
        </row>
        <row r="58">
          <cell r="E58">
            <v>57</v>
          </cell>
        </row>
        <row r="59">
          <cell r="E59">
            <v>58</v>
          </cell>
        </row>
        <row r="60">
          <cell r="E60">
            <v>59</v>
          </cell>
        </row>
        <row r="61">
          <cell r="E61">
            <v>60</v>
          </cell>
        </row>
        <row r="62">
          <cell r="E62">
            <v>61</v>
          </cell>
        </row>
        <row r="63">
          <cell r="E63">
            <v>62</v>
          </cell>
        </row>
        <row r="64">
          <cell r="E64">
            <v>63</v>
          </cell>
        </row>
        <row r="65">
          <cell r="E65">
            <v>64</v>
          </cell>
        </row>
        <row r="66">
          <cell r="E66">
            <v>65</v>
          </cell>
        </row>
        <row r="67">
          <cell r="E67">
            <v>66</v>
          </cell>
        </row>
        <row r="68">
          <cell r="E68">
            <v>67</v>
          </cell>
        </row>
        <row r="69">
          <cell r="E69">
            <v>68</v>
          </cell>
        </row>
        <row r="70">
          <cell r="E70">
            <v>69</v>
          </cell>
        </row>
        <row r="71">
          <cell r="E71">
            <v>70</v>
          </cell>
        </row>
        <row r="72">
          <cell r="E72">
            <v>71</v>
          </cell>
        </row>
        <row r="73">
          <cell r="E73">
            <v>72</v>
          </cell>
        </row>
        <row r="74">
          <cell r="E74">
            <v>73</v>
          </cell>
        </row>
        <row r="75">
          <cell r="E75">
            <v>74</v>
          </cell>
        </row>
        <row r="76">
          <cell r="E76">
            <v>75</v>
          </cell>
        </row>
        <row r="77">
          <cell r="E77">
            <v>76</v>
          </cell>
        </row>
        <row r="78">
          <cell r="E78">
            <v>77</v>
          </cell>
        </row>
        <row r="79">
          <cell r="E79">
            <v>78</v>
          </cell>
        </row>
        <row r="80">
          <cell r="E80">
            <v>79</v>
          </cell>
        </row>
        <row r="81">
          <cell r="E81">
            <v>80</v>
          </cell>
        </row>
      </sheetData>
      <sheetData sheetId="20" refreshError="1"/>
      <sheetData sheetId="21" refreshError="1"/>
      <sheetData sheetId="22" refreshError="1"/>
    </sheetDataSet>
  </externalBook>
</externalLink>
</file>

<file path=xl/persons/person.xml><?xml version="1.0" encoding="utf-8"?>
<personList xmlns="http://schemas.microsoft.com/office/spreadsheetml/2018/threadedcomments" xmlns:x="http://schemas.openxmlformats.org/spreadsheetml/2006/main">
  <person displayName="Gutierrez, Alfredo@HCD" id="{A51AD887-D23F-4013-B6E3-C2802BD4C7BF}" userId="S::Alfredo.Gutierrez@hcd.ca.gov::5f59004f-2f3e-4ce2-be75-e304920deca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omponentVisibility" displayName="ComponentVisibility" ref="B4:Q142" totalsRowShown="0" headerRowDxfId="1080" dataDxfId="1078" headerRowBorderDxfId="1079">
  <sortState xmlns:xlrd2="http://schemas.microsoft.com/office/spreadsheetml/2017/richdata2" ref="B5:P127">
    <sortCondition ref="B18:B127"/>
  </sortState>
  <tableColumns count="16">
    <tableColumn id="1" xr3:uid="{00000000-0010-0000-0000-000001000000}" name="SheetName" dataDxfId="1077"/>
    <tableColumn id="2" xr3:uid="{00000000-0010-0000-0000-000002000000}" name="StartRow" dataDxfId="1076"/>
    <tableColumn id="3" xr3:uid="{00000000-0010-0000-0000-000003000000}" name="EndRow" dataDxfId="1075"/>
    <tableColumn id="14" xr3:uid="{00000000-0010-0000-0000-00000E000000}" name="StartCol" dataDxfId="1074"/>
    <tableColumn id="15" xr3:uid="{00000000-0010-0000-0000-00000F000000}" name="EndCol" dataDxfId="1073"/>
    <tableColumn id="4" xr3:uid="{00000000-0010-0000-0000-000004000000}" name="Visible" dataDxfId="1072">
      <calculatedColumnFormula>OR(ComponentVisibility[[#This Row],[Force True]],AND(ComponentVisibility[[#This Row],[Program True]],NOT(ComponentVisibility[[#This Row],[Force False]])))</calculatedColumnFormula>
    </tableColumn>
    <tableColumn id="8" xr3:uid="{00000000-0010-0000-0000-000008000000}" name="Description" dataDxfId="1071"/>
    <tableColumn id="5" xr3:uid="{00000000-0010-0000-0000-000005000000}" name="Force True" dataDxfId="1070" dataCellStyle="Normal 11">
      <calculatedColumnFormula>'Project Overview'!I141:Y141="Joint Venture"</calculatedColumnFormula>
    </tableColumn>
    <tableColumn id="6" xr3:uid="{00000000-0010-0000-0000-000006000000}" name="Force False" dataDxfId="1069">
      <calculatedColumnFormula>IF(OR(Taxcredit="","None"),FALSE,TRUE)</calculatedColumnFormula>
    </tableColumn>
    <tableColumn id="7" xr3:uid="{00000000-0010-0000-0000-000007000000}" name="Program True" dataDxfId="1068">
      <calculatedColumnFormula>SUMPRODUCT(ComponentVisibility[[#This Row],[IIG]:[HHC]],IsPrograms)&gt;0</calculatedColumnFormula>
    </tableColumn>
    <tableColumn id="9" xr3:uid="{00000000-0010-0000-0000-000009000000}" name="IIG" dataDxfId="1067"/>
    <tableColumn id="11" xr3:uid="{00000000-0010-0000-0000-00000B000000}" name="Serna" dataDxfId="1066"/>
    <tableColumn id="10" xr3:uid="{00000000-0010-0000-0000-00000A000000}" name="MHP" dataDxfId="1065"/>
    <tableColumn id="12" xr3:uid="{00000000-0010-0000-0000-00000C000000}" name="TOD" dataDxfId="1064"/>
    <tableColumn id="13" xr3:uid="{00000000-0010-0000-0000-00000D000000}" name="VHHP" dataDxfId="1063"/>
    <tableColumn id="16" xr3:uid="{D5B8C6A6-4632-4F64-92CF-977479D9A512}" name="HHC" dataDxfId="10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1000000}" name="ContactListTbl" displayName="ContactListTbl" ref="B4:U23" totalsRowShown="0" headerRowDxfId="796" dataDxfId="794" headerRowBorderDxfId="795" tableBorderDxfId="793" totalsRowBorderDxfId="792">
  <tableColumns count="20">
    <tableColumn id="1" xr3:uid="{00000000-0010-0000-0100-000001000000}" name="Contact Type" dataDxfId="791"/>
    <tableColumn id="2" xr3:uid="{00000000-0010-0000-0100-000002000000}" name="Entity Legal Name" dataDxfId="790">
      <calculatedColumnFormula>IF('Project Overview'!$P$146&gt;0,'Project Overview'!$P$146,"")</calculatedColumnFormula>
    </tableColumn>
    <tableColumn id="3" xr3:uid="{00000000-0010-0000-0100-000003000000}" name="Eligible Sponsor Type" dataDxfId="789">
      <calculatedColumnFormula>IF('Project Overview'!$I$147&gt;0,'Project Overview'!$I$147,"")</calculatedColumnFormula>
    </tableColumn>
    <tableColumn id="4" xr3:uid="{00000000-0010-0000-0100-000004000000}" name="Organization Type" dataDxfId="788">
      <calculatedColumnFormula>IF('Project Overview'!$AE$147&gt;0,'Project Overview'!$AE$147,"")</calculatedColumnFormula>
    </tableColumn>
    <tableColumn id="5" xr3:uid="{00000000-0010-0000-0100-000005000000}" name="Address" dataDxfId="787"/>
    <tableColumn id="6" xr3:uid="{00000000-0010-0000-0100-000006000000}" name="City" dataDxfId="786"/>
    <tableColumn id="7" xr3:uid="{00000000-0010-0000-0100-000007000000}" name="State" dataDxfId="785"/>
    <tableColumn id="8" xr3:uid="{00000000-0010-0000-0100-000008000000}" name="Zip Code" dataDxfId="784"/>
    <tableColumn id="9" xr3:uid="{00000000-0010-0000-0100-000009000000}" name="Auth Rep Name" dataDxfId="783"/>
    <tableColumn id="10" xr3:uid="{00000000-0010-0000-0100-00000A000000}" name="Title" dataDxfId="782"/>
    <tableColumn id="11" xr3:uid="{00000000-0010-0000-0100-00000B000000}" name="Email" dataDxfId="781"/>
    <tableColumn id="12" xr3:uid="{00000000-0010-0000-0100-00000C000000}" name="Phone #" dataDxfId="780"/>
    <tableColumn id="13" xr3:uid="{00000000-0010-0000-0100-00000D000000}" name="Contact Name" dataDxfId="779"/>
    <tableColumn id="14" xr3:uid="{00000000-0010-0000-0100-00000E000000}" name="Title2" dataDxfId="778"/>
    <tableColumn id="15" xr3:uid="{00000000-0010-0000-0100-00000F000000}" name="Email2" dataDxfId="777"/>
    <tableColumn id="16" xr3:uid="{00000000-0010-0000-0100-000010000000}" name="Phone #2" dataDxfId="776"/>
    <tableColumn id="17" xr3:uid="{00000000-0010-0000-0100-000011000000}" name="Contact Address" dataDxfId="775"/>
    <tableColumn id="18" xr3:uid="{00000000-0010-0000-0100-000012000000}" name="City2" dataDxfId="774"/>
    <tableColumn id="19" xr3:uid="{00000000-0010-0000-0100-000013000000}" name="State2" dataDxfId="773"/>
    <tableColumn id="20" xr3:uid="{00000000-0010-0000-0100-000014000000}" name="Zip Code2" dataDxfId="77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2000000}" name="LegInfoTbl" displayName="LegInfoTbl" ref="B25:G29" totalsRowShown="0" headerRowDxfId="771" dataDxfId="769" headerRowBorderDxfId="770" tableBorderDxfId="768" totalsRowBorderDxfId="767">
  <tableColumns count="6">
    <tableColumn id="1" xr3:uid="{00000000-0010-0000-0200-000001000000}" name="Congressperson Name(s)" dataDxfId="766"/>
    <tableColumn id="2" xr3:uid="{00000000-0010-0000-0200-000002000000}" name="District #" dataDxfId="765"/>
    <tableColumn id="3" xr3:uid="{00000000-0010-0000-0200-000003000000}" name="State Senator Name(s)" dataDxfId="764"/>
    <tableColumn id="4" xr3:uid="{00000000-0010-0000-0200-000004000000}" name="District #2" dataDxfId="763"/>
    <tableColumn id="5" xr3:uid="{00000000-0010-0000-0200-000005000000}" name="State Assembly Member Name(s) " dataDxfId="762"/>
    <tableColumn id="6" xr3:uid="{00000000-0010-0000-0200-000006000000}" name="District #3" dataDxfId="76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AA82E3F-88AA-42ED-BD16-17FEC45A90F5}" name="DevSourcesTbl" displayName="DevSourcesTbl" ref="B4:V61" totalsRowShown="0" headerRowDxfId="700" tableBorderDxfId="699">
  <tableColumns count="21">
    <tableColumn id="2" xr3:uid="{40268457-DB46-4663-A11F-9665C4FB1AA4}" name="Construction / Permanent" dataDxfId="698"/>
    <tableColumn id="3" xr3:uid="{95A645D6-DBA5-4B3D-BF67-09D61755D698}" name="Committed?" dataDxfId="697"/>
    <tableColumn id="4" xr3:uid="{11208EFD-681B-4EEA-82CC-9E9A7C12EE37}" name="Source Name (in lien priority order)" dataDxfId="696"/>
    <tableColumn id="5" xr3:uid="{F6BE98CA-26C0-40EF-8A1A-D7C5C42FB65F}" name="Source Type" dataDxfId="695"/>
    <tableColumn id="6" xr3:uid="{481BF504-B109-4CEA-9022-BB19EBC345B5}" name="Lien No." dataDxfId="694"/>
    <tableColumn id="24" xr3:uid="{B3670923-EF89-41AC-98C9-F1859B6F7ED6}" name="Residential Amount" dataDxfId="693" dataCellStyle="Normal 10"/>
    <tableColumn id="25" xr3:uid="{3220CCAE-4B05-45B0-A800-71CD612CE075}" name="Commercial Amount" dataDxfId="692" dataCellStyle="Normal 10"/>
    <tableColumn id="7" xr3:uid="{1B858825-3C3B-472A-B2E7-B3EC8075401A}" name="Total Amount" dataDxfId="691"/>
    <tableColumn id="8" xr3:uid="{92E71A2A-F172-423E-AD2B-3F71C625E0DC}" name="Interest Rate" dataDxfId="690"/>
    <tableColumn id="9" xr3:uid="{B89EEAB0-E282-45C7-9E82-77B02FF32600}" name="Required_x000a_Payment " dataDxfId="689"/>
    <tableColumn id="10" xr3:uid="{389EB3C9-E110-4177-B90D-50E47872CF1F}" name="Loan Term_x000a_(months)" dataDxfId="688"/>
    <tableColumn id="11" xr3:uid="{2AB7FFB0-4FE6-4F33-BCA6-791C172EBEB5}" name="Rate" dataDxfId="687"/>
    <tableColumn id="12" xr3:uid="{61DF57E1-7C16-42D6-ACB0-B4DC52105874}" name="Type" dataDxfId="686"/>
    <tableColumn id="13" xr3:uid="{D9B1FB45-DD55-4B2E-9322-342D52FC853B}" name="Amortizing_x000a_Period (yrs.)" dataDxfId="685"/>
    <tableColumn id="14" xr3:uid="{B72B13B4-CA89-4021-8927-C70C8BA821AD}" name="Type2" dataDxfId="684"/>
    <tableColumn id="15" xr3:uid="{0925290D-6DFD-4008-B7D1-CCD7F97AD2A9}" name="Due in (yrs.)" dataDxfId="683"/>
    <tableColumn id="16" xr3:uid="{E82A8B15-44DC-4563-AFDB-73B2ABB210F5}" name="Required_x000a_Residential_x000a_Debt Service" dataDxfId="682"/>
    <tableColumn id="17" xr3:uid="{BCCEAA65-914B-4056-A40A-E5609B1EDB48}" name="Required_x000a_Commercial_x000a_Debt Service" dataDxfId="681"/>
    <tableColumn id="18" xr3:uid="{97E9FAF7-E7D2-4285-AFF2-D0077ABCD425}" name="Tax Exempt_x000a_Amount" dataDxfId="680"/>
    <tableColumn id="21" xr3:uid="{4D99F128-568E-4AFD-B251-550E0D95BD89}" name="Deferred Amount" dataDxfId="679"/>
    <tableColumn id="22" xr3:uid="{9B052ACE-EA49-45FA-B32C-090B89452A44}" name="Description" dataDxfId="678"/>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D909A09-4637-49BE-9360-AC05D37E2326}" name="DevBudgetSUTbl" displayName="DevBudgetSUTbl" ref="C5:AJ200" totalsRowShown="0" headerRowDxfId="675" dataDxfId="673" headerRowBorderDxfId="674" tableBorderDxfId="672">
  <tableColumns count="34">
    <tableColumn id="1" xr3:uid="{DB43BBA9-FBC6-4054-8EE3-370FC3A32618}" name="Column1" dataDxfId="671" totalsRowDxfId="670"/>
    <tableColumn id="2" xr3:uid="{F1BED176-F06D-4FDE-92EA-F3BA51186C95}" name="Column2" dataDxfId="669" totalsRowDxfId="668">
      <calculatedColumnFormula>SUM(H6:AH6)</calculatedColumnFormula>
    </tableColumn>
    <tableColumn id="3" xr3:uid="{C1050FBD-596F-41EE-BEE8-A2D01760353B}" name="Column3" dataDxfId="667" totalsRowDxfId="666">
      <calculatedColumnFormula>SUM(AI6:AJ6)</calculatedColumnFormula>
    </tableColumn>
    <tableColumn id="4" xr3:uid="{8D66DDE7-DF8A-4CF9-9BE1-CFA3EAFF1446}" name="Column4" dataDxfId="665" totalsRowDxfId="664"/>
    <tableColumn id="5" xr3:uid="{A60D3422-A990-44F7-AE0E-F185F2F76389}" name="Column5" dataDxfId="663" totalsRowDxfId="662"/>
    <tableColumn id="6" xr3:uid="{8872806A-FF9D-4CD3-BA50-39E6E25E971A}" name="Column6" dataDxfId="661" totalsRowDxfId="660"/>
    <tableColumn id="7" xr3:uid="{9D032E44-52C0-4BB4-AB34-CBFC5B23443E}" name="Column7" dataDxfId="659" totalsRowDxfId="658"/>
    <tableColumn id="8" xr3:uid="{1C09A53F-C292-4293-ADBD-32809E28EAA4}" name="Column8" dataDxfId="657" totalsRowDxfId="656"/>
    <tableColumn id="9" xr3:uid="{2680C76E-0393-4B20-9080-8A6BBEFB588F}" name="Column9" dataDxfId="655" totalsRowDxfId="654"/>
    <tableColumn id="10" xr3:uid="{F6686AB2-17CE-489B-8C39-ABE7932D2643}" name="Column10" dataDxfId="653" totalsRowDxfId="652"/>
    <tableColumn id="11" xr3:uid="{4D1E3908-4489-4533-B39E-F45649566395}" name="Column11" dataDxfId="651" totalsRowDxfId="650"/>
    <tableColumn id="12" xr3:uid="{75F05F6B-49EC-47C3-B8E8-68F503483D6C}" name="Column12" dataDxfId="649" totalsRowDxfId="648"/>
    <tableColumn id="13" xr3:uid="{F6333FB0-F1BF-4662-8363-1F512B85C7EB}" name="Column13" dataDxfId="647" totalsRowDxfId="646"/>
    <tableColumn id="14" xr3:uid="{D58E8F0D-BE7F-4FF7-A2B4-17866B3F3156}" name="Column14" dataDxfId="645" totalsRowDxfId="644"/>
    <tableColumn id="15" xr3:uid="{787CE79B-867A-45AD-BC68-62C2F897D76B}" name="Column15" dataDxfId="643" totalsRowDxfId="642"/>
    <tableColumn id="16" xr3:uid="{4E0E09C5-8E33-4F61-926F-70B36188E405}" name="Column16" dataDxfId="641" totalsRowDxfId="640"/>
    <tableColumn id="17" xr3:uid="{E4EB19AE-5882-4FCF-B8A1-6667D53D101E}" name="Column17" dataDxfId="639" totalsRowDxfId="638"/>
    <tableColumn id="18" xr3:uid="{C617452E-3E3E-43A2-A6E4-29F054E1CF9E}" name="Column18" dataDxfId="637" totalsRowDxfId="636"/>
    <tableColumn id="19" xr3:uid="{6219938A-9289-4391-A197-837AD09310D0}" name="Column19" dataDxfId="635" totalsRowDxfId="634"/>
    <tableColumn id="20" xr3:uid="{7B941AFB-2D7E-4B94-8D8F-28A7A0A69A33}" name="Column20" dataDxfId="633" totalsRowDxfId="632"/>
    <tableColumn id="21" xr3:uid="{4F58043F-654B-4BD5-A762-9EC8B5B936F5}" name="Column21" dataDxfId="631" totalsRowDxfId="630"/>
    <tableColumn id="22" xr3:uid="{187D3235-BF20-4180-AFEA-7071E1B362D4}" name="Column22" dataDxfId="629" totalsRowDxfId="628"/>
    <tableColumn id="23" xr3:uid="{D243175A-87F1-4E23-9FB4-5EC43701A02C}" name="Column23" dataDxfId="627" totalsRowDxfId="626"/>
    <tableColumn id="24" xr3:uid="{86008120-4D15-4B48-891B-FF0E4B56F8DA}" name="Column24" dataDxfId="625" totalsRowDxfId="624"/>
    <tableColumn id="25" xr3:uid="{B4F705CA-F206-42D6-A64E-B470EA86789E}" name="Column25" dataDxfId="623" totalsRowDxfId="622"/>
    <tableColumn id="26" xr3:uid="{30D227AF-FD19-4DA6-8DA6-C221484EF57E}" name="Column26" dataDxfId="621" totalsRowDxfId="620"/>
    <tableColumn id="27" xr3:uid="{B2C37944-0470-48C4-898C-325B8C740206}" name="Column27" dataDxfId="619" totalsRowDxfId="618"/>
    <tableColumn id="28" xr3:uid="{CA79E21A-D18F-40EE-A9CA-625B1711DCBB}" name="Column28" dataDxfId="617" totalsRowDxfId="616"/>
    <tableColumn id="29" xr3:uid="{3E8458D6-3CFA-4500-B98E-81F2A4E275CC}" name="Column29" dataDxfId="615" totalsRowDxfId="614"/>
    <tableColumn id="30" xr3:uid="{D26EB584-A4F6-4F5E-A0D0-ED5F02FC0391}" name="Column30" dataDxfId="613" totalsRowDxfId="612"/>
    <tableColumn id="31" xr3:uid="{367EFC52-150C-417A-AED1-17D6E8DBBA45}" name="Column31" dataDxfId="611" totalsRowDxfId="610"/>
    <tableColumn id="32" xr3:uid="{FB1853DC-120D-4DEC-86D1-28C01E777624}" name="Column32" dataDxfId="609" totalsRowDxfId="608"/>
    <tableColumn id="33" xr3:uid="{2165FCE3-B4AA-4B79-A93F-8A6CC2575E8B}" name="Column33" dataDxfId="607" totalsRowDxfId="606"/>
    <tableColumn id="34" xr3:uid="{44FD5A72-5D2D-44F7-9505-CA389BC311B1}" name="Column34" dataDxfId="605" totalsRowDxfId="60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UnitsTbl" displayName="UnitsTbl" ref="B9:AZ59" totalsRowShown="0" headerRowDxfId="544" dataDxfId="542" headerRowBorderDxfId="543">
  <tableColumns count="51">
    <tableColumn id="42" xr3:uid="{1D881845-4ECB-4A8C-BB1C-192A716BC656}" name="# of Bedrooms" dataDxfId="541"/>
    <tableColumn id="2" xr3:uid="{00000000-0010-0000-0300-000002000000}" name="Restricted Income Level" dataDxfId="540"/>
    <tableColumn id="3" xr3:uid="{00000000-0010-0000-0300-000003000000}" name="Total Units" dataDxfId="539"/>
    <tableColumn id="46" xr3:uid="{FCA73E3E-21BD-4C98-A5D3-B4C0A1836366}" name="IIG_x000a_Assisted" dataDxfId="538"/>
    <tableColumn id="50" xr3:uid="{7BD76487-6E0A-42E0-8BA0-353AEF2651BA}" name="HHC_x000a_Assisted" dataDxfId="537"/>
    <tableColumn id="49" xr3:uid="{11E06503-EE0A-475D-AAE4-056BB6872137}" name="TOD_x000a_Assisted" dataDxfId="536"/>
    <tableColumn id="47" xr3:uid="{2008B2C8-74C9-4631-B381-3A2093556E00}" name="FWHG_x000a_Assisted" dataDxfId="535"/>
    <tableColumn id="48" xr3:uid="{9CE81A84-EB5B-4BD5-8CE5-F395637B4766}" name="MHP_x000a_Assisted" dataDxfId="534"/>
    <tableColumn id="14" xr3:uid="{00000000-0010-0000-0300-00000E000000}" name="VHHP_x000a_Assisted" dataDxfId="533"/>
    <tableColumn id="19" xr3:uid="{00000000-0010-0000-0300-000013000000}" name="Special Needs" dataDxfId="532"/>
    <tableColumn id="1" xr3:uid="{38FEC371-6480-4D77-8290-F591F95A32D3}" name="Chronic Homelessness" dataDxfId="531"/>
    <tableColumn id="26" xr3:uid="{FAFED1B8-2417-4D92-9B15-B22C515FCF15}" name="Disability Homelessness " dataDxfId="530"/>
    <tableColumn id="28" xr3:uid="{FDBCB640-CED9-4C6C-A86E-023B71FD33B2}" name="Homelessness" dataDxfId="529"/>
    <tableColumn id="45" xr3:uid="{C84B1A94-0352-489F-9A0C-EA6268160B90}" name="TH Chronic Homelessness" dataDxfId="528" dataCellStyle="Normal 11"/>
    <tableColumn id="51" xr3:uid="{4A7D2927-D285-4411-9EA8-E0236D90EC91}" name="TH Disability Homelessness" dataDxfId="527" dataCellStyle="Normal 11"/>
    <tableColumn id="52" xr3:uid="{46914D81-1021-4972-97B0-0E3899717549}" name="Other TH Homelessness" dataDxfId="526" dataCellStyle="Normal 11"/>
    <tableColumn id="40" xr3:uid="{210EA58F-1A0D-496C-B8F9-7CE4810443C1}" name="At Risk of Homelessness" dataDxfId="525"/>
    <tableColumn id="38" xr3:uid="{61809873-FCB4-4C6C-833C-7B4C4CA06663}" name="Senior Housing" dataDxfId="524"/>
    <tableColumn id="37" xr3:uid="{3FF58F78-D016-4970-9D2C-F7B2BF58F4BD}" name="Agricultural Households" dataDxfId="523"/>
    <tableColumn id="20" xr3:uid="{00000000-0010-0000-0300-000014000000}" name="Other Restricted" dataDxfId="522"/>
    <tableColumn id="21" xr3:uid="{00000000-0010-0000-0300-000015000000}" name="Other Special Needs" dataDxfId="521"/>
    <tableColumn id="22" xr3:uid="{00000000-0010-0000-0300-000016000000}" name="Other HCD Source" dataDxfId="520"/>
    <tableColumn id="23" xr3:uid="{00000000-0010-0000-0300-000017000000}" name="Other HCD Assisted Units" dataDxfId="519"/>
    <tableColumn id="36" xr3:uid="{83F9F256-61AD-4C2A-8774-2B1359B9035B}" name="Other HCD Special Needs" dataDxfId="518"/>
    <tableColumn id="24" xr3:uid="{00000000-0010-0000-0300-000018000000}" name="Total Restricted Units" dataDxfId="517">
      <calculatedColumnFormula>IF(OR(UnitsTbl[[#This Row],[Restricted Income Level]]="Manager",UnitsTbl[[#This Row],[Restricted Income Level]]="Market",UnitsTbl[[#This Row],[Restricted Income Level]]&gt;60%),0,MIN(SUM(UnitsTbl[[#This Row],[IIG
Assisted]:[VHHP
Assisted]])+UnitsTbl[[#This Row],[Other Restricted]],UnitsTbl[[#This Row],[Total Units]]))</calculatedColumnFormula>
    </tableColumn>
    <tableColumn id="53" xr3:uid="{EC8005A9-D04F-455F-81D3-6991559191E9}" name="Join Venture Increase" dataDxfId="516" dataCellStyle="Normal 11">
      <calculatedColumnFormula>UnitsTbl[[#This Row],[Total Restricted Units]]*25000+IF(UnitsTbl[[#This Row],[Restricted Income Level]]="Manager",UnitsTbl[[#This Row],[Total Units]]*25000,0)</calculatedColumnFormula>
    </tableColumn>
    <tableColumn id="43" xr3:uid="{F1C985D2-3DAD-4BFD-A6D1-D64A5EB61788}" name="IIG Gran Base Limit" dataDxfId="515">
      <calculatedColumnFormula>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calculatedColumnFormula>
    </tableColumn>
    <tableColumn id="13" xr3:uid="{EB9FBB77-3029-4220-B48E-B1143A4E9394}" name="Total Base Loan Amount" dataDxfId="514" dataCellStyle="Normal 11">
      <calculatedColumnFormula>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calculatedColumnFormula>
    </tableColumn>
    <tableColumn id="35" xr3:uid="{8715D172-CB97-4F96-A3AB-C2A34F34FC1B}" name="Total NC in High(est) RA Loan Amount" dataDxfId="513" dataCellStyle="Normal 11">
      <calculatedColumnFormula>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calculatedColumnFormula>
    </tableColumn>
    <tableColumn id="39" xr3:uid="{D8237CBA-DB78-4889-BE8F-5829B080B068}" name="VHHP" dataDxfId="512">
      <calculatedColumnFormula>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calculatedColumnFormula>
    </tableColumn>
    <tableColumn id="31" xr3:uid="{00000000-0010-0000-0300-00001F000000}" name="Total Base Loan Amount2" dataDxfId="511">
      <calculatedColumnFormula>IFERROR(IF(AND(IsMhp,UnitsTbl[[#This Row],[Restricted Income Level]]="Manager"),UnitsTbl[[#This Row],[Total Units]]*IF(AND(UnitsTbl[[#This Row],[Total Units]]&gt;0,Taxcredit=9%,UnitsTbl[[#This Row],[Restricted Income Level]]="Manager"),95000,IF(AND(IsMhp,UnitsTbl[[#This Row],[Total Units]]&gt;0,Taxcredit=9%),VLOOKUP(CONCATENATE(County,C10),LoanLimit9Tbl[],AX10,FALSE),IF(AND(IsMhp,UnitsTbl[[#This Row],[Total Units]]&gt;0,OR(Taxcredit=4%,Taxcredit="None"),UnitsTbl[[#This Row],[Restricted Income Level]]="Manager"),150000,VLOOKUP(CONCATENATE(County,C10),LoanLimitsTbl[],AX10,FALSE)))),(IF($R$4=FALSE,((UnitsTbl[[#This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Restricted]]&gt;0),IsMhp,Taxcredit=9%),VLOOKUP(CONCATENATE(County,C10),LoanLimit9Tbl[],AX10,FALSE),IF(AND(IsMhp,UnitsTbl[[#This Row],[MHP
Assisted]]&gt;0,UnitsTbl[[#This Row],[Restricted Income Level]]="Manager"),150000,VLOOKUP(CONCATENATE(County,C10),LoanLimitsTbl[],AX10,FALSE))))))),0)</calculatedColumnFormula>
    </tableColumn>
    <tableColumn id="32" xr3:uid="{00000000-0010-0000-0300-000020000000}" name="Total LF NC in High(est) RA Loan Amount" dataDxfId="510">
      <calculatedColumnFormula>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Restricted]]&gt;0),IsMhp,Taxcredit=9%),VLOOKUP(CONCATENATE(County,C10),LoanLimit9Tbl[],AY10,FALSE),IF(AND(OR(UnitsTbl[[#This Row],[MHP
Assisted]]&gt;0,UnitsTbl[[#This Row],[Other Restricted]]&gt;0),UnitsTbl[[#This Row],[Restricted Income Level]]="Manager"),175000,VLOOKUP(CONCATENATE(County,C10),LoanLimitsTbl[],AY10,FALSE)))),IF(UnitsTbl[[#This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Restricted]]&gt;0),IsMhp,Taxcredit=9%),VLOOKUP(CONCATENATE(County,C10),LoanLimit9Tbl[],AY10,FALSE),IF(AND(OR(UnitsTbl[[#This Row],[MHP
Assisted]]&gt;0,UnitsTbl[[#This Row],[Other Restricted]]&gt;0),UnitsTbl[[#This Row],[Restricted Income Level]]="Manager"),175000,VLOOKUP(CONCATENATE(County,C10),LoanLimitsTbl[],AY10,FALSE)))))))),"")</calculatedColumnFormula>
    </tableColumn>
    <tableColumn id="4" xr3:uid="{00000000-0010-0000-0300-000004000000}" name="Rent Limit Calculation Formula" dataDxfId="509"/>
    <tableColumn id="5" xr3:uid="{00000000-0010-0000-0300-000005000000}" name="Max Gross Rent" dataDxfId="508">
      <calculatedColumnFormula>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calculatedColumnFormula>
    </tableColumn>
    <tableColumn id="6" xr3:uid="{00000000-0010-0000-0300-000006000000}" name="Less Utility Allowance Schedule 1" dataDxfId="507"/>
    <tableColumn id="7" xr3:uid="{00000000-0010-0000-0300-000007000000}" name="Less Utility Allowance Schedule 2" dataDxfId="506"/>
    <tableColumn id="8" xr3:uid="{00000000-0010-0000-0300-000008000000}" name="Maximum Net Rent" dataDxfId="505">
      <calculatedColumnFormula>IFERROR(IF(UnitsTbl[[#This Row],[Max Gross Rent]]=0,"",UnitsTbl[[#This Row],[Max Gross Rent]]-UnitsTbl[[#This Row],[Less Utility Allowance Schedule 1]]-UnitsTbl[[#This Row],[Less Utility Allowance Schedule 2]]),"")</calculatedColumnFormula>
    </tableColumn>
    <tableColumn id="9" xr3:uid="{00000000-0010-0000-0300-000009000000}" name="Proposed Net Rent " dataDxfId="504"/>
    <tableColumn id="10" xr3:uid="{00000000-0010-0000-0300-00000A000000}" name="Monthly Income at Proposed Rents" dataDxfId="503">
      <calculatedColumnFormula>IF(UnitsTbl[[#This Row],[Proposed Net Rent ]]="","",UnitsTbl[[#This Row],[Total Units]]*UnitsTbl[[#This Row],[Proposed Net Rent ]])</calculatedColumnFormula>
    </tableColumn>
    <tableColumn id="15" xr3:uid="{00000000-0010-0000-0300-00000F000000}" name="Monthly Income at Maximum Rents" dataDxfId="502">
      <calculatedColumnFormula>IFERROR(UnitsTbl[[#This Row],[Total Units]]*UnitsTbl[[#This Row],[Maximum Net Rent]],"")</calculatedColumnFormula>
    </tableColumn>
    <tableColumn id="16" xr3:uid="{00000000-0010-0000-0300-000010000000}" name="Gross Monthly Contract Rent" dataDxfId="501"/>
    <tableColumn id="17" xr3:uid="{00000000-0010-0000-0300-000011000000}" name="Subsidy Payment Over  Net Rent" dataDxfId="500">
      <calculatedColumnFormula>IFERROR(IF(UnitsTbl[[#This Row],[Gross Monthly Contract Rent]]="","",IF($AV$4="Restricted",UnitsTbl[[#This Row],[Gross Monthly Contract Rent]]-UnitsTbl[[#This Row],[Maximum Net Rent]],IF($AV$4="Proposed",UnitsTbl[[#This Row],[Gross Monthly Contract Rent]]-UnitsTbl[[#This Row],[Proposed Net Rent ]],0))),"")</calculatedColumnFormula>
    </tableColumn>
    <tableColumn id="18" xr3:uid="{00000000-0010-0000-0300-000012000000}" name="Units Subsidized" dataDxfId="499"/>
    <tableColumn id="11" xr3:uid="{00000000-0010-0000-0300-00000B000000}" name="Total Monthly Extra Income" dataDxfId="498">
      <calculatedColumnFormula>IFERROR(IF(UnitsTbl[[#This Row],[Units Subsidized]]="","",UnitsTbl[[#This Row],[Subsidy Payment Over  Net Rent]]*UnitsTbl[[#This Row],[Units Subsidized]]),"")</calculatedColumnFormula>
    </tableColumn>
    <tableColumn id="25" xr3:uid="{00000000-0010-0000-0300-000019000000}" name="Gross Monthly Contract Rent2" dataDxfId="497"/>
    <tableColumn id="27" xr3:uid="{00000000-0010-0000-0300-00001B000000}" name="Subsidy Payment Over  Net Rent2" dataDxfId="496">
      <calculatedColumnFormula>IFERROR(IF(UnitsTbl[[#This Row],[Gross Monthly Contract Rent2]]="","",IF($AV$4="Restricted",UnitsTbl[[#This Row],[Gross Monthly Contract Rent2]]-UnitsTbl[[#This Row],[Maximum Net Rent]],IF($AV$4="Proposed",UnitsTbl[[#This Row],[Gross Monthly Contract Rent2]]-UnitsTbl[[#This Row],[Proposed Net Rent ]],""))),"")</calculatedColumnFormula>
    </tableColumn>
    <tableColumn id="33" xr3:uid="{00000000-0010-0000-0300-000021000000}" name="Units Subsidized2" dataDxfId="495"/>
    <tableColumn id="34" xr3:uid="{00000000-0010-0000-0300-000022000000}" name="Total Monthly Extra Income2" dataDxfId="494">
      <calculatedColumnFormula>IFERROR(IF(UnitsTbl[[#This Row],[Units Subsidized2]]="","",UnitsTbl[[#This Row],[Subsidy Payment Over  Net Rent2]]*UnitsTbl[[#This Row],[Units Subsidized2]]),"")</calculatedColumnFormula>
    </tableColumn>
    <tableColumn id="29" xr3:uid="{00000000-0010-0000-0300-00001D000000}" name="VLOOKUP Base" dataDxfId="493">
      <calculatedColumnFormula>IF(UnitsTbl[[#This Row],['# of Bedrooms]]="","",IF(UnitsTbl[[#This Row],['# of Bedrooms]]=0,2,IF(UnitsTbl[[#This Row],['# of Bedrooms]]=1,3,IF(UnitsTbl[[#This Row],['# of Bedrooms]]=2,4,IF(UnitsTbl[[#This Row],['# of Bedrooms]]=3,5,IF(UnitsTbl[[#This Row],['# of Bedrooms]]=4,6,IF(UnitsTbl[[#This Row],['# of Bedrooms]]&gt;4,6,"")))))))</calculatedColumnFormula>
    </tableColumn>
    <tableColumn id="30" xr3:uid="{00000000-0010-0000-0300-00001E000000}" name="VLOOKUP Base2" dataDxfId="492">
      <calculatedColumnFormula>IF(UnitsTbl[[#This Row],['# of Bedrooms]]="","",IF(UnitsTbl[[#This Row],['# of Bedrooms]]=0,7,IF(UnitsTbl[[#This Row],['# of Bedrooms]]=1,8,IF(UnitsTbl[[#This Row],['# of Bedrooms]]=2,9,IF(UnitsTbl[[#This Row],['# of Bedrooms]]=3,10,IF(UnitsTbl[[#This Row],['# of Bedrooms]]=4,11,IF(UnitsTbl[[#This Row],['# of Bedrooms]]&gt;4,11,"")))))))</calculatedColumnFormula>
    </tableColumn>
    <tableColumn id="12" xr3:uid="{00000000-0010-0000-0300-00000C000000}" name="VLOOKUP Rents, Other Rents" dataDxfId="491">
      <calculatedColumnFormula>IF(UnitsTbl[[#This Row],['# of Bedrooms]]="","",IF(UnitsTbl[[#This Row],['# of Bedrooms]]=0,2,IF(UnitsTbl[[#This Row],['# of Bedrooms]]=1,3,IF(UnitsTbl[[#This Row],['# of Bedrooms]]=2,4,IF(UnitsTbl[[#This Row],['# of Bedrooms]]=3,5,IF(UnitsTbl[[#This Row],['# of Bedrooms]]=4,6,IF(UnitsTbl[[#This Row],['# of Bedrooms]]=5,7,"")))))))</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4000000}" name="LoanLimitsTbl" displayName="LoanLimitsTbl" ref="BH3:BR583" totalsRowShown="0" headerRowDxfId="490" dataDxfId="488" headerRowBorderDxfId="489" tableBorderDxfId="487" totalsRowBorderDxfId="486">
  <tableColumns count="11">
    <tableColumn id="1" xr3:uid="{00000000-0010-0000-0400-000001000000}" name="County" dataDxfId="485"/>
    <tableColumn id="2" xr3:uid="{00000000-0010-0000-0400-000002000000}" name="Efficiency" dataDxfId="484"/>
    <tableColumn id="3" xr3:uid="{00000000-0010-0000-0400-000003000000}" name="1 BR" dataDxfId="483"/>
    <tableColumn id="4" xr3:uid="{00000000-0010-0000-0400-000004000000}" name="2 BR" dataDxfId="482"/>
    <tableColumn id="5" xr3:uid="{00000000-0010-0000-0400-000005000000}" name="3 BR" dataDxfId="481"/>
    <tableColumn id="6" xr3:uid="{00000000-0010-0000-0400-000006000000}" name="4+ BR" dataDxfId="480"/>
    <tableColumn id="7" xr3:uid="{00000000-0010-0000-0400-000007000000}" name="Efficiency2" dataDxfId="479"/>
    <tableColumn id="8" xr3:uid="{00000000-0010-0000-0400-000008000000}" name="1 BR2" dataDxfId="478"/>
    <tableColumn id="9" xr3:uid="{00000000-0010-0000-0400-000009000000}" name="2 BR2" dataDxfId="477"/>
    <tableColumn id="10" xr3:uid="{00000000-0010-0000-0400-00000A000000}" name="3 BR2" dataDxfId="476"/>
    <tableColumn id="11" xr3:uid="{00000000-0010-0000-0400-00000B000000}" name="4+ BR2" dataDxfId="475"/>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IncomeLimitsTbl" displayName="IncomeLimitsTbl" ref="BT3:CB61" totalsRowShown="0" headerRowDxfId="474" dataDxfId="472" headerRowBorderDxfId="473" tableBorderDxfId="471" totalsRowBorderDxfId="470">
  <tableColumns count="9">
    <tableColumn id="1" xr3:uid="{00000000-0010-0000-0500-000001000000}" name="County" dataDxfId="469"/>
    <tableColumn id="2" xr3:uid="{00000000-0010-0000-0500-000002000000}" name="P1-lim50" dataDxfId="468"/>
    <tableColumn id="3" xr3:uid="{00000000-0010-0000-0500-000003000000}" name="P2-lim50" dataDxfId="467"/>
    <tableColumn id="4" xr3:uid="{00000000-0010-0000-0500-000004000000}" name="P3-lim50" dataDxfId="466"/>
    <tableColumn id="5" xr3:uid="{00000000-0010-0000-0500-000005000000}" name="P4-lim50" dataDxfId="465"/>
    <tableColumn id="6" xr3:uid="{00000000-0010-0000-0500-000006000000}" name="P5-lim50" dataDxfId="464"/>
    <tableColumn id="7" xr3:uid="{00000000-0010-0000-0500-000007000000}" name="P6-lim50" dataDxfId="463"/>
    <tableColumn id="8" xr3:uid="{00000000-0010-0000-0500-000008000000}" name="P7-lim50" dataDxfId="462"/>
    <tableColumn id="9" xr3:uid="{00000000-0010-0000-0500-000009000000}" name="P8-lim50" dataDxfId="461"/>
  </tableColumns>
  <tableStyleInfo name="TableStyleLight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LoanLimit9Tbl" displayName="LoanLimit9Tbl" ref="CD3:CN583" totalsRowShown="0" headerRowDxfId="460" dataDxfId="458" headerRowBorderDxfId="459" tableBorderDxfId="457" totalsRowBorderDxfId="456">
  <tableColumns count="11">
    <tableColumn id="1" xr3:uid="{00000000-0010-0000-0600-000001000000}" name="County" dataDxfId="455"/>
    <tableColumn id="2" xr3:uid="{00000000-0010-0000-0600-000002000000}" name="0 BR" dataDxfId="454"/>
    <tableColumn id="3" xr3:uid="{00000000-0010-0000-0600-000003000000}" name="1 BR" dataDxfId="453"/>
    <tableColumn id="4" xr3:uid="{00000000-0010-0000-0600-000004000000}" name="2 BR" dataDxfId="452"/>
    <tableColumn id="5" xr3:uid="{00000000-0010-0000-0600-000005000000}" name="3 BR" dataDxfId="451"/>
    <tableColumn id="6" xr3:uid="{00000000-0010-0000-0600-000006000000}" name="4+ BR" dataDxfId="450"/>
    <tableColumn id="7" xr3:uid="{00000000-0010-0000-0600-000007000000}" name="0 BR2" dataDxfId="449"/>
    <tableColumn id="8" xr3:uid="{00000000-0010-0000-0600-000008000000}" name="1 BR2" dataDxfId="448"/>
    <tableColumn id="9" xr3:uid="{00000000-0010-0000-0600-000009000000}" name="2 BR2" dataDxfId="447"/>
    <tableColumn id="10" xr3:uid="{00000000-0010-0000-0600-00000A000000}" name="3 BR2" dataDxfId="446"/>
    <tableColumn id="11" xr3:uid="{00000000-0010-0000-0600-00000B000000}" name="4+ BR2" dataDxfId="445"/>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CACrentTbl" displayName="TCACrentTbl" ref="CQ40:CW60" totalsRowShown="0" headerRowDxfId="444" dataDxfId="442" headerRowBorderDxfId="443" tableBorderDxfId="441" totalsRowBorderDxfId="440">
  <autoFilter ref="CQ40:CW60" xr:uid="{00000000-0009-0000-0100-00000C000000}"/>
  <tableColumns count="7">
    <tableColumn id="1" xr3:uid="{00000000-0010-0000-0700-000001000000}" name="Limit" dataDxfId="439"/>
    <tableColumn id="2" xr3:uid="{00000000-0010-0000-0700-000002000000}" name="0 Bdrm." dataDxfId="438">
      <calculatedColumnFormula>TRUNC(CQ7/12*0.3)</calculatedColumnFormula>
    </tableColumn>
    <tableColumn id="3" xr3:uid="{00000000-0010-0000-0700-000003000000}" name="1 Bdrm." dataDxfId="437">
      <calculatedColumnFormula>TRUNC((CQ7+CR7)/2/12*0.3)</calculatedColumnFormula>
    </tableColumn>
    <tableColumn id="4" xr3:uid="{00000000-0010-0000-0700-000004000000}" name="2 Bdrm." dataDxfId="436">
      <calculatedColumnFormula>TRUNC(CS7/12*0.3)</calculatedColumnFormula>
    </tableColumn>
    <tableColumn id="5" xr3:uid="{00000000-0010-0000-0700-000005000000}" name="3 Bdrm." dataDxfId="435">
      <calculatedColumnFormula>TRUNC((CT7+CU7)/2/12*0.3)</calculatedColumnFormula>
    </tableColumn>
    <tableColumn id="6" xr3:uid="{00000000-0010-0000-0700-000006000000}" name="4 Bdrm." dataDxfId="434">
      <calculatedColumnFormula>TRUNC(CV7/12*0.3)</calculatedColumnFormula>
    </tableColumn>
    <tableColumn id="7" xr3:uid="{00000000-0010-0000-0700-000007000000}" name="5 Bdrm." dataDxfId="433">
      <calculatedColumnFormula>TRUNC((CW7+CX7)/2/12*0.3)</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8000000}" name="CalHFArent" displayName="CalHFArent" ref="CQ32:CW33" totalsRowShown="0" headerRowDxfId="432" dataDxfId="431">
  <autoFilter ref="CQ32:CW33" xr:uid="{00000000-0009-0000-0100-00000E000000}"/>
  <tableColumns count="7">
    <tableColumn id="1" xr3:uid="{00000000-0010-0000-0800-000001000000}" name="Level" dataDxfId="430">
      <calculatedColumnFormula>CONCATENATE(County,0.5)</calculatedColumnFormula>
    </tableColumn>
    <tableColumn id="2" xr3:uid="{00000000-0010-0000-0800-000002000000}" name="0 Bdrm." dataDxfId="429">
      <calculatedColumnFormula>CQ19/12*0.3</calculatedColumnFormula>
    </tableColumn>
    <tableColumn id="3" xr3:uid="{00000000-0010-0000-0800-000003000000}" name="1 Bdrm." dataDxfId="428">
      <calculatedColumnFormula>CR19/12*0.3</calculatedColumnFormula>
    </tableColumn>
    <tableColumn id="4" xr3:uid="{00000000-0010-0000-0800-000004000000}" name="2 Bdrm." dataDxfId="427">
      <calculatedColumnFormula>CS19/12*0.3</calculatedColumnFormula>
    </tableColumn>
    <tableColumn id="5" xr3:uid="{00000000-0010-0000-0800-000005000000}" name="3 Bdrm." dataDxfId="426">
      <calculatedColumnFormula>CT19/12*0.3</calculatedColumnFormula>
    </tableColumn>
    <tableColumn id="6" xr3:uid="{00000000-0010-0000-0800-000006000000}" name="4 Bdrm." dataDxfId="425">
      <calculatedColumnFormula>CU19/12*0.3</calculatedColumnFormula>
    </tableColumn>
    <tableColumn id="7" xr3:uid="{00000000-0010-0000-0800-000007000000}" name="5 Bdrm." dataDxfId="424">
      <calculatedColumnFormula>CV19/12*0.3</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9000000}" name="OtherRentLimitTbl" displayName="OtherRentLimitTbl" ref="AH65:AN85" totalsRowShown="0" headerRowDxfId="423" dataDxfId="421" headerRowBorderDxfId="422" tableBorderDxfId="420" totalsRowBorderDxfId="419">
  <tableColumns count="7">
    <tableColumn id="1" xr3:uid="{00000000-0010-0000-0900-000001000000}" name="Income Level" dataDxfId="418"/>
    <tableColumn id="2" xr3:uid="{00000000-0010-0000-0900-000002000000}" name="0" dataDxfId="417"/>
    <tableColumn id="3" xr3:uid="{00000000-0010-0000-0900-000003000000}" name="1" dataDxfId="416"/>
    <tableColumn id="4" xr3:uid="{00000000-0010-0000-0900-000004000000}" name="2" dataDxfId="415"/>
    <tableColumn id="5" xr3:uid="{00000000-0010-0000-0900-000005000000}" name="3" dataDxfId="414"/>
    <tableColumn id="6" xr3:uid="{00000000-0010-0000-0900-000006000000}" name="4" dataDxfId="413"/>
    <tableColumn id="7" xr3:uid="{00000000-0010-0000-0900-000007000000}" name="5" dataDxfId="412"/>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CA381D3-CBDB-47E9-8EF9-13F48087DDB7}" name="IIGgrantTbl" displayName="IIGgrantTbl" ref="BT90:BY95" totalsRowShown="0" headerRowDxfId="411" dataDxfId="410">
  <autoFilter ref="BT90:BY95" xr:uid="{54B64F95-C7BD-4D46-B0D8-C3E0C3A4619F}"/>
  <tableColumns count="6">
    <tableColumn id="1" xr3:uid="{2F1EC788-2C4B-4CC0-B73C-C202EDF55D3B}" name="Unit Type AMI" dataDxfId="409"/>
    <tableColumn id="2" xr3:uid="{9F69334F-4EF1-42E8-9FFF-D8E62176FEFE}" name="0-Bdrm" dataDxfId="408"/>
    <tableColumn id="3" xr3:uid="{D8ED905E-4A24-4A6E-A754-466759796B1B}" name="1-Bdrm" dataDxfId="407"/>
    <tableColumn id="4" xr3:uid="{D0A2B183-C631-440D-915D-FA8FF84BBBCB}" name="2-Bdrm" dataDxfId="406"/>
    <tableColumn id="5" xr3:uid="{0CEBEECC-E859-4178-A099-6BE31A327DA3}" name="3-Bdrm" dataDxfId="405"/>
    <tableColumn id="6" xr3:uid="{19FE5E5D-1D5C-4CD7-BAC4-98549283A6FE}" name="4+Bdrm" dataDxfId="40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vert="wordArtVert"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vert="wordArtVert"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N41" dT="2021-11-16T21:34:44.02" personId="{A51AD887-D23F-4013-B6E3-C2802BD4C7BF}" id="{4C914BDB-70CF-4A0A-BA50-69E902D6A4E6}">
    <text>Verify cells per comments. from here down.</text>
  </threadedComment>
</ThreadedComments>
</file>

<file path=xl/threadedComments/threadedComment2.xml><?xml version="1.0" encoding="utf-8"?>
<ThreadedComments xmlns="http://schemas.microsoft.com/office/spreadsheetml/2018/threadedcomments" xmlns:x="http://schemas.openxmlformats.org/spreadsheetml/2006/main">
  <threadedComment ref="AN33" dT="2021-11-17T17:01:23.80" personId="{A51AD887-D23F-4013-B6E3-C2802BD4C7BF}" id="{A84E9FC3-6AEB-48E6-8FEB-62E1473C78A1}">
    <text>are the max loan amounts per project remain as last round?</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hcd.ca.gov/grants-funding/active-funding/mhp.shtml"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treasurer.ca.gov/ctcac/opportunity.asp" TargetMode="External"/><Relationship Id="rId3" Type="http://schemas.openxmlformats.org/officeDocument/2006/relationships/hyperlink" Target="https://www.hcd.ca.gov/grants-funding/active-funding/mhp/docs/2020%20Jan-Round-2-MHP-Loan%20Authorization-Template-Sponsor.docx" TargetMode="External"/><Relationship Id="rId7" Type="http://schemas.openxmlformats.org/officeDocument/2006/relationships/hyperlink" Target="https://www.hcd.ca.gov/grants-funding/active-funding/mhp.shtml" TargetMode="External"/><Relationship Id="rId12" Type="http://schemas.openxmlformats.org/officeDocument/2006/relationships/comments" Target="../comments1.xml"/><Relationship Id="rId2" Type="http://schemas.openxmlformats.org/officeDocument/2006/relationships/hyperlink" Target="https://www.hcd.ca.gov/grants-funding/active-funding/mhp/docs/2020%20Jan-Round-2-MHP-Loan%20Authorization-Template-Sponsor.docx" TargetMode="External"/><Relationship Id="rId1" Type="http://schemas.openxmlformats.org/officeDocument/2006/relationships/hyperlink" Target="https://www.treasurer.ca.gov/ctcac/2020/applications/2020-methodology-for-determining-rural-status.pdf" TargetMode="External"/><Relationship Id="rId6" Type="http://schemas.openxmlformats.org/officeDocument/2006/relationships/hyperlink" Target="https://fiscal.ca.gov/wp-content/uploads/2019/08/GovtTINForm_000.pdf" TargetMode="External"/><Relationship Id="rId11" Type="http://schemas.openxmlformats.org/officeDocument/2006/relationships/vmlDrawing" Target="../drawings/vmlDrawing1.vml"/><Relationship Id="rId5" Type="http://schemas.openxmlformats.org/officeDocument/2006/relationships/hyperlink" Target="https://www.hcd.ca.gov/grants-funding/active-funding/mhp/docs/2020%20Jan-Round-2-MHP-Loan%20Authorization-Template-Sponsor.docx" TargetMode="External"/><Relationship Id="rId10" Type="http://schemas.openxmlformats.org/officeDocument/2006/relationships/printerSettings" Target="../printerSettings/printerSettings5.bin"/><Relationship Id="rId4" Type="http://schemas.openxmlformats.org/officeDocument/2006/relationships/hyperlink" Target="https://www.hcd.ca.gov/grants-funding/active-funding/mhp/docs/2020%20Jan-Round-2-MHP-Loan%20Authorization-Template-Sponsor.docx" TargetMode="External"/><Relationship Id="rId9" Type="http://schemas.openxmlformats.org/officeDocument/2006/relationships/hyperlink" Target="https://www.hcd.ca.gov/community-development/housing-element/index.shtml" TargetMode="Externa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bin"/><Relationship Id="rId3" Type="http://schemas.openxmlformats.org/officeDocument/2006/relationships/hyperlink" Target="https://www.hcd.ca.gov/grants-funding/active-funding/mhp/docs/2020%20Jan-Round-2-MHP-Loan%20Authorization-Template-Sponsor.docx" TargetMode="External"/><Relationship Id="rId7" Type="http://schemas.openxmlformats.org/officeDocument/2006/relationships/hyperlink" Target="https://fiscal.ca.gov/wp-content/uploads/2019/08/GovtTINForm_000.pdf" TargetMode="External"/><Relationship Id="rId2" Type="http://schemas.openxmlformats.org/officeDocument/2006/relationships/hyperlink" Target="https://www.hcd.ca.gov/grants-funding/active-funding/mhp/docs/2020%20Jan-Round-2-MHP-Loan%20Authorization-Template-Sponsor.docx" TargetMode="External"/><Relationship Id="rId1" Type="http://schemas.openxmlformats.org/officeDocument/2006/relationships/hyperlink" Target="https://www.treasurer.ca.gov/ctcac/2020/applications/2020-methodology-for-determining-rural-status.pdf" TargetMode="External"/><Relationship Id="rId6" Type="http://schemas.openxmlformats.org/officeDocument/2006/relationships/hyperlink" Target="https://www.hcd.ca.gov/grants-funding/docs/std204.pdf" TargetMode="External"/><Relationship Id="rId5" Type="http://schemas.openxmlformats.org/officeDocument/2006/relationships/hyperlink" Target="https://www.hcd.ca.gov/grants-funding/active-funding/mhp/docs/2020%20Jan-Round-2-MHP-Loan%20Authorization-Template-Sponsor.docx" TargetMode="External"/><Relationship Id="rId10" Type="http://schemas.openxmlformats.org/officeDocument/2006/relationships/comments" Target="../comments2.xml"/><Relationship Id="rId4" Type="http://schemas.openxmlformats.org/officeDocument/2006/relationships/hyperlink" Target="https://www.hcd.ca.gov/grants-funding/active-funding/mhp/docs/2020%20Jan-Round-2-MHP-Loan%20Authorization-Template-Sponsor.docx" TargetMode="External"/><Relationship Id="rId9"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12.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 Id="rId4" Type="http://schemas.microsoft.com/office/2017/10/relationships/threadedComment" Target="../threadedComments/threadedComment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14.bin"/><Relationship Id="rId6" Type="http://schemas.openxmlformats.org/officeDocument/2006/relationships/table" Target="../tables/table9.xml"/><Relationship Id="rId11" Type="http://schemas.openxmlformats.org/officeDocument/2006/relationships/comments" Target="../comments7.xml"/><Relationship Id="rId5" Type="http://schemas.openxmlformats.org/officeDocument/2006/relationships/table" Target="../tables/table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7.bin"/><Relationship Id="rId1" Type="http://schemas.openxmlformats.org/officeDocument/2006/relationships/hyperlink" Target="https://www.treasurer.ca.gov/ctcac/opportunity.asp" TargetMode="External"/><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1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20.bin"/><Relationship Id="rId1" Type="http://schemas.openxmlformats.org/officeDocument/2006/relationships/hyperlink" Target="https://www.hudexchange.info/resources/documents/btlnat2_6.pdf" TargetMode="External"/><Relationship Id="rId4"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hyperlink" Target="https://www.hcd.ca.gov/grants-funding/active-funding/mhp.shtml" TargetMode="External"/><Relationship Id="rId1" Type="http://schemas.openxmlformats.org/officeDocument/2006/relationships/hyperlink" Target="http://www.hcd.ca.gov/fa/mhp/MHP-LoanClosing/7301Definitions.doc"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hyperlink" Target="https://www.hcd.ca.gov/grants-funding/active-funding/mhp.shtml"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hyperlink" Target="https://www.nass.usda.gov/AgCensus/" TargetMode="External"/><Relationship Id="rId7" Type="http://schemas.openxmlformats.org/officeDocument/2006/relationships/comments" Target="../comments17.xml"/><Relationship Id="rId2" Type="http://schemas.openxmlformats.org/officeDocument/2006/relationships/hyperlink" Target="http://www.hcd.ca.gov/community-development/housing-element/housing-element-memos/docs/Default_2010census_update.pdf" TargetMode="External"/><Relationship Id="rId1" Type="http://schemas.openxmlformats.org/officeDocument/2006/relationships/hyperlink" Target="http://www.epa.gov/smartgrowth/smart-location-mapping" TargetMode="External"/><Relationship Id="rId6" Type="http://schemas.openxmlformats.org/officeDocument/2006/relationships/vmlDrawing" Target="../drawings/vmlDrawing17.vml"/><Relationship Id="rId5" Type="http://schemas.openxmlformats.org/officeDocument/2006/relationships/printerSettings" Target="../printerSettings/printerSettings30.bin"/><Relationship Id="rId4" Type="http://schemas.openxmlformats.org/officeDocument/2006/relationships/hyperlink" Target="https://www.hcd.ca.gov/community-development/prohousing/index.shtml"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RK8"/>
  <sheetViews>
    <sheetView topLeftCell="AV1" workbookViewId="0">
      <selection activeCell="AX32" sqref="AX32"/>
    </sheetView>
  </sheetViews>
  <sheetFormatPr defaultRowHeight="13.2"/>
  <cols>
    <col min="1" max="1" width="10.44140625" bestFit="1" customWidth="1"/>
    <col min="2" max="2" width="12.88671875" customWidth="1"/>
    <col min="3" max="3" width="10.88671875" bestFit="1" customWidth="1"/>
    <col min="4" max="4" width="9.88671875" bestFit="1" customWidth="1"/>
    <col min="5" max="5" width="19" bestFit="1" customWidth="1"/>
    <col min="6" max="6" width="15.33203125" customWidth="1"/>
    <col min="7" max="7" width="14.88671875" customWidth="1"/>
    <col min="8" max="8" width="12.88671875" customWidth="1"/>
    <col min="9" max="9" width="11" bestFit="1" customWidth="1"/>
    <col min="10" max="10" width="11" customWidth="1"/>
    <col min="11" max="11" width="10.109375" bestFit="1" customWidth="1"/>
    <col min="12" max="17" width="10.33203125" bestFit="1" customWidth="1"/>
    <col min="18" max="20" width="10.44140625" bestFit="1" customWidth="1"/>
    <col min="21" max="23" width="10.109375" bestFit="1" customWidth="1"/>
    <col min="24" max="29" width="11" bestFit="1" customWidth="1"/>
    <col min="30" max="30" width="10" bestFit="1" customWidth="1"/>
    <col min="31" max="32" width="10.33203125" bestFit="1" customWidth="1"/>
    <col min="33" max="34" width="11" bestFit="1" customWidth="1"/>
    <col min="35" max="35" width="10.33203125" bestFit="1" customWidth="1"/>
    <col min="36" max="36" width="10.109375" bestFit="1" customWidth="1"/>
    <col min="37" max="37" width="10.33203125" bestFit="1" customWidth="1"/>
    <col min="38" max="38" width="10.33203125" customWidth="1"/>
    <col min="39" max="39" width="10.33203125" bestFit="1" customWidth="1"/>
    <col min="40" max="40" width="10.109375" bestFit="1" customWidth="1"/>
    <col min="41" max="41" width="10.6640625" bestFit="1" customWidth="1"/>
    <col min="42" max="42" width="22.5546875" bestFit="1" customWidth="1"/>
    <col min="43" max="43" width="22.109375" bestFit="1" customWidth="1"/>
    <col min="44" max="44" width="22.88671875" bestFit="1" customWidth="1"/>
    <col min="45" max="45" width="19.44140625" bestFit="1" customWidth="1"/>
    <col min="46" max="46" width="24.88671875" bestFit="1" customWidth="1"/>
    <col min="47" max="47" width="22.5546875" bestFit="1" customWidth="1"/>
    <col min="48" max="48" width="13" bestFit="1" customWidth="1"/>
    <col min="49" max="49" width="15.44140625" customWidth="1"/>
    <col min="50" max="50" width="11.6640625" bestFit="1" customWidth="1"/>
    <col min="51" max="51" width="25.88671875" bestFit="1" customWidth="1"/>
    <col min="52" max="52" width="16.109375" bestFit="1" customWidth="1"/>
    <col min="53" max="53" width="16" bestFit="1" customWidth="1"/>
    <col min="54" max="54" width="14.88671875" bestFit="1" customWidth="1"/>
    <col min="55" max="56" width="10.88671875" bestFit="1" customWidth="1"/>
    <col min="57" max="57" width="11.44140625" bestFit="1" customWidth="1"/>
    <col min="58" max="58" width="15.109375" bestFit="1" customWidth="1"/>
    <col min="59" max="59" width="11.5546875" bestFit="1" customWidth="1"/>
    <col min="60" max="60" width="12.44140625" bestFit="1" customWidth="1"/>
    <col min="61" max="61" width="13.33203125" bestFit="1" customWidth="1"/>
    <col min="62" max="62" width="14.33203125" bestFit="1" customWidth="1"/>
    <col min="63" max="63" width="11.44140625" bestFit="1" customWidth="1"/>
    <col min="64" max="64" width="12.6640625" bestFit="1" customWidth="1"/>
    <col min="65" max="65" width="11" bestFit="1" customWidth="1"/>
    <col min="66" max="66" width="12.5546875" bestFit="1" customWidth="1"/>
    <col min="67" max="67" width="13.44140625" bestFit="1" customWidth="1"/>
    <col min="68" max="68" width="11.88671875" bestFit="1" customWidth="1"/>
    <col min="69" max="69" width="10.33203125" bestFit="1" customWidth="1"/>
    <col min="70" max="70" width="10.88671875" bestFit="1" customWidth="1"/>
    <col min="71" max="72" width="10.33203125" bestFit="1" customWidth="1"/>
    <col min="73" max="73" width="14" bestFit="1" customWidth="1"/>
    <col min="74" max="74" width="16" bestFit="1" customWidth="1"/>
    <col min="75" max="75" width="11.109375" bestFit="1" customWidth="1"/>
    <col min="76" max="76" width="15.5546875" bestFit="1" customWidth="1"/>
    <col min="77" max="77" width="14.5546875" bestFit="1" customWidth="1"/>
    <col min="78" max="78" width="11.109375" bestFit="1" customWidth="1"/>
    <col min="79" max="79" width="11" bestFit="1" customWidth="1"/>
    <col min="80" max="80" width="11.6640625" bestFit="1" customWidth="1"/>
    <col min="81" max="81" width="11.44140625" bestFit="1" customWidth="1"/>
    <col min="82" max="82" width="15.109375" bestFit="1" customWidth="1"/>
    <col min="83" max="83" width="16.6640625" bestFit="1" customWidth="1"/>
    <col min="84" max="84" width="11.5546875" bestFit="1" customWidth="1"/>
    <col min="85" max="85" width="10.33203125" bestFit="1" customWidth="1"/>
    <col min="86" max="86" width="12" bestFit="1" customWidth="1"/>
    <col min="87" max="87" width="10.44140625" bestFit="1" customWidth="1"/>
    <col min="88" max="88" width="12" bestFit="1" customWidth="1"/>
    <col min="89" max="89" width="9.109375" bestFit="1" customWidth="1"/>
    <col min="90" max="90" width="13.33203125" bestFit="1" customWidth="1"/>
    <col min="91" max="91" width="9.109375" bestFit="1" customWidth="1"/>
    <col min="92" max="92" width="13" bestFit="1" customWidth="1"/>
    <col min="93" max="93" width="7.88671875" bestFit="1" customWidth="1"/>
    <col min="94" max="94" width="10.88671875" bestFit="1" customWidth="1"/>
    <col min="95" max="95" width="7.88671875" bestFit="1" customWidth="1"/>
    <col min="96" max="96" width="10.44140625" bestFit="1" customWidth="1"/>
    <col min="97" max="97" width="7.88671875" bestFit="1" customWidth="1"/>
    <col min="98" max="98" width="10.44140625" bestFit="1" customWidth="1"/>
    <col min="99" max="99" width="7.88671875" bestFit="1" customWidth="1"/>
    <col min="100" max="100" width="10.44140625" bestFit="1" customWidth="1"/>
    <col min="101" max="101" width="8.5546875" bestFit="1" customWidth="1"/>
    <col min="102" max="102" width="11.44140625" bestFit="1" customWidth="1"/>
    <col min="103" max="103" width="8.5546875" bestFit="1" customWidth="1"/>
    <col min="104" max="104" width="11.44140625" bestFit="1" customWidth="1"/>
    <col min="105" max="105" width="10.5546875" customWidth="1"/>
    <col min="106" max="106" width="11.5546875" bestFit="1" customWidth="1"/>
    <col min="107" max="107" width="8.5546875" bestFit="1" customWidth="1"/>
    <col min="108" max="108" width="11.44140625" bestFit="1" customWidth="1"/>
    <col min="109" max="109" width="11" bestFit="1" customWidth="1"/>
    <col min="110" max="110" width="9.6640625" bestFit="1" customWidth="1"/>
    <col min="111" max="111" width="8.5546875" bestFit="1" customWidth="1"/>
    <col min="112" max="112" width="11" bestFit="1" customWidth="1"/>
    <col min="113" max="113" width="8.88671875" bestFit="1" customWidth="1"/>
    <col min="114" max="114" width="9.5546875" bestFit="1" customWidth="1"/>
    <col min="115" max="115" width="8.5546875" bestFit="1" customWidth="1"/>
    <col min="116" max="116" width="13.109375" bestFit="1" customWidth="1"/>
    <col min="117" max="117" width="13.6640625" bestFit="1" customWidth="1"/>
    <col min="118" max="118" width="13.109375" bestFit="1" customWidth="1"/>
    <col min="119" max="119" width="15.44140625" bestFit="1" customWidth="1"/>
    <col min="120" max="120" width="12.109375" bestFit="1" customWidth="1"/>
    <col min="121" max="121" width="11.5546875" bestFit="1" customWidth="1"/>
    <col min="122" max="122" width="12.33203125" bestFit="1" customWidth="1"/>
    <col min="123" max="123" width="12.44140625" bestFit="1" customWidth="1"/>
    <col min="124" max="124" width="13.44140625" bestFit="1" customWidth="1"/>
    <col min="125" max="125" width="11.5546875" bestFit="1" customWidth="1"/>
    <col min="126" max="126" width="12.44140625" bestFit="1" customWidth="1"/>
    <col min="127" max="128" width="11" bestFit="1" customWidth="1"/>
    <col min="129" max="129" width="10.88671875" bestFit="1" customWidth="1"/>
    <col min="130" max="130" width="9.5546875" bestFit="1" customWidth="1"/>
    <col min="131" max="131" width="11" bestFit="1" customWidth="1"/>
    <col min="132" max="132" width="8.88671875" bestFit="1" customWidth="1"/>
    <col min="133" max="133" width="9.5546875" bestFit="1" customWidth="1"/>
    <col min="134" max="134" width="8.5546875" bestFit="1" customWidth="1"/>
    <col min="135" max="135" width="13.109375" bestFit="1" customWidth="1"/>
    <col min="136" max="136" width="13.6640625" bestFit="1" customWidth="1"/>
    <col min="137" max="137" width="13.109375" bestFit="1" customWidth="1"/>
    <col min="138" max="138" width="15.44140625" bestFit="1" customWidth="1"/>
    <col min="139" max="139" width="12.109375" bestFit="1" customWidth="1"/>
    <col min="140" max="140" width="11.5546875" bestFit="1" customWidth="1"/>
    <col min="141" max="141" width="12.33203125" bestFit="1" customWidth="1"/>
    <col min="142" max="142" width="12.44140625" bestFit="1" customWidth="1"/>
    <col min="143" max="143" width="13.44140625" bestFit="1" customWidth="1"/>
    <col min="144" max="144" width="11.5546875" bestFit="1" customWidth="1"/>
    <col min="145" max="145" width="12.44140625" bestFit="1" customWidth="1"/>
    <col min="146" max="146" width="11" bestFit="1" customWidth="1"/>
    <col min="147" max="147" width="8.88671875" bestFit="1" customWidth="1"/>
    <col min="148" max="148" width="8.44140625" bestFit="1" customWidth="1"/>
    <col min="149" max="149" width="8.6640625" bestFit="1" customWidth="1"/>
    <col min="150" max="150" width="9.109375" bestFit="1" customWidth="1"/>
    <col min="151" max="151" width="9" bestFit="1" customWidth="1"/>
    <col min="152" max="152" width="10.6640625" bestFit="1" customWidth="1"/>
    <col min="153" max="153" width="11.109375" bestFit="1" customWidth="1"/>
    <col min="154" max="154" width="10.5546875" bestFit="1" customWidth="1"/>
    <col min="155" max="155" width="12.5546875" bestFit="1" customWidth="1"/>
    <col min="156" max="156" width="9.5546875" bestFit="1" customWidth="1"/>
    <col min="157" max="157" width="8.88671875" bestFit="1" customWidth="1"/>
    <col min="158" max="158" width="9.6640625" bestFit="1" customWidth="1"/>
    <col min="159" max="159" width="10" bestFit="1" customWidth="1"/>
    <col min="160" max="160" width="10.88671875" bestFit="1" customWidth="1"/>
    <col min="161" max="161" width="9" bestFit="1" customWidth="1"/>
    <col min="162" max="162" width="9.88671875" bestFit="1" customWidth="1"/>
    <col min="163" max="163" width="8.5546875" bestFit="1" customWidth="1"/>
    <col min="164" max="165" width="8.44140625" bestFit="1" customWidth="1"/>
    <col min="166" max="166" width="8.6640625" bestFit="1" customWidth="1"/>
    <col min="167" max="167" width="9.109375" bestFit="1" customWidth="1"/>
    <col min="168" max="168" width="8.5546875" bestFit="1" customWidth="1"/>
    <col min="169" max="169" width="10.6640625" bestFit="1" customWidth="1"/>
    <col min="170" max="170" width="11.109375" bestFit="1" customWidth="1"/>
    <col min="171" max="171" width="10.5546875" bestFit="1" customWidth="1"/>
    <col min="172" max="172" width="12.5546875" bestFit="1" customWidth="1"/>
    <col min="173" max="173" width="9.5546875" bestFit="1" customWidth="1"/>
    <col min="174" max="174" width="8.88671875" bestFit="1" customWidth="1"/>
    <col min="175" max="175" width="9.6640625" bestFit="1" customWidth="1"/>
    <col min="176" max="176" width="10" bestFit="1" customWidth="1"/>
    <col min="177" max="177" width="10.88671875" bestFit="1" customWidth="1"/>
    <col min="178" max="178" width="9" bestFit="1" customWidth="1"/>
    <col min="179" max="179" width="9.88671875" bestFit="1" customWidth="1"/>
    <col min="180" max="180" width="8.5546875" bestFit="1" customWidth="1"/>
    <col min="181" max="181" width="13.109375" bestFit="1" customWidth="1"/>
    <col min="182" max="182" width="8.44140625" bestFit="1" customWidth="1"/>
    <col min="183" max="183" width="8.6640625" bestFit="1" customWidth="1"/>
    <col min="184" max="184" width="9.109375" bestFit="1" customWidth="1"/>
    <col min="185" max="185" width="8.5546875" bestFit="1" customWidth="1"/>
    <col min="186" max="186" width="9.6640625" bestFit="1" customWidth="1"/>
    <col min="187" max="187" width="10" bestFit="1" customWidth="1"/>
    <col min="188" max="188" width="9.5546875" bestFit="1" customWidth="1"/>
    <col min="189" max="189" width="11.44140625" bestFit="1" customWidth="1"/>
    <col min="190" max="190" width="8.5546875" bestFit="1" customWidth="1"/>
    <col min="191" max="191" width="8.44140625" bestFit="1" customWidth="1"/>
    <col min="192" max="192" width="8.6640625" bestFit="1" customWidth="1"/>
    <col min="193" max="193" width="9" bestFit="1" customWidth="1"/>
    <col min="194" max="194" width="9.88671875" bestFit="1" customWidth="1"/>
    <col min="195" max="195" width="8.6640625" bestFit="1" customWidth="1"/>
    <col min="196" max="196" width="9.109375" bestFit="1" customWidth="1"/>
    <col min="197" max="197" width="8.5546875" bestFit="1" customWidth="1"/>
    <col min="198" max="198" width="9.5546875" bestFit="1" customWidth="1"/>
    <col min="199" max="199" width="12" bestFit="1" customWidth="1"/>
    <col min="200" max="200" width="9.33203125" bestFit="1" customWidth="1"/>
    <col min="201" max="201" width="8.6640625" bestFit="1" customWidth="1"/>
    <col min="202" max="202" width="9.109375" bestFit="1" customWidth="1"/>
    <col min="203" max="203" width="8.5546875" bestFit="1" customWidth="1"/>
    <col min="204" max="204" width="11.88671875" bestFit="1" customWidth="1"/>
    <col min="205" max="205" width="12.33203125" bestFit="1" customWidth="1"/>
    <col min="206" max="206" width="11.6640625" bestFit="1" customWidth="1"/>
    <col min="207" max="207" width="13.6640625" bestFit="1" customWidth="1"/>
    <col min="208" max="208" width="10.6640625" bestFit="1" customWidth="1"/>
    <col min="209" max="209" width="10.109375" bestFit="1" customWidth="1"/>
    <col min="210" max="210" width="10.88671875" bestFit="1" customWidth="1"/>
    <col min="211" max="211" width="11.109375" bestFit="1" customWidth="1"/>
    <col min="212" max="212" width="12" bestFit="1" customWidth="1"/>
    <col min="213" max="213" width="10.109375" bestFit="1" customWidth="1"/>
    <col min="214" max="214" width="11" bestFit="1" customWidth="1"/>
    <col min="215" max="215" width="9.6640625" bestFit="1" customWidth="1"/>
    <col min="216" max="216" width="10.33203125" bestFit="1" customWidth="1"/>
    <col min="217" max="217" width="11.88671875" bestFit="1" customWidth="1"/>
    <col min="218" max="218" width="9.109375" bestFit="1" customWidth="1"/>
    <col min="219" max="219" width="8.6640625" bestFit="1" customWidth="1"/>
    <col min="220" max="220" width="9.109375" bestFit="1" customWidth="1"/>
    <col min="221" max="221" width="8.5546875" bestFit="1" customWidth="1"/>
    <col min="222" max="222" width="11.6640625" bestFit="1" customWidth="1"/>
    <col min="223" max="223" width="12.109375" bestFit="1" customWidth="1"/>
    <col min="224" max="224" width="11.5546875" bestFit="1" customWidth="1"/>
    <col min="225" max="225" width="13.5546875" bestFit="1" customWidth="1"/>
    <col min="226" max="226" width="10.5546875" bestFit="1" customWidth="1"/>
    <col min="227" max="227" width="10" bestFit="1" customWidth="1"/>
    <col min="228" max="228" width="10.6640625" bestFit="1" customWidth="1"/>
    <col min="229" max="229" width="11" bestFit="1" customWidth="1"/>
    <col min="230" max="230" width="11.88671875" bestFit="1" customWidth="1"/>
    <col min="231" max="231" width="10" bestFit="1" customWidth="1"/>
    <col min="232" max="232" width="10.88671875" bestFit="1" customWidth="1"/>
    <col min="233" max="233" width="9.5546875" bestFit="1" customWidth="1"/>
    <col min="234" max="234" width="21.88671875" bestFit="1" customWidth="1"/>
    <col min="235" max="235" width="12.109375" bestFit="1" customWidth="1"/>
    <col min="236" max="236" width="8.5546875" bestFit="1" customWidth="1"/>
    <col min="237" max="237" width="8.6640625" bestFit="1" customWidth="1"/>
    <col min="238" max="238" width="9.109375" bestFit="1" customWidth="1"/>
    <col min="239" max="239" width="8.5546875" bestFit="1" customWidth="1"/>
    <col min="240" max="240" width="11.6640625" bestFit="1" customWidth="1"/>
    <col min="241" max="241" width="11.88671875" bestFit="1" customWidth="1"/>
    <col min="242" max="242" width="13.88671875" bestFit="1" customWidth="1"/>
    <col min="243" max="243" width="13.33203125" bestFit="1" customWidth="1"/>
    <col min="244" max="244" width="15" bestFit="1" customWidth="1"/>
    <col min="245" max="245" width="10.5546875" bestFit="1" customWidth="1"/>
    <col min="246" max="246" width="11" bestFit="1" customWidth="1"/>
    <col min="247" max="247" width="11.33203125" bestFit="1" customWidth="1"/>
    <col min="248" max="248" width="12" bestFit="1" customWidth="1"/>
    <col min="249" max="249" width="10.109375" bestFit="1" customWidth="1"/>
    <col min="250" max="250" width="10.88671875" bestFit="1" customWidth="1"/>
    <col min="251" max="251" width="9.6640625" bestFit="1" customWidth="1"/>
    <col min="252" max="256" width="8.5546875" bestFit="1" customWidth="1"/>
    <col min="257" max="257" width="9" bestFit="1" customWidth="1"/>
    <col min="258" max="265" width="8.5546875" bestFit="1" customWidth="1"/>
    <col min="266" max="274" width="10" bestFit="1" customWidth="1"/>
    <col min="275" max="279" width="10.44140625" bestFit="1" customWidth="1"/>
    <col min="280" max="280" width="8.5546875" bestFit="1" customWidth="1"/>
    <col min="281" max="281" width="10.109375" bestFit="1" customWidth="1"/>
    <col min="282" max="282" width="8.5546875" bestFit="1" customWidth="1"/>
    <col min="283" max="283" width="20.44140625" bestFit="1" customWidth="1"/>
    <col min="284" max="284" width="22.33203125" bestFit="1" customWidth="1"/>
    <col min="285" max="285" width="22.5546875" bestFit="1" customWidth="1"/>
    <col min="286" max="286" width="11.5546875" bestFit="1" customWidth="1"/>
    <col min="287" max="287" width="12.33203125" bestFit="1" customWidth="1"/>
    <col min="288" max="288" width="14.33203125" bestFit="1" customWidth="1"/>
    <col min="289" max="289" width="11.88671875" bestFit="1" customWidth="1"/>
    <col min="290" max="290" width="12.33203125" bestFit="1" customWidth="1"/>
    <col min="291" max="291" width="12.88671875" bestFit="1" customWidth="1"/>
    <col min="292" max="292" width="12.44140625" bestFit="1" customWidth="1"/>
    <col min="293" max="293" width="14.33203125" bestFit="1" customWidth="1"/>
    <col min="294" max="294" width="16.44140625" bestFit="1" customWidth="1"/>
    <col min="295" max="295" width="12.5546875" bestFit="1" customWidth="1"/>
    <col min="296" max="297" width="13" bestFit="1" customWidth="1"/>
    <col min="298" max="298" width="17.109375" bestFit="1" customWidth="1"/>
    <col min="299" max="299" width="12.44140625" bestFit="1" customWidth="1"/>
    <col min="300" max="300" width="16.5546875" bestFit="1" customWidth="1"/>
    <col min="301" max="301" width="12.44140625" bestFit="1" customWidth="1"/>
    <col min="302" max="302" width="16.33203125" bestFit="1" customWidth="1"/>
    <col min="303" max="303" width="14.6640625" bestFit="1" customWidth="1"/>
    <col min="304" max="305" width="13.33203125" bestFit="1" customWidth="1"/>
    <col min="306" max="306" width="13.44140625" bestFit="1" customWidth="1"/>
    <col min="307" max="307" width="15.88671875" bestFit="1" customWidth="1"/>
    <col min="308" max="308" width="14.109375" bestFit="1" customWidth="1"/>
    <col min="309" max="309" width="14.6640625" bestFit="1" customWidth="1"/>
    <col min="310" max="310" width="12.109375" bestFit="1" customWidth="1"/>
    <col min="311" max="311" width="8.5546875" bestFit="1" customWidth="1"/>
    <col min="312" max="312" width="12.5546875" bestFit="1" customWidth="1"/>
    <col min="313" max="313" width="13.44140625" bestFit="1" customWidth="1"/>
    <col min="314" max="314" width="15.88671875" bestFit="1" customWidth="1"/>
    <col min="315" max="315" width="14.109375" bestFit="1" customWidth="1"/>
    <col min="316" max="316" width="14.6640625" bestFit="1" customWidth="1"/>
    <col min="317" max="317" width="12.109375" bestFit="1" customWidth="1"/>
    <col min="318" max="318" width="8.5546875" bestFit="1" customWidth="1"/>
    <col min="319" max="319" width="12.5546875" bestFit="1" customWidth="1"/>
    <col min="320" max="320" width="13.44140625" bestFit="1" customWidth="1"/>
    <col min="321" max="321" width="15.88671875" bestFit="1" customWidth="1"/>
    <col min="322" max="322" width="14.44140625" bestFit="1" customWidth="1"/>
    <col min="323" max="323" width="15" bestFit="1" customWidth="1"/>
    <col min="324" max="324" width="12.44140625" bestFit="1" customWidth="1"/>
    <col min="325" max="325" width="8.88671875" bestFit="1" customWidth="1"/>
    <col min="326" max="326" width="13.33203125" bestFit="1" customWidth="1"/>
    <col min="327" max="327" width="13.44140625" bestFit="1" customWidth="1"/>
    <col min="328" max="328" width="15.88671875" bestFit="1" customWidth="1"/>
    <col min="329" max="329" width="14.109375" bestFit="1" customWidth="1"/>
    <col min="330" max="330" width="15" bestFit="1" customWidth="1"/>
    <col min="331" max="331" width="12.109375" bestFit="1" customWidth="1"/>
    <col min="332" max="332" width="8.88671875" bestFit="1" customWidth="1"/>
    <col min="333" max="333" width="13" bestFit="1" customWidth="1"/>
    <col min="334" max="334" width="20.33203125" bestFit="1" customWidth="1"/>
    <col min="335" max="335" width="21.33203125" bestFit="1" customWidth="1"/>
    <col min="336" max="337" width="17.5546875" bestFit="1" customWidth="1"/>
    <col min="338" max="338" width="18.109375" bestFit="1" customWidth="1"/>
    <col min="339" max="339" width="14.6640625" bestFit="1" customWidth="1"/>
    <col min="340" max="340" width="20.109375" bestFit="1" customWidth="1"/>
    <col min="341" max="341" width="20.5546875" bestFit="1" customWidth="1"/>
    <col min="342" max="342" width="18.109375" bestFit="1" customWidth="1"/>
    <col min="343" max="343" width="11.6640625" bestFit="1" customWidth="1"/>
    <col min="344" max="344" width="18.6640625" bestFit="1" customWidth="1"/>
    <col min="345" max="345" width="18.44140625" bestFit="1" customWidth="1"/>
    <col min="346" max="346" width="19.33203125" bestFit="1" customWidth="1"/>
    <col min="347" max="347" width="18.44140625" bestFit="1" customWidth="1"/>
    <col min="348" max="348" width="15.33203125" bestFit="1" customWidth="1"/>
    <col min="349" max="349" width="16" bestFit="1" customWidth="1"/>
    <col min="350" max="351" width="15.6640625" bestFit="1" customWidth="1"/>
    <col min="352" max="352" width="18.33203125" bestFit="1" customWidth="1"/>
    <col min="353" max="353" width="12.44140625" bestFit="1" customWidth="1"/>
    <col min="354" max="354" width="19.5546875" bestFit="1" customWidth="1"/>
    <col min="355" max="355" width="19.88671875" bestFit="1" customWidth="1"/>
    <col min="356" max="356" width="19.5546875" bestFit="1" customWidth="1"/>
    <col min="357" max="357" width="19.44140625" bestFit="1" customWidth="1"/>
    <col min="358" max="358" width="17.109375" bestFit="1" customWidth="1"/>
    <col min="359" max="359" width="17.33203125" bestFit="1" customWidth="1"/>
    <col min="360" max="360" width="17.88671875" bestFit="1" customWidth="1"/>
    <col min="361" max="361" width="12.44140625" bestFit="1" customWidth="1"/>
    <col min="362" max="362" width="16.6640625" bestFit="1" customWidth="1"/>
    <col min="363" max="363" width="16.33203125" bestFit="1" customWidth="1"/>
    <col min="364" max="365" width="14.88671875" bestFit="1" customWidth="1"/>
    <col min="366" max="366" width="17.33203125" bestFit="1" customWidth="1"/>
    <col min="367" max="367" width="18.5546875" bestFit="1" customWidth="1"/>
    <col min="368" max="368" width="7.88671875" customWidth="1"/>
    <col min="369" max="369" width="13.109375" bestFit="1" customWidth="1"/>
    <col min="370" max="370" width="10.109375" bestFit="1" customWidth="1"/>
    <col min="371" max="371" width="16.6640625" customWidth="1"/>
    <col min="372" max="372" width="13.109375" bestFit="1" customWidth="1"/>
    <col min="373" max="373" width="10.109375" bestFit="1" customWidth="1"/>
    <col min="374" max="374" width="12.33203125" customWidth="1"/>
    <col min="375" max="375" width="18.109375" bestFit="1" customWidth="1"/>
    <col min="376" max="376" width="13.88671875" bestFit="1" customWidth="1"/>
    <col min="377" max="377" width="18.5546875" bestFit="1" customWidth="1"/>
    <col min="378" max="378" width="13.109375" bestFit="1" customWidth="1"/>
    <col min="379" max="379" width="13.88671875" bestFit="1" customWidth="1"/>
    <col min="380" max="380" width="18.5546875" bestFit="1" customWidth="1"/>
    <col min="381" max="381" width="13.109375" bestFit="1" customWidth="1"/>
    <col min="382" max="382" width="10.33203125" customWidth="1"/>
    <col min="383" max="383" width="11.109375" bestFit="1" customWidth="1"/>
    <col min="384" max="384" width="7.88671875" customWidth="1"/>
    <col min="385" max="385" width="10.33203125" customWidth="1"/>
    <col min="386" max="392" width="6.88671875" bestFit="1" customWidth="1"/>
    <col min="393" max="393" width="9.33203125" bestFit="1" customWidth="1"/>
    <col min="394" max="394" width="11.33203125" customWidth="1"/>
    <col min="395" max="395" width="8" bestFit="1" customWidth="1"/>
    <col min="396" max="396" width="10.44140625" bestFit="1" customWidth="1"/>
    <col min="397" max="397" width="13.5546875" bestFit="1" customWidth="1"/>
    <col min="398" max="398" width="8" bestFit="1" customWidth="1"/>
    <col min="399" max="399" width="14.5546875" bestFit="1" customWidth="1"/>
    <col min="400" max="400" width="11.44140625" customWidth="1"/>
    <col min="409" max="409" width="10" customWidth="1"/>
    <col min="411" max="411" width="15.88671875" bestFit="1" customWidth="1"/>
    <col min="412" max="412" width="18.88671875" bestFit="1" customWidth="1"/>
    <col min="413" max="414" width="16.44140625" customWidth="1"/>
    <col min="415" max="415" width="17.109375" bestFit="1" customWidth="1"/>
    <col min="416" max="416" width="17.109375" customWidth="1"/>
    <col min="417" max="417" width="16.44140625" bestFit="1" customWidth="1"/>
    <col min="418" max="418" width="16.6640625" bestFit="1" customWidth="1"/>
    <col min="419" max="419" width="16.33203125" bestFit="1" customWidth="1"/>
    <col min="420" max="420" width="16.44140625" bestFit="1" customWidth="1"/>
    <col min="421" max="421" width="16.6640625" bestFit="1" customWidth="1"/>
    <col min="422" max="422" width="16.33203125" bestFit="1" customWidth="1"/>
    <col min="423" max="423" width="16.44140625" bestFit="1" customWidth="1"/>
    <col min="424" max="424" width="16.6640625" bestFit="1" customWidth="1"/>
    <col min="425" max="425" width="16.33203125" bestFit="1" customWidth="1"/>
    <col min="426" max="426" width="16.44140625" bestFit="1" customWidth="1"/>
    <col min="427" max="427" width="16.6640625" bestFit="1" customWidth="1"/>
    <col min="428" max="428" width="16.33203125" bestFit="1" customWidth="1"/>
    <col min="429" max="430" width="16.44140625" bestFit="1" customWidth="1"/>
    <col min="431" max="433" width="16.5546875" bestFit="1" customWidth="1"/>
    <col min="434" max="435" width="17.109375" bestFit="1" customWidth="1"/>
    <col min="436" max="436" width="18.88671875" bestFit="1" customWidth="1"/>
    <col min="437" max="439" width="13.109375" bestFit="1" customWidth="1"/>
    <col min="441" max="442" width="10.5546875" bestFit="1" customWidth="1"/>
    <col min="443" max="443" width="11.33203125" bestFit="1" customWidth="1"/>
  </cols>
  <sheetData>
    <row r="1" spans="1:479">
      <c r="A1" s="1668" t="s">
        <v>0</v>
      </c>
      <c r="B1" s="1669"/>
      <c r="C1" s="1669"/>
      <c r="D1" s="1669"/>
      <c r="E1" s="1669"/>
      <c r="F1" s="1669"/>
      <c r="G1" s="1669"/>
      <c r="H1" s="1669"/>
      <c r="I1" s="1669"/>
      <c r="J1" s="1669"/>
      <c r="K1" s="1669"/>
      <c r="L1" s="1669"/>
      <c r="M1" s="1669"/>
      <c r="N1" s="1669"/>
      <c r="O1" s="1669"/>
      <c r="P1" s="1669"/>
      <c r="Q1" s="1669"/>
      <c r="R1" s="1669"/>
      <c r="S1" s="1669"/>
      <c r="T1" s="1669"/>
      <c r="U1" s="1669"/>
      <c r="V1" s="1669"/>
      <c r="W1" s="1669"/>
      <c r="X1" s="1669"/>
      <c r="Y1" s="1669"/>
      <c r="Z1" s="1669"/>
      <c r="AA1" s="1669"/>
      <c r="AB1" s="1669"/>
      <c r="AC1" s="1669"/>
      <c r="AD1" s="1669"/>
      <c r="AE1" s="1669"/>
      <c r="AF1" s="1669"/>
      <c r="AG1" s="1669"/>
      <c r="AH1" s="1669"/>
      <c r="AI1" s="1669"/>
      <c r="AJ1" s="1669"/>
      <c r="AK1" s="1669"/>
      <c r="AL1" s="1669"/>
      <c r="AM1" s="1669"/>
      <c r="AN1" s="1669"/>
      <c r="AO1" s="1669"/>
      <c r="AP1" s="1669"/>
      <c r="AQ1" s="1669"/>
      <c r="AR1" s="1669"/>
      <c r="AS1" s="1669"/>
      <c r="AT1" s="1669"/>
      <c r="AU1" s="1669"/>
      <c r="AV1" s="1669"/>
      <c r="AW1" s="1669"/>
      <c r="AX1" s="1669"/>
      <c r="AY1" s="1669"/>
      <c r="AZ1" s="1669"/>
      <c r="BA1" s="1669"/>
      <c r="BB1" s="1669"/>
      <c r="BC1" s="1669"/>
      <c r="BD1" s="1669"/>
      <c r="BE1" s="1669"/>
      <c r="BF1" s="1669"/>
      <c r="BG1" s="1669"/>
      <c r="BH1" s="1669"/>
      <c r="BI1" s="1669"/>
      <c r="BJ1" s="1669"/>
      <c r="BK1" s="1669"/>
      <c r="BL1" s="1669"/>
      <c r="BM1" s="1669"/>
      <c r="BN1" s="1669"/>
      <c r="BO1" s="1669"/>
      <c r="BP1" s="1669"/>
      <c r="BQ1" s="1669"/>
      <c r="BR1" s="1669"/>
      <c r="BS1" s="1669"/>
      <c r="BT1" s="1669"/>
      <c r="BU1" s="1669"/>
      <c r="BV1" s="1669"/>
      <c r="BW1" s="1669"/>
      <c r="BX1" s="1669"/>
      <c r="BY1" s="1669"/>
      <c r="BZ1" s="1669"/>
      <c r="CA1" s="1669"/>
      <c r="CB1" s="1669"/>
      <c r="CC1" s="1669"/>
      <c r="CD1" s="1669"/>
      <c r="CE1" s="1669"/>
      <c r="CF1" s="1669"/>
      <c r="CG1" s="1669"/>
      <c r="CH1" s="1669"/>
      <c r="CI1" s="1669"/>
      <c r="CJ1" s="1670" t="s">
        <v>1</v>
      </c>
      <c r="CK1" s="1670"/>
      <c r="CL1" s="1670"/>
      <c r="CM1" s="1670"/>
      <c r="CN1" s="1670"/>
      <c r="CO1" s="1670"/>
      <c r="CP1" s="1670"/>
      <c r="CQ1" s="1670"/>
      <c r="CR1" s="1670"/>
      <c r="CS1" s="1670"/>
      <c r="CT1" s="1670"/>
      <c r="CU1" s="1670"/>
      <c r="CV1" s="1670"/>
      <c r="CW1" s="1670"/>
      <c r="CX1" s="1670"/>
      <c r="CY1" s="1670"/>
      <c r="CZ1" s="1670"/>
      <c r="DA1" s="1670"/>
      <c r="DB1" s="1670"/>
      <c r="DC1" s="1670"/>
      <c r="DD1" s="1670"/>
      <c r="DE1" s="1670"/>
      <c r="DF1" s="1670"/>
      <c r="DG1" s="1670"/>
      <c r="DH1" s="1670"/>
      <c r="DI1" s="1670"/>
      <c r="DJ1" s="1670"/>
      <c r="DK1" s="1670"/>
      <c r="DL1" s="1670"/>
      <c r="DM1" s="1670"/>
      <c r="DN1" s="1670"/>
      <c r="DO1" s="1670"/>
      <c r="DP1" s="1670"/>
      <c r="DQ1" s="1670"/>
      <c r="DR1" s="1670"/>
      <c r="DS1" s="1670"/>
      <c r="DT1" s="1670"/>
      <c r="DU1" s="1670"/>
      <c r="DV1" s="1670"/>
      <c r="DW1" s="1670"/>
      <c r="DX1" s="1670"/>
      <c r="DY1" s="1670"/>
      <c r="DZ1" s="1670"/>
      <c r="EA1" s="1670"/>
      <c r="EB1" s="1670"/>
      <c r="EC1" s="1670"/>
      <c r="ED1" s="1670"/>
      <c r="EE1" s="1670"/>
      <c r="EF1" s="1670"/>
      <c r="EG1" s="1670"/>
      <c r="EH1" s="1670"/>
      <c r="EI1" s="1670"/>
      <c r="EJ1" s="1670"/>
      <c r="EK1" s="1670"/>
      <c r="EL1" s="1670"/>
      <c r="EM1" s="1670"/>
      <c r="EN1" s="1670"/>
      <c r="EO1" s="1670"/>
      <c r="EP1" s="1670"/>
      <c r="EQ1" s="1670"/>
      <c r="ER1" s="1670"/>
      <c r="ES1" s="1670"/>
      <c r="ET1" s="1670"/>
      <c r="EU1" s="1670"/>
      <c r="EV1" s="1670"/>
      <c r="EW1" s="1670"/>
      <c r="EX1" s="1670"/>
      <c r="EY1" s="1670"/>
      <c r="EZ1" s="1670"/>
      <c r="FA1" s="1670"/>
      <c r="FB1" s="1670"/>
      <c r="FC1" s="1670"/>
      <c r="FD1" s="1670"/>
      <c r="FE1" s="1670"/>
      <c r="FF1" s="1670"/>
      <c r="FG1" s="1670"/>
      <c r="FH1" s="1670"/>
      <c r="FI1" s="1670"/>
      <c r="FJ1" s="1670"/>
      <c r="FK1" s="1670"/>
      <c r="FL1" s="1670"/>
      <c r="FM1" s="1670"/>
      <c r="FN1" s="1670"/>
      <c r="FO1" s="1670"/>
      <c r="FP1" s="1670"/>
      <c r="FQ1" s="1670"/>
      <c r="FR1" s="1670"/>
      <c r="FS1" s="1670"/>
      <c r="FT1" s="1670"/>
      <c r="FU1" s="1670"/>
      <c r="FV1" s="1670"/>
      <c r="FW1" s="1670"/>
      <c r="FX1" s="1670"/>
      <c r="FY1" s="1670"/>
      <c r="FZ1" s="1670"/>
      <c r="GA1" s="1670"/>
      <c r="GB1" s="1670"/>
      <c r="GC1" s="1670"/>
      <c r="GD1" s="1670"/>
      <c r="GE1" s="1670"/>
      <c r="GF1" s="1670"/>
      <c r="GG1" s="1670"/>
      <c r="GH1" s="1670"/>
      <c r="GI1" s="1670"/>
      <c r="GJ1" s="1670"/>
      <c r="GK1" s="1670"/>
      <c r="GL1" s="1670"/>
      <c r="GM1" s="1670"/>
      <c r="GN1" s="1670"/>
      <c r="GO1" s="1670"/>
      <c r="GP1" s="1670"/>
      <c r="GQ1" s="1670"/>
      <c r="GR1" s="1670"/>
      <c r="GS1" s="1670"/>
      <c r="GT1" s="1670"/>
      <c r="GU1" s="1670"/>
      <c r="GV1" s="1670"/>
      <c r="GW1" s="1670"/>
      <c r="GX1" s="1670"/>
      <c r="GY1" s="1670"/>
      <c r="GZ1" s="1670"/>
      <c r="HA1" s="1670"/>
      <c r="HB1" s="1670"/>
      <c r="HC1" s="1670"/>
      <c r="HD1" s="1670"/>
      <c r="HE1" s="1670"/>
      <c r="HF1" s="1670"/>
      <c r="HG1" s="1670"/>
      <c r="HH1" s="1670"/>
      <c r="HI1" s="1670"/>
      <c r="HJ1" s="1670"/>
      <c r="HK1" s="1670"/>
      <c r="HL1" s="1670"/>
      <c r="HM1" s="1670"/>
      <c r="HN1" s="1670"/>
      <c r="HO1" s="1670"/>
      <c r="HP1" s="1670"/>
      <c r="HQ1" s="1670"/>
      <c r="HR1" s="1670"/>
      <c r="HS1" s="1670"/>
      <c r="HT1" s="1670"/>
      <c r="HU1" s="1670"/>
      <c r="HV1" s="1670"/>
      <c r="HW1" s="1670"/>
      <c r="HX1" s="1670"/>
      <c r="HY1" s="1670"/>
      <c r="HZ1" s="1670"/>
      <c r="IA1" s="1670"/>
      <c r="IB1" s="1670"/>
      <c r="IC1" s="1670"/>
      <c r="ID1" s="1670"/>
      <c r="IE1" s="1670"/>
      <c r="IF1" s="1670"/>
      <c r="IG1" s="1670"/>
      <c r="IH1" s="1670"/>
      <c r="II1" s="1670"/>
      <c r="IJ1" s="1670"/>
      <c r="IK1" s="1670"/>
      <c r="IL1" s="1670"/>
      <c r="IM1" s="1670"/>
      <c r="IN1" s="1670"/>
      <c r="IO1" s="1670"/>
      <c r="IP1" s="1670"/>
      <c r="IQ1" s="1670"/>
      <c r="IR1" s="1670"/>
      <c r="IS1" s="1670"/>
      <c r="IT1" s="1670"/>
      <c r="IU1" s="1671" t="s">
        <v>2</v>
      </c>
      <c r="IV1" s="1671"/>
      <c r="IW1" s="1671"/>
      <c r="IX1" s="1671"/>
      <c r="IY1" s="1671"/>
      <c r="IZ1" s="1671"/>
      <c r="JA1" s="1671"/>
      <c r="JB1" s="1671"/>
      <c r="JC1" s="1671"/>
      <c r="JD1" s="1671"/>
      <c r="JE1" s="1671"/>
      <c r="JF1" s="1671"/>
      <c r="JG1" s="1671"/>
      <c r="JH1" s="1671"/>
      <c r="JI1" s="1671"/>
      <c r="JJ1" s="1671"/>
      <c r="JK1" s="1671"/>
      <c r="JL1" s="1671"/>
      <c r="JM1" s="1671"/>
      <c r="JN1" s="1671"/>
      <c r="JO1" s="1671"/>
      <c r="JP1" s="1671"/>
      <c r="JQ1" s="1671"/>
      <c r="JR1" s="1671"/>
      <c r="JS1" s="1671"/>
      <c r="JT1" s="1671"/>
      <c r="JU1" s="1671"/>
      <c r="JV1" s="1671"/>
      <c r="JW1" s="1671"/>
      <c r="JX1" s="1671"/>
      <c r="JY1" s="1671"/>
      <c r="JZ1" s="1444"/>
      <c r="KA1" s="1672" t="s">
        <v>3</v>
      </c>
      <c r="KB1" s="1672"/>
      <c r="KC1" s="1672"/>
      <c r="KD1" s="1676" t="s">
        <v>4</v>
      </c>
      <c r="KE1" s="1676"/>
      <c r="KF1" s="1676"/>
      <c r="KG1" s="1676"/>
      <c r="KH1" s="1676"/>
      <c r="KI1" s="1676"/>
      <c r="KJ1" s="1676"/>
      <c r="KK1" s="1676"/>
      <c r="KL1" s="1676"/>
      <c r="KM1" s="1676"/>
      <c r="KN1" s="1676"/>
      <c r="KO1" s="1676"/>
      <c r="KP1" s="1676"/>
      <c r="KQ1" s="1676"/>
      <c r="KR1" s="1676"/>
      <c r="KS1" s="1676"/>
      <c r="KT1" s="1676"/>
      <c r="KU1" s="1676"/>
      <c r="KV1" s="1677" t="s">
        <v>5</v>
      </c>
      <c r="KW1" s="1677"/>
      <c r="KX1" s="1677"/>
      <c r="KY1" s="1677"/>
      <c r="KZ1" s="1677"/>
      <c r="LA1" s="1677"/>
      <c r="LB1" s="1677"/>
      <c r="LC1" s="1677"/>
      <c r="LD1" s="1677"/>
      <c r="LE1" s="1677"/>
      <c r="LF1" s="1677"/>
      <c r="LG1" s="1677"/>
      <c r="LH1" s="1677"/>
      <c r="LI1" s="1677"/>
      <c r="LJ1" s="1677"/>
      <c r="LK1" s="1677"/>
      <c r="LL1" s="1677"/>
      <c r="LM1" s="1677"/>
      <c r="LN1" s="1677"/>
      <c r="LO1" s="1677"/>
      <c r="LP1" s="1677"/>
      <c r="LQ1" s="1677"/>
      <c r="LR1" s="1677"/>
      <c r="LS1" s="1677"/>
      <c r="LT1" s="1677"/>
      <c r="LU1" s="1677"/>
      <c r="LV1" s="1677"/>
      <c r="LW1" s="1677"/>
      <c r="LX1" s="1677"/>
      <c r="LY1" s="1677"/>
      <c r="LZ1" s="1677"/>
      <c r="MA1" s="1678" t="s">
        <v>6</v>
      </c>
      <c r="MB1" s="1678"/>
      <c r="MC1" s="1678"/>
      <c r="MD1" s="1678"/>
      <c r="ME1" s="1678"/>
      <c r="MF1" s="1678"/>
      <c r="MG1" s="1678"/>
      <c r="MH1" s="1678"/>
      <c r="MI1" s="1678"/>
      <c r="MJ1" s="1678"/>
      <c r="MK1" s="1678"/>
      <c r="ML1" s="1678"/>
      <c r="MM1" s="1678"/>
      <c r="MN1" s="1678"/>
      <c r="MO1" s="1678"/>
      <c r="MP1" s="1678"/>
      <c r="MQ1" s="1678"/>
      <c r="MR1" s="1678"/>
      <c r="MS1" s="1678"/>
      <c r="MT1" s="1678"/>
      <c r="MU1" s="1678"/>
      <c r="MV1" s="1678"/>
      <c r="MW1" s="1678"/>
      <c r="MX1" s="1678"/>
      <c r="MY1" s="1679" t="s">
        <v>7</v>
      </c>
      <c r="MZ1" s="1679"/>
      <c r="NA1" s="1679"/>
      <c r="NB1" s="1679"/>
      <c r="NC1" s="1679"/>
      <c r="ND1" s="1679"/>
      <c r="NE1" s="1679"/>
      <c r="NF1" s="1679"/>
      <c r="NG1" s="190" t="s">
        <v>8</v>
      </c>
      <c r="NH1" s="1680" t="s">
        <v>9</v>
      </c>
      <c r="NI1" s="1680"/>
      <c r="NJ1" s="1680"/>
      <c r="NK1" s="1680"/>
      <c r="NL1" s="1680"/>
      <c r="NM1" s="1680"/>
      <c r="NN1" s="1680"/>
      <c r="NO1" s="1680"/>
      <c r="NP1" s="1680"/>
      <c r="NQ1" s="1680"/>
      <c r="NR1" s="1680"/>
      <c r="NS1" s="1680"/>
      <c r="NT1" s="1680"/>
      <c r="NU1" s="1680"/>
      <c r="NV1" s="1680"/>
      <c r="NW1" s="1680"/>
      <c r="NX1" s="1680"/>
      <c r="NY1" s="1680"/>
      <c r="NZ1" s="1680"/>
      <c r="OA1" s="1680"/>
      <c r="OB1" s="1680"/>
      <c r="OC1" s="1680"/>
      <c r="OD1" s="1680"/>
      <c r="OE1" s="1680"/>
      <c r="OF1" s="1680"/>
      <c r="OG1" s="1680"/>
      <c r="OH1" s="1680"/>
      <c r="OI1" s="1680"/>
      <c r="OJ1" s="1680"/>
      <c r="OK1" s="1680"/>
      <c r="OL1" s="1680"/>
      <c r="OM1" s="1680"/>
      <c r="ON1" s="1680"/>
      <c r="OO1" s="1680"/>
      <c r="OP1" s="1680"/>
      <c r="OQ1" s="1680"/>
      <c r="OR1" s="1680"/>
      <c r="OS1" s="1680"/>
      <c r="OT1" s="1680"/>
      <c r="OU1" s="1680"/>
      <c r="OV1" s="1680"/>
      <c r="OW1" s="1680"/>
      <c r="OX1" s="1680"/>
      <c r="OY1" s="1680"/>
      <c r="OZ1" s="1681" t="s">
        <v>10</v>
      </c>
      <c r="PA1" s="1681"/>
      <c r="PB1" s="1681"/>
      <c r="PC1" s="1681"/>
      <c r="PD1" s="1681"/>
      <c r="PE1" s="1681"/>
      <c r="PF1" s="1681"/>
      <c r="PG1" s="1681"/>
      <c r="PH1" s="1681"/>
      <c r="PI1" s="1681"/>
      <c r="PJ1" s="1681"/>
      <c r="PK1" s="1681"/>
      <c r="PL1" s="1681"/>
      <c r="PM1" s="1681"/>
      <c r="PN1" s="1681"/>
      <c r="PO1" s="1681"/>
      <c r="PP1" s="1681"/>
      <c r="PQ1" s="1681"/>
      <c r="PR1" s="1681"/>
      <c r="PS1" s="1681"/>
      <c r="PT1" s="1681"/>
      <c r="PU1" s="1681"/>
      <c r="PV1" s="1681"/>
      <c r="PW1" s="1681"/>
      <c r="PX1" s="1681"/>
      <c r="PY1" s="1681"/>
      <c r="PZ1" s="1681"/>
      <c r="QA1" s="1681"/>
      <c r="QB1" s="1681"/>
      <c r="QC1" s="1681"/>
      <c r="QD1" s="1681"/>
      <c r="QE1" s="1681"/>
      <c r="QF1" s="1681"/>
      <c r="QG1" s="1681"/>
      <c r="QH1" s="1681"/>
      <c r="QI1" s="1681"/>
      <c r="QJ1" s="1681"/>
      <c r="QK1" s="1681"/>
      <c r="QL1" s="1681"/>
      <c r="QM1" s="1681"/>
      <c r="QN1" s="1681"/>
      <c r="QO1" s="1681"/>
      <c r="QP1" s="1681"/>
      <c r="QQ1" s="1681"/>
      <c r="QR1" s="1681"/>
      <c r="QS1" s="1681"/>
      <c r="QT1" s="1681"/>
      <c r="QU1" s="1681"/>
      <c r="QV1" s="1681"/>
      <c r="QW1" s="1681"/>
      <c r="QX1" s="1681"/>
      <c r="QY1" s="1673" t="s">
        <v>11</v>
      </c>
      <c r="QZ1" s="1673"/>
      <c r="RA1" s="1673"/>
      <c r="RB1" s="1673"/>
      <c r="RC1" s="1673"/>
      <c r="RD1" s="1673"/>
      <c r="RE1" s="1674" t="s">
        <v>12</v>
      </c>
      <c r="RF1" s="1674"/>
      <c r="RG1" s="1674"/>
      <c r="RH1" s="1674"/>
      <c r="RI1" s="1675" t="s">
        <v>13</v>
      </c>
      <c r="RJ1" s="1675"/>
      <c r="RK1" s="1675"/>
    </row>
    <row r="2" spans="1:479" ht="81.75" customHeight="1">
      <c r="A2" s="180" t="s">
        <v>14</v>
      </c>
      <c r="B2" s="180" t="s">
        <v>15</v>
      </c>
      <c r="C2" s="236" t="s">
        <v>16</v>
      </c>
      <c r="D2" s="180" t="s">
        <v>17</v>
      </c>
      <c r="E2" s="180" t="s">
        <v>18</v>
      </c>
      <c r="F2" s="180" t="s">
        <v>19</v>
      </c>
      <c r="G2" s="180" t="s">
        <v>20</v>
      </c>
      <c r="H2" s="180" t="s">
        <v>21</v>
      </c>
      <c r="I2" s="180" t="s">
        <v>22</v>
      </c>
      <c r="J2" s="180" t="s">
        <v>23</v>
      </c>
      <c r="K2" s="180" t="s">
        <v>24</v>
      </c>
      <c r="L2" s="180" t="s">
        <v>25</v>
      </c>
      <c r="M2" s="180" t="s">
        <v>26</v>
      </c>
      <c r="N2" s="180" t="s">
        <v>27</v>
      </c>
      <c r="O2" s="181" t="s">
        <v>28</v>
      </c>
      <c r="P2" s="180" t="s">
        <v>29</v>
      </c>
      <c r="Q2" s="180" t="s">
        <v>30</v>
      </c>
      <c r="R2" s="180" t="s">
        <v>31</v>
      </c>
      <c r="S2" s="181" t="s">
        <v>32</v>
      </c>
      <c r="T2" s="180" t="s">
        <v>33</v>
      </c>
      <c r="U2" s="180" t="s">
        <v>34</v>
      </c>
      <c r="V2" s="181" t="s">
        <v>35</v>
      </c>
      <c r="W2" s="181" t="s">
        <v>36</v>
      </c>
      <c r="X2" s="247" t="s">
        <v>37</v>
      </c>
      <c r="Y2" s="181" t="s">
        <v>38</v>
      </c>
      <c r="Z2" s="181" t="s">
        <v>39</v>
      </c>
      <c r="AA2" s="181" t="s">
        <v>40</v>
      </c>
      <c r="AB2" s="181" t="s">
        <v>41</v>
      </c>
      <c r="AC2" s="181" t="s">
        <v>42</v>
      </c>
      <c r="AD2" s="181" t="s">
        <v>43</v>
      </c>
      <c r="AE2" s="181" t="s">
        <v>44</v>
      </c>
      <c r="AF2" s="181" t="s">
        <v>45</v>
      </c>
      <c r="AG2" s="181" t="s">
        <v>46</v>
      </c>
      <c r="AH2" s="181" t="s">
        <v>47</v>
      </c>
      <c r="AI2" s="181" t="s">
        <v>48</v>
      </c>
      <c r="AJ2" s="181" t="s">
        <v>49</v>
      </c>
      <c r="AK2" s="181" t="s">
        <v>50</v>
      </c>
      <c r="AL2" s="181" t="s">
        <v>51</v>
      </c>
      <c r="AM2" s="181" t="s">
        <v>52</v>
      </c>
      <c r="AN2" s="181" t="s">
        <v>53</v>
      </c>
      <c r="AO2" s="181" t="s">
        <v>54</v>
      </c>
      <c r="AP2" s="181" t="s">
        <v>55</v>
      </c>
      <c r="AQ2" s="181" t="s">
        <v>56</v>
      </c>
      <c r="AR2" s="181" t="s">
        <v>57</v>
      </c>
      <c r="AS2" s="181" t="s">
        <v>58</v>
      </c>
      <c r="AT2" s="181" t="s">
        <v>59</v>
      </c>
      <c r="AU2" s="181" t="s">
        <v>60</v>
      </c>
      <c r="AV2" s="181" t="s">
        <v>61</v>
      </c>
      <c r="AW2" s="181" t="s">
        <v>62</v>
      </c>
      <c r="AX2" s="181" t="s">
        <v>63</v>
      </c>
      <c r="AY2" s="181" t="s">
        <v>64</v>
      </c>
      <c r="AZ2" s="181" t="s">
        <v>65</v>
      </c>
      <c r="BA2" s="181" t="s">
        <v>66</v>
      </c>
      <c r="BB2" s="181" t="s">
        <v>67</v>
      </c>
      <c r="BC2" s="250" t="s">
        <v>68</v>
      </c>
      <c r="BD2" s="181" t="s">
        <v>69</v>
      </c>
      <c r="BE2" s="181" t="s">
        <v>70</v>
      </c>
      <c r="BF2" s="181" t="s">
        <v>71</v>
      </c>
      <c r="BG2" s="181" t="s">
        <v>72</v>
      </c>
      <c r="BH2" s="181" t="s">
        <v>73</v>
      </c>
      <c r="BI2" s="181" t="s">
        <v>74</v>
      </c>
      <c r="BJ2" s="181" t="s">
        <v>75</v>
      </c>
      <c r="BK2" s="181" t="s">
        <v>76</v>
      </c>
      <c r="BL2" s="181" t="s">
        <v>77</v>
      </c>
      <c r="BM2" s="181" t="s">
        <v>78</v>
      </c>
      <c r="BN2" s="181" t="s">
        <v>79</v>
      </c>
      <c r="BO2" s="181" t="s">
        <v>80</v>
      </c>
      <c r="BP2" s="181" t="s">
        <v>81</v>
      </c>
      <c r="BQ2" s="181" t="s">
        <v>82</v>
      </c>
      <c r="BR2" s="181" t="s">
        <v>83</v>
      </c>
      <c r="BS2" s="181" t="s">
        <v>84</v>
      </c>
      <c r="BT2" s="181" t="s">
        <v>85</v>
      </c>
      <c r="BU2" s="181" t="s">
        <v>86</v>
      </c>
      <c r="BV2" s="181" t="s">
        <v>87</v>
      </c>
      <c r="BW2" s="181" t="s">
        <v>88</v>
      </c>
      <c r="BX2" s="181" t="s">
        <v>89</v>
      </c>
      <c r="BY2" s="181" t="s">
        <v>90</v>
      </c>
      <c r="BZ2" s="181" t="s">
        <v>91</v>
      </c>
      <c r="CA2" s="181" t="s">
        <v>92</v>
      </c>
      <c r="CB2" s="181" t="s">
        <v>93</v>
      </c>
      <c r="CC2" s="181" t="s">
        <v>94</v>
      </c>
      <c r="CD2" s="181" t="s">
        <v>95</v>
      </c>
      <c r="CE2" s="181" t="s">
        <v>96</v>
      </c>
      <c r="CF2" s="181" t="s">
        <v>97</v>
      </c>
      <c r="CG2" s="181" t="s">
        <v>98</v>
      </c>
      <c r="CH2" s="181" t="s">
        <v>99</v>
      </c>
      <c r="CI2" s="181" t="s">
        <v>100</v>
      </c>
      <c r="CJ2" s="182" t="s">
        <v>101</v>
      </c>
      <c r="CK2" s="183" t="s">
        <v>102</v>
      </c>
      <c r="CL2" s="182" t="s">
        <v>103</v>
      </c>
      <c r="CM2" s="183" t="s">
        <v>104</v>
      </c>
      <c r="CN2" s="183" t="s">
        <v>105</v>
      </c>
      <c r="CO2" s="183" t="s">
        <v>106</v>
      </c>
      <c r="CP2" s="183" t="s">
        <v>107</v>
      </c>
      <c r="CQ2" s="183" t="s">
        <v>108</v>
      </c>
      <c r="CR2" s="183" t="s">
        <v>109</v>
      </c>
      <c r="CS2" s="183" t="s">
        <v>110</v>
      </c>
      <c r="CT2" s="183" t="s">
        <v>111</v>
      </c>
      <c r="CU2" s="183" t="s">
        <v>112</v>
      </c>
      <c r="CV2" s="183" t="s">
        <v>113</v>
      </c>
      <c r="CW2" s="183" t="s">
        <v>114</v>
      </c>
      <c r="CX2" s="183" t="s">
        <v>115</v>
      </c>
      <c r="CY2" s="183" t="s">
        <v>116</v>
      </c>
      <c r="CZ2" s="183" t="s">
        <v>117</v>
      </c>
      <c r="DA2" s="183" t="s">
        <v>118</v>
      </c>
      <c r="DB2" s="183" t="s">
        <v>119</v>
      </c>
      <c r="DC2" s="183" t="s">
        <v>120</v>
      </c>
      <c r="DD2" s="183" t="s">
        <v>121</v>
      </c>
      <c r="DE2" s="183" t="s">
        <v>122</v>
      </c>
      <c r="DF2" s="183" t="s">
        <v>123</v>
      </c>
      <c r="DG2" s="183" t="s">
        <v>124</v>
      </c>
      <c r="DH2" s="183" t="s">
        <v>125</v>
      </c>
      <c r="DI2" s="183" t="s">
        <v>126</v>
      </c>
      <c r="DJ2" s="183" t="s">
        <v>127</v>
      </c>
      <c r="DK2" s="182" t="s">
        <v>128</v>
      </c>
      <c r="DL2" s="182" t="s">
        <v>129</v>
      </c>
      <c r="DM2" s="182" t="s">
        <v>130</v>
      </c>
      <c r="DN2" s="182" t="s">
        <v>131</v>
      </c>
      <c r="DO2" s="183" t="s">
        <v>132</v>
      </c>
      <c r="DP2" s="182" t="s">
        <v>133</v>
      </c>
      <c r="DQ2" s="183" t="s">
        <v>134</v>
      </c>
      <c r="DR2" s="182" t="s">
        <v>135</v>
      </c>
      <c r="DS2" s="183" t="s">
        <v>136</v>
      </c>
      <c r="DT2" s="183" t="s">
        <v>137</v>
      </c>
      <c r="DU2" s="183" t="s">
        <v>138</v>
      </c>
      <c r="DV2" s="183" t="s">
        <v>139</v>
      </c>
      <c r="DW2" s="183" t="s">
        <v>140</v>
      </c>
      <c r="DX2" s="183" t="s">
        <v>141</v>
      </c>
      <c r="DY2" s="183" t="s">
        <v>142</v>
      </c>
      <c r="DZ2" s="183" t="s">
        <v>143</v>
      </c>
      <c r="EA2" s="183" t="s">
        <v>144</v>
      </c>
      <c r="EB2" s="183" t="s">
        <v>145</v>
      </c>
      <c r="EC2" s="183" t="s">
        <v>146</v>
      </c>
      <c r="ED2" s="182" t="s">
        <v>147</v>
      </c>
      <c r="EE2" s="182" t="s">
        <v>148</v>
      </c>
      <c r="EF2" s="182" t="s">
        <v>149</v>
      </c>
      <c r="EG2" s="182" t="s">
        <v>150</v>
      </c>
      <c r="EH2" s="183" t="s">
        <v>151</v>
      </c>
      <c r="EI2" s="182" t="s">
        <v>152</v>
      </c>
      <c r="EJ2" s="183" t="s">
        <v>153</v>
      </c>
      <c r="EK2" s="182" t="s">
        <v>154</v>
      </c>
      <c r="EL2" s="183" t="s">
        <v>155</v>
      </c>
      <c r="EM2" s="183" t="s">
        <v>156</v>
      </c>
      <c r="EN2" s="183" t="s">
        <v>157</v>
      </c>
      <c r="EO2" s="183" t="s">
        <v>158</v>
      </c>
      <c r="EP2" s="183" t="s">
        <v>159</v>
      </c>
      <c r="EQ2" s="183" t="s">
        <v>160</v>
      </c>
      <c r="ER2" s="183" t="s">
        <v>161</v>
      </c>
      <c r="ES2" s="183" t="s">
        <v>162</v>
      </c>
      <c r="ET2" s="183" t="s">
        <v>163</v>
      </c>
      <c r="EU2" s="182" t="s">
        <v>164</v>
      </c>
      <c r="EV2" s="182" t="s">
        <v>165</v>
      </c>
      <c r="EW2" s="182" t="s">
        <v>166</v>
      </c>
      <c r="EX2" s="182" t="s">
        <v>167</v>
      </c>
      <c r="EY2" s="183" t="s">
        <v>168</v>
      </c>
      <c r="EZ2" s="182" t="s">
        <v>169</v>
      </c>
      <c r="FA2" s="183" t="s">
        <v>170</v>
      </c>
      <c r="FB2" s="182" t="s">
        <v>171</v>
      </c>
      <c r="FC2" s="183" t="s">
        <v>172</v>
      </c>
      <c r="FD2" s="183" t="s">
        <v>173</v>
      </c>
      <c r="FE2" s="183" t="s">
        <v>174</v>
      </c>
      <c r="FF2" s="183" t="s">
        <v>175</v>
      </c>
      <c r="FG2" s="183" t="s">
        <v>176</v>
      </c>
      <c r="FH2" s="183" t="s">
        <v>177</v>
      </c>
      <c r="FI2" s="183" t="s">
        <v>178</v>
      </c>
      <c r="FJ2" s="183" t="s">
        <v>179</v>
      </c>
      <c r="FK2" s="183" t="s">
        <v>180</v>
      </c>
      <c r="FL2" s="182" t="s">
        <v>181</v>
      </c>
      <c r="FM2" s="182" t="s">
        <v>182</v>
      </c>
      <c r="FN2" s="182" t="s">
        <v>183</v>
      </c>
      <c r="FO2" s="182" t="s">
        <v>184</v>
      </c>
      <c r="FP2" s="183" t="s">
        <v>185</v>
      </c>
      <c r="FQ2" s="182" t="s">
        <v>186</v>
      </c>
      <c r="FR2" s="183" t="s">
        <v>187</v>
      </c>
      <c r="FS2" s="182" t="s">
        <v>188</v>
      </c>
      <c r="FT2" s="183" t="s">
        <v>189</v>
      </c>
      <c r="FU2" s="183" t="s">
        <v>190</v>
      </c>
      <c r="FV2" s="183" t="s">
        <v>191</v>
      </c>
      <c r="FW2" s="183" t="s">
        <v>192</v>
      </c>
      <c r="FX2" s="183" t="s">
        <v>193</v>
      </c>
      <c r="FY2" s="183" t="s">
        <v>194</v>
      </c>
      <c r="FZ2" s="183" t="s">
        <v>195</v>
      </c>
      <c r="GA2" s="183" t="s">
        <v>196</v>
      </c>
      <c r="GB2" s="183" t="s">
        <v>197</v>
      </c>
      <c r="GC2" s="182" t="s">
        <v>198</v>
      </c>
      <c r="GD2" s="182" t="s">
        <v>199</v>
      </c>
      <c r="GE2" s="182" t="s">
        <v>200</v>
      </c>
      <c r="GF2" s="182" t="s">
        <v>201</v>
      </c>
      <c r="GG2" s="183" t="s">
        <v>202</v>
      </c>
      <c r="GH2" s="182" t="s">
        <v>203</v>
      </c>
      <c r="GI2" s="183" t="s">
        <v>204</v>
      </c>
      <c r="GJ2" s="182" t="s">
        <v>205</v>
      </c>
      <c r="GK2" s="183" t="s">
        <v>206</v>
      </c>
      <c r="GL2" s="183" t="s">
        <v>207</v>
      </c>
      <c r="GM2" s="183" t="s">
        <v>208</v>
      </c>
      <c r="GN2" s="183" t="s">
        <v>209</v>
      </c>
      <c r="GO2" s="183" t="s">
        <v>210</v>
      </c>
      <c r="GP2" s="183" t="s">
        <v>211</v>
      </c>
      <c r="GQ2" s="183" t="s">
        <v>212</v>
      </c>
      <c r="GR2" s="183" t="s">
        <v>213</v>
      </c>
      <c r="GS2" s="183" t="s">
        <v>214</v>
      </c>
      <c r="GT2" s="183" t="s">
        <v>215</v>
      </c>
      <c r="GU2" s="182" t="s">
        <v>216</v>
      </c>
      <c r="GV2" s="182" t="s">
        <v>217</v>
      </c>
      <c r="GW2" s="182" t="s">
        <v>218</v>
      </c>
      <c r="GX2" s="182" t="s">
        <v>219</v>
      </c>
      <c r="GY2" s="183" t="s">
        <v>220</v>
      </c>
      <c r="GZ2" s="182" t="s">
        <v>221</v>
      </c>
      <c r="HA2" s="183" t="s">
        <v>222</v>
      </c>
      <c r="HB2" s="182" t="s">
        <v>223</v>
      </c>
      <c r="HC2" s="183" t="s">
        <v>224</v>
      </c>
      <c r="HD2" s="183" t="s">
        <v>225</v>
      </c>
      <c r="HE2" s="183" t="s">
        <v>226</v>
      </c>
      <c r="HF2" s="183" t="s">
        <v>227</v>
      </c>
      <c r="HG2" s="183" t="s">
        <v>228</v>
      </c>
      <c r="HH2" s="183" t="s">
        <v>229</v>
      </c>
      <c r="HI2" s="183" t="s">
        <v>230</v>
      </c>
      <c r="HJ2" s="183" t="s">
        <v>231</v>
      </c>
      <c r="HK2" s="183" t="s">
        <v>232</v>
      </c>
      <c r="HL2" s="183" t="s">
        <v>233</v>
      </c>
      <c r="HM2" s="182" t="s">
        <v>234</v>
      </c>
      <c r="HN2" s="182" t="s">
        <v>235</v>
      </c>
      <c r="HO2" s="182" t="s">
        <v>236</v>
      </c>
      <c r="HP2" s="182" t="s">
        <v>237</v>
      </c>
      <c r="HQ2" s="183" t="s">
        <v>238</v>
      </c>
      <c r="HR2" s="182" t="s">
        <v>239</v>
      </c>
      <c r="HS2" s="183" t="s">
        <v>240</v>
      </c>
      <c r="HT2" s="182" t="s">
        <v>241</v>
      </c>
      <c r="HU2" s="183" t="s">
        <v>242</v>
      </c>
      <c r="HV2" s="183" t="s">
        <v>243</v>
      </c>
      <c r="HW2" s="183" t="s">
        <v>244</v>
      </c>
      <c r="HX2" s="183" t="s">
        <v>245</v>
      </c>
      <c r="HY2" s="183" t="s">
        <v>246</v>
      </c>
      <c r="HZ2" s="183" t="s">
        <v>247</v>
      </c>
      <c r="IA2" s="183" t="s">
        <v>248</v>
      </c>
      <c r="IB2" s="183" t="s">
        <v>249</v>
      </c>
      <c r="IC2" s="183" t="s">
        <v>250</v>
      </c>
      <c r="ID2" s="183" t="s">
        <v>251</v>
      </c>
      <c r="IE2" s="182" t="s">
        <v>252</v>
      </c>
      <c r="IF2" s="182" t="s">
        <v>253</v>
      </c>
      <c r="IG2" s="182" t="s">
        <v>254</v>
      </c>
      <c r="IH2" s="182" t="s">
        <v>255</v>
      </c>
      <c r="II2" s="183" t="s">
        <v>256</v>
      </c>
      <c r="IJ2" s="182" t="s">
        <v>257</v>
      </c>
      <c r="IK2" s="183" t="s">
        <v>258</v>
      </c>
      <c r="IL2" s="182" t="s">
        <v>259</v>
      </c>
      <c r="IM2" s="183" t="s">
        <v>260</v>
      </c>
      <c r="IN2" s="183" t="s">
        <v>257</v>
      </c>
      <c r="IO2" s="183" t="s">
        <v>261</v>
      </c>
      <c r="IP2" s="183" t="s">
        <v>262</v>
      </c>
      <c r="IQ2" s="183" t="s">
        <v>263</v>
      </c>
      <c r="IR2" s="183" t="s">
        <v>264</v>
      </c>
      <c r="IS2" s="183" t="s">
        <v>265</v>
      </c>
      <c r="IT2" s="183" t="s">
        <v>266</v>
      </c>
      <c r="IU2" s="184" t="s">
        <v>267</v>
      </c>
      <c r="IV2" s="184" t="s">
        <v>268</v>
      </c>
      <c r="IW2" s="184" t="s">
        <v>269</v>
      </c>
      <c r="IX2" s="184" t="s">
        <v>270</v>
      </c>
      <c r="IY2" s="184" t="s">
        <v>271</v>
      </c>
      <c r="IZ2" s="184" t="s">
        <v>272</v>
      </c>
      <c r="JA2" s="184" t="s">
        <v>273</v>
      </c>
      <c r="JB2" s="184" t="s">
        <v>274</v>
      </c>
      <c r="JC2" s="184" t="s">
        <v>275</v>
      </c>
      <c r="JD2" s="184" t="s">
        <v>276</v>
      </c>
      <c r="JE2" s="184" t="s">
        <v>277</v>
      </c>
      <c r="JF2" s="184" t="s">
        <v>278</v>
      </c>
      <c r="JG2" s="184" t="s">
        <v>279</v>
      </c>
      <c r="JH2" s="184" t="s">
        <v>280</v>
      </c>
      <c r="JI2" s="184" t="s">
        <v>281</v>
      </c>
      <c r="JJ2" s="184" t="s">
        <v>282</v>
      </c>
      <c r="JK2" s="184" t="s">
        <v>283</v>
      </c>
      <c r="JL2" s="184" t="s">
        <v>284</v>
      </c>
      <c r="JM2" s="184" t="s">
        <v>285</v>
      </c>
      <c r="JN2" s="184" t="s">
        <v>286</v>
      </c>
      <c r="JO2" s="184" t="s">
        <v>287</v>
      </c>
      <c r="JP2" s="184" t="s">
        <v>288</v>
      </c>
      <c r="JQ2" s="184" t="s">
        <v>289</v>
      </c>
      <c r="JR2" s="184" t="s">
        <v>290</v>
      </c>
      <c r="JS2" s="184" t="s">
        <v>291</v>
      </c>
      <c r="JT2" s="184" t="s">
        <v>292</v>
      </c>
      <c r="JU2" s="184" t="s">
        <v>293</v>
      </c>
      <c r="JV2" s="184" t="s">
        <v>294</v>
      </c>
      <c r="JW2" s="184" t="s">
        <v>295</v>
      </c>
      <c r="JX2" s="184" t="s">
        <v>55</v>
      </c>
      <c r="JY2" s="184" t="s">
        <v>296</v>
      </c>
      <c r="JZ2" s="184" t="s">
        <v>297</v>
      </c>
      <c r="KA2" s="13" t="s">
        <v>298</v>
      </c>
      <c r="KB2" s="13" t="s">
        <v>299</v>
      </c>
      <c r="KC2" s="13" t="s">
        <v>300</v>
      </c>
      <c r="KD2" s="185" t="s">
        <v>301</v>
      </c>
      <c r="KE2" s="185" t="s">
        <v>302</v>
      </c>
      <c r="KF2" s="185" t="s">
        <v>303</v>
      </c>
      <c r="KG2" s="185" t="s">
        <v>304</v>
      </c>
      <c r="KH2" s="185" t="s">
        <v>305</v>
      </c>
      <c r="KI2" s="185" t="s">
        <v>306</v>
      </c>
      <c r="KJ2" s="185" t="s">
        <v>307</v>
      </c>
      <c r="KK2" s="185" t="s">
        <v>308</v>
      </c>
      <c r="KL2" s="185" t="s">
        <v>309</v>
      </c>
      <c r="KM2" s="185" t="s">
        <v>310</v>
      </c>
      <c r="KN2" s="185" t="s">
        <v>311</v>
      </c>
      <c r="KO2" s="185" t="s">
        <v>312</v>
      </c>
      <c r="KP2" s="185" t="s">
        <v>313</v>
      </c>
      <c r="KQ2" s="185" t="s">
        <v>314</v>
      </c>
      <c r="KR2" s="185" t="s">
        <v>315</v>
      </c>
      <c r="KS2" s="185" t="s">
        <v>316</v>
      </c>
      <c r="KT2" s="185" t="s">
        <v>317</v>
      </c>
      <c r="KU2" s="185" t="s">
        <v>318</v>
      </c>
      <c r="KV2" s="186" t="s">
        <v>319</v>
      </c>
      <c r="KW2" s="186" t="s">
        <v>320</v>
      </c>
      <c r="KX2" s="186" t="s">
        <v>321</v>
      </c>
      <c r="KY2" s="186" t="s">
        <v>322</v>
      </c>
      <c r="KZ2" s="186" t="s">
        <v>323</v>
      </c>
      <c r="LA2" s="186" t="s">
        <v>324</v>
      </c>
      <c r="LB2" s="186" t="s">
        <v>325</v>
      </c>
      <c r="LC2" s="186" t="s">
        <v>326</v>
      </c>
      <c r="LD2" s="186" t="s">
        <v>327</v>
      </c>
      <c r="LE2" s="186" t="s">
        <v>328</v>
      </c>
      <c r="LF2" s="186" t="s">
        <v>329</v>
      </c>
      <c r="LG2" s="186" t="s">
        <v>330</v>
      </c>
      <c r="LH2" s="186" t="s">
        <v>331</v>
      </c>
      <c r="LI2" s="186" t="s">
        <v>332</v>
      </c>
      <c r="LJ2" s="186" t="s">
        <v>333</v>
      </c>
      <c r="LK2" s="186" t="s">
        <v>334</v>
      </c>
      <c r="LL2" s="186" t="s">
        <v>335</v>
      </c>
      <c r="LM2" s="186" t="s">
        <v>336</v>
      </c>
      <c r="LN2" s="186" t="s">
        <v>337</v>
      </c>
      <c r="LO2" s="186" t="s">
        <v>338</v>
      </c>
      <c r="LP2" s="186" t="s">
        <v>339</v>
      </c>
      <c r="LQ2" s="186" t="s">
        <v>340</v>
      </c>
      <c r="LR2" s="186" t="s">
        <v>341</v>
      </c>
      <c r="LS2" s="186" t="s">
        <v>342</v>
      </c>
      <c r="LT2" s="186" t="s">
        <v>343</v>
      </c>
      <c r="LU2" s="186" t="s">
        <v>344</v>
      </c>
      <c r="LV2" s="186" t="s">
        <v>345</v>
      </c>
      <c r="LW2" s="186" t="s">
        <v>346</v>
      </c>
      <c r="LX2" s="186" t="s">
        <v>347</v>
      </c>
      <c r="LY2" s="186" t="s">
        <v>348</v>
      </c>
      <c r="LZ2" s="186" t="s">
        <v>349</v>
      </c>
      <c r="MA2" s="187" t="s">
        <v>350</v>
      </c>
      <c r="MB2" s="187" t="s">
        <v>351</v>
      </c>
      <c r="MC2" s="187" t="s">
        <v>352</v>
      </c>
      <c r="MD2" s="187" t="s">
        <v>353</v>
      </c>
      <c r="ME2" s="187" t="s">
        <v>354</v>
      </c>
      <c r="MF2" s="187" t="s">
        <v>355</v>
      </c>
      <c r="MG2" s="187" t="s">
        <v>356</v>
      </c>
      <c r="MH2" s="187" t="s">
        <v>357</v>
      </c>
      <c r="MI2" s="187" t="s">
        <v>358</v>
      </c>
      <c r="MJ2" s="187" t="s">
        <v>359</v>
      </c>
      <c r="MK2" s="187" t="s">
        <v>360</v>
      </c>
      <c r="ML2" s="187" t="s">
        <v>361</v>
      </c>
      <c r="MM2" s="187" t="s">
        <v>362</v>
      </c>
      <c r="MN2" s="187" t="s">
        <v>363</v>
      </c>
      <c r="MO2" s="187" t="s">
        <v>364</v>
      </c>
      <c r="MP2" s="187" t="s">
        <v>365</v>
      </c>
      <c r="MQ2" s="187" t="s">
        <v>366</v>
      </c>
      <c r="MR2" s="187" t="s">
        <v>367</v>
      </c>
      <c r="MS2" s="187" t="s">
        <v>368</v>
      </c>
      <c r="MT2" s="187" t="s">
        <v>369</v>
      </c>
      <c r="MU2" s="187" t="s">
        <v>370</v>
      </c>
      <c r="MV2" s="187" t="s">
        <v>371</v>
      </c>
      <c r="MW2" s="187" t="s">
        <v>372</v>
      </c>
      <c r="MX2" s="187" t="s">
        <v>373</v>
      </c>
      <c r="MY2" s="188" t="s">
        <v>374</v>
      </c>
      <c r="MZ2" s="188" t="s">
        <v>375</v>
      </c>
      <c r="NA2" s="188" t="s">
        <v>376</v>
      </c>
      <c r="NB2" s="188" t="s">
        <v>377</v>
      </c>
      <c r="NC2" s="188" t="s">
        <v>378</v>
      </c>
      <c r="ND2" s="188" t="s">
        <v>379</v>
      </c>
      <c r="NE2" s="188" t="s">
        <v>380</v>
      </c>
      <c r="NF2" s="188" t="s">
        <v>381</v>
      </c>
      <c r="NG2" s="189" t="s">
        <v>382</v>
      </c>
      <c r="NH2" s="191" t="s">
        <v>383</v>
      </c>
      <c r="NI2" s="191" t="s">
        <v>384</v>
      </c>
      <c r="NJ2" s="191" t="s">
        <v>385</v>
      </c>
      <c r="NK2" s="184" t="s">
        <v>386</v>
      </c>
      <c r="NL2" s="184" t="s">
        <v>387</v>
      </c>
      <c r="NM2" s="184" t="s">
        <v>388</v>
      </c>
      <c r="NN2" s="184" t="s">
        <v>389</v>
      </c>
      <c r="NO2" s="184" t="s">
        <v>390</v>
      </c>
      <c r="NP2" s="184" t="s">
        <v>391</v>
      </c>
      <c r="NQ2" s="184" t="s">
        <v>392</v>
      </c>
      <c r="NR2" s="184" t="s">
        <v>393</v>
      </c>
      <c r="NS2" s="184" t="s">
        <v>394</v>
      </c>
      <c r="NT2" s="184" t="s">
        <v>395</v>
      </c>
      <c r="NU2" s="184" t="s">
        <v>396</v>
      </c>
      <c r="NV2" s="184" t="s">
        <v>397</v>
      </c>
      <c r="NW2" s="184" t="s">
        <v>398</v>
      </c>
      <c r="NX2" s="184" t="s">
        <v>399</v>
      </c>
      <c r="NY2" s="184" t="s">
        <v>400</v>
      </c>
      <c r="NZ2" s="184" t="s">
        <v>401</v>
      </c>
      <c r="OA2" s="192" t="s">
        <v>402</v>
      </c>
      <c r="OB2" s="192" t="s">
        <v>403</v>
      </c>
      <c r="OC2" s="192" t="s">
        <v>404</v>
      </c>
      <c r="OD2" s="192" t="s">
        <v>405</v>
      </c>
      <c r="OE2" s="192" t="s">
        <v>406</v>
      </c>
      <c r="OF2" s="192" t="s">
        <v>407</v>
      </c>
      <c r="OG2" s="184" t="s">
        <v>408</v>
      </c>
      <c r="OH2" s="184" t="s">
        <v>409</v>
      </c>
      <c r="OI2" s="184" t="s">
        <v>410</v>
      </c>
      <c r="OJ2" s="184" t="s">
        <v>411</v>
      </c>
      <c r="OK2" s="184" t="s">
        <v>412</v>
      </c>
      <c r="OL2" s="184" t="s">
        <v>413</v>
      </c>
      <c r="OM2" s="184" t="s">
        <v>414</v>
      </c>
      <c r="ON2" s="184" t="s">
        <v>415</v>
      </c>
      <c r="OO2" s="184" t="s">
        <v>416</v>
      </c>
      <c r="OP2" s="184" t="s">
        <v>417</v>
      </c>
      <c r="OQ2" s="184" t="s">
        <v>418</v>
      </c>
      <c r="OR2" s="184" t="s">
        <v>419</v>
      </c>
      <c r="OS2" s="184" t="s">
        <v>420</v>
      </c>
      <c r="OT2" s="184" t="s">
        <v>421</v>
      </c>
      <c r="OU2" s="184" t="s">
        <v>422</v>
      </c>
      <c r="OV2" s="184" t="s">
        <v>423</v>
      </c>
      <c r="OW2" s="184" t="s">
        <v>424</v>
      </c>
      <c r="OX2" s="249" t="s">
        <v>425</v>
      </c>
      <c r="OY2" s="184" t="s">
        <v>426</v>
      </c>
      <c r="OZ2" s="13" t="s">
        <v>427</v>
      </c>
      <c r="PA2" s="237" t="s">
        <v>428</v>
      </c>
      <c r="PB2" s="237" t="s">
        <v>429</v>
      </c>
      <c r="PC2" s="237" t="s">
        <v>430</v>
      </c>
      <c r="PD2" s="237" t="s">
        <v>431</v>
      </c>
      <c r="PE2" s="13" t="s">
        <v>432</v>
      </c>
      <c r="PF2" s="237" t="s">
        <v>433</v>
      </c>
      <c r="PG2" s="237" t="s">
        <v>434</v>
      </c>
      <c r="PH2" s="13" t="s">
        <v>435</v>
      </c>
      <c r="PI2" s="237" t="s">
        <v>436</v>
      </c>
      <c r="PJ2" s="237" t="s">
        <v>437</v>
      </c>
      <c r="PK2" s="13" t="s">
        <v>438</v>
      </c>
      <c r="PL2" s="237" t="s">
        <v>439</v>
      </c>
      <c r="PM2" s="237" t="s">
        <v>440</v>
      </c>
      <c r="PN2" s="237" t="s">
        <v>441</v>
      </c>
      <c r="PO2" s="237" t="s">
        <v>442</v>
      </c>
      <c r="PP2" s="237" t="s">
        <v>443</v>
      </c>
      <c r="PQ2" s="237" t="s">
        <v>444</v>
      </c>
      <c r="PR2" s="237" t="s">
        <v>445</v>
      </c>
      <c r="PS2" s="237" t="s">
        <v>446</v>
      </c>
      <c r="PT2" s="237" t="s">
        <v>447</v>
      </c>
      <c r="PU2" s="237" t="s">
        <v>448</v>
      </c>
      <c r="PV2" s="237" t="s">
        <v>449</v>
      </c>
      <c r="PW2" s="237" t="s">
        <v>450</v>
      </c>
      <c r="PX2" s="237" t="s">
        <v>451</v>
      </c>
      <c r="PY2" s="237" t="s">
        <v>452</v>
      </c>
      <c r="PZ2" s="237" t="s">
        <v>453</v>
      </c>
      <c r="QA2" s="237" t="s">
        <v>454</v>
      </c>
      <c r="QB2" s="237" t="s">
        <v>455</v>
      </c>
      <c r="QC2" s="237" t="s">
        <v>456</v>
      </c>
      <c r="QD2" s="237" t="s">
        <v>457</v>
      </c>
      <c r="QE2" s="237" t="s">
        <v>458</v>
      </c>
      <c r="QF2" s="237" t="s">
        <v>459</v>
      </c>
      <c r="QG2" s="237" t="s">
        <v>460</v>
      </c>
      <c r="QH2" s="237" t="s">
        <v>461</v>
      </c>
      <c r="QI2" s="237" t="s">
        <v>462</v>
      </c>
      <c r="QJ2" s="237" t="s">
        <v>463</v>
      </c>
      <c r="QK2" s="237" t="s">
        <v>464</v>
      </c>
      <c r="QL2" s="237" t="s">
        <v>465</v>
      </c>
      <c r="QM2" s="237" t="s">
        <v>466</v>
      </c>
      <c r="QN2" s="237" t="s">
        <v>467</v>
      </c>
      <c r="QO2" s="237" t="s">
        <v>468</v>
      </c>
      <c r="QP2" s="237" t="s">
        <v>469</v>
      </c>
      <c r="QQ2" s="237" t="s">
        <v>470</v>
      </c>
      <c r="QR2" s="237" t="s">
        <v>471</v>
      </c>
      <c r="QS2" s="237" t="s">
        <v>472</v>
      </c>
      <c r="QT2" s="237" t="s">
        <v>473</v>
      </c>
      <c r="QU2" s="237" t="s">
        <v>474</v>
      </c>
      <c r="QV2" s="237" t="s">
        <v>475</v>
      </c>
      <c r="QW2" s="237" t="s">
        <v>476</v>
      </c>
      <c r="QX2" s="237" t="s">
        <v>477</v>
      </c>
      <c r="QY2" s="193" t="s">
        <v>478</v>
      </c>
      <c r="QZ2" s="193" t="s">
        <v>479</v>
      </c>
      <c r="RA2" s="193" t="s">
        <v>480</v>
      </c>
      <c r="RB2" s="193" t="s">
        <v>481</v>
      </c>
      <c r="RC2" s="193" t="s">
        <v>482</v>
      </c>
      <c r="RD2" s="194" t="s">
        <v>483</v>
      </c>
      <c r="RE2" s="195" t="s">
        <v>484</v>
      </c>
      <c r="RF2" s="195" t="s">
        <v>485</v>
      </c>
      <c r="RG2" s="196" t="s">
        <v>486</v>
      </c>
      <c r="RH2" s="195" t="s">
        <v>487</v>
      </c>
      <c r="RI2" s="197" t="s">
        <v>488</v>
      </c>
      <c r="RJ2" s="197" t="s">
        <v>489</v>
      </c>
      <c r="RK2" s="12" t="s">
        <v>490</v>
      </c>
    </row>
    <row r="3" spans="1:479" ht="39.6">
      <c r="A3" s="238" t="e">
        <f>'Project Overview'!#REF!</f>
        <v>#REF!</v>
      </c>
      <c r="B3" s="199">
        <f>'Max Loan and Grant Amounts'!$D$14</f>
        <v>199700</v>
      </c>
      <c r="C3" s="199" t="e">
        <f>'Project Overview'!#REF!</f>
        <v>#REF!</v>
      </c>
      <c r="D3" s="238" t="str">
        <f>'Project Overview'!$AL$108</f>
        <v>Yes</v>
      </c>
      <c r="E3" s="238" t="e">
        <f>'Project Overview'!#REF!</f>
        <v>#REF!</v>
      </c>
      <c r="F3" s="238" t="e">
        <f>'Project Overview'!#REF!</f>
        <v>#REF!</v>
      </c>
      <c r="G3" s="238" t="str">
        <f>'Project Overview'!$I$99</f>
        <v>New Construction</v>
      </c>
      <c r="H3" s="238" t="str">
        <f>'Project Overview'!$Y$97</f>
        <v>add</v>
      </c>
      <c r="I3" s="238">
        <f>'Project Overview'!$L$98</f>
        <v>0</v>
      </c>
      <c r="J3" s="200">
        <f>'Project Overview'!$Y$98</f>
        <v>23423</v>
      </c>
      <c r="K3" s="238" t="str">
        <f>'Project Overview'!$AK$98</f>
        <v>North</v>
      </c>
      <c r="L3" s="238" t="str">
        <f>'Project Overview'!$F$98</f>
        <v>Amador</v>
      </c>
      <c r="M3" s="200">
        <f>'Project Overview'!$B$105</f>
        <v>23</v>
      </c>
      <c r="N3" s="200">
        <f>'Project Overview'!$B$106</f>
        <v>24</v>
      </c>
      <c r="O3" s="200">
        <f>'Project Overview'!$B$107</f>
        <v>25</v>
      </c>
      <c r="P3" s="200">
        <f>'Project Overview'!$H$105</f>
        <v>26</v>
      </c>
      <c r="Q3" s="200">
        <f>'Project Overview'!$H$106</f>
        <v>27</v>
      </c>
      <c r="R3" s="200">
        <f>'Project Overview'!$H$107</f>
        <v>28</v>
      </c>
      <c r="S3" s="200">
        <f>'Project Overview'!$N$105</f>
        <v>29</v>
      </c>
      <c r="T3" s="200">
        <f>'Project Overview'!$N$106</f>
        <v>30</v>
      </c>
      <c r="U3" s="200">
        <f>'Project Overview'!$N$107</f>
        <v>31</v>
      </c>
      <c r="V3" s="200">
        <f>'Project Overview'!$U$105</f>
        <v>32</v>
      </c>
      <c r="W3" s="200">
        <f>'Project Overview'!$U$106</f>
        <v>33</v>
      </c>
      <c r="X3" s="248">
        <f>'Project Overview'!$U$107</f>
        <v>34</v>
      </c>
      <c r="Y3" s="200">
        <f>'Project Overview'!$AB$105</f>
        <v>35</v>
      </c>
      <c r="Z3" s="200">
        <f>'Project Overview'!$AB$106</f>
        <v>36</v>
      </c>
      <c r="AA3" s="200">
        <f>'Project Overview'!$AB$107</f>
        <v>37</v>
      </c>
      <c r="AB3" s="200">
        <f>'Project Overview'!$AH$105</f>
        <v>38</v>
      </c>
      <c r="AC3" s="200">
        <f>'Project Overview'!$AH$106</f>
        <v>39</v>
      </c>
      <c r="AD3" s="200">
        <f>'Project Overview'!$AH$107</f>
        <v>40</v>
      </c>
      <c r="AE3" s="203">
        <f>'Project Overview'!$H$131</f>
        <v>34</v>
      </c>
      <c r="AF3" s="239">
        <f>'Project Overview'!$L$131</f>
        <v>2.2352941176470589</v>
      </c>
      <c r="AG3" s="238" t="str">
        <f>'Project Overview'!$Q$131</f>
        <v>Some Elderly - 55+</v>
      </c>
      <c r="AH3" s="238" t="str">
        <f>'Project Overview'!$V$131</f>
        <v>Assisted Living</v>
      </c>
      <c r="AI3" s="238" t="str">
        <f>'Project Overview'!$Z$131</f>
        <v>Shared Housing</v>
      </c>
      <c r="AJ3" s="238" t="str">
        <f>'Project Overview'!$AJ$131</f>
        <v>Temporary Only</v>
      </c>
      <c r="AK3" s="238" t="e">
        <f>'Project Overview'!#REF!</f>
        <v>#REF!</v>
      </c>
      <c r="AL3" s="238" t="str">
        <f>'Project Overview'!$AG$131</f>
        <v>Yes</v>
      </c>
      <c r="AM3" s="238" t="str">
        <f>'Project Overview'!$I$132</f>
        <v>No</v>
      </c>
      <c r="AN3" s="238" t="e">
        <f>'Project Overview'!#REF!</f>
        <v>#REF!</v>
      </c>
      <c r="AO3" s="238" t="e">
        <f>'Project Overview'!#REF!</f>
        <v>#REF!</v>
      </c>
      <c r="AP3" s="205">
        <f>'Project Overview'!$H$116</f>
        <v>0.04</v>
      </c>
      <c r="AQ3" s="205" t="e">
        <f>'Project Overview'!#REF!</f>
        <v>#REF!</v>
      </c>
      <c r="AR3" s="238" t="str">
        <f>IF('Max Loan and Grant Amounts'!$AO$5&gt;0,"LargeFamily","N/A")</f>
        <v>LargeFamily</v>
      </c>
      <c r="AS3" s="238" t="str">
        <f>IF('Max Loan and Grant Amounts'!$AO$5&gt;0,"SpecialNeeds","N/A")</f>
        <v>SpecialNeeds</v>
      </c>
      <c r="AT3" s="238" t="str">
        <f>IF('Max Loan and Grant Amounts'!$AO$5&gt;0,"Senior","N/A")</f>
        <v>Senior</v>
      </c>
      <c r="AU3" s="238" t="e">
        <f>IF('Max Loan and Grant Amounts'!#REF!&gt;0,"Supportive Housing","N/A")</f>
        <v>#REF!</v>
      </c>
      <c r="AV3" s="238" t="str">
        <f>IF('Max Loan and Grant Amounts'!$AO$6&gt;0,"At High Risk","N/A")</f>
        <v>At High Risk</v>
      </c>
      <c r="AW3" s="238" t="str">
        <f>'Project Overview'!$AL$135</f>
        <v>No</v>
      </c>
      <c r="AX3" s="238" t="str">
        <f>'Project Overview'!$AB$136</f>
        <v>Small City Status</v>
      </c>
      <c r="AY3" s="238">
        <f>'Project Overview'!$Q$140</f>
        <v>12312</v>
      </c>
      <c r="AZ3" s="238" t="str">
        <f>'Project Overview'!$AL$138</f>
        <v>Yes</v>
      </c>
      <c r="BA3" s="198">
        <f>'Project Overview'!$Q$140</f>
        <v>12312</v>
      </c>
      <c r="BB3" s="238" t="str">
        <f>'Project Overview'!$AE$140</f>
        <v>High Resource</v>
      </c>
      <c r="BC3" s="251" t="e">
        <f>'Project Overview'!#REF!</f>
        <v>#REF!</v>
      </c>
      <c r="BD3" s="238" t="e">
        <f>'Project Overview'!#REF!</f>
        <v>#REF!</v>
      </c>
      <c r="BE3" s="238" t="str">
        <f>'Project Overview'!$AL$249</f>
        <v>Yes</v>
      </c>
      <c r="BF3" s="238" t="str">
        <f>'Project Overview'!$B$251</f>
        <v>Enforceable Option to Lease or Purchase</v>
      </c>
      <c r="BG3" s="206">
        <f>'Project Overview'!$Q$251</f>
        <v>44542</v>
      </c>
      <c r="BH3" s="238" t="str">
        <f>'Project Overview'!$AL$256</f>
        <v>Yes</v>
      </c>
      <c r="BI3" s="212" t="str">
        <f>'Project Overview'!$AI$258</f>
        <v>payment</v>
      </c>
      <c r="BJ3" s="207">
        <f>'Project Overview'!$Y$285</f>
        <v>109</v>
      </c>
      <c r="BK3" s="207">
        <f>'Project Overview'!$Y$286</f>
        <v>100</v>
      </c>
      <c r="BL3" s="207">
        <f>'Project Overview'!$AD$285</f>
        <v>3</v>
      </c>
      <c r="BM3" s="207">
        <f>'Project Overview'!$AD$286</f>
        <v>6</v>
      </c>
      <c r="BN3" s="207">
        <f>'Project Overview'!$G$332</f>
        <v>12</v>
      </c>
      <c r="BO3" s="207">
        <f>'Project Overview'!$P$332</f>
        <v>27</v>
      </c>
      <c r="BP3" s="207">
        <f>'Project Overview'!$X$332</f>
        <v>12</v>
      </c>
      <c r="BQ3" s="207">
        <f>'Project Overview'!$AH$332</f>
        <v>27</v>
      </c>
      <c r="BR3" s="207">
        <f>'Project Overview'!$G$335</f>
        <v>27</v>
      </c>
      <c r="BS3" s="207">
        <f>'Project Overview'!$P$335</f>
        <v>12</v>
      </c>
      <c r="BT3" s="207">
        <f>'Project Overview'!$X$335</f>
        <v>27</v>
      </c>
      <c r="BU3" s="207">
        <f>'Project Overview'!$AH$335</f>
        <v>23</v>
      </c>
      <c r="BV3" s="207" t="e">
        <f>'Project Overview'!#REF!</f>
        <v>#REF!</v>
      </c>
      <c r="BW3" s="207">
        <f>'Project Overview'!$I$337</f>
        <v>230</v>
      </c>
      <c r="BX3" s="207">
        <f>'Project Overview'!$J$346</f>
        <v>458</v>
      </c>
      <c r="BY3" s="207">
        <f>'Project Overview'!$G$350</f>
        <v>34</v>
      </c>
      <c r="BZ3" s="207">
        <f>'Project Overview'!$M$350</f>
        <v>2</v>
      </c>
      <c r="CA3" s="207">
        <f>'Project Overview'!$U$350</f>
        <v>345</v>
      </c>
      <c r="CB3" s="207">
        <f>'Project Overview'!$AC$350</f>
        <v>4</v>
      </c>
      <c r="CC3" s="207">
        <f>'Project Overview'!$AK$350</f>
        <v>34</v>
      </c>
      <c r="CD3" s="207">
        <f>'Project Overview'!$H$351</f>
        <v>419</v>
      </c>
      <c r="CE3" s="212">
        <f>'Project Overview'!$K$363</f>
        <v>71760</v>
      </c>
      <c r="CF3" s="212">
        <f>'Project Overview'!$K$367</f>
        <v>197640</v>
      </c>
      <c r="CG3" s="212">
        <f>'Project Overview'!$K$371</f>
        <v>103500</v>
      </c>
      <c r="CH3" s="212">
        <f>'Project Overview'!$AJ$371</f>
        <v>81384</v>
      </c>
      <c r="CI3" s="238" t="str">
        <f>'Project Overview'!$AL$412</f>
        <v>Yes</v>
      </c>
      <c r="CJ3" s="238" t="e">
        <f>'Contact List'!#REF!</f>
        <v>#REF!</v>
      </c>
      <c r="CK3" s="200" t="e">
        <f>'Contact List'!#REF!</f>
        <v>#REF!</v>
      </c>
      <c r="CL3" s="238" t="e">
        <f>'Contact List'!#REF!</f>
        <v>#REF!</v>
      </c>
      <c r="CM3" s="200" t="e">
        <f>'Contact List'!#REF!</f>
        <v>#REF!</v>
      </c>
      <c r="CN3" s="238" t="e">
        <f>'Contact List'!#REF!</f>
        <v>#REF!</v>
      </c>
      <c r="CO3" s="200" t="e">
        <f>'Contact List'!#REF!</f>
        <v>#REF!</v>
      </c>
      <c r="CP3" s="238" t="e">
        <f>'Contact List'!#REF!</f>
        <v>#REF!</v>
      </c>
      <c r="CQ3" s="200" t="e">
        <f>'Contact List'!#REF!</f>
        <v>#REF!</v>
      </c>
      <c r="CR3" s="238" t="e">
        <f>'Contact List'!#REF!</f>
        <v>#REF!</v>
      </c>
      <c r="CS3" s="200" t="e">
        <f>'Contact List'!#REF!</f>
        <v>#REF!</v>
      </c>
      <c r="CT3" s="238" t="e">
        <f>'Contact List'!#REF!</f>
        <v>#REF!</v>
      </c>
      <c r="CU3" s="200" t="e">
        <f>'Contact List'!#REF!</f>
        <v>#REF!</v>
      </c>
      <c r="CV3" s="238" t="e">
        <f>'Contact List'!#REF!</f>
        <v>#REF!</v>
      </c>
      <c r="CW3" s="200" t="e">
        <f>'Contact List'!#REF!</f>
        <v>#REF!</v>
      </c>
      <c r="CX3" s="238" t="e">
        <f>'Contact List'!#REF!</f>
        <v>#REF!</v>
      </c>
      <c r="CY3" s="200" t="e">
        <f>'Contact List'!#REF!</f>
        <v>#REF!</v>
      </c>
      <c r="CZ3" s="238" t="e">
        <f>'Contact List'!#REF!</f>
        <v>#REF!</v>
      </c>
      <c r="DA3" s="200" t="e">
        <f>'Contact List'!#REF!</f>
        <v>#REF!</v>
      </c>
      <c r="DB3" s="238" t="e">
        <f>'Contact List'!#REF!</f>
        <v>#REF!</v>
      </c>
      <c r="DC3" s="200" t="e">
        <f>'Contact List'!#REF!</f>
        <v>#REF!</v>
      </c>
      <c r="DD3" s="238" t="e">
        <f>'Contact List'!#REF!</f>
        <v>#REF!</v>
      </c>
      <c r="DE3" s="200" t="e">
        <f>'Contact List'!#REF!</f>
        <v>#REF!</v>
      </c>
      <c r="DF3" s="238" t="e">
        <f>'Contact List'!#REF!</f>
        <v>#REF!</v>
      </c>
      <c r="DG3" s="200" t="e">
        <f>'Contact List'!#REF!</f>
        <v>#REF!</v>
      </c>
      <c r="DH3" s="238" t="e">
        <f>'Contact List'!#REF!</f>
        <v>#REF!</v>
      </c>
      <c r="DI3" s="238" t="e">
        <f>'Contact List'!#REF!</f>
        <v>#REF!</v>
      </c>
      <c r="DJ3" s="238" t="e">
        <f>'Contact List'!#REF!</f>
        <v>#REF!</v>
      </c>
      <c r="DK3" s="238" t="e">
        <f>'Contact List'!#REF!</f>
        <v>#REF!</v>
      </c>
      <c r="DL3" s="238" t="e">
        <f>'Contact List'!#REF!</f>
        <v>#REF!</v>
      </c>
      <c r="DM3" s="238" t="e">
        <f>'Contact List'!#REF!</f>
        <v>#REF!</v>
      </c>
      <c r="DN3" s="238" t="e">
        <f>'Contact List'!#REF!</f>
        <v>#REF!</v>
      </c>
      <c r="DO3" s="238" t="e">
        <f>'Contact List'!#REF!</f>
        <v>#REF!</v>
      </c>
      <c r="DP3" s="238" t="e">
        <f>'Contact List'!#REF!</f>
        <v>#REF!</v>
      </c>
      <c r="DQ3" s="238" t="e">
        <f>'Contact List'!#REF!</f>
        <v>#REF!</v>
      </c>
      <c r="DR3" s="200" t="e">
        <f>'Contact List'!#REF!</f>
        <v>#REF!</v>
      </c>
      <c r="DS3" s="238" t="e">
        <f>'Contact List'!#REF!</f>
        <v>#REF!</v>
      </c>
      <c r="DT3" s="238" t="e">
        <f>'Contact List'!#REF!</f>
        <v>#REF!</v>
      </c>
      <c r="DU3" s="238" t="e">
        <f>'Contact List'!#REF!</f>
        <v>#REF!</v>
      </c>
      <c r="DV3" s="200" t="e">
        <f>'Contact List'!#REF!</f>
        <v>#REF!</v>
      </c>
      <c r="DW3" s="238" t="e">
        <f>'Contact List'!#REF!</f>
        <v>#REF!</v>
      </c>
      <c r="DX3" s="238" t="e">
        <f>'Contact List'!#REF!</f>
        <v>#REF!</v>
      </c>
      <c r="DY3" s="238" t="e">
        <f>'Contact List'!#REF!</f>
        <v>#REF!</v>
      </c>
      <c r="DZ3" s="200" t="e">
        <f>'Contact List'!#REF!</f>
        <v>#REF!</v>
      </c>
      <c r="EA3" s="238" t="e">
        <f>'Contact List'!#REF!</f>
        <v>#REF!</v>
      </c>
      <c r="EB3" s="238" t="e">
        <f>'Contact List'!#REF!</f>
        <v>#REF!</v>
      </c>
      <c r="EC3" s="238" t="e">
        <f>'Contact List'!#REF!</f>
        <v>#REF!</v>
      </c>
      <c r="ED3" s="238" t="e">
        <f>'Contact List'!#REF!</f>
        <v>#REF!</v>
      </c>
      <c r="EE3" s="238" t="e">
        <f>'Contact List'!#REF!</f>
        <v>#REF!</v>
      </c>
      <c r="EF3" s="238" t="e">
        <f>'Contact List'!#REF!</f>
        <v>#REF!</v>
      </c>
      <c r="EG3" s="238" t="e">
        <f>'Contact List'!#REF!</f>
        <v>#REF!</v>
      </c>
      <c r="EH3" s="238" t="e">
        <f>'Contact List'!#REF!</f>
        <v>#REF!</v>
      </c>
      <c r="EI3" s="238" t="e">
        <f>'Contact List'!#REF!</f>
        <v>#REF!</v>
      </c>
      <c r="EJ3" s="238" t="e">
        <f>'Contact List'!#REF!</f>
        <v>#REF!</v>
      </c>
      <c r="EK3" s="200" t="e">
        <f>'Contact List'!#REF!</f>
        <v>#REF!</v>
      </c>
      <c r="EL3" s="238" t="e">
        <f>'Contact List'!#REF!</f>
        <v>#REF!</v>
      </c>
      <c r="EM3" s="238" t="e">
        <f>'Contact List'!#REF!</f>
        <v>#REF!</v>
      </c>
      <c r="EN3" s="238" t="e">
        <f>'Contact List'!#REF!</f>
        <v>#REF!</v>
      </c>
      <c r="EO3" s="200" t="e">
        <f>'Contact List'!#REF!</f>
        <v>#REF!</v>
      </c>
      <c r="EP3" s="238" t="e">
        <f>'Contact List'!#REF!</f>
        <v>#REF!</v>
      </c>
      <c r="EQ3" s="238" t="e">
        <f>'Contact List'!#REF!</f>
        <v>#REF!</v>
      </c>
      <c r="ER3" s="238" t="e">
        <f>'Contact List'!#REF!</f>
        <v>#REF!</v>
      </c>
      <c r="ES3" s="200" t="e">
        <f>'Contact List'!#REF!</f>
        <v>#REF!</v>
      </c>
      <c r="ET3" s="238" t="e">
        <f>'Contact List'!#REF!</f>
        <v>#REF!</v>
      </c>
      <c r="EU3" s="238" t="e">
        <f>'Contact List'!#REF!</f>
        <v>#REF!</v>
      </c>
      <c r="EV3" s="238" t="e">
        <f>'Contact List'!#REF!</f>
        <v>#REF!</v>
      </c>
      <c r="EW3" s="238" t="e">
        <f>'Contact List'!#REF!</f>
        <v>#REF!</v>
      </c>
      <c r="EX3" s="200" t="e">
        <f>-'Contact List'!#REF!</f>
        <v>#REF!</v>
      </c>
      <c r="EY3" s="238" t="e">
        <f>'Contact List'!#REF!</f>
        <v>#REF!</v>
      </c>
      <c r="EZ3" s="238" t="e">
        <f>'Contact List'!#REF!</f>
        <v>#REF!</v>
      </c>
      <c r="FA3" s="238" t="e">
        <f>'Contact List'!#REF!</f>
        <v>#REF!</v>
      </c>
      <c r="FB3" s="200" t="e">
        <f>'Contact List'!#REF!</f>
        <v>#REF!</v>
      </c>
      <c r="FC3" s="238" t="e">
        <f>'Contact List'!#REF!</f>
        <v>#REF!</v>
      </c>
      <c r="FD3" s="238" t="e">
        <f>'Contact List'!#REF!</f>
        <v>#REF!</v>
      </c>
      <c r="FE3" s="238" t="e">
        <f>'Contact List'!#REF!</f>
        <v>#REF!</v>
      </c>
      <c r="FF3" s="200" t="e">
        <f>'Contact List'!#REF!</f>
        <v>#REF!</v>
      </c>
      <c r="FG3" s="238" t="e">
        <f>'Contact List'!#REF!</f>
        <v>#REF!</v>
      </c>
      <c r="FH3" s="238" t="e">
        <f>'Contact List'!#REF!</f>
        <v>#REF!</v>
      </c>
      <c r="FI3" s="238" t="e">
        <f>'Contact List'!#REF!</f>
        <v>#REF!</v>
      </c>
      <c r="FJ3" s="200" t="e">
        <f>'Contact List'!#REF!</f>
        <v>#REF!</v>
      </c>
      <c r="FK3" s="238" t="e">
        <f>'Contact List'!#REF!</f>
        <v>#REF!</v>
      </c>
      <c r="FL3" s="238" t="e">
        <f>'Contact List'!#REF!</f>
        <v>#REF!</v>
      </c>
      <c r="FM3" s="238" t="e">
        <f>'Contact List'!#REF!</f>
        <v>#REF!</v>
      </c>
      <c r="FN3" s="238" t="e">
        <f>'Contact List'!#REF!</f>
        <v>#REF!</v>
      </c>
      <c r="FO3" s="200" t="e">
        <f>'Contact List'!#REF!</f>
        <v>#REF!</v>
      </c>
      <c r="FP3" s="238" t="e">
        <f>'Contact List'!#REF!</f>
        <v>#REF!</v>
      </c>
      <c r="FQ3" s="238" t="e">
        <f>'Contact List'!#REF!</f>
        <v>#REF!</v>
      </c>
      <c r="FR3" s="238" t="e">
        <f>'Contact List'!#REF!</f>
        <v>#REF!</v>
      </c>
      <c r="FS3" s="200" t="e">
        <f>'Contact List'!#REF!</f>
        <v>#REF!</v>
      </c>
      <c r="FT3" s="238" t="e">
        <f>'Contact List'!#REF!</f>
        <v>#REF!</v>
      </c>
      <c r="FU3" s="238" t="e">
        <f>'Contact List'!#REF!</f>
        <v>#REF!</v>
      </c>
      <c r="FV3" s="238" t="e">
        <f>'Contact List'!#REF!</f>
        <v>#REF!</v>
      </c>
      <c r="FW3" s="200" t="e">
        <f>'Contact List'!#REF!</f>
        <v>#REF!</v>
      </c>
      <c r="FX3" s="238" t="e">
        <f>'Contact List'!#REF!</f>
        <v>#REF!</v>
      </c>
      <c r="FY3" s="238" t="e">
        <f>'Contact List'!#REF!</f>
        <v>#REF!</v>
      </c>
      <c r="FZ3" s="238" t="e">
        <f>'Contact List'!#REF!</f>
        <v>#REF!</v>
      </c>
      <c r="GA3" s="200" t="e">
        <f>'Contact List'!#REF!</f>
        <v>#REF!</v>
      </c>
      <c r="GB3" s="200" t="e">
        <f>'Contact List'!#REF!</f>
        <v>#REF!</v>
      </c>
      <c r="GC3" s="200" t="e">
        <f>'Contact List'!#REF!</f>
        <v>#REF!</v>
      </c>
      <c r="GD3" s="200" t="e">
        <f>'Contact List'!#REF!</f>
        <v>#REF!</v>
      </c>
      <c r="GE3" s="200" t="e">
        <f>'Contact List'!#REF!</f>
        <v>#REF!</v>
      </c>
      <c r="GF3" s="200" t="e">
        <f>'Contact List'!#REF!</f>
        <v>#REF!</v>
      </c>
      <c r="GG3" s="200" t="e">
        <f>'Contact List'!#REF!</f>
        <v>#REF!</v>
      </c>
      <c r="GH3" s="200" t="e">
        <f>'Contact List'!#REF!</f>
        <v>#REF!</v>
      </c>
      <c r="GI3" s="200" t="e">
        <f>'Contact List'!#REF!</f>
        <v>#REF!</v>
      </c>
      <c r="GJ3" s="200" t="e">
        <f>'Contact List'!#REF!</f>
        <v>#REF!</v>
      </c>
      <c r="GK3" s="200" t="e">
        <f>'Contact List'!#REF!</f>
        <v>#REF!</v>
      </c>
      <c r="GL3" s="200" t="e">
        <f>'Contact List'!#REF!</f>
        <v>#REF!</v>
      </c>
      <c r="GM3" s="200" t="e">
        <f>'Contact List'!#REF!</f>
        <v>#REF!</v>
      </c>
      <c r="GN3" s="200" t="e">
        <f>'Contact List'!#REF!</f>
        <v>#REF!</v>
      </c>
      <c r="GO3" s="200" t="e">
        <f>'Contact List'!#REF!</f>
        <v>#REF!</v>
      </c>
      <c r="GP3" s="200" t="e">
        <f>'Contact List'!#REF!</f>
        <v>#REF!</v>
      </c>
      <c r="GQ3" s="200" t="e">
        <f>'Contact List'!#REF!</f>
        <v>#REF!</v>
      </c>
      <c r="GR3" s="200" t="e">
        <f>'Contact List'!#REF!</f>
        <v>#REF!</v>
      </c>
      <c r="GS3" s="200" t="e">
        <f>'Contact List'!#REF!</f>
        <v>#REF!</v>
      </c>
      <c r="GT3" s="200" t="e">
        <f>'Contact List'!#REF!</f>
        <v>#REF!</v>
      </c>
      <c r="GU3" s="200" t="e">
        <f>'Contact List'!#REF!</f>
        <v>#REF!</v>
      </c>
      <c r="GV3" s="200" t="e">
        <f>'Contact List'!#REF!</f>
        <v>#REF!</v>
      </c>
      <c r="GW3" s="200" t="e">
        <f>'Contact List'!#REF!</f>
        <v>#REF!</v>
      </c>
      <c r="GX3" s="200" t="e">
        <f>'Contact List'!#REF!</f>
        <v>#REF!</v>
      </c>
      <c r="GY3" s="200" t="e">
        <f>'Contact List'!#REF!</f>
        <v>#REF!</v>
      </c>
      <c r="GZ3" s="200" t="e">
        <f>'Contact List'!#REF!</f>
        <v>#REF!</v>
      </c>
      <c r="HA3" s="200" t="e">
        <f>'Contact List'!#REF!</f>
        <v>#REF!</v>
      </c>
      <c r="HB3" s="200" t="e">
        <f>'Contact List'!#REF!</f>
        <v>#REF!</v>
      </c>
      <c r="HC3" s="200" t="e">
        <f>'Contact List'!#REF!</f>
        <v>#REF!</v>
      </c>
      <c r="HD3" s="200" t="e">
        <f>'Contact List'!#REF!</f>
        <v>#REF!</v>
      </c>
      <c r="HE3" s="200" t="e">
        <f>'Contact List'!#REF!</f>
        <v>#REF!</v>
      </c>
      <c r="HF3" s="200" t="e">
        <f>'Contact List'!#REF!</f>
        <v>#REF!</v>
      </c>
      <c r="HG3" s="200" t="e">
        <f>'Contact List'!#REF!</f>
        <v>#REF!</v>
      </c>
      <c r="HH3" s="200" t="e">
        <f>'Contact List'!#REF!</f>
        <v>#REF!</v>
      </c>
      <c r="HI3" s="200" t="e">
        <f>'Contact List'!#REF!</f>
        <v>#REF!</v>
      </c>
      <c r="HJ3" s="200" t="e">
        <f>'Contact List'!#REF!</f>
        <v>#REF!</v>
      </c>
      <c r="HK3" s="200" t="e">
        <f>'Contact List'!#REF!</f>
        <v>#REF!</v>
      </c>
      <c r="HL3" s="200" t="e">
        <f>'Contact List'!#REF!</f>
        <v>#REF!</v>
      </c>
      <c r="HM3" s="200" t="e">
        <f>'Contact List'!#REF!</f>
        <v>#REF!</v>
      </c>
      <c r="HN3" s="200" t="e">
        <f>'Contact List'!#REF!</f>
        <v>#REF!</v>
      </c>
      <c r="HO3" s="200" t="e">
        <f>'Contact List'!#REF!</f>
        <v>#REF!</v>
      </c>
      <c r="HP3" s="200" t="e">
        <f>'Contact List'!#REF!</f>
        <v>#REF!</v>
      </c>
      <c r="HQ3" s="200" t="e">
        <f>'Contact List'!#REF!</f>
        <v>#REF!</v>
      </c>
      <c r="HR3" s="200" t="e">
        <f>'Contact List'!#REF!</f>
        <v>#REF!</v>
      </c>
      <c r="HS3" s="200" t="e">
        <f>'Contact List'!#REF!</f>
        <v>#REF!</v>
      </c>
      <c r="HT3" s="200" t="e">
        <f>'Contact List'!#REF!</f>
        <v>#REF!</v>
      </c>
      <c r="HU3" s="200" t="e">
        <f>'Contact List'!#REF!</f>
        <v>#REF!</v>
      </c>
      <c r="HV3" s="200" t="e">
        <f>'Contact List'!#REF!</f>
        <v>#REF!</v>
      </c>
      <c r="HW3" s="200" t="e">
        <f>'Contact List'!#REF!</f>
        <v>#REF!</v>
      </c>
      <c r="HX3" s="200" t="e">
        <f>'Contact List'!#REF!</f>
        <v>#REF!</v>
      </c>
      <c r="HY3" s="200" t="e">
        <f>'Contact List'!#REF!</f>
        <v>#REF!</v>
      </c>
      <c r="HZ3" s="200" t="e">
        <f>'Contact List'!#REF!</f>
        <v>#REF!</v>
      </c>
      <c r="IA3" s="200" t="e">
        <f>'Contact List'!#REF!</f>
        <v>#REF!</v>
      </c>
      <c r="IB3" s="200" t="e">
        <f>'Contact List'!#REF!</f>
        <v>#REF!</v>
      </c>
      <c r="IC3" s="200" t="e">
        <f>'Contact List'!#REF!</f>
        <v>#REF!</v>
      </c>
      <c r="ID3" s="200" t="e">
        <f>'Contact List'!#REF!</f>
        <v>#REF!</v>
      </c>
      <c r="IE3" s="200" t="e">
        <f>'Contact List'!#REF!</f>
        <v>#REF!</v>
      </c>
      <c r="IF3" s="200" t="e">
        <f>'Contact List'!#REF!</f>
        <v>#REF!</v>
      </c>
      <c r="IG3" s="200" t="e">
        <f>'Contact List'!#REF!</f>
        <v>#REF!</v>
      </c>
      <c r="IH3" s="200" t="e">
        <f>'Contact List'!#REF!</f>
        <v>#REF!</v>
      </c>
      <c r="II3" s="200" t="e">
        <f>'Contact List'!#REF!</f>
        <v>#REF!</v>
      </c>
      <c r="IJ3" s="200" t="e">
        <f>'Contact List'!#REF!</f>
        <v>#REF!</v>
      </c>
      <c r="IK3" s="200" t="e">
        <f>'Contact List'!#REF!</f>
        <v>#REF!</v>
      </c>
      <c r="IL3" s="200" t="e">
        <f>'Contact List'!#REF!</f>
        <v>#REF!</v>
      </c>
      <c r="IM3" s="200" t="e">
        <f>'Contact List'!#REF!</f>
        <v>#REF!</v>
      </c>
      <c r="IN3" s="200" t="e">
        <f>'Contact List'!#REF!</f>
        <v>#REF!</v>
      </c>
      <c r="IO3" s="200" t="e">
        <f>'Contact List'!#REF!</f>
        <v>#REF!</v>
      </c>
      <c r="IP3" s="200" t="e">
        <f>'Contact List'!#REF!</f>
        <v>#REF!</v>
      </c>
      <c r="IQ3" s="200" t="e">
        <f>'Contact List'!#REF!</f>
        <v>#REF!</v>
      </c>
      <c r="IR3" s="200" t="e">
        <f>'Contact List'!#REF!</f>
        <v>#REF!</v>
      </c>
      <c r="IS3" s="200" t="e">
        <f>'Contact List'!#REF!</f>
        <v>#REF!</v>
      </c>
      <c r="IT3" s="200" t="e">
        <f>'Contact List'!#REF!</f>
        <v>#REF!</v>
      </c>
      <c r="IU3" s="200" t="e">
        <f>'Dev Sources'!#REF!</f>
        <v>#REF!</v>
      </c>
      <c r="IV3" s="200" t="e">
        <f>'Dev Sources'!#REF!</f>
        <v>#REF!</v>
      </c>
      <c r="IW3" s="200" t="e">
        <f>'Dev Sources'!#REF!</f>
        <v>#REF!</v>
      </c>
      <c r="IX3" s="200" t="e">
        <f>'Dev Sources'!#REF!</f>
        <v>#REF!</v>
      </c>
      <c r="IY3" s="200" t="e">
        <f>'Dev Sources'!#REF!</f>
        <v>#REF!</v>
      </c>
      <c r="IZ3" s="200" t="e">
        <f>-'Dev Sources'!#REF!</f>
        <v>#REF!</v>
      </c>
      <c r="JA3" s="200" t="e">
        <f>'Dev Sources'!#REF!</f>
        <v>#REF!</v>
      </c>
      <c r="JB3" s="200" t="e">
        <f>'Dev Sources'!#REF!</f>
        <v>#REF!</v>
      </c>
      <c r="JC3" s="200" t="e">
        <f>'Dev Sources'!#REF!</f>
        <v>#REF!</v>
      </c>
      <c r="JD3" s="200" t="e">
        <f>'Dev Sources'!#REF!</f>
        <v>#REF!</v>
      </c>
      <c r="JE3" s="200" t="e">
        <f>'Dev Sources'!#REF!</f>
        <v>#REF!</v>
      </c>
      <c r="JF3" s="200" t="e">
        <f>'Dev Sources'!#REF!</f>
        <v>#REF!</v>
      </c>
      <c r="JG3" s="200" t="e">
        <f>'Dev Sources'!#REF!</f>
        <v>#REF!</v>
      </c>
      <c r="JH3" s="200" t="e">
        <f>'Dev Sources'!#REF!</f>
        <v>#REF!</v>
      </c>
      <c r="JI3" s="200" t="e">
        <f>'Dev Sources'!#REF!</f>
        <v>#REF!</v>
      </c>
      <c r="JJ3" s="200" t="e">
        <f>'Dev Sources'!#REF!</f>
        <v>#REF!</v>
      </c>
      <c r="JK3" s="200" t="e">
        <f>'Dev Sources'!#REF!</f>
        <v>#REF!</v>
      </c>
      <c r="JL3" s="200" t="e">
        <f>'Dev Sources'!#REF!</f>
        <v>#REF!</v>
      </c>
      <c r="JM3" s="200" t="e">
        <f>'Dev Sources'!#REF!</f>
        <v>#REF!</v>
      </c>
      <c r="JN3" s="200" t="e">
        <f>'Dev Sources'!#REF!</f>
        <v>#REF!</v>
      </c>
      <c r="JO3" s="200" t="e">
        <f>'Dev Sources'!#REF!</f>
        <v>#REF!</v>
      </c>
      <c r="JP3" s="200" t="e">
        <f>'Dev Sources'!#REF!</f>
        <v>#REF!</v>
      </c>
      <c r="JQ3" s="200" t="e">
        <f>'Dev Sources'!#REF!</f>
        <v>#REF!</v>
      </c>
      <c r="JR3" s="200" t="e">
        <f>'Dev Sources'!#REF!</f>
        <v>#REF!</v>
      </c>
      <c r="JS3" s="200" t="e">
        <f>'Dev Sources'!#REF!</f>
        <v>#REF!</v>
      </c>
      <c r="JT3" s="200" t="e">
        <f>'Dev Sources'!#REF!</f>
        <v>#REF!</v>
      </c>
      <c r="JU3" s="200" t="e">
        <f>'Dev Sources'!#REF!</f>
        <v>#REF!</v>
      </c>
      <c r="JV3" s="200" t="e">
        <f>'Dev Sources'!#REF!</f>
        <v>#REF!</v>
      </c>
      <c r="JW3" s="211" t="e">
        <f>'Dev Sources'!#REF!</f>
        <v>#REF!</v>
      </c>
      <c r="JX3" s="205" t="e">
        <f>'Dev Sources'!#REF!</f>
        <v>#REF!</v>
      </c>
      <c r="JY3" s="200" t="e">
        <f>'Dev Sources'!#REF!</f>
        <v>#REF!</v>
      </c>
      <c r="JZ3" s="241" t="e">
        <f>'Dev Sources'!#REF!</f>
        <v>#REF!</v>
      </c>
      <c r="KA3" s="242" t="e">
        <f>'Dev Budget SU'!#REF!</f>
        <v>#REF!</v>
      </c>
      <c r="KB3" s="242" t="e">
        <f>'Dev Budget SU'!#REF!</f>
        <v>#REF!</v>
      </c>
      <c r="KC3" s="243" t="e">
        <f>'Dev Budget SU'!#REF!</f>
        <v>#REF!</v>
      </c>
      <c r="KD3" s="204" t="e">
        <f>#REF!</f>
        <v>#REF!</v>
      </c>
      <c r="KE3" s="204" t="e">
        <f>#REF!</f>
        <v>#REF!</v>
      </c>
      <c r="KF3" s="204" t="e">
        <f>#REF!</f>
        <v>#REF!</v>
      </c>
      <c r="KG3" s="204" t="e">
        <f>#REF!</f>
        <v>#REF!</v>
      </c>
      <c r="KH3" s="204" t="e">
        <f>#REF!</f>
        <v>#REF!</v>
      </c>
      <c r="KI3" s="204" t="e">
        <f>#REF!</f>
        <v>#REF!</v>
      </c>
      <c r="KJ3" s="204" t="e">
        <f>#REF!</f>
        <v>#REF!</v>
      </c>
      <c r="KK3" s="204" t="e">
        <f>#REF!</f>
        <v>#REF!</v>
      </c>
      <c r="KL3" s="204" t="e">
        <f>#REF!</f>
        <v>#REF!</v>
      </c>
      <c r="KM3" s="204" t="e">
        <f>#REF!</f>
        <v>#REF!</v>
      </c>
      <c r="KN3" s="204" t="e">
        <f>#REF!</f>
        <v>#REF!</v>
      </c>
      <c r="KO3" s="204" t="e">
        <f>#REF!</f>
        <v>#REF!</v>
      </c>
      <c r="KP3" s="204" t="e">
        <f>#REF!</f>
        <v>#REF!</v>
      </c>
      <c r="KQ3" s="204" t="e">
        <f>#REF!</f>
        <v>#REF!</v>
      </c>
      <c r="KR3" s="204" t="e">
        <f>#REF!</f>
        <v>#REF!</v>
      </c>
      <c r="KS3" s="204" t="e">
        <f>#REF!</f>
        <v>#REF!</v>
      </c>
      <c r="KT3" s="204" t="e">
        <f>#REF!</f>
        <v>#REF!</v>
      </c>
      <c r="KU3" s="204" t="e">
        <f>#REF!</f>
        <v>#REF!</v>
      </c>
      <c r="KV3" s="204" t="e">
        <f>#REF!</f>
        <v>#REF!</v>
      </c>
      <c r="KW3" s="204" t="e">
        <f>#REF!</f>
        <v>#REF!</v>
      </c>
      <c r="KX3" s="204" t="e">
        <f>#REF!</f>
        <v>#REF!</v>
      </c>
      <c r="KY3" s="204" t="e">
        <f>#REF!</f>
        <v>#REF!</v>
      </c>
      <c r="KZ3" s="204" t="e">
        <f>#REF!</f>
        <v>#REF!</v>
      </c>
      <c r="LA3" s="204" t="e">
        <f>#REF!</f>
        <v>#REF!</v>
      </c>
      <c r="LB3" s="204" t="e">
        <f>#REF!</f>
        <v>#REF!</v>
      </c>
      <c r="LC3" s="204" t="e">
        <f>#REF!</f>
        <v>#REF!</v>
      </c>
      <c r="LD3" s="204" t="e">
        <f>#REF!</f>
        <v>#REF!</v>
      </c>
      <c r="LE3" s="204" t="e">
        <f>#REF!</f>
        <v>#REF!</v>
      </c>
      <c r="LF3" s="204" t="e">
        <f>#REF!</f>
        <v>#REF!</v>
      </c>
      <c r="LG3" s="204" t="e">
        <f>#REF!</f>
        <v>#REF!</v>
      </c>
      <c r="LH3" s="204" t="e">
        <f>#REF!</f>
        <v>#REF!</v>
      </c>
      <c r="LI3" s="204" t="e">
        <f>#REF!</f>
        <v>#REF!</v>
      </c>
      <c r="LJ3" s="204" t="e">
        <f>#REF!</f>
        <v>#REF!</v>
      </c>
      <c r="LK3" s="204" t="e">
        <f>#REF!</f>
        <v>#REF!</v>
      </c>
      <c r="LL3" s="204" t="e">
        <f>#REF!</f>
        <v>#REF!</v>
      </c>
      <c r="LM3" s="204" t="e">
        <f>#REF!</f>
        <v>#REF!</v>
      </c>
      <c r="LN3" s="204" t="e">
        <f>#REF!</f>
        <v>#REF!</v>
      </c>
      <c r="LO3" s="204" t="e">
        <f>#REF!</f>
        <v>#REF!</v>
      </c>
      <c r="LP3" s="204" t="e">
        <f>#REF!</f>
        <v>#REF!</v>
      </c>
      <c r="LQ3" s="204" t="e">
        <f>#REF!</f>
        <v>#REF!</v>
      </c>
      <c r="LR3" s="204" t="e">
        <f>#REF!</f>
        <v>#REF!</v>
      </c>
      <c r="LS3" s="204" t="e">
        <f>#REF!</f>
        <v>#REF!</v>
      </c>
      <c r="LT3" s="204" t="e">
        <f>#REF!</f>
        <v>#REF!</v>
      </c>
      <c r="LU3" s="204" t="e">
        <f>#REF!</f>
        <v>#REF!</v>
      </c>
      <c r="LV3" s="204" t="e">
        <f>#REF!</f>
        <v>#REF!</v>
      </c>
      <c r="LW3" s="204" t="e">
        <f>#REF!</f>
        <v>#REF!</v>
      </c>
      <c r="LX3" s="204" t="e">
        <f>#REF!</f>
        <v>#REF!</v>
      </c>
      <c r="LY3" s="200" t="e">
        <f>#REF!</f>
        <v>#REF!</v>
      </c>
      <c r="LZ3" s="208">
        <f>'Operating Budget'!$E$33</f>
        <v>0</v>
      </c>
      <c r="MA3" s="208">
        <f>'Operating Budget'!$E$34</f>
        <v>0</v>
      </c>
      <c r="MB3" s="208">
        <f>'Operating Budget'!$E$36</f>
        <v>0</v>
      </c>
      <c r="MC3" s="208">
        <f>'Operating Budget'!$E$37</f>
        <v>0</v>
      </c>
      <c r="MD3" s="208">
        <f>'Operating Budget'!$E$38</f>
        <v>0</v>
      </c>
      <c r="ME3" s="208">
        <f>'Operating Budget'!$E$39</f>
        <v>0</v>
      </c>
      <c r="MF3" s="208">
        <f>'Operating Budget'!$E$40</f>
        <v>71760</v>
      </c>
      <c r="MG3" s="208">
        <f>'Operating Budget'!$E$41</f>
        <v>197640</v>
      </c>
      <c r="MH3" s="208">
        <f>'Operating Budget'!$E$42</f>
        <v>0</v>
      </c>
      <c r="MI3" s="208">
        <f>'Operating Budget'!$E$43</f>
        <v>269400</v>
      </c>
      <c r="MJ3" s="208">
        <f>'Operating Budget'!$F$43</f>
        <v>184884</v>
      </c>
      <c r="MK3" s="208">
        <f>'Operating Budget'!$E$125</f>
        <v>0</v>
      </c>
      <c r="ML3" s="208">
        <f>'Operating Budget'!$E$126</f>
        <v>0</v>
      </c>
      <c r="MM3" s="208">
        <f>'Operating Budget'!$E$127</f>
        <v>0</v>
      </c>
      <c r="MN3" s="208">
        <f>'Operating Budget'!$E$128</f>
        <v>0</v>
      </c>
      <c r="MO3" s="208">
        <f>'Operating Budget'!$E$134</f>
        <v>0</v>
      </c>
      <c r="MP3" s="208">
        <f>'Operating Budget'!$E$135</f>
        <v>0</v>
      </c>
      <c r="MQ3" s="208">
        <f>'Operating Budget'!$E$136</f>
        <v>0</v>
      </c>
      <c r="MR3" s="208">
        <f>'Operating Budget'!$E$137</f>
        <v>0</v>
      </c>
      <c r="MS3" s="208">
        <f>'Operating Budget'!$E$138</f>
        <v>0</v>
      </c>
      <c r="MT3" s="208">
        <f>'Operating Budget'!$F$125</f>
        <v>0</v>
      </c>
      <c r="MU3" s="208">
        <f>'Operating Budget'!$F$126</f>
        <v>0</v>
      </c>
      <c r="MV3" s="208">
        <f>'Operating Budget'!$F$127</f>
        <v>0</v>
      </c>
      <c r="MW3" s="208">
        <f>'Operating Budget'!$F$138</f>
        <v>0</v>
      </c>
      <c r="MX3" s="208">
        <f>'Operating Budget'!$E$142</f>
        <v>0</v>
      </c>
      <c r="MY3" s="208">
        <f>'Reserves Calculator'!$AJ$9</f>
        <v>0</v>
      </c>
      <c r="MZ3" s="208">
        <f>'Reserves Calculator'!$AJ$10</f>
        <v>0</v>
      </c>
      <c r="NA3" s="208">
        <f>'Reserves Calculator'!$AB$16</f>
        <v>0</v>
      </c>
      <c r="NB3" s="208">
        <f>'Reserves Calculator'!$AF$16</f>
        <v>0</v>
      </c>
      <c r="NC3" s="208">
        <f>'Reserves Calculator'!$AJ$16</f>
        <v>0</v>
      </c>
      <c r="ND3" s="208">
        <f>'Reserves Calculator'!$AF$34</f>
        <v>0</v>
      </c>
      <c r="NE3" s="208">
        <f>'Reserves Calculator'!$AJ$34</f>
        <v>0</v>
      </c>
      <c r="NF3" s="200">
        <f>'Reserves Calculator'!$AJ$49</f>
        <v>0</v>
      </c>
      <c r="NG3" s="209">
        <f>CashFlow!$L$62</f>
        <v>0</v>
      </c>
      <c r="NH3" s="209">
        <f>Scoring!$AK$3</f>
        <v>25</v>
      </c>
      <c r="NI3" s="209" t="e">
        <f>Scoring!#REF!</f>
        <v>#REF!</v>
      </c>
      <c r="NJ3" s="209">
        <f>Scoring!$AL$24</f>
        <v>0</v>
      </c>
      <c r="NK3" s="207" t="e">
        <f>Scoring!#REF!</f>
        <v>#REF!</v>
      </c>
      <c r="NL3" s="203">
        <f>Scoring!$AL$56</f>
        <v>15</v>
      </c>
      <c r="NM3" s="203">
        <f>Scoring!$AL$57</f>
        <v>15</v>
      </c>
      <c r="NN3" s="203">
        <f>Scoring!$AL$62</f>
        <v>10</v>
      </c>
      <c r="NO3" s="203" t="e">
        <f>Scoring!#REF!</f>
        <v>#REF!</v>
      </c>
      <c r="NP3" s="203">
        <f>Scoring!$AL$67</f>
        <v>0</v>
      </c>
      <c r="NQ3" s="203" t="e">
        <f>Scoring!#REF!</f>
        <v>#REF!</v>
      </c>
      <c r="NR3" s="203" t="e">
        <f>Scoring!#REF!</f>
        <v>#REF!</v>
      </c>
      <c r="NS3" s="203" t="e">
        <f>Scoring!#REF!</f>
        <v>#REF!</v>
      </c>
      <c r="NT3" s="203" t="e">
        <f>Scoring!#REF!</f>
        <v>#REF!</v>
      </c>
      <c r="NU3" s="203" t="e">
        <f>Scoring!#REF!</f>
        <v>#REF!</v>
      </c>
      <c r="NV3" s="203" t="e">
        <f>Scoring!#REF!</f>
        <v>#REF!</v>
      </c>
      <c r="NW3" s="204">
        <f>Scoring!$AL$72</f>
        <v>0</v>
      </c>
      <c r="NX3" s="204">
        <f>Scoring!$AL$84</f>
        <v>0</v>
      </c>
      <c r="NY3" s="204" t="e">
        <f>Scoring!#REF!</f>
        <v>#REF!</v>
      </c>
      <c r="NZ3" s="204">
        <f>Scoring!$AL$144</f>
        <v>0</v>
      </c>
      <c r="OA3" s="204">
        <f>Scoring!$AL$145</f>
        <v>0</v>
      </c>
      <c r="OB3" s="204">
        <f>Scoring!$AL$146</f>
        <v>0</v>
      </c>
      <c r="OC3" s="204">
        <f>Scoring!$AL$147</f>
        <v>0</v>
      </c>
      <c r="OD3" s="204">
        <f>Scoring!$AL$148</f>
        <v>0</v>
      </c>
      <c r="OE3" s="204">
        <f>Scoring!$AL$149</f>
        <v>0</v>
      </c>
      <c r="OF3" s="204">
        <f>Scoring!$AL$150</f>
        <v>0</v>
      </c>
      <c r="OG3" s="203" t="e">
        <f>Scoring!#REF!</f>
        <v>#REF!</v>
      </c>
      <c r="OH3" s="204" t="e">
        <f>Scoring!#REF!</f>
        <v>#REF!</v>
      </c>
      <c r="OI3" s="203">
        <f>Scoring!$AL$152</f>
        <v>0</v>
      </c>
      <c r="OJ3" s="203">
        <f>Scoring!$AL$155</f>
        <v>0</v>
      </c>
      <c r="OK3" s="203">
        <f>Scoring!$AL$182</f>
        <v>0</v>
      </c>
      <c r="OL3" s="203">
        <f>Scoring!$AL$165</f>
        <v>0</v>
      </c>
      <c r="OM3" s="203" t="e">
        <f>Scoring!#REF!</f>
        <v>#REF!</v>
      </c>
      <c r="ON3" s="203">
        <f>Scoring!$AL$177</f>
        <v>0</v>
      </c>
      <c r="OO3" s="203">
        <f>Scoring!$AL$179</f>
        <v>0</v>
      </c>
      <c r="OP3" s="203">
        <f>Scoring!$AL$159</f>
        <v>0</v>
      </c>
      <c r="OQ3" s="203">
        <f>Scoring!$AL$194</f>
        <v>0</v>
      </c>
      <c r="OR3" s="203">
        <f>Scoring!$AL$201</f>
        <v>0</v>
      </c>
      <c r="OS3" s="203">
        <f>Scoring!$AL$203</f>
        <v>0</v>
      </c>
      <c r="OT3" s="203">
        <f>Scoring!$AL$220</f>
        <v>0</v>
      </c>
      <c r="OU3" s="203" t="e">
        <f>Scoring!#REF!</f>
        <v>#REF!</v>
      </c>
      <c r="OV3" s="203" t="e">
        <f>Scoring!#REF!</f>
        <v>#REF!</v>
      </c>
      <c r="OW3" s="203" t="e">
        <f>Scoring!#REF!</f>
        <v>#REF!</v>
      </c>
      <c r="OX3" s="203" t="e">
        <f>Scoring!#REF!</f>
        <v>#REF!</v>
      </c>
      <c r="OY3" s="200" t="e">
        <f>Scoring!#REF!</f>
        <v>#REF!</v>
      </c>
      <c r="OZ3" s="204">
        <f>'S1 - Supportive Services Plan'!$AI$10</f>
        <v>0</v>
      </c>
      <c r="PA3" s="204">
        <f>'S1 - Supportive Services Plan'!$AK$10</f>
        <v>0</v>
      </c>
      <c r="PB3" s="198">
        <f>'S1 - Supportive Services Plan'!$W$13</f>
        <v>0</v>
      </c>
      <c r="PC3" s="204">
        <f>'S1 - Supportive Services Plan'!$AI$13</f>
        <v>0</v>
      </c>
      <c r="PD3" s="204">
        <f>'S1 - Supportive Services Plan'!$AK$13</f>
        <v>0</v>
      </c>
      <c r="PE3" s="200">
        <f>'S1 - Supportive Services Plan'!$W$16</f>
        <v>0</v>
      </c>
      <c r="PF3" s="204">
        <f>'S1 - Supportive Services Plan'!$AI$16</f>
        <v>0</v>
      </c>
      <c r="PG3" s="204">
        <f>'S1 - Supportive Services Plan'!$AK$16</f>
        <v>0</v>
      </c>
      <c r="PH3" s="200">
        <f>'S1 - Supportive Services Plan'!$W$19</f>
        <v>0</v>
      </c>
      <c r="PI3" s="204">
        <f>'S1 - Supportive Services Plan'!$AI$19</f>
        <v>0</v>
      </c>
      <c r="PJ3" s="204">
        <f>'S1 - Supportive Services Plan'!$AK$19</f>
        <v>0</v>
      </c>
      <c r="PK3" s="200">
        <f>'S1 - Supportive Services Plan'!$W$22</f>
        <v>0</v>
      </c>
      <c r="PL3" s="200">
        <f>'S1 - Supportive Services Plan'!$AI$22</f>
        <v>0</v>
      </c>
      <c r="PM3" s="200">
        <f>'S1 - Supportive Services Plan'!$AK$22</f>
        <v>0</v>
      </c>
      <c r="PN3" s="200">
        <f>'S1 - Supportive Services Plan'!$L$33</f>
        <v>0</v>
      </c>
      <c r="PO3" s="200">
        <f>'S1 - Supportive Services Plan'!$G$65</f>
        <v>0</v>
      </c>
      <c r="PP3" s="244">
        <f>'S1 - Supportive Services Plan'!$Y$191</f>
        <v>0</v>
      </c>
      <c r="PQ3" s="244">
        <f>'S1 - Supportive Services Plan'!$AC$191</f>
        <v>0</v>
      </c>
      <c r="PR3" s="204" t="e">
        <f>'S1 - Supportive Services Plan'!$AK$206</f>
        <v>#REF!</v>
      </c>
      <c r="PS3" s="204">
        <f>'S1 - Supportive Services Plan'!$AK$207</f>
        <v>0</v>
      </c>
      <c r="PT3" s="203">
        <f>'S1 - Supportive Services Plan'!$AK$208</f>
        <v>0</v>
      </c>
      <c r="PU3" s="203">
        <f>'S1 - Supportive Services Plan'!$AK$213</f>
        <v>0</v>
      </c>
      <c r="PV3" s="203">
        <f>'S1 - Supportive Services Plan'!$AK$214</f>
        <v>0</v>
      </c>
      <c r="PW3" s="203">
        <f>'S1 - Supportive Services Plan'!$AK$215</f>
        <v>0</v>
      </c>
      <c r="PX3" s="203">
        <f>'S1 - Supportive Services Plan'!$AK$217</f>
        <v>0</v>
      </c>
      <c r="PY3" s="203">
        <f>'S1 - Supportive Services Plan'!$AK$218</f>
        <v>0</v>
      </c>
      <c r="PZ3" s="203">
        <f>'S1 - Supportive Services Plan'!$AK$219</f>
        <v>0</v>
      </c>
      <c r="QA3" s="203">
        <f>'S1 - Supportive Services Plan'!$AK$221</f>
        <v>0</v>
      </c>
      <c r="QB3" s="203">
        <f>'S1 - Supportive Services Plan'!$AK$222</f>
        <v>0</v>
      </c>
      <c r="QC3" s="203">
        <f>'S1 - Supportive Services Plan'!$AK$223</f>
        <v>0</v>
      </c>
      <c r="QD3" s="200">
        <f>'S1 - Supportive Services Plan'!$B$229</f>
        <v>0</v>
      </c>
      <c r="QE3" s="245">
        <f>'S1 - Supportive Services Plan'!$X$229</f>
        <v>0</v>
      </c>
      <c r="QF3" s="200">
        <f>'S1 - Supportive Services Plan'!$B$230</f>
        <v>0</v>
      </c>
      <c r="QG3" s="245">
        <f>'S1 - Supportive Services Plan'!$X$230</f>
        <v>0</v>
      </c>
      <c r="QH3" s="200">
        <f>'S1 - Supportive Services Plan'!$B$231</f>
        <v>0</v>
      </c>
      <c r="QI3" s="245">
        <f>'S1 - Supportive Services Plan'!$X$231</f>
        <v>0</v>
      </c>
      <c r="QJ3" s="200">
        <f>'S1 - Supportive Services Plan'!$B$232</f>
        <v>0</v>
      </c>
      <c r="QK3" s="245">
        <f>'S1 - Supportive Services Plan'!$X$232</f>
        <v>0</v>
      </c>
      <c r="QL3" s="245">
        <f>'S1 - Supportive Services Plan'!$X$233</f>
        <v>0</v>
      </c>
      <c r="QM3" s="245">
        <f>'S1 - Supportive Services Plan'!$X$247</f>
        <v>0</v>
      </c>
      <c r="QN3" s="245">
        <f>'S1 - Supportive Services Plan'!$X$259</f>
        <v>0</v>
      </c>
      <c r="QO3" s="204">
        <f>'S1 - Supportive Services Plan'!$AK$263</f>
        <v>0</v>
      </c>
      <c r="QP3" s="204">
        <f>'S1 - Supportive Services Plan'!$AK$264</f>
        <v>0</v>
      </c>
      <c r="QQ3" s="204">
        <f>'S1 - Supportive Services Plan'!$AK$265</f>
        <v>0</v>
      </c>
      <c r="QR3" s="245">
        <f>'S1 - Supportive Services Plan'!$AK$266</f>
        <v>0</v>
      </c>
      <c r="QS3" s="245">
        <f>'S1 - Supportive Services Plan'!$AK$267</f>
        <v>0</v>
      </c>
      <c r="QT3" s="204">
        <f>'S1 - Supportive Services Plan'!$AK$269</f>
        <v>0</v>
      </c>
      <c r="QU3" s="204">
        <f>'S1 - Supportive Services Plan'!$AK$270</f>
        <v>0</v>
      </c>
      <c r="QV3" s="204">
        <f>'S1 - Supportive Services Plan'!$AK$271</f>
        <v>0</v>
      </c>
      <c r="QW3" s="246">
        <f>'S1 - Supportive Services Plan'!$AK$272</f>
        <v>0</v>
      </c>
      <c r="QX3" s="245">
        <f>'S1 - Supportive Services Plan'!$AK$273</f>
        <v>0</v>
      </c>
      <c r="QY3" s="210">
        <f>'S2 - Supportive Services Costs'!$N$6</f>
        <v>76</v>
      </c>
      <c r="QZ3" s="200">
        <f>'S2 - Supportive Services Costs'!$AI$7</f>
        <v>0</v>
      </c>
      <c r="RA3" s="200">
        <f>'S2 - Supportive Services Costs'!$AI$8</f>
        <v>0</v>
      </c>
      <c r="RB3" s="200">
        <f>'S2 - Supportive Services Costs'!$AI$10</f>
        <v>0</v>
      </c>
      <c r="RC3" s="200">
        <f>'S2 - Supportive Services Costs'!$AI$11</f>
        <v>0</v>
      </c>
      <c r="RD3" s="200">
        <f>'S2 - Supportive Services Costs'!$AI$12</f>
        <v>0</v>
      </c>
      <c r="RE3" s="200">
        <f>'High-Cost Verification'!$AH$9</f>
        <v>0</v>
      </c>
      <c r="RF3" s="205">
        <f>'High-Cost Verification'!$AH$10</f>
        <v>0</v>
      </c>
      <c r="RG3" s="200">
        <f>'High-Cost Verification'!$AH$12</f>
        <v>20000000</v>
      </c>
      <c r="RH3" s="200" t="str">
        <f>'High-Cost Verification'!$AC$13</f>
        <v>Costs too high &gt; 160%</v>
      </c>
      <c r="RI3" s="238" t="e">
        <f>#REF!</f>
        <v>#REF!</v>
      </c>
      <c r="RJ3" s="200" t="e">
        <f>#REF!</f>
        <v>#REF!</v>
      </c>
      <c r="RK3" s="200" t="e">
        <f>#REF!</f>
        <v>#REF!</v>
      </c>
    </row>
    <row r="6" spans="1:479">
      <c r="BH6" s="201"/>
      <c r="CJ6" s="201"/>
      <c r="CL6" s="201"/>
      <c r="CN6" s="201"/>
      <c r="CP6" s="201"/>
      <c r="CR6" s="201"/>
      <c r="CT6" s="201"/>
      <c r="CV6" s="201"/>
      <c r="CX6" s="201"/>
      <c r="CZ6" s="201"/>
      <c r="DB6" s="201"/>
      <c r="DD6" s="201"/>
      <c r="DF6" s="201"/>
      <c r="DI6" s="201"/>
      <c r="DJ6" s="201"/>
      <c r="DK6" s="201"/>
      <c r="DL6" s="201"/>
      <c r="DM6" s="201"/>
      <c r="DN6" s="201"/>
      <c r="DO6" s="201"/>
      <c r="DP6" s="201"/>
      <c r="DQ6" s="201"/>
      <c r="JW6" s="211"/>
    </row>
    <row r="7" spans="1:479">
      <c r="AT7" s="240"/>
      <c r="AU7" s="240"/>
      <c r="AV7" s="240"/>
      <c r="AW7" s="201"/>
      <c r="AX7" s="201"/>
      <c r="AY7" s="201"/>
      <c r="AZ7" s="202"/>
      <c r="BB7" s="202"/>
      <c r="BE7" s="201"/>
      <c r="BF7" s="201"/>
      <c r="CI7" s="201"/>
      <c r="DS7" s="201"/>
      <c r="DT7" s="201"/>
      <c r="DU7" s="201"/>
      <c r="DW7" s="201"/>
      <c r="DX7" s="201"/>
      <c r="DY7" s="201"/>
      <c r="EC7" s="201"/>
      <c r="ED7" s="201"/>
      <c r="EE7" s="201"/>
      <c r="EF7" s="201"/>
      <c r="EG7" s="201"/>
      <c r="EH7" s="201"/>
      <c r="EI7" s="201"/>
      <c r="EJ7" s="201"/>
      <c r="EL7" s="201"/>
      <c r="EM7" s="201"/>
      <c r="EN7" s="201"/>
      <c r="EP7" s="201"/>
      <c r="EQ7" s="201"/>
      <c r="ER7" s="201"/>
      <c r="ET7" s="201"/>
      <c r="EU7" s="201"/>
      <c r="EV7" s="201"/>
      <c r="EW7" s="201"/>
      <c r="EY7" s="201"/>
      <c r="EZ7" s="201"/>
      <c r="FA7" s="201"/>
      <c r="FC7" s="201"/>
      <c r="FD7" s="201"/>
      <c r="FE7" s="201"/>
      <c r="FG7" s="201"/>
      <c r="FH7" s="201"/>
      <c r="FI7" s="201"/>
      <c r="FK7" s="201"/>
      <c r="FL7" s="201"/>
      <c r="FM7" s="201"/>
      <c r="FN7" s="201"/>
      <c r="FP7" s="201"/>
      <c r="FQ7" s="201"/>
      <c r="FR7" s="201"/>
      <c r="FT7" s="201"/>
      <c r="FU7" s="201"/>
      <c r="FV7" s="201"/>
      <c r="FX7" s="201"/>
      <c r="FY7" s="201"/>
      <c r="FZ7" s="201"/>
    </row>
    <row r="8" spans="1:479">
      <c r="AG8" s="201"/>
      <c r="AH8" s="201"/>
      <c r="AI8" s="202"/>
      <c r="AJ8" s="201"/>
      <c r="AK8" s="201"/>
      <c r="AL8" s="201"/>
      <c r="AM8" s="201"/>
      <c r="AN8" s="201"/>
      <c r="AO8" s="201"/>
    </row>
  </sheetData>
  <mergeCells count="13">
    <mergeCell ref="RE1:RH1"/>
    <mergeCell ref="RI1:RK1"/>
    <mergeCell ref="KD1:KU1"/>
    <mergeCell ref="KV1:LZ1"/>
    <mergeCell ref="MA1:MX1"/>
    <mergeCell ref="MY1:NF1"/>
    <mergeCell ref="NH1:OY1"/>
    <mergeCell ref="OZ1:QX1"/>
    <mergeCell ref="A1:CI1"/>
    <mergeCell ref="CJ1:IT1"/>
    <mergeCell ref="IU1:JY1"/>
    <mergeCell ref="KA1:KC1"/>
    <mergeCell ref="QY1:RD1"/>
  </mergeCells>
  <phoneticPr fontId="91" type="noConversion"/>
  <pageMargins left="0.7" right="0.7" top="0.75" bottom="0.75" header="0.3" footer="0.3"/>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Visibility">
    <tabColor rgb="FFFF0000"/>
  </sheetPr>
  <dimension ref="A2:AB142"/>
  <sheetViews>
    <sheetView showGridLines="0" zoomScaleNormal="100" workbookViewId="0">
      <selection activeCell="B32" sqref="B32"/>
    </sheetView>
  </sheetViews>
  <sheetFormatPr defaultColWidth="9.109375" defaultRowHeight="18" customHeight="1"/>
  <cols>
    <col min="1" max="1" width="5.6640625" style="253" customWidth="1"/>
    <col min="2" max="2" width="35.109375" style="680" customWidth="1"/>
    <col min="3" max="6" width="10.109375" style="253" customWidth="1"/>
    <col min="7" max="7" width="11.44140625" style="253" customWidth="1"/>
    <col min="8" max="8" width="47.6640625" style="253" customWidth="1"/>
    <col min="9" max="9" width="12.33203125" style="253" bestFit="1" customWidth="1"/>
    <col min="10" max="10" width="12.88671875" style="253" bestFit="1" customWidth="1"/>
    <col min="11" max="11" width="15.109375" style="253" bestFit="1" customWidth="1"/>
    <col min="12" max="12" width="5.88671875" style="253" bestFit="1" customWidth="1"/>
    <col min="13" max="15" width="7" style="253" bestFit="1" customWidth="1"/>
    <col min="16" max="16" width="6.88671875" style="253" bestFit="1" customWidth="1"/>
    <col min="17" max="17" width="5.6640625" style="253" bestFit="1" customWidth="1"/>
    <col min="18" max="24" width="13.109375" style="253" customWidth="1"/>
    <col min="25" max="27" width="9.109375" style="253"/>
    <col min="28" max="28" width="23.33203125" style="253" bestFit="1" customWidth="1"/>
    <col min="29" max="16384" width="9.109375" style="253"/>
  </cols>
  <sheetData>
    <row r="2" spans="2:28" ht="18" customHeight="1">
      <c r="I2" s="1682" t="s">
        <v>491</v>
      </c>
      <c r="J2" s="1682"/>
      <c r="L2" s="1684" t="s">
        <v>492</v>
      </c>
      <c r="M2" s="1684"/>
      <c r="N2" s="1684"/>
      <c r="O2" s="1684"/>
      <c r="P2" s="1684"/>
      <c r="Q2" s="1684"/>
      <c r="S2" s="256" t="s">
        <v>493</v>
      </c>
    </row>
    <row r="3" spans="2:28" s="254" customFormat="1" ht="18" customHeight="1">
      <c r="B3" s="681" t="s">
        <v>494</v>
      </c>
      <c r="C3" s="1683" t="s">
        <v>495</v>
      </c>
      <c r="D3" s="1683"/>
      <c r="E3" s="1683" t="s">
        <v>496</v>
      </c>
      <c r="F3" s="1683"/>
      <c r="G3" s="1545"/>
      <c r="H3" s="1545"/>
      <c r="I3" s="1682"/>
      <c r="J3" s="1682"/>
      <c r="K3" s="255" t="s">
        <v>497</v>
      </c>
      <c r="L3" s="257">
        <f>--IsIig</f>
        <v>1</v>
      </c>
      <c r="M3" s="257">
        <f>--IsSerna</f>
        <v>1</v>
      </c>
      <c r="N3" s="257">
        <f>--IsMhp</f>
        <v>1</v>
      </c>
      <c r="O3" s="257">
        <f>--IsTod</f>
        <v>1</v>
      </c>
      <c r="P3" s="257">
        <f>--IsVhhp</f>
        <v>0</v>
      </c>
      <c r="Q3" s="257">
        <f>--IsHHC</f>
        <v>0</v>
      </c>
      <c r="R3" s="1545"/>
      <c r="S3" s="256" t="s">
        <v>498</v>
      </c>
      <c r="T3" s="1545"/>
      <c r="U3" s="1545"/>
      <c r="V3" s="1545"/>
      <c r="W3" s="1545"/>
      <c r="X3" s="1545"/>
      <c r="Y3" s="1545"/>
      <c r="Z3" s="1545"/>
      <c r="AA3" s="1545"/>
      <c r="AB3" s="1545"/>
    </row>
    <row r="4" spans="2:28" s="254" customFormat="1" ht="29.25" customHeight="1">
      <c r="B4" s="682" t="s">
        <v>499</v>
      </c>
      <c r="C4" s="293" t="s">
        <v>500</v>
      </c>
      <c r="D4" s="293" t="s">
        <v>501</v>
      </c>
      <c r="E4" s="293" t="s">
        <v>502</v>
      </c>
      <c r="F4" s="293" t="s">
        <v>503</v>
      </c>
      <c r="G4" s="269" t="s">
        <v>504</v>
      </c>
      <c r="H4" s="269" t="s">
        <v>505</v>
      </c>
      <c r="I4" s="269" t="s">
        <v>506</v>
      </c>
      <c r="J4" s="269" t="s">
        <v>507</v>
      </c>
      <c r="K4" s="269" t="s">
        <v>508</v>
      </c>
      <c r="L4" s="269" t="s">
        <v>509</v>
      </c>
      <c r="M4" s="269" t="s">
        <v>510</v>
      </c>
      <c r="N4" s="269" t="s">
        <v>511</v>
      </c>
      <c r="O4" s="269" t="s">
        <v>512</v>
      </c>
      <c r="P4" s="269" t="s">
        <v>513</v>
      </c>
      <c r="Q4" s="269" t="s">
        <v>514</v>
      </c>
      <c r="R4" s="265"/>
      <c r="S4" s="265"/>
      <c r="T4" s="265"/>
      <c r="U4" s="265"/>
      <c r="V4" s="265"/>
      <c r="W4" s="265"/>
      <c r="X4" s="265"/>
      <c r="Y4" s="265"/>
      <c r="Z4" s="265"/>
      <c r="AA4" s="265"/>
      <c r="AB4" s="265"/>
    </row>
    <row r="5" spans="2:28" s="962" customFormat="1" ht="18" customHeight="1">
      <c r="B5" s="984" t="s">
        <v>515</v>
      </c>
      <c r="C5" s="982"/>
      <c r="D5" s="1543"/>
      <c r="E5" s="1543"/>
      <c r="F5" s="1543"/>
      <c r="G5" s="1295" t="b">
        <f>OR(ComponentVisibility[[#This Row],[Force True]],AND(ComponentVisibility[[#This Row],[Program True]],NOT(ComponentVisibility[[#This Row],[Force False]])))</f>
        <v>1</v>
      </c>
      <c r="H5" s="258" t="s">
        <v>516</v>
      </c>
      <c r="I5" s="278" t="b">
        <f>vmAtHighRisk="Yes"</f>
        <v>1</v>
      </c>
      <c r="J5" s="983"/>
      <c r="K5" s="278" t="b">
        <f>SUMPRODUCT(ComponentVisibility[[#This Row],[IIG]:[HHC]],IsPrograms)&gt;0</f>
        <v>0</v>
      </c>
      <c r="L5" s="1543"/>
      <c r="M5" s="1543"/>
      <c r="N5" s="1543"/>
      <c r="O5" s="1543"/>
      <c r="P5" s="963"/>
      <c r="Q5" s="1543"/>
      <c r="R5" s="265"/>
      <c r="S5" s="265"/>
      <c r="T5" s="265"/>
      <c r="U5" s="265"/>
      <c r="V5" s="265"/>
      <c r="W5" s="265"/>
      <c r="X5" s="265"/>
      <c r="Y5" s="265"/>
      <c r="Z5" s="265"/>
      <c r="AA5" s="265"/>
      <c r="AB5" s="265"/>
    </row>
    <row r="6" spans="2:28" s="962" customFormat="1" ht="18" customHeight="1">
      <c r="B6" s="984" t="s">
        <v>517</v>
      </c>
      <c r="C6" s="982"/>
      <c r="D6" s="1543"/>
      <c r="E6" s="1543"/>
      <c r="F6" s="1543"/>
      <c r="G6" s="1295" t="b">
        <f>OR(ComponentVisibility[[#This Row],[Force True]],AND(ComponentVisibility[[#This Row],[Program True]],NOT(ComponentVisibility[[#This Row],[Force False]])))</f>
        <v>1</v>
      </c>
      <c r="H6" s="258" t="s">
        <v>518</v>
      </c>
      <c r="I6" s="278" t="b">
        <f>OR(vmSpecialNeeds="Yes",IsSH,IsTH)</f>
        <v>1</v>
      </c>
      <c r="J6" s="278"/>
      <c r="K6" s="278" t="b">
        <f>SUMPRODUCT(ComponentVisibility[[#This Row],[IIG]:[HHC]],IsPrograms)&gt;0</f>
        <v>0</v>
      </c>
      <c r="L6" s="257"/>
      <c r="M6" s="257"/>
      <c r="N6" s="257"/>
      <c r="O6" s="257"/>
      <c r="P6" s="896"/>
      <c r="Q6" s="257"/>
      <c r="R6" s="265"/>
      <c r="S6" s="265"/>
      <c r="T6" s="265"/>
      <c r="U6" s="265"/>
      <c r="V6" s="265"/>
      <c r="W6" s="265"/>
      <c r="X6" s="265"/>
      <c r="Y6" s="265"/>
      <c r="Z6" s="265"/>
      <c r="AA6" s="265"/>
      <c r="AB6" s="265"/>
    </row>
    <row r="7" spans="2:28" s="997" customFormat="1" ht="18" customHeight="1">
      <c r="B7" s="984" t="s">
        <v>519</v>
      </c>
      <c r="C7" s="982"/>
      <c r="D7" s="1543"/>
      <c r="E7" s="1543"/>
      <c r="F7" s="1543"/>
      <c r="G7" s="895" t="b">
        <f>OR(ComponentVisibility[[#This Row],[Force True]],AND(ComponentVisibility[[#This Row],[Program True]],NOT(ComponentVisibility[[#This Row],[Force False]])))</f>
        <v>1</v>
      </c>
      <c r="H7" s="258" t="s">
        <v>520</v>
      </c>
      <c r="I7" s="278" t="b">
        <f>vmSpecialNeeds="Yes"</f>
        <v>1</v>
      </c>
      <c r="J7" s="278"/>
      <c r="K7" s="278" t="b">
        <f>SUMPRODUCT(ComponentVisibility[[#This Row],[IIG]:[HHC]],IsPrograms)&gt;0</f>
        <v>0</v>
      </c>
      <c r="L7" s="257"/>
      <c r="M7" s="257"/>
      <c r="N7" s="257"/>
      <c r="O7" s="257"/>
      <c r="P7" s="896"/>
      <c r="Q7" s="257"/>
      <c r="R7" s="265"/>
      <c r="S7" s="265"/>
      <c r="T7" s="265"/>
      <c r="U7" s="265"/>
      <c r="V7" s="265"/>
      <c r="W7" s="265"/>
      <c r="X7" s="265"/>
      <c r="Y7" s="265"/>
      <c r="Z7" s="265"/>
      <c r="AA7" s="265"/>
      <c r="AB7" s="265"/>
    </row>
    <row r="8" spans="2:28" s="997" customFormat="1" ht="18" customHeight="1">
      <c r="B8" s="984" t="s">
        <v>521</v>
      </c>
      <c r="C8" s="982"/>
      <c r="D8" s="1543"/>
      <c r="E8" s="1543"/>
      <c r="F8" s="1543"/>
      <c r="G8" s="895" t="b">
        <f>OR(ComponentVisibility[[#This Row],[Force True]],AND(ComponentVisibility[[#This Row],[Program True]],NOT(ComponentVisibility[[#This Row],[Force False]])))</f>
        <v>1</v>
      </c>
      <c r="H8" s="258" t="s">
        <v>522</v>
      </c>
      <c r="I8" s="278" t="b">
        <f>vmSH="Yes"</f>
        <v>1</v>
      </c>
      <c r="J8" s="278"/>
      <c r="K8" s="278" t="b">
        <f>SUMPRODUCT(ComponentVisibility[[#This Row],[IIG]:[HHC]],IsPrograms)&gt;0</f>
        <v>0</v>
      </c>
      <c r="L8" s="257"/>
      <c r="M8" s="257"/>
      <c r="N8" s="257"/>
      <c r="O8" s="257"/>
      <c r="P8" s="896"/>
      <c r="Q8" s="257"/>
      <c r="R8" s="265"/>
      <c r="S8" s="265"/>
      <c r="T8" s="265"/>
      <c r="U8" s="265"/>
      <c r="V8" s="265"/>
      <c r="W8" s="265"/>
      <c r="X8" s="265"/>
      <c r="Y8" s="265"/>
      <c r="Z8" s="265"/>
      <c r="AA8" s="265"/>
      <c r="AB8" s="265"/>
    </row>
    <row r="9" spans="2:28" s="997" customFormat="1" ht="18" customHeight="1">
      <c r="B9" s="984" t="s">
        <v>523</v>
      </c>
      <c r="C9" s="982"/>
      <c r="D9" s="1543"/>
      <c r="E9" s="1543"/>
      <c r="F9" s="1543"/>
      <c r="G9" s="895" t="b">
        <f>OR(ComponentVisibility[[#This Row],[Force True]],AND(ComponentVisibility[[#This Row],[Program True]],NOT(ComponentVisibility[[#This Row],[Force False]])))</f>
        <v>1</v>
      </c>
      <c r="H9" s="258" t="s">
        <v>524</v>
      </c>
      <c r="I9" s="278" t="b">
        <f>vmSpecialNeeds="Yes"</f>
        <v>1</v>
      </c>
      <c r="J9" s="278"/>
      <c r="K9" s="278" t="b">
        <f>SUMPRODUCT(ComponentVisibility[[#This Row],[IIG]:[HHC]],IsPrograms)&gt;0</f>
        <v>0</v>
      </c>
      <c r="L9" s="257"/>
      <c r="M9" s="257"/>
      <c r="N9" s="257"/>
      <c r="O9" s="257"/>
      <c r="P9" s="896"/>
      <c r="Q9" s="257"/>
      <c r="R9" s="265"/>
      <c r="S9" s="265"/>
      <c r="T9" s="265"/>
      <c r="U9" s="265"/>
      <c r="V9" s="265"/>
      <c r="W9" s="265"/>
      <c r="X9" s="265"/>
      <c r="Y9" s="265"/>
      <c r="Z9" s="265"/>
      <c r="AA9" s="265"/>
      <c r="AB9" s="265"/>
    </row>
    <row r="10" spans="2:28" s="997" customFormat="1" ht="18" customHeight="1">
      <c r="B10" s="984" t="s">
        <v>525</v>
      </c>
      <c r="C10" s="982"/>
      <c r="D10" s="1543"/>
      <c r="E10" s="1543"/>
      <c r="F10" s="1543"/>
      <c r="G10" s="895" t="b">
        <f>OR(ComponentVisibility[[#This Row],[Force True]],AND(ComponentVisibility[[#This Row],[Program True]],NOT(ComponentVisibility[[#This Row],[Force False]])))</f>
        <v>1</v>
      </c>
      <c r="H10" s="258" t="s">
        <v>526</v>
      </c>
      <c r="I10" s="278" t="b">
        <f>vmSpecialNeeds="Yes"</f>
        <v>1</v>
      </c>
      <c r="J10" s="278"/>
      <c r="K10" s="278" t="b">
        <f>SUMPRODUCT(ComponentVisibility[[#This Row],[IIG]:[HHC]],IsPrograms)&gt;0</f>
        <v>0</v>
      </c>
      <c r="L10" s="257"/>
      <c r="M10" s="257"/>
      <c r="N10" s="257"/>
      <c r="O10" s="257"/>
      <c r="P10" s="896"/>
      <c r="Q10" s="257"/>
      <c r="R10" s="265"/>
      <c r="S10" s="265"/>
      <c r="T10" s="265"/>
      <c r="U10" s="265"/>
      <c r="V10" s="265"/>
      <c r="W10" s="265"/>
      <c r="X10" s="265"/>
      <c r="Y10" s="265"/>
      <c r="Z10" s="265"/>
      <c r="AA10" s="265"/>
      <c r="AB10" s="265"/>
    </row>
    <row r="11" spans="2:28" s="997" customFormat="1" ht="18" customHeight="1">
      <c r="B11" s="984" t="s">
        <v>527</v>
      </c>
      <c r="C11" s="982"/>
      <c r="D11" s="1543"/>
      <c r="E11" s="1543"/>
      <c r="F11" s="1543"/>
      <c r="G11" s="895" t="b">
        <f>OR(ComponentVisibility[[#This Row],[Force True]],AND(ComponentVisibility[[#This Row],[Program True]],NOT(ComponentVisibility[[#This Row],[Force False]])))</f>
        <v>1</v>
      </c>
      <c r="H11" s="258" t="s">
        <v>528</v>
      </c>
      <c r="I11" s="1030" t="b">
        <f>IsMhp=TRUE</f>
        <v>1</v>
      </c>
      <c r="J11" s="278"/>
      <c r="K11" s="278" t="b">
        <f>SUMPRODUCT(ComponentVisibility[[#This Row],[IIG]:[HHC]],IsPrograms)&gt;0</f>
        <v>0</v>
      </c>
      <c r="L11" s="257"/>
      <c r="M11" s="257"/>
      <c r="N11" s="257"/>
      <c r="O11" s="257"/>
      <c r="P11" s="896"/>
      <c r="Q11" s="257"/>
      <c r="R11" s="265"/>
      <c r="S11" s="265"/>
      <c r="T11" s="265"/>
      <c r="U11" s="265"/>
      <c r="V11" s="265"/>
      <c r="W11" s="265"/>
      <c r="X11" s="265"/>
      <c r="Y11" s="265"/>
      <c r="Z11" s="265"/>
      <c r="AA11" s="265"/>
      <c r="AB11" s="265"/>
    </row>
    <row r="12" spans="2:28" s="1200" customFormat="1" ht="18" customHeight="1">
      <c r="B12" s="984" t="s">
        <v>527</v>
      </c>
      <c r="C12" s="982">
        <f>ROW('MHP Threshold Requirements'!A15)</f>
        <v>15</v>
      </c>
      <c r="D12" s="982">
        <f>ROW('MHP Threshold Requirements'!A19)</f>
        <v>19</v>
      </c>
      <c r="E12" s="1543"/>
      <c r="F12" s="1543"/>
      <c r="G12" s="895" t="b">
        <f>OR(ComponentVisibility[[#This Row],[Force True]],AND(ComponentVisibility[[#This Row],[Program True]],NOT(ComponentVisibility[[#This Row],[Force False]])))</f>
        <v>0</v>
      </c>
      <c r="H12" s="258" t="s">
        <v>529</v>
      </c>
      <c r="I12" s="1030" t="b">
        <f>Jointventure="Joint Venture"</f>
        <v>0</v>
      </c>
      <c r="J12" s="278"/>
      <c r="K12" s="278" t="b">
        <f>SUMPRODUCT(ComponentVisibility[[#This Row],[IIG]:[HHC]],IsPrograms)&gt;0</f>
        <v>0</v>
      </c>
      <c r="L12" s="257"/>
      <c r="M12" s="257"/>
      <c r="N12" s="257"/>
      <c r="O12" s="257"/>
      <c r="P12" s="896"/>
      <c r="Q12" s="257"/>
      <c r="R12" s="265"/>
      <c r="S12" s="265"/>
      <c r="T12" s="265"/>
      <c r="U12" s="265"/>
      <c r="V12" s="265"/>
      <c r="W12" s="265"/>
      <c r="X12" s="265"/>
      <c r="Y12" s="265"/>
      <c r="Z12" s="265"/>
      <c r="AA12" s="265"/>
      <c r="AB12" s="265"/>
    </row>
    <row r="13" spans="2:28" s="997" customFormat="1" ht="18" customHeight="1">
      <c r="B13" s="984" t="s">
        <v>530</v>
      </c>
      <c r="C13" s="982"/>
      <c r="D13" s="1543"/>
      <c r="E13" s="1543"/>
      <c r="F13" s="1543"/>
      <c r="G13" s="895" t="b">
        <f>OR(ComponentVisibility[[#This Row],[Force True]],AND(ComponentVisibility[[#This Row],[Program True]],NOT(ComponentVisibility[[#This Row],[Force False]])))</f>
        <v>1</v>
      </c>
      <c r="H13" s="258" t="s">
        <v>531</v>
      </c>
      <c r="I13" s="1030" t="b">
        <f>IsIig=TRUE</f>
        <v>1</v>
      </c>
      <c r="J13" s="278"/>
      <c r="K13" s="278" t="b">
        <f>SUMPRODUCT(ComponentVisibility[[#This Row],[IIG]:[HHC]],IsPrograms)&gt;0</f>
        <v>0</v>
      </c>
      <c r="L13" s="257"/>
      <c r="M13" s="257"/>
      <c r="N13" s="257"/>
      <c r="O13" s="257"/>
      <c r="P13" s="896"/>
      <c r="Q13" s="257"/>
      <c r="R13" s="265"/>
      <c r="S13" s="265"/>
      <c r="T13" s="265"/>
      <c r="U13" s="265"/>
      <c r="V13" s="265"/>
      <c r="W13" s="265"/>
      <c r="X13" s="265"/>
      <c r="Y13" s="265"/>
      <c r="Z13" s="265"/>
      <c r="AA13" s="265"/>
      <c r="AB13" s="265"/>
    </row>
    <row r="14" spans="2:28" s="1029" customFormat="1" ht="18" customHeight="1">
      <c r="B14" s="984" t="s">
        <v>530</v>
      </c>
      <c r="C14" s="982">
        <f>ROW('IIG Threshold Requirements'!A11)</f>
        <v>11</v>
      </c>
      <c r="D14" s="982">
        <f>ROW('IIG Threshold Requirements'!A12)</f>
        <v>12</v>
      </c>
      <c r="E14" s="1543"/>
      <c r="F14" s="1543"/>
      <c r="G14" s="895" t="b">
        <f>OR(ComponentVisibility[[#This Row],[Force True]],AND(ComponentVisibility[[#This Row],[Program True]],NOT(ComponentVisibility[[#This Row],[Force False]])))</f>
        <v>1</v>
      </c>
      <c r="H14" s="258" t="s">
        <v>532</v>
      </c>
      <c r="I14" s="1030" t="b">
        <f>vmTribalEntity="Yes"</f>
        <v>1</v>
      </c>
      <c r="J14" s="278"/>
      <c r="K14" s="278" t="b">
        <f>SUMPRODUCT(ComponentVisibility[[#This Row],[IIG]:[HHC]],IsPrograms)&gt;0</f>
        <v>0</v>
      </c>
      <c r="L14" s="257"/>
      <c r="M14" s="257"/>
      <c r="N14" s="257"/>
      <c r="O14" s="257"/>
      <c r="P14" s="896"/>
      <c r="Q14" s="257"/>
      <c r="R14" s="265"/>
      <c r="S14" s="265"/>
      <c r="T14" s="265"/>
      <c r="U14" s="265"/>
      <c r="V14" s="265"/>
      <c r="W14" s="265"/>
      <c r="X14" s="265"/>
      <c r="Y14" s="265"/>
      <c r="Z14" s="265"/>
      <c r="AA14" s="265"/>
      <c r="AB14" s="265"/>
    </row>
    <row r="15" spans="2:28" s="1029" customFormat="1" ht="18" customHeight="1">
      <c r="B15" s="984" t="s">
        <v>530</v>
      </c>
      <c r="C15" s="982">
        <f>ROW('IIG Threshold Requirements'!A13)</f>
        <v>13</v>
      </c>
      <c r="D15" s="982">
        <f>ROW('IIG Threshold Requirements'!A13)</f>
        <v>13</v>
      </c>
      <c r="E15" s="1543"/>
      <c r="F15" s="1543"/>
      <c r="G15" s="895" t="b">
        <f>OR(ComponentVisibility[[#This Row],[Force True]],AND(ComponentVisibility[[#This Row],[Program True]],NOT(ComponentVisibility[[#This Row],[Force False]])))</f>
        <v>1</v>
      </c>
      <c r="H15" s="258" t="s">
        <v>533</v>
      </c>
      <c r="I15" s="1030" t="b">
        <f>vmSponDev="Yes"</f>
        <v>1</v>
      </c>
      <c r="J15" s="278"/>
      <c r="K15" s="278" t="b">
        <f>SUMPRODUCT(ComponentVisibility[[#This Row],[IIG]:[HHC]],IsPrograms)&gt;0</f>
        <v>0</v>
      </c>
      <c r="L15" s="257"/>
      <c r="M15" s="257"/>
      <c r="N15" s="257"/>
      <c r="O15" s="257"/>
      <c r="P15" s="896"/>
      <c r="Q15" s="257"/>
      <c r="R15" s="265"/>
      <c r="S15" s="265"/>
      <c r="T15" s="265"/>
      <c r="U15" s="265"/>
      <c r="V15" s="265"/>
      <c r="W15" s="265"/>
      <c r="X15" s="265"/>
      <c r="Y15" s="265"/>
      <c r="Z15" s="265"/>
      <c r="AA15" s="265"/>
      <c r="AB15" s="265"/>
    </row>
    <row r="16" spans="2:28" s="1029" customFormat="1" ht="18" customHeight="1">
      <c r="B16" s="984" t="s">
        <v>530</v>
      </c>
      <c r="C16" s="982">
        <f>ROW('IIG Threshold Requirements'!A14)</f>
        <v>14</v>
      </c>
      <c r="D16" s="982">
        <f>ROW('IIG Threshold Requirements'!A14)</f>
        <v>14</v>
      </c>
      <c r="E16" s="1543"/>
      <c r="F16" s="1543"/>
      <c r="G16" s="895" t="b">
        <f>OR(ComponentVisibility[[#This Row],[Force True]],AND(ComponentVisibility[[#This Row],[Program True]],NOT(ComponentVisibility[[#This Row],[Force False]])))</f>
        <v>0</v>
      </c>
      <c r="H16" s="258" t="s">
        <v>533</v>
      </c>
      <c r="I16" s="1030" t="b">
        <f>vmBonaFide="Yes"</f>
        <v>0</v>
      </c>
      <c r="J16" s="278"/>
      <c r="K16" s="278" t="b">
        <f>SUMPRODUCT(ComponentVisibility[[#This Row],[IIG]:[HHC]],IsPrograms)&gt;0</f>
        <v>0</v>
      </c>
      <c r="L16" s="257"/>
      <c r="M16" s="257"/>
      <c r="N16" s="257"/>
      <c r="O16" s="257"/>
      <c r="P16" s="896"/>
      <c r="Q16" s="257"/>
      <c r="R16" s="265"/>
      <c r="S16" s="265"/>
      <c r="T16" s="265"/>
      <c r="U16" s="265"/>
      <c r="V16" s="265"/>
      <c r="W16" s="265"/>
      <c r="X16" s="265"/>
      <c r="Y16" s="265"/>
      <c r="Z16" s="265"/>
      <c r="AA16" s="265"/>
      <c r="AB16" s="265"/>
    </row>
    <row r="17" spans="2:28" s="1029" customFormat="1" ht="18" customHeight="1">
      <c r="B17" s="984" t="s">
        <v>530</v>
      </c>
      <c r="C17" s="982">
        <f>ROW('IIG Threshold Requirements'!A32)</f>
        <v>32</v>
      </c>
      <c r="D17" s="982">
        <f>ROW('IIG Threshold Requirements'!A32)</f>
        <v>32</v>
      </c>
      <c r="E17" s="1543"/>
      <c r="F17" s="1543"/>
      <c r="G17" s="895" t="b">
        <f>OR(ComponentVisibility[[#This Row],[Force True]],AND(ComponentVisibility[[#This Row],[Program True]],NOT(ComponentVisibility[[#This Row],[Force False]])))</f>
        <v>0</v>
      </c>
      <c r="H17" s="258" t="s">
        <v>534</v>
      </c>
      <c r="I17" s="1030" t="b">
        <f>vmDA="Yes"</f>
        <v>0</v>
      </c>
      <c r="J17" s="278"/>
      <c r="K17" s="278" t="b">
        <f>SUMPRODUCT(ComponentVisibility[[#This Row],[IIG]:[HHC]],IsPrograms)&gt;0</f>
        <v>0</v>
      </c>
      <c r="L17" s="257"/>
      <c r="M17" s="257"/>
      <c r="N17" s="257"/>
      <c r="O17" s="257"/>
      <c r="P17" s="896"/>
      <c r="Q17" s="257"/>
      <c r="R17" s="265"/>
      <c r="S17" s="265"/>
      <c r="T17" s="265"/>
      <c r="U17" s="265"/>
      <c r="V17" s="265"/>
      <c r="W17" s="265"/>
      <c r="X17" s="265"/>
      <c r="Y17" s="265"/>
      <c r="Z17" s="265"/>
      <c r="AA17" s="265"/>
      <c r="AB17" s="265"/>
    </row>
    <row r="18" spans="2:28" ht="18" customHeight="1">
      <c r="B18" s="722" t="s">
        <v>535</v>
      </c>
      <c r="C18" s="690">
        <f>ROW(CashFlow!A47)</f>
        <v>47</v>
      </c>
      <c r="D18" s="690">
        <f>ROW(CashFlow!A47)</f>
        <v>47</v>
      </c>
      <c r="E18" s="1546"/>
      <c r="F18" s="1546"/>
      <c r="G18" s="1295" t="b">
        <f>OR(ComponentVisibility[[#This Row],[Force True]],AND(ComponentVisibility[[#This Row],[Program True]],NOT(ComponentVisibility[[#This Row],[Force False]])))</f>
        <v>1</v>
      </c>
      <c r="H18" s="258" t="s">
        <v>536</v>
      </c>
      <c r="I18" s="278"/>
      <c r="J18" s="278"/>
      <c r="K18" s="278" t="b">
        <f>SUMPRODUCT(ComponentVisibility[[#This Row],[IIG]:[HHC]],IsPrograms)&gt;0</f>
        <v>1</v>
      </c>
      <c r="L18" s="257">
        <v>1</v>
      </c>
      <c r="M18" s="257">
        <v>0</v>
      </c>
      <c r="N18" s="257">
        <v>0</v>
      </c>
      <c r="O18" s="257">
        <v>0</v>
      </c>
      <c r="P18" s="896">
        <v>0</v>
      </c>
      <c r="Q18" s="257">
        <v>0</v>
      </c>
    </row>
    <row r="19" spans="2:28" ht="18" customHeight="1">
      <c r="B19" s="722" t="s">
        <v>535</v>
      </c>
      <c r="C19" s="690">
        <f>ROW(CashFlow!A48)</f>
        <v>48</v>
      </c>
      <c r="D19" s="690">
        <f>ROW(CashFlow!A48)</f>
        <v>48</v>
      </c>
      <c r="E19" s="1546"/>
      <c r="F19" s="1546"/>
      <c r="G19" s="895" t="b">
        <f>OR(ComponentVisibility[[#This Row],[Force True]],AND(ComponentVisibility[[#This Row],[Program True]],NOT(ComponentVisibility[[#This Row],[Force False]])))</f>
        <v>1</v>
      </c>
      <c r="H19" s="258" t="s">
        <v>537</v>
      </c>
      <c r="I19" s="278"/>
      <c r="J19" s="278"/>
      <c r="K19" s="278" t="b">
        <f>SUMPRODUCT(ComponentVisibility[[#This Row],[IIG]:[HHC]],IsPrograms)&gt;0</f>
        <v>1</v>
      </c>
      <c r="L19" s="257">
        <v>0</v>
      </c>
      <c r="M19" s="257">
        <v>1</v>
      </c>
      <c r="N19" s="257">
        <v>0</v>
      </c>
      <c r="O19" s="257">
        <v>0</v>
      </c>
      <c r="P19" s="896">
        <v>0</v>
      </c>
      <c r="Q19" s="257">
        <v>0</v>
      </c>
    </row>
    <row r="20" spans="2:28" ht="18" customHeight="1">
      <c r="B20" s="722" t="s">
        <v>535</v>
      </c>
      <c r="C20" s="690">
        <f>ROW(CashFlow!A50)</f>
        <v>50</v>
      </c>
      <c r="D20" s="690">
        <f>ROW(CashFlow!A50)</f>
        <v>50</v>
      </c>
      <c r="E20" s="1546"/>
      <c r="F20" s="1546"/>
      <c r="G20" s="895" t="b">
        <f>OR(ComponentVisibility[[#This Row],[Force True]],AND(ComponentVisibility[[#This Row],[Program True]],NOT(ComponentVisibility[[#This Row],[Force False]])))</f>
        <v>1</v>
      </c>
      <c r="H20" s="258" t="s">
        <v>538</v>
      </c>
      <c r="I20" s="278"/>
      <c r="J20" s="278"/>
      <c r="K20" s="278" t="b">
        <f>SUMPRODUCT(ComponentVisibility[[#This Row],[IIG]:[HHC]],IsPrograms)&gt;0</f>
        <v>1</v>
      </c>
      <c r="L20" s="257">
        <v>0</v>
      </c>
      <c r="M20" s="257">
        <v>0</v>
      </c>
      <c r="N20" s="257">
        <v>1</v>
      </c>
      <c r="O20" s="257">
        <v>0</v>
      </c>
      <c r="P20" s="896">
        <v>0</v>
      </c>
      <c r="Q20" s="257">
        <v>0</v>
      </c>
    </row>
    <row r="21" spans="2:28" ht="18" customHeight="1">
      <c r="B21" s="722" t="s">
        <v>535</v>
      </c>
      <c r="C21" s="690">
        <f>ROW(CashFlow!A52)</f>
        <v>52</v>
      </c>
      <c r="D21" s="690">
        <f>ROW(CashFlow!A52)</f>
        <v>52</v>
      </c>
      <c r="E21" s="1546"/>
      <c r="F21" s="1546"/>
      <c r="G21" s="895" t="b">
        <f>OR(ComponentVisibility[[#This Row],[Force True]],AND(ComponentVisibility[[#This Row],[Program True]],NOT(ComponentVisibility[[#This Row],[Force False]])))</f>
        <v>0</v>
      </c>
      <c r="H21" s="258" t="s">
        <v>539</v>
      </c>
      <c r="I21" s="278"/>
      <c r="J21" s="278"/>
      <c r="K21" s="278" t="b">
        <f>SUMPRODUCT(ComponentVisibility[[#This Row],[IIG]:[HHC]],IsPrograms)&gt;0</f>
        <v>0</v>
      </c>
      <c r="L21" s="257">
        <v>0</v>
      </c>
      <c r="M21" s="257">
        <v>0</v>
      </c>
      <c r="N21" s="257">
        <v>0</v>
      </c>
      <c r="O21" s="257">
        <v>0</v>
      </c>
      <c r="P21" s="896">
        <v>1</v>
      </c>
      <c r="Q21" s="257">
        <v>0</v>
      </c>
    </row>
    <row r="22" spans="2:28" ht="18" customHeight="1">
      <c r="B22" s="722" t="s">
        <v>540</v>
      </c>
      <c r="C22" s="277">
        <f>ROW('Dev Budget SU'!A113)</f>
        <v>113</v>
      </c>
      <c r="D22" s="1546">
        <f>ROW('Dev Budget SU'!A200)</f>
        <v>200</v>
      </c>
      <c r="E22" s="1546"/>
      <c r="F22" s="1546"/>
      <c r="G22" s="895" t="b">
        <f>OR(ComponentVisibility[[#This Row],[Force True]],AND(ComponentVisibility[[#This Row],[Program True]],NOT(ComponentVisibility[[#This Row],[Force False]])))</f>
        <v>1</v>
      </c>
      <c r="H22" s="258" t="s">
        <v>536</v>
      </c>
      <c r="I22" s="278"/>
      <c r="J22" s="257"/>
      <c r="K22" s="278" t="b">
        <f>SUMPRODUCT(ComponentVisibility[[#This Row],[IIG]:[HHC]],IsPrograms)&gt;0</f>
        <v>1</v>
      </c>
      <c r="L22" s="257">
        <v>1</v>
      </c>
      <c r="M22" s="257">
        <v>0</v>
      </c>
      <c r="N22" s="257">
        <v>0</v>
      </c>
      <c r="O22" s="257">
        <v>0</v>
      </c>
      <c r="P22" s="896">
        <v>0</v>
      </c>
      <c r="Q22" s="257">
        <v>0</v>
      </c>
    </row>
    <row r="23" spans="2:28" ht="18" customHeight="1">
      <c r="B23" s="722" t="s">
        <v>540</v>
      </c>
      <c r="C23" s="277"/>
      <c r="D23" s="1546"/>
      <c r="E23" s="1546">
        <f>COLUMN('Dev Budget SU'!K1)</f>
        <v>11</v>
      </c>
      <c r="F23" s="1546">
        <f>COLUMN('Dev Budget SU'!K1)</f>
        <v>11</v>
      </c>
      <c r="G23" s="895" t="b">
        <f>OR(ComponentVisibility[[#This Row],[Force True]],AND(ComponentVisibility[[#This Row],[Program True]],NOT(ComponentVisibility[[#This Row],[Force False]])))</f>
        <v>1</v>
      </c>
      <c r="H23" s="258" t="s">
        <v>536</v>
      </c>
      <c r="I23" s="278"/>
      <c r="J23" s="257"/>
      <c r="K23" s="278" t="b">
        <f>SUMPRODUCT(ComponentVisibility[[#This Row],[IIG]:[HHC]],IsPrograms)&gt;0</f>
        <v>1</v>
      </c>
      <c r="L23" s="257">
        <v>1</v>
      </c>
      <c r="M23" s="257">
        <v>0</v>
      </c>
      <c r="N23" s="257">
        <v>0</v>
      </c>
      <c r="O23" s="257">
        <v>0</v>
      </c>
      <c r="P23" s="896">
        <v>0</v>
      </c>
      <c r="Q23" s="257">
        <v>0</v>
      </c>
    </row>
    <row r="24" spans="2:28" ht="18" customHeight="1">
      <c r="B24" s="722" t="s">
        <v>540</v>
      </c>
      <c r="C24" s="690"/>
      <c r="D24" s="1546"/>
      <c r="E24" s="1546">
        <f>COLUMN('Dev Budget SU'!L1)</f>
        <v>12</v>
      </c>
      <c r="F24" s="1546">
        <f>COLUMN('Dev Budget SU'!L1)</f>
        <v>12</v>
      </c>
      <c r="G24" s="895" t="b">
        <f>OR(ComponentVisibility[[#This Row],[Force True]],AND(ComponentVisibility[[#This Row],[Program True]],NOT(ComponentVisibility[[#This Row],[Force False]])))</f>
        <v>0</v>
      </c>
      <c r="H24" s="258" t="s">
        <v>541</v>
      </c>
      <c r="I24" s="278"/>
      <c r="J24" s="257"/>
      <c r="K24" s="278" t="b">
        <f>SUMPRODUCT(ComponentVisibility[[#This Row],[IIG]:[HHC]],IsPrograms)&gt;0</f>
        <v>0</v>
      </c>
      <c r="L24" s="257">
        <v>0</v>
      </c>
      <c r="M24" s="257">
        <v>0</v>
      </c>
      <c r="N24" s="257">
        <v>0</v>
      </c>
      <c r="O24" s="257">
        <v>0</v>
      </c>
      <c r="P24" s="896">
        <v>0</v>
      </c>
      <c r="Q24" s="257">
        <v>1</v>
      </c>
    </row>
    <row r="25" spans="2:28" ht="18" customHeight="1">
      <c r="B25" s="722" t="s">
        <v>540</v>
      </c>
      <c r="C25" s="690"/>
      <c r="D25" s="1546"/>
      <c r="E25" s="1546">
        <f>COLUMN('Dev Budget SU'!M1)</f>
        <v>13</v>
      </c>
      <c r="F25" s="1546">
        <f>COLUMN('Dev Budget SU'!M1)</f>
        <v>13</v>
      </c>
      <c r="G25" s="895" t="b">
        <f>OR(ComponentVisibility[[#This Row],[Force True]],AND(ComponentVisibility[[#This Row],[Program True]],NOT(ComponentVisibility[[#This Row],[Force False]])))</f>
        <v>1</v>
      </c>
      <c r="H25" s="258" t="s">
        <v>537</v>
      </c>
      <c r="I25" s="278"/>
      <c r="J25" s="257"/>
      <c r="K25" s="278" t="b">
        <f>SUMPRODUCT(ComponentVisibility[[#This Row],[IIG]:[HHC]],IsPrograms)&gt;0</f>
        <v>1</v>
      </c>
      <c r="L25" s="257">
        <v>0</v>
      </c>
      <c r="M25" s="257">
        <v>1</v>
      </c>
      <c r="N25" s="257">
        <v>0</v>
      </c>
      <c r="O25" s="257">
        <v>0</v>
      </c>
      <c r="P25" s="896">
        <v>0</v>
      </c>
      <c r="Q25" s="257">
        <v>0</v>
      </c>
    </row>
    <row r="26" spans="2:28" ht="18" customHeight="1">
      <c r="B26" s="722" t="s">
        <v>540</v>
      </c>
      <c r="C26" s="690"/>
      <c r="D26" s="1546"/>
      <c r="E26" s="1546">
        <f>COLUMN('Dev Budget SU'!N1)</f>
        <v>14</v>
      </c>
      <c r="F26" s="1546">
        <f>COLUMN('Dev Budget SU'!N1)</f>
        <v>14</v>
      </c>
      <c r="G26" s="895" t="b">
        <f>OR(ComponentVisibility[[#This Row],[Force True]],AND(ComponentVisibility[[#This Row],[Program True]],NOT(ComponentVisibility[[#This Row],[Force False]])))</f>
        <v>1</v>
      </c>
      <c r="H26" s="258" t="s">
        <v>538</v>
      </c>
      <c r="I26" s="278"/>
      <c r="J26" s="257"/>
      <c r="K26" s="278" t="b">
        <f>SUMPRODUCT(ComponentVisibility[[#This Row],[IIG]:[HHC]],IsPrograms)&gt;0</f>
        <v>1</v>
      </c>
      <c r="L26" s="257">
        <v>0</v>
      </c>
      <c r="M26" s="257">
        <v>0</v>
      </c>
      <c r="N26" s="257">
        <v>1</v>
      </c>
      <c r="O26" s="257">
        <v>0</v>
      </c>
      <c r="P26" s="896">
        <v>0</v>
      </c>
      <c r="Q26" s="257">
        <v>0</v>
      </c>
    </row>
    <row r="27" spans="2:28" ht="18" customHeight="1">
      <c r="B27" s="722" t="s">
        <v>540</v>
      </c>
      <c r="C27" s="690"/>
      <c r="D27" s="1546"/>
      <c r="E27" s="1546">
        <f>COLUMN('Dev Budget SU'!O1)</f>
        <v>15</v>
      </c>
      <c r="F27" s="1546">
        <f>COLUMN('Dev Budget SU'!O1)</f>
        <v>15</v>
      </c>
      <c r="G27" s="895" t="b">
        <f>OR(ComponentVisibility[[#This Row],[Force True]],AND(ComponentVisibility[[#This Row],[Program True]],NOT(ComponentVisibility[[#This Row],[Force False]])))</f>
        <v>1</v>
      </c>
      <c r="H27" s="258" t="s">
        <v>542</v>
      </c>
      <c r="I27" s="278"/>
      <c r="J27" s="257"/>
      <c r="K27" s="278" t="b">
        <f>SUMPRODUCT(ComponentVisibility[[#This Row],[IIG]:[HHC]],IsPrograms)&gt;0</f>
        <v>1</v>
      </c>
      <c r="L27" s="257">
        <v>0</v>
      </c>
      <c r="M27" s="257">
        <v>0</v>
      </c>
      <c r="N27" s="257">
        <v>0</v>
      </c>
      <c r="O27" s="257">
        <v>1</v>
      </c>
      <c r="P27" s="896">
        <v>0</v>
      </c>
      <c r="Q27" s="257">
        <v>0</v>
      </c>
    </row>
    <row r="28" spans="2:28" ht="18" customHeight="1">
      <c r="B28" s="722" t="s">
        <v>540</v>
      </c>
      <c r="C28" s="690"/>
      <c r="D28" s="1546"/>
      <c r="E28" s="1546">
        <f>COLUMN('Dev Budget SU'!P1)</f>
        <v>16</v>
      </c>
      <c r="F28" s="1546">
        <f>COLUMN('Dev Budget SU'!P1)</f>
        <v>16</v>
      </c>
      <c r="G28" s="895" t="b">
        <f>OR(ComponentVisibility[[#This Row],[Force True]],AND(ComponentVisibility[[#This Row],[Program True]],NOT(ComponentVisibility[[#This Row],[Force False]])))</f>
        <v>0</v>
      </c>
      <c r="H28" s="258" t="s">
        <v>539</v>
      </c>
      <c r="I28" s="278"/>
      <c r="J28" s="257"/>
      <c r="K28" s="278" t="b">
        <f>SUMPRODUCT(ComponentVisibility[[#This Row],[IIG]:[HHC]],IsPrograms)&gt;0</f>
        <v>0</v>
      </c>
      <c r="L28" s="257">
        <v>0</v>
      </c>
      <c r="M28" s="257">
        <v>0</v>
      </c>
      <c r="N28" s="257">
        <v>0</v>
      </c>
      <c r="O28" s="257">
        <v>0</v>
      </c>
      <c r="P28" s="896">
        <v>1</v>
      </c>
      <c r="Q28" s="257">
        <v>0</v>
      </c>
    </row>
    <row r="29" spans="2:28" ht="18" customHeight="1">
      <c r="B29" s="722" t="s">
        <v>4103</v>
      </c>
      <c r="C29" s="690">
        <f>ROW('Developer Fee'!A14)</f>
        <v>14</v>
      </c>
      <c r="D29" s="690">
        <f>ROW('Developer Fee'!A60)</f>
        <v>60</v>
      </c>
      <c r="E29" s="1603"/>
      <c r="F29" s="1603"/>
      <c r="G29" s="895" t="b">
        <f>OR(ComponentVisibility[[#This Row],[Force True]],AND(ComponentVisibility[[#This Row],[Program True]],NOT(ComponentVisibility[[#This Row],[Force False]])))</f>
        <v>1</v>
      </c>
      <c r="H29" s="258" t="s">
        <v>4104</v>
      </c>
      <c r="I29" s="1030" t="b">
        <f>vmDF=""</f>
        <v>1</v>
      </c>
      <c r="J29" s="1030"/>
      <c r="K29" s="278" t="b">
        <f>SUMPRODUCT(ComponentVisibility[[#This Row],[IIG]:[HHC]],IsPrograms)&gt;0</f>
        <v>0</v>
      </c>
      <c r="L29" s="257"/>
      <c r="M29" s="257"/>
      <c r="N29" s="257"/>
      <c r="O29" s="257"/>
      <c r="P29" s="896"/>
      <c r="Q29" s="257"/>
    </row>
    <row r="30" spans="2:28" ht="18" customHeight="1">
      <c r="B30" s="722" t="s">
        <v>4103</v>
      </c>
      <c r="C30" s="690">
        <f>ROW('Developer Fee'!A34)</f>
        <v>34</v>
      </c>
      <c r="D30" s="690">
        <f>ROW('Developer Fee'!A60)</f>
        <v>60</v>
      </c>
      <c r="E30" s="1603"/>
      <c r="F30" s="1603"/>
      <c r="G30" s="895" t="b">
        <f>OR(ComponentVisibility[[#This Row],[Force True]],AND(ComponentVisibility[[#This Row],[Program True]],NOT(ComponentVisibility[[#This Row],[Force False]])))</f>
        <v>0</v>
      </c>
      <c r="H30" s="258" t="s">
        <v>4104</v>
      </c>
      <c r="I30" s="1030" t="b">
        <f>vmDF="No Tax Credits"</f>
        <v>0</v>
      </c>
      <c r="J30" s="1030"/>
      <c r="K30" s="278" t="b">
        <f>SUMPRODUCT(ComponentVisibility[[#This Row],[IIG]:[HHC]],IsPrograms)&gt;0</f>
        <v>0</v>
      </c>
      <c r="L30" s="257"/>
      <c r="M30" s="257"/>
      <c r="N30" s="257"/>
      <c r="O30" s="257"/>
      <c r="P30" s="896"/>
      <c r="Q30" s="257"/>
    </row>
    <row r="31" spans="2:28" ht="18" customHeight="1">
      <c r="B31" s="722" t="s">
        <v>4103</v>
      </c>
      <c r="C31" s="690">
        <f>ROW('Developer Fee'!A14)</f>
        <v>14</v>
      </c>
      <c r="D31" s="690">
        <f>ROW('Developer Fee'!A32)</f>
        <v>32</v>
      </c>
      <c r="E31" s="1603"/>
      <c r="F31" s="1603"/>
      <c r="G31" s="895" t="b">
        <f>OR(ComponentVisibility[[#This Row],[Force True]],AND(ComponentVisibility[[#This Row],[Program True]],NOT(ComponentVisibility[[#This Row],[Force False]])))</f>
        <v>0</v>
      </c>
      <c r="H31" s="258" t="s">
        <v>4104</v>
      </c>
      <c r="I31" s="1030" t="b">
        <f>OR(vmDF="4% Credits New Construction",vmDF="4% Credits Rehabilitation",vmDF="4% Credits Acq. Rehabilitation",vmDF="4% Credits Adaptive Reuse")</f>
        <v>0</v>
      </c>
      <c r="J31" s="1030"/>
      <c r="K31" s="278" t="b">
        <f>SUMPRODUCT(ComponentVisibility[[#This Row],[IIG]:[HHC]],IsPrograms)&gt;0</f>
        <v>0</v>
      </c>
      <c r="L31" s="257"/>
      <c r="M31" s="257"/>
      <c r="N31" s="257"/>
      <c r="O31" s="257"/>
      <c r="P31" s="896"/>
      <c r="Q31" s="257"/>
    </row>
    <row r="32" spans="2:28" ht="18" customHeight="1">
      <c r="B32" s="722" t="s">
        <v>4103</v>
      </c>
      <c r="C32" s="690">
        <f>ROW('Developer Fee'!A14)</f>
        <v>14</v>
      </c>
      <c r="D32" s="690">
        <f>ROW('Developer Fee'!A19)</f>
        <v>19</v>
      </c>
      <c r="E32" s="899"/>
      <c r="F32" s="899"/>
      <c r="G32" s="900" t="b">
        <f>OR(ComponentVisibility[[#This Row],[Force True]],AND(ComponentVisibility[[#This Row],[Program True]],NOT(ComponentVisibility[[#This Row],[Force False]])))</f>
        <v>0</v>
      </c>
      <c r="H32" s="258" t="s">
        <v>4104</v>
      </c>
      <c r="I32" s="1030" t="b">
        <f>IF(OR(vmDF="9% Credits New Construction",vmDF="9% Credits Rehabilitation",vmDF="9% Credits Acq. Rehabilitation",vmDF="9% Credits Adaptive Reuse"),TRUE,IF($I$31=TRUE,TRUE,FALSE))</f>
        <v>0</v>
      </c>
      <c r="J32" s="1615"/>
      <c r="K32" s="901" t="b">
        <f>SUMPRODUCT(ComponentVisibility[[#This Row],[IIG]:[HHC]],IsPrograms)&gt;0</f>
        <v>0</v>
      </c>
      <c r="L32" s="902"/>
      <c r="M32" s="902"/>
      <c r="N32" s="902"/>
      <c r="O32" s="902"/>
      <c r="P32" s="903"/>
      <c r="Q32" s="902"/>
    </row>
    <row r="33" spans="2:17" ht="18" customHeight="1">
      <c r="B33" s="722" t="s">
        <v>543</v>
      </c>
      <c r="C33" s="277">
        <f>ROW('Dev Sources'!A8)</f>
        <v>8</v>
      </c>
      <c r="D33" s="277">
        <f>ROW('Dev Sources'!A8)</f>
        <v>8</v>
      </c>
      <c r="E33" s="1546"/>
      <c r="F33" s="1546"/>
      <c r="G33" s="895" t="b">
        <f>OR(ComponentVisibility[[#This Row],[Force True]],AND(ComponentVisibility[[#This Row],[Program True]],NOT(ComponentVisibility[[#This Row],[Force False]])))</f>
        <v>1</v>
      </c>
      <c r="H33" s="258" t="s">
        <v>536</v>
      </c>
      <c r="I33" s="278"/>
      <c r="J33" s="257"/>
      <c r="K33" s="278" t="b">
        <f>SUMPRODUCT(ComponentVisibility[[#This Row],[IIG]:[HHC]],IsPrograms)&gt;0</f>
        <v>1</v>
      </c>
      <c r="L33" s="257">
        <v>1</v>
      </c>
      <c r="M33" s="257">
        <v>0</v>
      </c>
      <c r="N33" s="257">
        <v>0</v>
      </c>
      <c r="O33" s="257">
        <v>0</v>
      </c>
      <c r="P33" s="896">
        <v>0</v>
      </c>
      <c r="Q33" s="257">
        <v>0</v>
      </c>
    </row>
    <row r="34" spans="2:17" ht="18" customHeight="1">
      <c r="B34" s="722" t="s">
        <v>543</v>
      </c>
      <c r="C34" s="277">
        <f>ROW('Dev Sources'!A37)</f>
        <v>37</v>
      </c>
      <c r="D34" s="277">
        <f>ROW('Dev Sources'!A37)</f>
        <v>37</v>
      </c>
      <c r="E34" s="1546"/>
      <c r="F34" s="1546"/>
      <c r="G34" s="895" t="b">
        <f>OR(ComponentVisibility[[#This Row],[Force True]],AND(ComponentVisibility[[#This Row],[Program True]],NOT(ComponentVisibility[[#This Row],[Force False]])))</f>
        <v>1</v>
      </c>
      <c r="H34" s="258" t="s">
        <v>536</v>
      </c>
      <c r="I34" s="278"/>
      <c r="J34" s="257"/>
      <c r="K34" s="278" t="b">
        <f>SUMPRODUCT(ComponentVisibility[[#This Row],[IIG]:[HHC]],IsPrograms)&gt;0</f>
        <v>1</v>
      </c>
      <c r="L34" s="257">
        <v>1</v>
      </c>
      <c r="M34" s="257">
        <v>0</v>
      </c>
      <c r="N34" s="257">
        <v>0</v>
      </c>
      <c r="O34" s="257">
        <v>0</v>
      </c>
      <c r="P34" s="896">
        <v>0</v>
      </c>
      <c r="Q34" s="257">
        <v>0</v>
      </c>
    </row>
    <row r="35" spans="2:17" ht="18" customHeight="1">
      <c r="B35" s="722" t="s">
        <v>543</v>
      </c>
      <c r="C35" s="277">
        <f>ROW('Dev Sources'!A9)</f>
        <v>9</v>
      </c>
      <c r="D35" s="277">
        <f>ROW('Dev Sources'!A9)</f>
        <v>9</v>
      </c>
      <c r="E35" s="1546"/>
      <c r="F35" s="1546"/>
      <c r="G35" s="895" t="b">
        <f>OR(ComponentVisibility[[#This Row],[Force True]],AND(ComponentVisibility[[#This Row],[Program True]],NOT(ComponentVisibility[[#This Row],[Force False]])))</f>
        <v>0</v>
      </c>
      <c r="H35" s="258" t="s">
        <v>541</v>
      </c>
      <c r="I35" s="278"/>
      <c r="J35" s="257"/>
      <c r="K35" s="278" t="b">
        <f>SUMPRODUCT(ComponentVisibility[[#This Row],[IIG]:[HHC]],IsPrograms)&gt;0</f>
        <v>0</v>
      </c>
      <c r="L35" s="257">
        <v>0</v>
      </c>
      <c r="M35" s="257">
        <v>0</v>
      </c>
      <c r="N35" s="257">
        <v>0</v>
      </c>
      <c r="O35" s="257">
        <v>0</v>
      </c>
      <c r="P35" s="896">
        <v>0</v>
      </c>
      <c r="Q35" s="257">
        <v>1</v>
      </c>
    </row>
    <row r="36" spans="2:17" ht="18" customHeight="1">
      <c r="B36" s="722" t="s">
        <v>543</v>
      </c>
      <c r="C36" s="277">
        <f>ROW('Dev Sources'!A38)</f>
        <v>38</v>
      </c>
      <c r="D36" s="277">
        <f>ROW('Dev Sources'!A38)</f>
        <v>38</v>
      </c>
      <c r="E36" s="1546"/>
      <c r="F36" s="1546"/>
      <c r="G36" s="895" t="b">
        <f>OR(ComponentVisibility[[#This Row],[Force True]],AND(ComponentVisibility[[#This Row],[Program True]],NOT(ComponentVisibility[[#This Row],[Force False]])))</f>
        <v>0</v>
      </c>
      <c r="H36" s="258" t="s">
        <v>541</v>
      </c>
      <c r="I36" s="278"/>
      <c r="J36" s="257"/>
      <c r="K36" s="278" t="b">
        <f>SUMPRODUCT(ComponentVisibility[[#This Row],[IIG]:[HHC]],IsPrograms)&gt;0</f>
        <v>0</v>
      </c>
      <c r="L36" s="257">
        <v>0</v>
      </c>
      <c r="M36" s="257">
        <v>0</v>
      </c>
      <c r="N36" s="257">
        <v>0</v>
      </c>
      <c r="O36" s="257">
        <v>0</v>
      </c>
      <c r="P36" s="896">
        <v>0</v>
      </c>
      <c r="Q36" s="257">
        <v>1</v>
      </c>
    </row>
    <row r="37" spans="2:17" ht="18" customHeight="1">
      <c r="B37" s="722" t="s">
        <v>543</v>
      </c>
      <c r="C37" s="277">
        <f>ROW('Dev Sources'!A10)</f>
        <v>10</v>
      </c>
      <c r="D37" s="277">
        <f>ROW('Dev Sources'!A10)</f>
        <v>10</v>
      </c>
      <c r="E37" s="1546"/>
      <c r="F37" s="1546"/>
      <c r="G37" s="895" t="b">
        <f>OR(ComponentVisibility[[#This Row],[Force True]],AND(ComponentVisibility[[#This Row],[Program True]],NOT(ComponentVisibility[[#This Row],[Force False]])))</f>
        <v>1</v>
      </c>
      <c r="H37" s="258" t="s">
        <v>537</v>
      </c>
      <c r="I37" s="278"/>
      <c r="J37" s="257"/>
      <c r="K37" s="278" t="b">
        <f>SUMPRODUCT(ComponentVisibility[[#This Row],[IIG]:[HHC]],IsPrograms)&gt;0</f>
        <v>1</v>
      </c>
      <c r="L37" s="257">
        <v>0</v>
      </c>
      <c r="M37" s="257">
        <v>1</v>
      </c>
      <c r="N37" s="257">
        <v>0</v>
      </c>
      <c r="O37" s="257">
        <v>0</v>
      </c>
      <c r="P37" s="896">
        <v>0</v>
      </c>
      <c r="Q37" s="257">
        <v>0</v>
      </c>
    </row>
    <row r="38" spans="2:17" ht="18" customHeight="1">
      <c r="B38" s="722" t="s">
        <v>543</v>
      </c>
      <c r="C38" s="277">
        <f>ROW('Dev Sources'!A39)</f>
        <v>39</v>
      </c>
      <c r="D38" s="277">
        <f>ROW('Dev Sources'!A39)</f>
        <v>39</v>
      </c>
      <c r="E38" s="1546"/>
      <c r="F38" s="1546"/>
      <c r="G38" s="895" t="b">
        <f>OR(ComponentVisibility[[#This Row],[Force True]],AND(ComponentVisibility[[#This Row],[Program True]],NOT(ComponentVisibility[[#This Row],[Force False]])))</f>
        <v>1</v>
      </c>
      <c r="H38" s="258" t="s">
        <v>537</v>
      </c>
      <c r="I38" s="278"/>
      <c r="J38" s="257"/>
      <c r="K38" s="278" t="b">
        <f>SUMPRODUCT(ComponentVisibility[[#This Row],[IIG]:[HHC]],IsPrograms)&gt;0</f>
        <v>1</v>
      </c>
      <c r="L38" s="257">
        <v>0</v>
      </c>
      <c r="M38" s="257">
        <v>1</v>
      </c>
      <c r="N38" s="257">
        <v>0</v>
      </c>
      <c r="O38" s="257">
        <v>0</v>
      </c>
      <c r="P38" s="896">
        <v>0</v>
      </c>
      <c r="Q38" s="257">
        <v>0</v>
      </c>
    </row>
    <row r="39" spans="2:17" ht="18" customHeight="1">
      <c r="B39" s="722" t="s">
        <v>543</v>
      </c>
      <c r="C39" s="277">
        <f>ROW('Dev Sources'!A11)</f>
        <v>11</v>
      </c>
      <c r="D39" s="277">
        <f>ROW('Dev Sources'!A11)</f>
        <v>11</v>
      </c>
      <c r="E39" s="1546"/>
      <c r="F39" s="1546"/>
      <c r="G39" s="895" t="b">
        <f>OR(ComponentVisibility[[#This Row],[Force True]],AND(ComponentVisibility[[#This Row],[Program True]],NOT(ComponentVisibility[[#This Row],[Force False]])))</f>
        <v>1</v>
      </c>
      <c r="H39" s="258" t="s">
        <v>538</v>
      </c>
      <c r="I39" s="278"/>
      <c r="J39" s="257"/>
      <c r="K39" s="278" t="b">
        <f>SUMPRODUCT(ComponentVisibility[[#This Row],[IIG]:[HHC]],IsPrograms)&gt;0</f>
        <v>1</v>
      </c>
      <c r="L39" s="257">
        <v>0</v>
      </c>
      <c r="M39" s="257">
        <v>0</v>
      </c>
      <c r="N39" s="257">
        <v>1</v>
      </c>
      <c r="O39" s="257">
        <v>0</v>
      </c>
      <c r="P39" s="896">
        <v>0</v>
      </c>
      <c r="Q39" s="257">
        <v>0</v>
      </c>
    </row>
    <row r="40" spans="2:17" ht="18" customHeight="1">
      <c r="B40" s="722" t="s">
        <v>543</v>
      </c>
      <c r="C40" s="277">
        <f>ROW('Dev Sources'!A40)</f>
        <v>40</v>
      </c>
      <c r="D40" s="277">
        <f>ROW('Dev Sources'!A40)</f>
        <v>40</v>
      </c>
      <c r="E40" s="1546"/>
      <c r="F40" s="1546"/>
      <c r="G40" s="895" t="b">
        <f>OR(ComponentVisibility[[#This Row],[Force True]],AND(ComponentVisibility[[#This Row],[Program True]],NOT(ComponentVisibility[[#This Row],[Force False]])))</f>
        <v>1</v>
      </c>
      <c r="H40" s="258" t="s">
        <v>538</v>
      </c>
      <c r="I40" s="278"/>
      <c r="J40" s="257"/>
      <c r="K40" s="278" t="b">
        <f>SUMPRODUCT(ComponentVisibility[[#This Row],[IIG]:[HHC]],IsPrograms)&gt;0</f>
        <v>1</v>
      </c>
      <c r="L40" s="257">
        <v>0</v>
      </c>
      <c r="M40" s="257">
        <v>0</v>
      </c>
      <c r="N40" s="257">
        <v>1</v>
      </c>
      <c r="O40" s="257">
        <v>0</v>
      </c>
      <c r="P40" s="896">
        <v>0</v>
      </c>
      <c r="Q40" s="257">
        <v>0</v>
      </c>
    </row>
    <row r="41" spans="2:17" ht="18" customHeight="1">
      <c r="B41" s="722" t="s">
        <v>543</v>
      </c>
      <c r="C41" s="277">
        <f>ROW('Dev Sources'!A12)</f>
        <v>12</v>
      </c>
      <c r="D41" s="277">
        <f>ROW('Dev Sources'!A12)</f>
        <v>12</v>
      </c>
      <c r="E41" s="1546"/>
      <c r="F41" s="1546"/>
      <c r="G41" s="895" t="b">
        <f>OR(ComponentVisibility[[#This Row],[Force True]],AND(ComponentVisibility[[#This Row],[Program True]],NOT(ComponentVisibility[[#This Row],[Force False]])))</f>
        <v>1</v>
      </c>
      <c r="H41" s="258" t="s">
        <v>542</v>
      </c>
      <c r="I41" s="278"/>
      <c r="J41" s="257"/>
      <c r="K41" s="278" t="b">
        <f>SUMPRODUCT(ComponentVisibility[[#This Row],[IIG]:[HHC]],IsPrograms)&gt;0</f>
        <v>1</v>
      </c>
      <c r="L41" s="257">
        <v>0</v>
      </c>
      <c r="M41" s="257">
        <v>0</v>
      </c>
      <c r="N41" s="257">
        <v>0</v>
      </c>
      <c r="O41" s="257">
        <v>1</v>
      </c>
      <c r="P41" s="896">
        <v>0</v>
      </c>
      <c r="Q41" s="257">
        <v>0</v>
      </c>
    </row>
    <row r="42" spans="2:17" ht="18" customHeight="1">
      <c r="B42" s="722" t="s">
        <v>543</v>
      </c>
      <c r="C42" s="277">
        <f>ROW('Dev Sources'!A41)</f>
        <v>41</v>
      </c>
      <c r="D42" s="277">
        <f>ROW('Dev Sources'!A41)</f>
        <v>41</v>
      </c>
      <c r="E42" s="1546"/>
      <c r="F42" s="1546"/>
      <c r="G42" s="895" t="b">
        <f>OR(ComponentVisibility[[#This Row],[Force True]],AND(ComponentVisibility[[#This Row],[Program True]],NOT(ComponentVisibility[[#This Row],[Force False]])))</f>
        <v>1</v>
      </c>
      <c r="H42" s="258" t="s">
        <v>542</v>
      </c>
      <c r="I42" s="278"/>
      <c r="J42" s="257"/>
      <c r="K42" s="278" t="b">
        <f>SUMPRODUCT(ComponentVisibility[[#This Row],[IIG]:[HHC]],IsPrograms)&gt;0</f>
        <v>1</v>
      </c>
      <c r="L42" s="257">
        <v>0</v>
      </c>
      <c r="M42" s="257">
        <v>0</v>
      </c>
      <c r="N42" s="257">
        <v>0</v>
      </c>
      <c r="O42" s="257">
        <v>1</v>
      </c>
      <c r="P42" s="896">
        <v>0</v>
      </c>
      <c r="Q42" s="257">
        <v>0</v>
      </c>
    </row>
    <row r="43" spans="2:17" ht="18" customHeight="1">
      <c r="B43" s="722" t="s">
        <v>543</v>
      </c>
      <c r="C43" s="277">
        <f>ROW('Dev Sources'!A13)</f>
        <v>13</v>
      </c>
      <c r="D43" s="277">
        <f>ROW('Dev Sources'!A13)</f>
        <v>13</v>
      </c>
      <c r="E43" s="1546"/>
      <c r="F43" s="1546"/>
      <c r="G43" s="895" t="b">
        <f>OR(ComponentVisibility[[#This Row],[Force True]],AND(ComponentVisibility[[#This Row],[Program True]],NOT(ComponentVisibility[[#This Row],[Force False]])))</f>
        <v>0</v>
      </c>
      <c r="H43" s="258" t="s">
        <v>539</v>
      </c>
      <c r="I43" s="278"/>
      <c r="J43" s="257"/>
      <c r="K43" s="278" t="b">
        <f>SUMPRODUCT(ComponentVisibility[[#This Row],[IIG]:[HHC]],IsPrograms)&gt;0</f>
        <v>0</v>
      </c>
      <c r="L43" s="257">
        <v>0</v>
      </c>
      <c r="M43" s="257">
        <v>0</v>
      </c>
      <c r="N43" s="257">
        <v>0</v>
      </c>
      <c r="O43" s="257">
        <v>0</v>
      </c>
      <c r="P43" s="896">
        <v>1</v>
      </c>
      <c r="Q43" s="257">
        <v>0</v>
      </c>
    </row>
    <row r="44" spans="2:17" ht="18" customHeight="1">
      <c r="B44" s="722" t="s">
        <v>543</v>
      </c>
      <c r="C44" s="277">
        <f>ROW('Dev Sources'!A42)</f>
        <v>42</v>
      </c>
      <c r="D44" s="277">
        <f>ROW('Dev Sources'!A42)</f>
        <v>42</v>
      </c>
      <c r="E44" s="1546"/>
      <c r="F44" s="1546"/>
      <c r="G44" s="895" t="b">
        <f>OR(ComponentVisibility[[#This Row],[Force True]],AND(ComponentVisibility[[#This Row],[Program True]],NOT(ComponentVisibility[[#This Row],[Force False]])))</f>
        <v>0</v>
      </c>
      <c r="H44" s="258" t="s">
        <v>539</v>
      </c>
      <c r="I44" s="278"/>
      <c r="J44" s="257"/>
      <c r="K44" s="278" t="b">
        <f>SUMPRODUCT(ComponentVisibility[[#This Row],[IIG]:[HHC]],IsPrograms)&gt;0</f>
        <v>0</v>
      </c>
      <c r="L44" s="257">
        <v>0</v>
      </c>
      <c r="M44" s="257">
        <v>0</v>
      </c>
      <c r="N44" s="257">
        <v>0</v>
      </c>
      <c r="O44" s="257">
        <v>0</v>
      </c>
      <c r="P44" s="896">
        <v>1</v>
      </c>
      <c r="Q44" s="257">
        <v>0</v>
      </c>
    </row>
    <row r="45" spans="2:17" ht="18" customHeight="1">
      <c r="B45" s="722" t="s">
        <v>544</v>
      </c>
      <c r="C45" s="690">
        <f>ROW('Operating Budget'!A128)</f>
        <v>128</v>
      </c>
      <c r="D45" s="690">
        <f>ROW('Operating Budget'!A128)</f>
        <v>128</v>
      </c>
      <c r="E45" s="1546"/>
      <c r="F45" s="1546"/>
      <c r="G45" s="895" t="b">
        <f>OR(ComponentVisibility[[#This Row],[Force True]],AND(ComponentVisibility[[#This Row],[Program True]],NOT(ComponentVisibility[[#This Row],[Force False]])))</f>
        <v>1</v>
      </c>
      <c r="H45" s="258" t="s">
        <v>536</v>
      </c>
      <c r="I45" s="278"/>
      <c r="J45" s="278"/>
      <c r="K45" s="278" t="b">
        <f>SUMPRODUCT(ComponentVisibility[[#This Row],[IIG]:[HHC]],IsPrograms)&gt;0</f>
        <v>1</v>
      </c>
      <c r="L45" s="257">
        <v>1</v>
      </c>
      <c r="M45" s="257">
        <v>0</v>
      </c>
      <c r="N45" s="257">
        <v>0</v>
      </c>
      <c r="O45" s="257">
        <v>0</v>
      </c>
      <c r="P45" s="896">
        <v>0</v>
      </c>
      <c r="Q45" s="257">
        <v>0</v>
      </c>
    </row>
    <row r="46" spans="2:17" ht="18" customHeight="1">
      <c r="B46" s="722" t="s">
        <v>544</v>
      </c>
      <c r="C46" s="690">
        <f>ROW('Operating Budget'!A129)</f>
        <v>129</v>
      </c>
      <c r="D46" s="690">
        <f>ROW('Operating Budget'!A129)</f>
        <v>129</v>
      </c>
      <c r="E46" s="1546"/>
      <c r="F46" s="1546"/>
      <c r="G46" s="895" t="b">
        <f>OR(ComponentVisibility[[#This Row],[Force True]],AND(ComponentVisibility[[#This Row],[Program True]],NOT(ComponentVisibility[[#This Row],[Force False]])))</f>
        <v>1</v>
      </c>
      <c r="H46" s="258" t="s">
        <v>537</v>
      </c>
      <c r="I46" s="278"/>
      <c r="J46" s="278"/>
      <c r="K46" s="278" t="b">
        <f>SUMPRODUCT(ComponentVisibility[[#This Row],[IIG]:[HHC]],IsPrograms)&gt;0</f>
        <v>1</v>
      </c>
      <c r="L46" s="257">
        <v>0</v>
      </c>
      <c r="M46" s="257">
        <v>1</v>
      </c>
      <c r="N46" s="257">
        <v>0</v>
      </c>
      <c r="O46" s="257">
        <v>0</v>
      </c>
      <c r="P46" s="896">
        <v>0</v>
      </c>
      <c r="Q46" s="257">
        <v>0</v>
      </c>
    </row>
    <row r="47" spans="2:17" ht="18" customHeight="1">
      <c r="B47" s="722" t="s">
        <v>544</v>
      </c>
      <c r="C47" s="690">
        <f>ROW('Operating Budget'!A131)</f>
        <v>131</v>
      </c>
      <c r="D47" s="690">
        <f>ROW('Operating Budget'!A131)</f>
        <v>131</v>
      </c>
      <c r="E47" s="1546"/>
      <c r="F47" s="1546"/>
      <c r="G47" s="895" t="b">
        <f>OR(ComponentVisibility[[#This Row],[Force True]],AND(ComponentVisibility[[#This Row],[Program True]],NOT(ComponentVisibility[[#This Row],[Force False]])))</f>
        <v>1</v>
      </c>
      <c r="H47" s="258" t="s">
        <v>538</v>
      </c>
      <c r="I47" s="278"/>
      <c r="J47" s="278"/>
      <c r="K47" s="278" t="b">
        <f>SUMPRODUCT(ComponentVisibility[[#This Row],[IIG]:[HHC]],IsPrograms)&gt;0</f>
        <v>1</v>
      </c>
      <c r="L47" s="257">
        <v>0</v>
      </c>
      <c r="M47" s="257">
        <v>0</v>
      </c>
      <c r="N47" s="257">
        <v>1</v>
      </c>
      <c r="O47" s="257">
        <v>0</v>
      </c>
      <c r="P47" s="896">
        <v>0</v>
      </c>
      <c r="Q47" s="257">
        <v>0</v>
      </c>
    </row>
    <row r="48" spans="2:17" ht="18" customHeight="1">
      <c r="B48" s="722" t="s">
        <v>544</v>
      </c>
      <c r="C48" s="690">
        <f>ROW('Operating Budget'!A133)</f>
        <v>133</v>
      </c>
      <c r="D48" s="690">
        <f>ROW('Operating Budget'!A133)</f>
        <v>133</v>
      </c>
      <c r="E48" s="1546"/>
      <c r="F48" s="1546"/>
      <c r="G48" s="895" t="b">
        <f>OR(ComponentVisibility[[#This Row],[Force True]],AND(ComponentVisibility[[#This Row],[Program True]],NOT(ComponentVisibility[[#This Row],[Force False]])))</f>
        <v>0</v>
      </c>
      <c r="H48" s="258" t="s">
        <v>539</v>
      </c>
      <c r="I48" s="278"/>
      <c r="J48" s="278"/>
      <c r="K48" s="278" t="b">
        <f>SUMPRODUCT(ComponentVisibility[[#This Row],[IIG]:[HHC]],IsPrograms)&gt;0</f>
        <v>0</v>
      </c>
      <c r="L48" s="257">
        <v>0</v>
      </c>
      <c r="M48" s="257">
        <v>0</v>
      </c>
      <c r="N48" s="257">
        <v>0</v>
      </c>
      <c r="O48" s="257">
        <v>0</v>
      </c>
      <c r="P48" s="896">
        <v>1</v>
      </c>
      <c r="Q48" s="257">
        <v>0</v>
      </c>
    </row>
    <row r="49" spans="2:17" ht="18" customHeight="1">
      <c r="B49" s="722" t="s">
        <v>545</v>
      </c>
      <c r="C49" s="690">
        <f>ROW('Project Overview'!A18)</f>
        <v>18</v>
      </c>
      <c r="D49" s="690">
        <f>ROW('Project Overview'!A28)</f>
        <v>28</v>
      </c>
      <c r="E49" s="899"/>
      <c r="F49" s="899"/>
      <c r="G49" s="900" t="b">
        <f>OR(ComponentVisibility[[#This Row],[Force True]],AND(ComponentVisibility[[#This Row],[Program True]],NOT(ComponentVisibility[[#This Row],[Force False]])))</f>
        <v>1</v>
      </c>
      <c r="H49" s="258" t="s">
        <v>536</v>
      </c>
      <c r="I49" s="278"/>
      <c r="J49" s="901"/>
      <c r="K49" s="901" t="b">
        <f>SUMPRODUCT(ComponentVisibility[[#This Row],[IIG]:[HHC]],IsPrograms)&gt;0</f>
        <v>1</v>
      </c>
      <c r="L49" s="902">
        <v>1</v>
      </c>
      <c r="M49" s="902">
        <v>0</v>
      </c>
      <c r="N49" s="902">
        <v>0</v>
      </c>
      <c r="O49" s="902">
        <v>0</v>
      </c>
      <c r="P49" s="903">
        <v>0</v>
      </c>
      <c r="Q49" s="902">
        <v>0</v>
      </c>
    </row>
    <row r="50" spans="2:17" ht="18" customHeight="1">
      <c r="B50" s="722" t="s">
        <v>545</v>
      </c>
      <c r="C50" s="690">
        <f>ROW('Project Overview'!A29)</f>
        <v>29</v>
      </c>
      <c r="D50" s="690">
        <f>ROW('Project Overview'!A35)</f>
        <v>35</v>
      </c>
      <c r="E50" s="1546"/>
      <c r="F50" s="1546"/>
      <c r="G50" s="895" t="b">
        <f>OR(ComponentVisibility[[#This Row],[Force True]],AND(ComponentVisibility[[#This Row],[Program True]],NOT(ComponentVisibility[[#This Row],[Force False]])))</f>
        <v>1</v>
      </c>
      <c r="H50" s="258" t="s">
        <v>537</v>
      </c>
      <c r="I50" s="278"/>
      <c r="J50" s="278"/>
      <c r="K50" s="278" t="b">
        <f>SUMPRODUCT(ComponentVisibility[[#This Row],[IIG]:[HHC]],IsPrograms)&gt;0</f>
        <v>1</v>
      </c>
      <c r="L50" s="257">
        <v>0</v>
      </c>
      <c r="M50" s="257">
        <v>1</v>
      </c>
      <c r="N50" s="257">
        <v>1</v>
      </c>
      <c r="O50" s="257">
        <v>0</v>
      </c>
      <c r="P50" s="896">
        <v>0</v>
      </c>
      <c r="Q50" s="257">
        <v>0</v>
      </c>
    </row>
    <row r="51" spans="2:17" ht="18" customHeight="1">
      <c r="B51" s="722" t="s">
        <v>545</v>
      </c>
      <c r="C51" s="690">
        <f>ROW('Project Overview'!A36)</f>
        <v>36</v>
      </c>
      <c r="D51" s="690">
        <f>ROW('Project Overview'!A50)</f>
        <v>50</v>
      </c>
      <c r="E51" s="1546"/>
      <c r="F51" s="1546"/>
      <c r="G51" s="895" t="b">
        <f>OR(ComponentVisibility[[#This Row],[Force True]],AND(ComponentVisibility[[#This Row],[Program True]],NOT(ComponentVisibility[[#This Row],[Force False]])))</f>
        <v>1</v>
      </c>
      <c r="H51" s="258" t="s">
        <v>538</v>
      </c>
      <c r="I51" s="278"/>
      <c r="J51" s="278"/>
      <c r="K51" s="278" t="b">
        <f>SUMPRODUCT(ComponentVisibility[[#This Row],[IIG]:[HHC]],IsPrograms)&gt;0</f>
        <v>1</v>
      </c>
      <c r="L51" s="257">
        <v>0</v>
      </c>
      <c r="M51" s="257">
        <v>0</v>
      </c>
      <c r="N51" s="257">
        <v>1</v>
      </c>
      <c r="O51" s="257">
        <v>0</v>
      </c>
      <c r="P51" s="896">
        <v>0</v>
      </c>
      <c r="Q51" s="257">
        <v>0</v>
      </c>
    </row>
    <row r="52" spans="2:17" ht="18" customHeight="1">
      <c r="B52" s="722" t="s">
        <v>545</v>
      </c>
      <c r="C52" s="690">
        <f>ROW('Project Overview'!A51)</f>
        <v>51</v>
      </c>
      <c r="D52" s="690">
        <f>ROW('Project Overview'!A55)</f>
        <v>55</v>
      </c>
      <c r="E52" s="1546"/>
      <c r="F52" s="1546"/>
      <c r="G52" s="895" t="b">
        <f>OR(ComponentVisibility[[#This Row],[Force True]],AND(ComponentVisibility[[#This Row],[Program True]],NOT(ComponentVisibility[[#This Row],[Force False]])))</f>
        <v>0</v>
      </c>
      <c r="H52" s="258" t="s">
        <v>539</v>
      </c>
      <c r="I52" s="278"/>
      <c r="J52" s="278"/>
      <c r="K52" s="278" t="b">
        <f>SUMPRODUCT(ComponentVisibility[[#This Row],[IIG]:[HHC]],IsPrograms)&gt;0</f>
        <v>0</v>
      </c>
      <c r="L52" s="257">
        <v>0</v>
      </c>
      <c r="M52" s="257"/>
      <c r="N52" s="257">
        <v>0</v>
      </c>
      <c r="O52" s="257">
        <v>0</v>
      </c>
      <c r="P52" s="896">
        <v>1</v>
      </c>
      <c r="Q52" s="257">
        <v>0</v>
      </c>
    </row>
    <row r="53" spans="2:17" ht="18" customHeight="1">
      <c r="B53" s="722" t="s">
        <v>545</v>
      </c>
      <c r="C53" s="690">
        <f>ROW('Project Overview'!A93)</f>
        <v>93</v>
      </c>
      <c r="D53" s="690">
        <f>ROW('Project Overview'!A95)</f>
        <v>95</v>
      </c>
      <c r="E53" s="1546"/>
      <c r="F53" s="1546"/>
      <c r="G53" s="895" t="b">
        <f>OR(ComponentVisibility[[#This Row],[Force True]],AND(ComponentVisibility[[#This Row],[Program True]],NOT(ComponentVisibility[[#This Row],[Force False]])))</f>
        <v>1</v>
      </c>
      <c r="H53" s="258" t="s">
        <v>536</v>
      </c>
      <c r="I53" s="278"/>
      <c r="J53" s="278"/>
      <c r="K53" s="278" t="b">
        <f>SUMPRODUCT(ComponentVisibility[[#This Row],[IIG]:[HHC]],IsPrograms)&gt;0</f>
        <v>1</v>
      </c>
      <c r="L53" s="257">
        <v>1</v>
      </c>
      <c r="M53" s="257">
        <v>0</v>
      </c>
      <c r="N53" s="257">
        <v>0</v>
      </c>
      <c r="O53" s="257">
        <v>0</v>
      </c>
      <c r="P53" s="896">
        <v>0</v>
      </c>
      <c r="Q53" s="257">
        <v>0</v>
      </c>
    </row>
    <row r="54" spans="2:17" ht="18" customHeight="1">
      <c r="B54" s="722" t="s">
        <v>545</v>
      </c>
      <c r="C54" s="690">
        <f>ROW('Project Overview'!A80)</f>
        <v>80</v>
      </c>
      <c r="D54" s="690">
        <f>ROW('Project Overview'!A80)</f>
        <v>80</v>
      </c>
      <c r="E54" s="1546"/>
      <c r="F54" s="1546"/>
      <c r="G54" s="895" t="b">
        <f>OR(ComponentVisibility[[#This Row],[Force True]],AND(ComponentVisibility[[#This Row],[Program True]],NOT(ComponentVisibility[[#This Row],[Force False]])))</f>
        <v>1</v>
      </c>
      <c r="H54" s="258" t="s">
        <v>536</v>
      </c>
      <c r="I54" s="1030"/>
      <c r="J54" s="278"/>
      <c r="K54" s="278" t="b">
        <f>SUMPRODUCT(ComponentVisibility[[#This Row],[IIG]:[HHC]],IsPrograms)&gt;0</f>
        <v>1</v>
      </c>
      <c r="L54" s="257">
        <v>1</v>
      </c>
      <c r="M54" s="257">
        <v>0</v>
      </c>
      <c r="N54" s="257">
        <v>0</v>
      </c>
      <c r="O54" s="257">
        <v>0</v>
      </c>
      <c r="P54" s="896">
        <v>0</v>
      </c>
      <c r="Q54" s="257">
        <v>0</v>
      </c>
    </row>
    <row r="55" spans="2:17" ht="18" customHeight="1">
      <c r="B55" s="722" t="s">
        <v>545</v>
      </c>
      <c r="C55" s="690">
        <f>ROW('Project Overview'!A145)</f>
        <v>145</v>
      </c>
      <c r="D55" s="690">
        <f>ROW('Project Overview'!A145)</f>
        <v>145</v>
      </c>
      <c r="E55" s="1546"/>
      <c r="F55" s="1546"/>
      <c r="G55" s="895" t="b">
        <f>OR(ComponentVisibility[[#This Row],[Force True]],AND(ComponentVisibility[[#This Row],[Program True]],NOT(ComponentVisibility[[#This Row],[Force False]])))</f>
        <v>1</v>
      </c>
      <c r="H55" s="258" t="s">
        <v>537</v>
      </c>
      <c r="I55" s="278"/>
      <c r="J55" s="278"/>
      <c r="K55" s="278" t="b">
        <f>SUMPRODUCT(ComponentVisibility[[#This Row],[IIG]:[HHC]],IsPrograms)&gt;0</f>
        <v>1</v>
      </c>
      <c r="L55" s="257">
        <v>0</v>
      </c>
      <c r="M55" s="257">
        <v>1</v>
      </c>
      <c r="N55" s="257">
        <v>0</v>
      </c>
      <c r="O55" s="257">
        <v>0</v>
      </c>
      <c r="P55" s="896">
        <v>0</v>
      </c>
      <c r="Q55" s="257">
        <v>0</v>
      </c>
    </row>
    <row r="56" spans="2:17" ht="18" customHeight="1">
      <c r="B56" s="722" t="s">
        <v>545</v>
      </c>
      <c r="C56" s="690">
        <f>ROW('Project Overview'!A394)</f>
        <v>394</v>
      </c>
      <c r="D56" s="690">
        <f>ROW('Project Overview'!A409)</f>
        <v>409</v>
      </c>
      <c r="E56" s="1546"/>
      <c r="F56" s="1546"/>
      <c r="G56" s="895" t="b">
        <f>OR(ComponentVisibility[[#This Row],[Force True]],AND(ComponentVisibility[[#This Row],[Program True]],NOT(ComponentVisibility[[#This Row],[Force False]])))</f>
        <v>1</v>
      </c>
      <c r="H56" s="258" t="s">
        <v>537</v>
      </c>
      <c r="I56" s="278"/>
      <c r="J56" s="278"/>
      <c r="K56" s="278" t="b">
        <f>SUMPRODUCT(ComponentVisibility[[#This Row],[IIG]:[HHC]],IsPrograms)&gt;0</f>
        <v>1</v>
      </c>
      <c r="L56" s="257">
        <v>0</v>
      </c>
      <c r="M56" s="257">
        <v>1</v>
      </c>
      <c r="N56" s="257">
        <v>0</v>
      </c>
      <c r="O56" s="257">
        <v>0</v>
      </c>
      <c r="P56" s="896">
        <v>0</v>
      </c>
      <c r="Q56" s="257">
        <v>0</v>
      </c>
    </row>
    <row r="57" spans="2:17" ht="18" customHeight="1">
      <c r="B57" s="722" t="s">
        <v>545</v>
      </c>
      <c r="C57" s="690">
        <f>ROW('Project Overview'!A430)</f>
        <v>430</v>
      </c>
      <c r="D57" s="690">
        <f>ROW('Project Overview'!A430)</f>
        <v>430</v>
      </c>
      <c r="E57" s="1546"/>
      <c r="F57" s="1546"/>
      <c r="G57" s="895" t="b">
        <f>OR(ComponentVisibility[[#This Row],[Force True]],AND(ComponentVisibility[[#This Row],[Program True]],NOT(ComponentVisibility[[#This Row],[Force False]])))</f>
        <v>0</v>
      </c>
      <c r="H57" s="258" t="s">
        <v>539</v>
      </c>
      <c r="I57" s="278"/>
      <c r="J57" s="278"/>
      <c r="K57" s="278" t="b">
        <f>SUMPRODUCT(ComponentVisibility[[#This Row],[IIG]:[HHC]],IsPrograms)&gt;0</f>
        <v>0</v>
      </c>
      <c r="L57" s="257">
        <v>0</v>
      </c>
      <c r="M57" s="257">
        <v>0</v>
      </c>
      <c r="N57" s="257">
        <v>0</v>
      </c>
      <c r="O57" s="257">
        <v>0</v>
      </c>
      <c r="P57" s="896">
        <v>1</v>
      </c>
      <c r="Q57" s="257">
        <v>0</v>
      </c>
    </row>
    <row r="58" spans="2:17" ht="18" customHeight="1">
      <c r="B58" s="722" t="s">
        <v>545</v>
      </c>
      <c r="C58" s="690">
        <f>ROW('Project Overview'!A37)</f>
        <v>37</v>
      </c>
      <c r="D58" s="690">
        <f>ROW('Project Overview'!A38)</f>
        <v>38</v>
      </c>
      <c r="E58" s="1546"/>
      <c r="F58" s="1546"/>
      <c r="G58" s="895" t="b">
        <f>OR(ComponentVisibility[[#This Row],[Force True]],AND(ComponentVisibility[[#This Row],[Program True]],NOT(ComponentVisibility[[#This Row],[Force False]])))</f>
        <v>1</v>
      </c>
      <c r="H58" s="258" t="s">
        <v>546</v>
      </c>
      <c r="I58" s="278" t="b">
        <f>vmAtHighRisk="Yes"</f>
        <v>1</v>
      </c>
      <c r="J58" s="257"/>
      <c r="K58" s="278" t="b">
        <f>SUMPRODUCT(ComponentVisibility[[#This Row],[IIG]:[HHC]],IsPrograms)&gt;0</f>
        <v>0</v>
      </c>
      <c r="L58" s="257"/>
      <c r="M58" s="257"/>
      <c r="N58" s="257"/>
      <c r="O58" s="257"/>
      <c r="P58" s="896"/>
      <c r="Q58" s="257"/>
    </row>
    <row r="59" spans="2:17" ht="18" customHeight="1">
      <c r="B59" s="722" t="s">
        <v>545</v>
      </c>
      <c r="C59" s="690">
        <f>ROW('Project Overview'!A19)</f>
        <v>19</v>
      </c>
      <c r="D59" s="690">
        <f>ROW('Project Overview'!A27)</f>
        <v>27</v>
      </c>
      <c r="E59" s="899"/>
      <c r="F59" s="899"/>
      <c r="G59" s="900" t="b">
        <f>OR(ComponentVisibility[[#This Row],[Force True]],AND(ComponentVisibility[[#This Row],[Program True]],NOT(ComponentVisibility[[#This Row],[Force False]])))</f>
        <v>1</v>
      </c>
      <c r="H59" s="258" t="s">
        <v>547</v>
      </c>
      <c r="I59" s="278" t="b">
        <f>vmCIP="Yes"</f>
        <v>1</v>
      </c>
      <c r="J59" s="901"/>
      <c r="K59" s="901" t="b">
        <f>SUMPRODUCT(ComponentVisibility[[#This Row],[IIG]:[HHC]],IsPrograms)&gt;0</f>
        <v>0</v>
      </c>
      <c r="L59" s="902"/>
      <c r="M59" s="902"/>
      <c r="N59" s="902"/>
      <c r="O59" s="902"/>
      <c r="P59" s="903"/>
      <c r="Q59" s="902"/>
    </row>
    <row r="60" spans="2:17" ht="18" customHeight="1">
      <c r="B60" s="722" t="s">
        <v>545</v>
      </c>
      <c r="C60" s="690">
        <f>ROW('Project Overview'!A26)</f>
        <v>26</v>
      </c>
      <c r="D60" s="690">
        <f>ROW('Project Overview'!A27)</f>
        <v>27</v>
      </c>
      <c r="E60" s="1546"/>
      <c r="F60" s="1546"/>
      <c r="G60" s="895" t="b">
        <f>OR(ComponentVisibility[[#This Row],[Force True]],AND(ComponentVisibility[[#This Row],[Program True]],NOT(ComponentVisibility[[#This Row],[Force False]])))</f>
        <v>1</v>
      </c>
      <c r="H60" s="258" t="s">
        <v>548</v>
      </c>
      <c r="I60" s="278" t="b">
        <f>vmUrban="Yes"</f>
        <v>1</v>
      </c>
      <c r="J60" s="278"/>
      <c r="K60" s="278" t="b">
        <f>SUMPRODUCT(ComponentVisibility[[#This Row],[IIG]:[HHC]],IsPrograms)&gt;0</f>
        <v>0</v>
      </c>
      <c r="L60" s="257"/>
      <c r="M60" s="257"/>
      <c r="N60" s="257"/>
      <c r="O60" s="257"/>
      <c r="P60" s="896"/>
      <c r="Q60" s="257"/>
    </row>
    <row r="61" spans="2:17" ht="18" customHeight="1">
      <c r="B61" s="722" t="s">
        <v>545</v>
      </c>
      <c r="C61" s="690">
        <f>ROW('Project Overview'!A41)</f>
        <v>41</v>
      </c>
      <c r="D61" s="690">
        <f>ROW('Project Overview'!A41)</f>
        <v>41</v>
      </c>
      <c r="E61" s="1546"/>
      <c r="F61" s="1546"/>
      <c r="G61" s="895" t="b">
        <f>OR(ComponentVisibility[[#This Row],[Force True]],AND(ComponentVisibility[[#This Row],[Program True]],NOT(ComponentVisibility[[#This Row],[Force False]])))</f>
        <v>1</v>
      </c>
      <c r="H61" s="258" t="s">
        <v>549</v>
      </c>
      <c r="I61" s="278" t="b">
        <f>vmLargeFamily="Yes"</f>
        <v>1</v>
      </c>
      <c r="J61" s="257"/>
      <c r="K61" s="278" t="b">
        <f>SUMPRODUCT(ComponentVisibility[[#This Row],[IIG]:[HHC]],IsPrograms)&gt;0</f>
        <v>0</v>
      </c>
      <c r="L61" s="257"/>
      <c r="M61" s="257"/>
      <c r="N61" s="257"/>
      <c r="O61" s="257"/>
      <c r="P61" s="896"/>
      <c r="Q61" s="257"/>
    </row>
    <row r="62" spans="2:17" ht="18" customHeight="1">
      <c r="B62" s="722" t="s">
        <v>545</v>
      </c>
      <c r="C62" s="690">
        <f>ROW('Project Overview'!A44)</f>
        <v>44</v>
      </c>
      <c r="D62" s="690">
        <f>ROW('Project Overview'!A44)</f>
        <v>44</v>
      </c>
      <c r="E62" s="1546"/>
      <c r="F62" s="1546"/>
      <c r="G62" s="895" t="b">
        <f>OR(ComponentVisibility[[#This Row],[Force True]],AND(ComponentVisibility[[#This Row],[Program True]],NOT(ComponentVisibility[[#This Row],[Force False]])))</f>
        <v>1</v>
      </c>
      <c r="H62" s="258" t="s">
        <v>550</v>
      </c>
      <c r="I62" s="278" t="b">
        <f>IsSenior=TRUE</f>
        <v>1</v>
      </c>
      <c r="J62" s="257"/>
      <c r="K62" s="278" t="b">
        <f>SUMPRODUCT(ComponentVisibility[[#This Row],[IIG]:[HHC]],IsPrograms)&gt;0</f>
        <v>0</v>
      </c>
      <c r="L62" s="257"/>
      <c r="M62" s="257"/>
      <c r="N62" s="257"/>
      <c r="O62" s="257"/>
      <c r="P62" s="896"/>
      <c r="Q62" s="257"/>
    </row>
    <row r="63" spans="2:17" ht="18" customHeight="1">
      <c r="B63" s="722" t="s">
        <v>545</v>
      </c>
      <c r="C63" s="690">
        <f>ROW('Project Overview'!A47)</f>
        <v>47</v>
      </c>
      <c r="D63" s="690">
        <f>ROW('Project Overview'!A49)</f>
        <v>49</v>
      </c>
      <c r="E63" s="1546"/>
      <c r="F63" s="1546"/>
      <c r="G63" s="895" t="b">
        <f>OR(ComponentVisibility[[#This Row],[Force True]],AND(ComponentVisibility[[#This Row],[Program True]],NOT(ComponentVisibility[[#This Row],[Force False]])))</f>
        <v>1</v>
      </c>
      <c r="H63" s="258" t="s">
        <v>551</v>
      </c>
      <c r="I63" s="278" t="b">
        <f>IsSpecialNeeds=TRUE</f>
        <v>1</v>
      </c>
      <c r="J63" s="257"/>
      <c r="K63" s="278" t="b">
        <f>SUMPRODUCT(ComponentVisibility[[#This Row],[IIG]:[HHC]],IsPrograms)&gt;0</f>
        <v>0</v>
      </c>
      <c r="L63" s="257"/>
      <c r="M63" s="257"/>
      <c r="N63" s="257"/>
      <c r="O63" s="257"/>
      <c r="P63" s="896"/>
      <c r="Q63" s="257"/>
    </row>
    <row r="64" spans="2:17" ht="18" customHeight="1">
      <c r="B64" s="722" t="s">
        <v>545</v>
      </c>
      <c r="C64" s="690">
        <f>ROW('Project Overview'!A30)</f>
        <v>30</v>
      </c>
      <c r="D64" s="690">
        <f>ROW('Project Overview'!A34)</f>
        <v>34</v>
      </c>
      <c r="E64" s="1546"/>
      <c r="F64" s="1546"/>
      <c r="G64" s="895" t="b">
        <f>OR(ComponentVisibility[[#This Row],[Force True]],AND(ComponentVisibility[[#This Row],[Program True]],NOT(ComponentVisibility[[#This Row],[Force False]])))</f>
        <v>1</v>
      </c>
      <c r="H64" s="258" t="s">
        <v>552</v>
      </c>
      <c r="I64" s="278" t="b">
        <f>IsFarmworker=TRUE</f>
        <v>1</v>
      </c>
      <c r="J64" s="257"/>
      <c r="K64" s="278" t="b">
        <f>SUMPRODUCT(ComponentVisibility[[#This Row],[IIG]:[HHC]],IsPrograms)&gt;0</f>
        <v>0</v>
      </c>
      <c r="L64" s="257"/>
      <c r="M64" s="257"/>
      <c r="N64" s="257"/>
      <c r="O64" s="257"/>
      <c r="P64" s="896"/>
      <c r="Q64" s="257"/>
    </row>
    <row r="65" spans="2:17" ht="18" customHeight="1">
      <c r="B65" s="722" t="s">
        <v>545</v>
      </c>
      <c r="C65" s="690">
        <f>ROW('Project Overview'!A54)</f>
        <v>54</v>
      </c>
      <c r="D65" s="690">
        <f>ROW('Project Overview'!A54)</f>
        <v>54</v>
      </c>
      <c r="E65" s="899"/>
      <c r="F65" s="899"/>
      <c r="G65" s="900" t="b">
        <f>OR(ComponentVisibility[[#This Row],[Force True]],AND(ComponentVisibility[[#This Row],[Program True]],NOT(ComponentVisibility[[#This Row],[Force False]])))</f>
        <v>1</v>
      </c>
      <c r="H65" s="258" t="s">
        <v>553</v>
      </c>
      <c r="I65" s="278" t="b">
        <f>vmTH="Yes"</f>
        <v>1</v>
      </c>
      <c r="J65" s="901"/>
      <c r="K65" s="901" t="b">
        <f>SUMPRODUCT(ComponentVisibility[[#This Row],[IIG]:[HHC]],IsPrograms)&gt;0</f>
        <v>0</v>
      </c>
      <c r="L65" s="902"/>
      <c r="M65" s="902"/>
      <c r="N65" s="902"/>
      <c r="O65" s="902"/>
      <c r="P65" s="903"/>
      <c r="Q65" s="902"/>
    </row>
    <row r="66" spans="2:17" ht="18" customHeight="1">
      <c r="B66" s="722" t="s">
        <v>545</v>
      </c>
      <c r="C66" s="690">
        <f>ROW('Project Overview'!A58)</f>
        <v>58</v>
      </c>
      <c r="D66" s="690">
        <f>ROW('Project Overview'!A59)</f>
        <v>59</v>
      </c>
      <c r="E66" s="1546"/>
      <c r="F66" s="1546"/>
      <c r="G66" s="895" t="b">
        <f>OR(ComponentVisibility[[#This Row],[Force True]],AND(ComponentVisibility[[#This Row],[Program True]],NOT(ComponentVisibility[[#This Row],[Force False]])))</f>
        <v>1</v>
      </c>
      <c r="H66" s="258" t="s">
        <v>554</v>
      </c>
      <c r="I66" s="278" t="b">
        <f>vmTribalEntity="Yes"</f>
        <v>1</v>
      </c>
      <c r="J66" s="278"/>
      <c r="K66" s="278" t="b">
        <f>SUMPRODUCT(ComponentVisibility[[#This Row],[IIG]:[HHC]],IsPrograms)&gt;0</f>
        <v>0</v>
      </c>
      <c r="L66" s="257"/>
      <c r="M66" s="257"/>
      <c r="N66" s="257"/>
      <c r="O66" s="257"/>
      <c r="P66" s="896"/>
      <c r="Q66" s="257"/>
    </row>
    <row r="67" spans="2:17" ht="18" customHeight="1">
      <c r="B67" s="722" t="s">
        <v>545</v>
      </c>
      <c r="C67" s="690">
        <f>ROW('Project Overview'!A60)</f>
        <v>60</v>
      </c>
      <c r="D67" s="690">
        <f>ROW('Project Overview'!A60)</f>
        <v>60</v>
      </c>
      <c r="E67" s="1546"/>
      <c r="F67" s="1546"/>
      <c r="G67" s="895" t="b">
        <f>OR(ComponentVisibility[[#This Row],[Force True]],AND(ComponentVisibility[[#This Row],[Program True]],NOT(ComponentVisibility[[#This Row],[Force False]])))</f>
        <v>0</v>
      </c>
      <c r="H67" s="258" t="s">
        <v>555</v>
      </c>
      <c r="I67" s="1030" t="b">
        <f>vmIndianCountry="Indian Country"</f>
        <v>0</v>
      </c>
      <c r="J67" s="278"/>
      <c r="K67" s="278" t="b">
        <f>SUMPRODUCT(ComponentVisibility[[#This Row],[IIG]:[HHC]],IsPrograms)&gt;0</f>
        <v>0</v>
      </c>
      <c r="L67" s="257"/>
      <c r="M67" s="257"/>
      <c r="N67" s="257"/>
      <c r="O67" s="257"/>
      <c r="P67" s="896"/>
      <c r="Q67" s="257"/>
    </row>
    <row r="68" spans="2:17" ht="18" customHeight="1">
      <c r="B68" s="722" t="s">
        <v>545</v>
      </c>
      <c r="C68" s="690">
        <f>ROW('Project Overview'!A61)</f>
        <v>61</v>
      </c>
      <c r="D68" s="690">
        <f>ROW('Project Overview'!A61)</f>
        <v>61</v>
      </c>
      <c r="E68" s="1546"/>
      <c r="F68" s="1546"/>
      <c r="G68" s="895" t="b">
        <f>OR(ComponentVisibility[[#This Row],[Force True]],AND(ComponentVisibility[[#This Row],[Program True]],NOT(ComponentVisibility[[#This Row],[Force False]])))</f>
        <v>1</v>
      </c>
      <c r="H68" s="258" t="s">
        <v>555</v>
      </c>
      <c r="I68" s="1030" t="b">
        <f>vmIndianCountry="Fee Land"</f>
        <v>1</v>
      </c>
      <c r="J68" s="278"/>
      <c r="K68" s="278" t="b">
        <f>SUMPRODUCT(ComponentVisibility[[#This Row],[IIG]:[HHC]],IsPrograms)&gt;0</f>
        <v>0</v>
      </c>
      <c r="L68" s="257"/>
      <c r="M68" s="257"/>
      <c r="N68" s="257"/>
      <c r="O68" s="257"/>
      <c r="P68" s="896"/>
      <c r="Q68" s="257"/>
    </row>
    <row r="69" spans="2:17" ht="18" customHeight="1">
      <c r="B69" s="722" t="s">
        <v>545</v>
      </c>
      <c r="C69" s="690">
        <f>ROW('Project Overview'!A64)</f>
        <v>64</v>
      </c>
      <c r="D69" s="690">
        <f>ROW('Project Overview'!A64)</f>
        <v>64</v>
      </c>
      <c r="E69" s="899"/>
      <c r="F69" s="899"/>
      <c r="G69" s="900" t="b">
        <f>OR(ComponentVisibility[[#This Row],[Force True]],AND(ComponentVisibility[[#This Row],[Program True]],NOT(ComponentVisibility[[#This Row],[Force False]])))</f>
        <v>1</v>
      </c>
      <c r="H69" s="258" t="s">
        <v>556</v>
      </c>
      <c r="I69" s="278" t="b">
        <f>vmNCBD="Yes"</f>
        <v>1</v>
      </c>
      <c r="J69" s="901"/>
      <c r="K69" s="901" t="b">
        <f>SUMPRODUCT(ComponentVisibility[[#This Row],[IIG]:[HHC]],IsPrograms)&gt;0</f>
        <v>0</v>
      </c>
      <c r="L69" s="902"/>
      <c r="M69" s="902"/>
      <c r="N69" s="902"/>
      <c r="O69" s="902"/>
      <c r="P69" s="903"/>
      <c r="Q69" s="902"/>
    </row>
    <row r="70" spans="2:17" ht="18" customHeight="1">
      <c r="B70" s="722" t="s">
        <v>545</v>
      </c>
      <c r="C70" s="690">
        <f>ROW('Project Overview'!A68)</f>
        <v>68</v>
      </c>
      <c r="D70" s="690">
        <f>ROW('Project Overview'!A68)</f>
        <v>68</v>
      </c>
      <c r="E70" s="899"/>
      <c r="F70" s="899"/>
      <c r="G70" s="900" t="b">
        <f>OR(ComponentVisibility[[#This Row],[Force True]],AND(ComponentVisibility[[#This Row],[Program True]],NOT(ComponentVisibility[[#This Row],[Force False]])))</f>
        <v>1</v>
      </c>
      <c r="H70" s="258" t="s">
        <v>557</v>
      </c>
      <c r="I70" s="278" t="b">
        <f>vmCBD="Yes"</f>
        <v>1</v>
      </c>
      <c r="J70" s="901"/>
      <c r="K70" s="901" t="b">
        <f>SUMPRODUCT(ComponentVisibility[[#This Row],[IIG]:[HHC]],IsPrograms)&gt;0</f>
        <v>0</v>
      </c>
      <c r="L70" s="902"/>
      <c r="M70" s="902"/>
      <c r="N70" s="902"/>
      <c r="O70" s="902"/>
      <c r="P70" s="903"/>
      <c r="Q70" s="902"/>
    </row>
    <row r="71" spans="2:17" ht="18" customHeight="1">
      <c r="B71" s="722" t="s">
        <v>545</v>
      </c>
      <c r="C71" s="690">
        <f>ROW('Project Overview'!A71)</f>
        <v>71</v>
      </c>
      <c r="D71" s="690">
        <f>ROW('Project Overview'!A72)</f>
        <v>72</v>
      </c>
      <c r="E71" s="899"/>
      <c r="F71" s="899"/>
      <c r="G71" s="900" t="b">
        <f>OR(ComponentVisibility[[#This Row],[Force True]],AND(ComponentVisibility[[#This Row],[Program True]],NOT(ComponentVisibility[[#This Row],[Force False]])))</f>
        <v>1</v>
      </c>
      <c r="H71" s="258" t="s">
        <v>558</v>
      </c>
      <c r="I71" s="278" t="b">
        <f>vmED="Yes"</f>
        <v>1</v>
      </c>
      <c r="J71" s="901"/>
      <c r="K71" s="901" t="b">
        <f>SUMPRODUCT(ComponentVisibility[[#This Row],[IIG]:[HHC]],IsPrograms)&gt;0</f>
        <v>0</v>
      </c>
      <c r="L71" s="902"/>
      <c r="M71" s="902"/>
      <c r="N71" s="902"/>
      <c r="O71" s="902"/>
      <c r="P71" s="903"/>
      <c r="Q71" s="902"/>
    </row>
    <row r="72" spans="2:17" ht="18" customHeight="1">
      <c r="B72" s="722" t="s">
        <v>545</v>
      </c>
      <c r="C72" s="690">
        <f>ROW('Project Overview'!A73)</f>
        <v>73</v>
      </c>
      <c r="D72" s="690">
        <f>ROW('Project Overview'!A75)</f>
        <v>75</v>
      </c>
      <c r="E72" s="899"/>
      <c r="F72" s="899"/>
      <c r="G72" s="900" t="b">
        <f>OR(ComponentVisibility[[#This Row],[Force True]],AND(ComponentVisibility[[#This Row],[Program True]],NOT(ComponentVisibility[[#This Row],[Force False]])))</f>
        <v>1</v>
      </c>
      <c r="H72" s="258" t="s">
        <v>559</v>
      </c>
      <c r="I72" s="278" t="b">
        <f>OR(vmTribalEntity="Yes",vmNCBD="Yes",vmCBD="Yes",vmED="Yes")</f>
        <v>1</v>
      </c>
      <c r="J72" s="901"/>
      <c r="K72" s="901" t="b">
        <f>SUMPRODUCT(ComponentVisibility[[#This Row],[IIG]:[HHC]],IsPrograms)&gt;0</f>
        <v>0</v>
      </c>
      <c r="L72" s="902"/>
      <c r="M72" s="902"/>
      <c r="N72" s="902"/>
      <c r="O72" s="902"/>
      <c r="P72" s="903"/>
      <c r="Q72" s="902"/>
    </row>
    <row r="73" spans="2:17" ht="18" customHeight="1">
      <c r="B73" s="722" t="s">
        <v>545</v>
      </c>
      <c r="C73" s="690">
        <f>ROW('Project Overview'!A75)</f>
        <v>75</v>
      </c>
      <c r="D73" s="690">
        <f>ROW('Project Overview'!A75)</f>
        <v>75</v>
      </c>
      <c r="E73" s="899"/>
      <c r="F73" s="899"/>
      <c r="G73" s="900" t="b">
        <f>OR(ComponentVisibility[[#This Row],[Force True]],AND(ComponentVisibility[[#This Row],[Program True]],NOT(ComponentVisibility[[#This Row],[Force False]])))</f>
        <v>1</v>
      </c>
      <c r="H73" s="258" t="s">
        <v>560</v>
      </c>
      <c r="I73" s="278" t="b">
        <f>vmSponDev="Yes"</f>
        <v>1</v>
      </c>
      <c r="J73" s="901"/>
      <c r="K73" s="901" t="b">
        <f>SUMPRODUCT(ComponentVisibility[[#This Row],[IIG]:[HHC]],IsPrograms)&gt;0</f>
        <v>0</v>
      </c>
      <c r="L73" s="902"/>
      <c r="M73" s="902"/>
      <c r="N73" s="902"/>
      <c r="O73" s="902"/>
      <c r="P73" s="903"/>
      <c r="Q73" s="902"/>
    </row>
    <row r="74" spans="2:17" ht="18" customHeight="1">
      <c r="B74" s="722" t="s">
        <v>545</v>
      </c>
      <c r="C74" s="690">
        <f>ROW('Project Overview'!A87)</f>
        <v>87</v>
      </c>
      <c r="D74" s="690">
        <f>ROW('Project Overview'!A87)</f>
        <v>87</v>
      </c>
      <c r="E74" s="899"/>
      <c r="F74" s="899"/>
      <c r="G74" s="900" t="b">
        <f>OR(ComponentVisibility[[#This Row],[Force True]],AND(ComponentVisibility[[#This Row],[Program True]],NOT(ComponentVisibility[[#This Row],[Force False]])))</f>
        <v>1</v>
      </c>
      <c r="H74" s="258" t="s">
        <v>561</v>
      </c>
      <c r="I74" s="278" t="b">
        <f>vmEmergencyR="Yes"</f>
        <v>1</v>
      </c>
      <c r="J74" s="901"/>
      <c r="K74" s="901" t="b">
        <f>SUMPRODUCT(ComponentVisibility[[#This Row],[IIG]:[HHC]],IsPrograms)&gt;0</f>
        <v>0</v>
      </c>
      <c r="L74" s="902"/>
      <c r="M74" s="902"/>
      <c r="N74" s="902"/>
      <c r="O74" s="902"/>
      <c r="P74" s="903"/>
      <c r="Q74" s="902"/>
    </row>
    <row r="75" spans="2:17" ht="18" customHeight="1">
      <c r="B75" s="722" t="s">
        <v>545</v>
      </c>
      <c r="C75" s="690">
        <f>ROW('Project Overview'!A109)</f>
        <v>109</v>
      </c>
      <c r="D75" s="690">
        <f>ROW('Project Overview'!A114)</f>
        <v>114</v>
      </c>
      <c r="E75" s="1546"/>
      <c r="F75" s="1546"/>
      <c r="G75" s="895" t="b">
        <f>OR(ComponentVisibility[[#This Row],[Force True]],AND(ComponentVisibility[[#This Row],[Program True]],NOT(ComponentVisibility[[#This Row],[Force False]])))</f>
        <v>1</v>
      </c>
      <c r="H75" s="258" t="s">
        <v>562</v>
      </c>
      <c r="I75" s="278" t="b">
        <f>OtherHCDfunds="Yes"</f>
        <v>1</v>
      </c>
      <c r="J75" s="257"/>
      <c r="K75" s="278" t="b">
        <f>SUMPRODUCT(ComponentVisibility[[#This Row],[IIG]:[HHC]],IsPrograms)&gt;0</f>
        <v>0</v>
      </c>
      <c r="L75" s="257"/>
      <c r="M75" s="257"/>
      <c r="N75" s="257"/>
      <c r="O75" s="257"/>
      <c r="P75" s="896"/>
      <c r="Q75" s="257"/>
    </row>
    <row r="76" spans="2:17" ht="18" customHeight="1">
      <c r="B76" s="722" t="s">
        <v>545</v>
      </c>
      <c r="C76" s="690">
        <f>ROW('Project Overview'!A122)</f>
        <v>122</v>
      </c>
      <c r="D76" s="690">
        <f>ROW('Project Overview'!A122)</f>
        <v>122</v>
      </c>
      <c r="E76" s="1546"/>
      <c r="F76" s="1546"/>
      <c r="G76" s="895" t="b">
        <f>OR(ComponentVisibility[[#This Row],[Force True]],AND(ComponentVisibility[[#This Row],[Program True]],NOT(ComponentVisibility[[#This Row],[Force False]])))</f>
        <v>0</v>
      </c>
      <c r="H76" s="258" t="s">
        <v>563</v>
      </c>
      <c r="I76" s="278" t="b">
        <f>vmTaxResev="Yes"</f>
        <v>0</v>
      </c>
      <c r="J76" s="278"/>
      <c r="K76" s="278" t="b">
        <f>SUMPRODUCT(ComponentVisibility[[#This Row],[IIG]:[HHC]],IsPrograms)&gt;0</f>
        <v>0</v>
      </c>
      <c r="L76" s="257"/>
      <c r="M76" s="257"/>
      <c r="N76" s="257"/>
      <c r="O76" s="257"/>
      <c r="P76" s="896"/>
      <c r="Q76" s="257"/>
    </row>
    <row r="77" spans="2:17" ht="18" customHeight="1">
      <c r="B77" s="722" t="s">
        <v>545</v>
      </c>
      <c r="C77" s="690">
        <f>ROW('Project Overview'!A100)</f>
        <v>100</v>
      </c>
      <c r="D77" s="690">
        <f>ROW('Project Overview'!A103)</f>
        <v>103</v>
      </c>
      <c r="E77" s="1546"/>
      <c r="F77" s="1546"/>
      <c r="G77" s="895" t="b">
        <f>OR(ComponentVisibility[[#This Row],[Force True]],AND(ComponentVisibility[[#This Row],[Program True]],NOT(ComponentVisibility[[#This Row],[Force False]])))</f>
        <v>0</v>
      </c>
      <c r="H77" s="258" t="s">
        <v>564</v>
      </c>
      <c r="I77" s="278" t="b">
        <f>IF(OR(vmNC="Acquisition &amp; Rehabilitation",vmNC="Rehabilitation"),TRUE,FALSE)</f>
        <v>0</v>
      </c>
      <c r="J77" s="278"/>
      <c r="K77" s="278" t="b">
        <f>SUMPRODUCT(ComponentVisibility[[#This Row],[IIG]:[HHC]],IsPrograms)&gt;0</f>
        <v>0</v>
      </c>
      <c r="L77" s="257"/>
      <c r="M77" s="257"/>
      <c r="N77" s="257"/>
      <c r="O77" s="257"/>
      <c r="P77" s="896"/>
      <c r="Q77" s="257"/>
    </row>
    <row r="78" spans="2:17" ht="18" customHeight="1">
      <c r="B78" s="722" t="s">
        <v>545</v>
      </c>
      <c r="C78" s="690">
        <f>ROW('Project Overview'!A124)</f>
        <v>124</v>
      </c>
      <c r="D78" s="690">
        <f>ROW('Project Overview'!A124)</f>
        <v>124</v>
      </c>
      <c r="E78" s="1546"/>
      <c r="F78" s="1546"/>
      <c r="G78" s="895" t="b">
        <f>OR(ComponentVisibility[[#This Row],[Force True]],AND(ComponentVisibility[[#This Row],[Program True]],NOT(ComponentVisibility[[#This Row],[Force False]])))</f>
        <v>1</v>
      </c>
      <c r="H78" s="258" t="s">
        <v>565</v>
      </c>
      <c r="I78" s="278" t="b">
        <f>IF(vmNC="New Construction",TRUE,FALSE)</f>
        <v>1</v>
      </c>
      <c r="J78" s="278"/>
      <c r="K78" s="278" t="b">
        <f>SUMPRODUCT(ComponentVisibility[[#This Row],[IIG]:[HHC]],IsPrograms)&gt;0</f>
        <v>0</v>
      </c>
      <c r="L78" s="257"/>
      <c r="M78" s="257"/>
      <c r="N78" s="257"/>
      <c r="O78" s="257"/>
      <c r="P78" s="896"/>
      <c r="Q78" s="257"/>
    </row>
    <row r="79" spans="2:17" ht="18" customHeight="1">
      <c r="B79" s="722" t="s">
        <v>545</v>
      </c>
      <c r="C79" s="690">
        <f>ROW('Project Overview'!A126)</f>
        <v>126</v>
      </c>
      <c r="D79" s="690">
        <f>ROW('Project Overview'!A129)</f>
        <v>129</v>
      </c>
      <c r="E79" s="1546"/>
      <c r="F79" s="1546"/>
      <c r="G79" s="895" t="b">
        <f>OR(ComponentVisibility[[#This Row],[Force True]],AND(ComponentVisibility[[#This Row],[Program True]],NOT(ComponentVisibility[[#This Row],[Force False]])))</f>
        <v>1</v>
      </c>
      <c r="H79" s="258" t="s">
        <v>566</v>
      </c>
      <c r="I79" s="278" t="b">
        <f>vmScatteredSite="Yes"</f>
        <v>1</v>
      </c>
      <c r="J79" s="278"/>
      <c r="K79" s="278" t="b">
        <f>SUMPRODUCT(ComponentVisibility[[#This Row],[IIG]:[HHC]],IsPrograms)&gt;0</f>
        <v>0</v>
      </c>
      <c r="L79" s="257"/>
      <c r="M79" s="257"/>
      <c r="N79" s="257"/>
      <c r="O79" s="257"/>
      <c r="P79" s="896"/>
      <c r="Q79" s="257"/>
    </row>
    <row r="80" spans="2:17" ht="18" customHeight="1">
      <c r="B80" s="722" t="s">
        <v>545</v>
      </c>
      <c r="C80" s="690">
        <f>ROW('Project Overview'!A136)</f>
        <v>136</v>
      </c>
      <c r="D80" s="690">
        <f>ROW('Project Overview'!A137)</f>
        <v>137</v>
      </c>
      <c r="E80" s="1546"/>
      <c r="F80" s="1546"/>
      <c r="G80" s="895" t="b">
        <f>OR(ComponentVisibility[[#This Row],[Force True]],AND(ComponentVisibility[[#This Row],[Program True]],NOT(ComponentVisibility[[#This Row],[Force False]])))</f>
        <v>0</v>
      </c>
      <c r="H80" s="258" t="s">
        <v>567</v>
      </c>
      <c r="I80" s="278" t="b">
        <f>vmRural="Yes"</f>
        <v>0</v>
      </c>
      <c r="J80" s="278"/>
      <c r="K80" s="278" t="b">
        <f>SUMPRODUCT(ComponentVisibility[[#This Row],[IIG]:[HHC]],IsPrograms)&gt;0</f>
        <v>0</v>
      </c>
      <c r="L80" s="257"/>
      <c r="M80" s="257"/>
      <c r="N80" s="257"/>
      <c r="O80" s="257"/>
      <c r="P80" s="896"/>
      <c r="Q80" s="257"/>
    </row>
    <row r="81" spans="2:17" ht="18" customHeight="1">
      <c r="B81" s="722" t="s">
        <v>545</v>
      </c>
      <c r="C81" s="277">
        <f>ROW('Project Overview'!A178)</f>
        <v>178</v>
      </c>
      <c r="D81" s="1546">
        <f>ROW('Project Overview'!A204)</f>
        <v>204</v>
      </c>
      <c r="E81" s="1546"/>
      <c r="F81" s="1546"/>
      <c r="G81" s="267" t="b">
        <f>OR(ComponentVisibility[[#This Row],[Force True]],AND(ComponentVisibility[[#This Row],[Program True]],NOT(ComponentVisibility[[#This Row],[Force False]])))</f>
        <v>0</v>
      </c>
      <c r="H81" s="258" t="s">
        <v>529</v>
      </c>
      <c r="I81" s="278" t="b">
        <f>'Project Overview'!$I$147="Joint Venture"</f>
        <v>0</v>
      </c>
      <c r="J81" s="257"/>
      <c r="K81" s="278" t="b">
        <f>SUMPRODUCT(ComponentVisibility[[#This Row],[IIG]:[HHC]],IsPrograms)&gt;0</f>
        <v>0</v>
      </c>
      <c r="L81" s="257"/>
      <c r="M81" s="257"/>
      <c r="N81" s="257"/>
      <c r="O81" s="257"/>
      <c r="P81" s="896"/>
      <c r="Q81" s="257"/>
    </row>
    <row r="82" spans="2:17" ht="18" customHeight="1">
      <c r="B82" s="722" t="s">
        <v>545</v>
      </c>
      <c r="C82" s="277">
        <f>ROW('Project Overview'!A246)</f>
        <v>246</v>
      </c>
      <c r="D82" s="1546">
        <f>ROW('Project Overview'!A248)</f>
        <v>248</v>
      </c>
      <c r="E82" s="1546"/>
      <c r="F82" s="1546"/>
      <c r="G82" s="895" t="b">
        <f>OR(ComponentVisibility[[#This Row],[Force True]],AND(ComponentVisibility[[#This Row],[Program True]],NOT(ComponentVisibility[[#This Row],[Force False]])))</f>
        <v>0</v>
      </c>
      <c r="H82" s="258" t="s">
        <v>568</v>
      </c>
      <c r="I82" s="278" t="b">
        <f>vmIndianCountry="Indian Country"</f>
        <v>0</v>
      </c>
      <c r="J82" s="278"/>
      <c r="K82" s="278" t="b">
        <f>SUMPRODUCT(ComponentVisibility[[#This Row],[IIG]:[HHC]],IsPrograms)&gt;0</f>
        <v>0</v>
      </c>
      <c r="L82" s="257"/>
      <c r="M82" s="257"/>
      <c r="N82" s="257"/>
      <c r="O82" s="257"/>
      <c r="P82" s="896"/>
      <c r="Q82" s="257"/>
    </row>
    <row r="83" spans="2:17" ht="18" customHeight="1">
      <c r="B83" s="722" t="s">
        <v>545</v>
      </c>
      <c r="C83" s="277">
        <f>ROW('Project Overview'!A257)</f>
        <v>257</v>
      </c>
      <c r="D83" s="1546">
        <f>ROW('Project Overview'!A258)</f>
        <v>258</v>
      </c>
      <c r="E83" s="1546"/>
      <c r="F83" s="1546"/>
      <c r="G83" s="895" t="b">
        <f>OR(ComponentVisibility[[#This Row],[Force True]],AND(ComponentVisibility[[#This Row],[Program True]],NOT(ComponentVisibility[[#This Row],[Force False]])))</f>
        <v>1</v>
      </c>
      <c r="H83" s="258" t="s">
        <v>569</v>
      </c>
      <c r="I83" s="278" t="b">
        <f>vmGroundLease="Yes"</f>
        <v>1</v>
      </c>
      <c r="J83" s="278"/>
      <c r="K83" s="278" t="b">
        <f>SUMPRODUCT(ComponentVisibility[[#This Row],[IIG]:[HHC]],IsPrograms)&gt;0</f>
        <v>0</v>
      </c>
      <c r="L83" s="257"/>
      <c r="M83" s="257"/>
      <c r="N83" s="257"/>
      <c r="O83" s="257"/>
      <c r="P83" s="896"/>
      <c r="Q83" s="257"/>
    </row>
    <row r="84" spans="2:17" ht="18" customHeight="1">
      <c r="B84" s="722" t="s">
        <v>545</v>
      </c>
      <c r="C84" s="277">
        <f>ROW('Project Overview'!A401)</f>
        <v>401</v>
      </c>
      <c r="D84" s="1546">
        <f>ROW('Project Overview'!A402)</f>
        <v>402</v>
      </c>
      <c r="E84" s="1546"/>
      <c r="F84" s="1546"/>
      <c r="G84" s="895" t="b">
        <f>OR(ComponentVisibility[[#This Row],[Force True]],AND(ComponentVisibility[[#This Row],[Program True]],NOT(ComponentVisibility[[#This Row],[Force False]])))</f>
        <v>0</v>
      </c>
      <c r="H84" s="258" t="s">
        <v>570</v>
      </c>
      <c r="I84" s="278" t="b">
        <f>vmSernasd="No"</f>
        <v>0</v>
      </c>
      <c r="J84" s="278"/>
      <c r="K84" s="278" t="b">
        <f>SUMPRODUCT(ComponentVisibility[[#This Row],[IIG]:[HHC]],IsPrograms)&gt;0</f>
        <v>0</v>
      </c>
      <c r="L84" s="257"/>
      <c r="M84" s="257"/>
      <c r="N84" s="257"/>
      <c r="O84" s="257"/>
      <c r="P84" s="896"/>
      <c r="Q84" s="257"/>
    </row>
    <row r="85" spans="2:17" ht="18" customHeight="1">
      <c r="B85" s="722" t="s">
        <v>545</v>
      </c>
      <c r="C85" s="277">
        <f>ROW('Project Overview'!A407)</f>
        <v>407</v>
      </c>
      <c r="D85" s="1546">
        <f>ROW('Project Overview'!A408)</f>
        <v>408</v>
      </c>
      <c r="E85" s="1546"/>
      <c r="F85" s="1546"/>
      <c r="G85" s="895" t="b">
        <f>OR(ComponentVisibility[[#This Row],[Force True]],AND(ComponentVisibility[[#This Row],[Program True]],NOT(ComponentVisibility[[#This Row],[Force False]])))</f>
        <v>0</v>
      </c>
      <c r="H85" s="258" t="s">
        <v>571</v>
      </c>
      <c r="I85" s="278" t="b">
        <f>vmSernagr="No"</f>
        <v>0</v>
      </c>
      <c r="J85" s="278"/>
      <c r="K85" s="278" t="b">
        <f>SUMPRODUCT(ComponentVisibility[[#This Row],[IIG]:[HHC]],IsPrograms)&gt;0</f>
        <v>0</v>
      </c>
      <c r="L85" s="257"/>
      <c r="M85" s="257"/>
      <c r="N85" s="257"/>
      <c r="O85" s="257"/>
      <c r="P85" s="896"/>
      <c r="Q85" s="257"/>
    </row>
    <row r="86" spans="2:17" ht="18" customHeight="1">
      <c r="B86" s="722" t="s">
        <v>545</v>
      </c>
      <c r="C86" s="277">
        <f>ROW('Project Overview'!A413)</f>
        <v>413</v>
      </c>
      <c r="D86" s="1546">
        <f>ROW('Project Overview'!A414)</f>
        <v>414</v>
      </c>
      <c r="E86" s="1546"/>
      <c r="F86" s="1546"/>
      <c r="G86" s="895" t="b">
        <f>OR(ComponentVisibility[[#This Row],[Force True]],AND(ComponentVisibility[[#This Row],[Program True]],NOT(ComponentVisibility[[#This Row],[Force False]])))</f>
        <v>1</v>
      </c>
      <c r="H86" s="258" t="s">
        <v>572</v>
      </c>
      <c r="I86" s="278" t="b">
        <f>vmRelocation="Yes"</f>
        <v>1</v>
      </c>
      <c r="J86" s="278"/>
      <c r="K86" s="278" t="b">
        <f>SUMPRODUCT(ComponentVisibility[[#This Row],[IIG]:[HHC]],IsPrograms)&gt;0</f>
        <v>0</v>
      </c>
      <c r="L86" s="257"/>
      <c r="M86" s="257"/>
      <c r="N86" s="257"/>
      <c r="O86" s="257"/>
      <c r="P86" s="896"/>
      <c r="Q86" s="257"/>
    </row>
    <row r="87" spans="2:17" ht="18" customHeight="1">
      <c r="B87" s="722" t="s">
        <v>545</v>
      </c>
      <c r="C87" s="277">
        <f>ROW('Project Overview'!A415)</f>
        <v>415</v>
      </c>
      <c r="D87" s="1546">
        <f>ROW('Project Overview'!A416)</f>
        <v>416</v>
      </c>
      <c r="E87" s="1546"/>
      <c r="F87" s="1546"/>
      <c r="G87" s="895" t="b">
        <f>OR(ComponentVisibility[[#This Row],[Force True]],AND(ComponentVisibility[[#This Row],[Program True]],NOT(ComponentVisibility[[#This Row],[Force False]])))</f>
        <v>0</v>
      </c>
      <c r="H87" s="258" t="s">
        <v>573</v>
      </c>
      <c r="I87" s="278" t="b">
        <f>vmRelocation="No"</f>
        <v>0</v>
      </c>
      <c r="J87" s="278"/>
      <c r="K87" s="278" t="b">
        <f>SUMPRODUCT(ComponentVisibility[[#This Row],[IIG]:[HHC]],IsPrograms)&gt;0</f>
        <v>0</v>
      </c>
      <c r="L87" s="257"/>
      <c r="M87" s="257"/>
      <c r="N87" s="257"/>
      <c r="O87" s="257"/>
      <c r="P87" s="896"/>
      <c r="Q87" s="257"/>
    </row>
    <row r="88" spans="2:17" ht="18" customHeight="1">
      <c r="B88" s="722" t="s">
        <v>545</v>
      </c>
      <c r="C88" s="690">
        <f>ROW('Project Overview'!A117)</f>
        <v>117</v>
      </c>
      <c r="D88" s="690">
        <f>ROW('Project Overview'!A121)</f>
        <v>121</v>
      </c>
      <c r="E88" s="1546"/>
      <c r="F88" s="1546"/>
      <c r="G88" s="895" t="b">
        <f>OR(ComponentVisibility[[#This Row],[Force True]],AND(ComponentVisibility[[#This Row],[Program True]],NOT(ComponentVisibility[[#This Row],[Force False]])))</f>
        <v>1</v>
      </c>
      <c r="H88" s="258" t="s">
        <v>574</v>
      </c>
      <c r="I88" s="278" t="b">
        <f>IF(OR(Taxcredit=4%,Taxcredit=9%,Taxcredit="Hybrid"),TRUE,FALSE)</f>
        <v>1</v>
      </c>
      <c r="J88" s="257"/>
      <c r="K88" s="278" t="b">
        <f>SUMPRODUCT(ComponentVisibility[[#This Row],[IIG]:[HHC]],IsPrograms)&gt;0</f>
        <v>0</v>
      </c>
      <c r="L88" s="257"/>
      <c r="M88" s="257"/>
      <c r="N88" s="257"/>
      <c r="O88" s="257"/>
      <c r="P88" s="896"/>
      <c r="Q88" s="257"/>
    </row>
    <row r="89" spans="2:17" ht="18" customHeight="1">
      <c r="B89" s="722" t="s">
        <v>527</v>
      </c>
      <c r="C89" s="690">
        <f>ROW('MHP Threshold Requirements'!A113)</f>
        <v>113</v>
      </c>
      <c r="D89" s="690">
        <f>ROW('MHP Threshold Requirements'!A113)</f>
        <v>113</v>
      </c>
      <c r="E89" s="1546"/>
      <c r="F89" s="1546"/>
      <c r="G89" s="895" t="b">
        <f>OR(ComponentVisibility[[#This Row],[Force True]],AND(ComponentVisibility[[#This Row],[Program True]],NOT(ComponentVisibility[[#This Row],[Force False]])))</f>
        <v>0</v>
      </c>
      <c r="H89" s="258" t="s">
        <v>575</v>
      </c>
      <c r="I89" s="278" t="b">
        <f>Taxcredit="Hybrid"</f>
        <v>0</v>
      </c>
      <c r="J89" s="278"/>
      <c r="K89" s="278" t="b">
        <f>SUMPRODUCT(ComponentVisibility[[#This Row],[IIG]:[HHC]],IsPrograms)&gt;0</f>
        <v>0</v>
      </c>
      <c r="L89" s="257"/>
      <c r="M89" s="257"/>
      <c r="N89" s="257"/>
      <c r="O89" s="257"/>
      <c r="P89" s="896"/>
      <c r="Q89" s="257"/>
    </row>
    <row r="90" spans="2:17" ht="18" customHeight="1">
      <c r="B90" s="722" t="s">
        <v>576</v>
      </c>
      <c r="C90" s="690">
        <f>ROW('Max Loan and Grant Amounts'!A17)</f>
        <v>17</v>
      </c>
      <c r="D90" s="690">
        <f>ROW('Max Loan and Grant Amounts'!A17)</f>
        <v>17</v>
      </c>
      <c r="E90" s="1546"/>
      <c r="F90" s="1546"/>
      <c r="G90" s="895" t="b">
        <f>OR(ComponentVisibility[[#This Row],[Force True]],AND(ComponentVisibility[[#This Row],[Program True]],NOT(ComponentVisibility[[#This Row],[Force False]])))</f>
        <v>1</v>
      </c>
      <c r="H90" s="258" t="s">
        <v>536</v>
      </c>
      <c r="I90" s="278"/>
      <c r="J90" s="278"/>
      <c r="K90" s="278" t="b">
        <f>SUMPRODUCT(ComponentVisibility[[#This Row],[IIG]:[HHC]],IsPrograms)&gt;0</f>
        <v>1</v>
      </c>
      <c r="L90" s="257">
        <v>1</v>
      </c>
      <c r="M90" s="257">
        <v>0</v>
      </c>
      <c r="N90" s="257">
        <v>0</v>
      </c>
      <c r="O90" s="257">
        <v>0</v>
      </c>
      <c r="P90" s="896">
        <v>0</v>
      </c>
      <c r="Q90" s="257">
        <v>0</v>
      </c>
    </row>
    <row r="91" spans="2:17" ht="18" customHeight="1">
      <c r="B91" s="722" t="s">
        <v>577</v>
      </c>
      <c r="C91" s="690">
        <f>ROW('Reserves Calculator'!A22)</f>
        <v>22</v>
      </c>
      <c r="D91" s="690">
        <f>ROW('Reserves Calculator'!A22)</f>
        <v>22</v>
      </c>
      <c r="E91" s="1546"/>
      <c r="F91" s="1546"/>
      <c r="G91" s="895" t="b">
        <f>OR(ComponentVisibility[[#This Row],[Force True]],AND(ComponentVisibility[[#This Row],[Program True]],NOT(ComponentVisibility[[#This Row],[Force False]])))</f>
        <v>1</v>
      </c>
      <c r="H91" s="258" t="s">
        <v>536</v>
      </c>
      <c r="I91" s="278"/>
      <c r="J91" s="278"/>
      <c r="K91" s="278" t="b">
        <f>SUMPRODUCT(ComponentVisibility[[#This Row],[IIG]:[HHC]],IsPrograms)&gt;0</f>
        <v>1</v>
      </c>
      <c r="L91" s="257">
        <v>1</v>
      </c>
      <c r="M91" s="257">
        <v>0</v>
      </c>
      <c r="N91" s="257">
        <v>0</v>
      </c>
      <c r="O91" s="257">
        <v>0</v>
      </c>
      <c r="P91" s="896">
        <v>0</v>
      </c>
      <c r="Q91" s="257">
        <v>0</v>
      </c>
    </row>
    <row r="92" spans="2:17" ht="18" customHeight="1">
      <c r="B92" s="722" t="s">
        <v>577</v>
      </c>
      <c r="C92" s="690">
        <f>ROW('Reserves Calculator'!A23)</f>
        <v>23</v>
      </c>
      <c r="D92" s="690">
        <f>ROW('Reserves Calculator'!A23)</f>
        <v>23</v>
      </c>
      <c r="E92" s="1546"/>
      <c r="F92" s="1546"/>
      <c r="G92" s="895" t="b">
        <f>OR(ComponentVisibility[[#This Row],[Force True]],AND(ComponentVisibility[[#This Row],[Program True]],NOT(ComponentVisibility[[#This Row],[Force False]])))</f>
        <v>1</v>
      </c>
      <c r="H92" s="258" t="s">
        <v>537</v>
      </c>
      <c r="I92" s="278"/>
      <c r="J92" s="278"/>
      <c r="K92" s="278" t="b">
        <f>SUMPRODUCT(ComponentVisibility[[#This Row],[IIG]:[HHC]],IsPrograms)&gt;0</f>
        <v>1</v>
      </c>
      <c r="L92" s="257">
        <v>0</v>
      </c>
      <c r="M92" s="257">
        <v>1</v>
      </c>
      <c r="N92" s="257">
        <v>0</v>
      </c>
      <c r="O92" s="257">
        <v>0</v>
      </c>
      <c r="P92" s="896">
        <v>0</v>
      </c>
      <c r="Q92" s="257">
        <v>0</v>
      </c>
    </row>
    <row r="93" spans="2:17" ht="18" customHeight="1">
      <c r="B93" s="722" t="s">
        <v>577</v>
      </c>
      <c r="C93" s="690">
        <f>ROW('Reserves Calculator'!A25)</f>
        <v>25</v>
      </c>
      <c r="D93" s="690">
        <f>ROW('Reserves Calculator'!A25)</f>
        <v>25</v>
      </c>
      <c r="E93" s="1546"/>
      <c r="F93" s="1546"/>
      <c r="G93" s="895" t="b">
        <f>OR(ComponentVisibility[[#This Row],[Force True]],AND(ComponentVisibility[[#This Row],[Program True]],NOT(ComponentVisibility[[#This Row],[Force False]])))</f>
        <v>1</v>
      </c>
      <c r="H93" s="258" t="s">
        <v>538</v>
      </c>
      <c r="I93" s="278"/>
      <c r="J93" s="278"/>
      <c r="K93" s="278" t="b">
        <f>SUMPRODUCT(ComponentVisibility[[#This Row],[IIG]:[HHC]],IsPrograms)&gt;0</f>
        <v>1</v>
      </c>
      <c r="L93" s="257">
        <v>0</v>
      </c>
      <c r="M93" s="257">
        <v>0</v>
      </c>
      <c r="N93" s="257">
        <v>1</v>
      </c>
      <c r="O93" s="257">
        <v>0</v>
      </c>
      <c r="P93" s="896">
        <v>0</v>
      </c>
      <c r="Q93" s="257">
        <v>0</v>
      </c>
    </row>
    <row r="94" spans="2:17" ht="18" customHeight="1">
      <c r="B94" s="722" t="s">
        <v>577</v>
      </c>
      <c r="C94" s="690">
        <f>ROW('Reserves Calculator'!A27)</f>
        <v>27</v>
      </c>
      <c r="D94" s="690">
        <f>ROW('Reserves Calculator'!A27)</f>
        <v>27</v>
      </c>
      <c r="E94" s="1546"/>
      <c r="F94" s="1546"/>
      <c r="G94" s="895" t="b">
        <f>OR(ComponentVisibility[[#This Row],[Force True]],AND(ComponentVisibility[[#This Row],[Program True]],NOT(ComponentVisibility[[#This Row],[Force False]])))</f>
        <v>0</v>
      </c>
      <c r="H94" s="258" t="s">
        <v>539</v>
      </c>
      <c r="I94" s="278"/>
      <c r="J94" s="278"/>
      <c r="K94" s="278" t="b">
        <f>SUMPRODUCT(ComponentVisibility[[#This Row],[IIG]:[HHC]],IsPrograms)&gt;0</f>
        <v>0</v>
      </c>
      <c r="L94" s="257">
        <v>0</v>
      </c>
      <c r="M94" s="257">
        <v>0</v>
      </c>
      <c r="N94" s="257">
        <v>0</v>
      </c>
      <c r="O94" s="257">
        <v>0</v>
      </c>
      <c r="P94" s="896">
        <v>1</v>
      </c>
      <c r="Q94" s="257">
        <v>0</v>
      </c>
    </row>
    <row r="95" spans="2:17" ht="18" customHeight="1">
      <c r="B95" s="722" t="s">
        <v>578</v>
      </c>
      <c r="C95" s="690"/>
      <c r="D95" s="277"/>
      <c r="E95" s="1546">
        <f>COLUMN('Unit Mix'!E1)</f>
        <v>5</v>
      </c>
      <c r="F95" s="1546">
        <f>COLUMN('Unit Mix'!E1)</f>
        <v>5</v>
      </c>
      <c r="G95" s="895" t="b">
        <f>OR(ComponentVisibility[[#This Row],[Force True]],AND(ComponentVisibility[[#This Row],[Program True]],NOT(ComponentVisibility[[#This Row],[Force False]])))</f>
        <v>1</v>
      </c>
      <c r="H95" s="258" t="s">
        <v>579</v>
      </c>
      <c r="I95" s="278"/>
      <c r="J95" s="278"/>
      <c r="K95" s="278" t="b">
        <f>SUMPRODUCT(ComponentVisibility[[#This Row],[IIG]:[HHC]],IsPrograms)&gt;0</f>
        <v>1</v>
      </c>
      <c r="L95" s="257">
        <v>1</v>
      </c>
      <c r="M95" s="257">
        <v>0</v>
      </c>
      <c r="N95" s="257">
        <v>0</v>
      </c>
      <c r="O95" s="257">
        <v>0</v>
      </c>
      <c r="P95" s="896">
        <v>0</v>
      </c>
      <c r="Q95" s="257">
        <v>0</v>
      </c>
    </row>
    <row r="96" spans="2:17" ht="18" customHeight="1">
      <c r="B96" s="722" t="s">
        <v>578</v>
      </c>
      <c r="C96" s="690"/>
      <c r="D96" s="277"/>
      <c r="E96" s="1546">
        <f>COLUMN('Unit Mix'!AB1)</f>
        <v>28</v>
      </c>
      <c r="F96" s="1546">
        <f>COLUMN('Unit Mix'!AB1)</f>
        <v>28</v>
      </c>
      <c r="G96" s="895" t="b">
        <f>OR(ComponentVisibility[[#This Row],[Force True]],AND(ComponentVisibility[[#This Row],[Program True]],NOT(ComponentVisibility[[#This Row],[Force False]])))</f>
        <v>1</v>
      </c>
      <c r="H96" s="258" t="s">
        <v>580</v>
      </c>
      <c r="I96" s="278"/>
      <c r="J96" s="278"/>
      <c r="K96" s="278" t="b">
        <f>SUMPRODUCT(ComponentVisibility[[#This Row],[IIG]:[HHC]],IsPrograms)&gt;0</f>
        <v>1</v>
      </c>
      <c r="L96" s="257">
        <v>1</v>
      </c>
      <c r="M96" s="257">
        <v>0</v>
      </c>
      <c r="N96" s="257">
        <v>0</v>
      </c>
      <c r="O96" s="257">
        <v>0</v>
      </c>
      <c r="P96" s="896">
        <v>0</v>
      </c>
      <c r="Q96" s="257">
        <v>0</v>
      </c>
    </row>
    <row r="97" spans="2:24" ht="18" customHeight="1">
      <c r="B97" s="722" t="s">
        <v>578</v>
      </c>
      <c r="C97" s="690"/>
      <c r="D97" s="277"/>
      <c r="E97" s="1546">
        <f>COLUMN('Unit Mix'!F1)</f>
        <v>6</v>
      </c>
      <c r="F97" s="1546">
        <f>COLUMN('Unit Mix'!F1)</f>
        <v>6</v>
      </c>
      <c r="G97" s="895" t="b">
        <f>OR(ComponentVisibility[[#This Row],[Force True]],AND(ComponentVisibility[[#This Row],[Program True]],NOT(ComponentVisibility[[#This Row],[Force False]])))</f>
        <v>0</v>
      </c>
      <c r="H97" s="258" t="s">
        <v>581</v>
      </c>
      <c r="I97" s="278"/>
      <c r="J97" s="278"/>
      <c r="K97" s="278" t="b">
        <f>SUMPRODUCT(ComponentVisibility[[#This Row],[IIG]:[HHC]],IsPrograms)&gt;0</f>
        <v>0</v>
      </c>
      <c r="L97" s="257">
        <v>0</v>
      </c>
      <c r="M97" s="257">
        <v>0</v>
      </c>
      <c r="N97" s="257">
        <v>0</v>
      </c>
      <c r="O97" s="257">
        <v>0</v>
      </c>
      <c r="P97" s="896">
        <v>0</v>
      </c>
      <c r="Q97" s="257">
        <v>1</v>
      </c>
    </row>
    <row r="98" spans="2:24" ht="18" customHeight="1">
      <c r="B98" s="722" t="s">
        <v>578</v>
      </c>
      <c r="C98" s="690"/>
      <c r="D98" s="277"/>
      <c r="E98" s="1546">
        <f>COLUMN('Unit Mix'!G1)</f>
        <v>7</v>
      </c>
      <c r="F98" s="1546">
        <f>COLUMN('Unit Mix'!G1)</f>
        <v>7</v>
      </c>
      <c r="G98" s="895" t="b">
        <f>OR(ComponentVisibility[[#This Row],[Force True]],AND(ComponentVisibility[[#This Row],[Program True]],NOT(ComponentVisibility[[#This Row],[Force False]])))</f>
        <v>1</v>
      </c>
      <c r="H98" s="258" t="s">
        <v>582</v>
      </c>
      <c r="I98" s="278"/>
      <c r="J98" s="278"/>
      <c r="K98" s="278" t="b">
        <f>SUMPRODUCT(ComponentVisibility[[#This Row],[IIG]:[HHC]],IsPrograms)&gt;0</f>
        <v>1</v>
      </c>
      <c r="L98" s="257">
        <v>0</v>
      </c>
      <c r="M98" s="257">
        <v>0</v>
      </c>
      <c r="N98" s="257">
        <v>0</v>
      </c>
      <c r="O98" s="257">
        <v>1</v>
      </c>
      <c r="P98" s="896">
        <v>0</v>
      </c>
      <c r="Q98" s="257">
        <v>0</v>
      </c>
    </row>
    <row r="99" spans="2:24" ht="18" customHeight="1">
      <c r="B99" s="722" t="s">
        <v>578</v>
      </c>
      <c r="C99" s="690"/>
      <c r="D99" s="277"/>
      <c r="E99" s="1546">
        <f>COLUMN('Unit Mix'!H1)</f>
        <v>8</v>
      </c>
      <c r="F99" s="1546">
        <f>COLUMN('Unit Mix'!H1)</f>
        <v>8</v>
      </c>
      <c r="G99" s="895" t="b">
        <f>OR(ComponentVisibility[[#This Row],[Force True]],AND(ComponentVisibility[[#This Row],[Program True]],NOT(ComponentVisibility[[#This Row],[Force False]])))</f>
        <v>1</v>
      </c>
      <c r="H99" s="258" t="s">
        <v>583</v>
      </c>
      <c r="I99" s="278"/>
      <c r="J99" s="278"/>
      <c r="K99" s="278" t="b">
        <f>SUMPRODUCT(ComponentVisibility[[#This Row],[IIG]:[HHC]],IsPrograms)&gt;0</f>
        <v>1</v>
      </c>
      <c r="L99" s="257">
        <v>0</v>
      </c>
      <c r="M99" s="257">
        <v>1</v>
      </c>
      <c r="N99" s="257">
        <v>0</v>
      </c>
      <c r="O99" s="257">
        <v>0</v>
      </c>
      <c r="P99" s="896">
        <v>0</v>
      </c>
      <c r="Q99" s="257">
        <v>0</v>
      </c>
    </row>
    <row r="100" spans="2:24" ht="18" customHeight="1">
      <c r="B100" s="722" t="s">
        <v>578</v>
      </c>
      <c r="C100" s="690"/>
      <c r="D100" s="277"/>
      <c r="E100" s="1546">
        <f>COLUMN('Unit Mix'!AC1)</f>
        <v>29</v>
      </c>
      <c r="F100" s="1546">
        <f>COLUMN('Unit Mix'!AD1)</f>
        <v>30</v>
      </c>
      <c r="G100" s="895" t="b">
        <f>OR(ComponentVisibility[[#This Row],[Force True]],AND(ComponentVisibility[[#This Row],[Program True]],NOT(ComponentVisibility[[#This Row],[Force False]])))</f>
        <v>1</v>
      </c>
      <c r="H100" s="258" t="s">
        <v>583</v>
      </c>
      <c r="I100" s="278"/>
      <c r="J100" s="278"/>
      <c r="K100" s="278" t="b">
        <f>SUMPRODUCT(ComponentVisibility[[#This Row],[IIG]:[HHC]],IsPrograms)&gt;0</f>
        <v>1</v>
      </c>
      <c r="L100" s="257">
        <v>0</v>
      </c>
      <c r="M100" s="257">
        <v>1</v>
      </c>
      <c r="N100" s="257">
        <v>0</v>
      </c>
      <c r="O100" s="257">
        <v>0</v>
      </c>
      <c r="P100" s="896">
        <v>0</v>
      </c>
      <c r="Q100" s="257">
        <v>0</v>
      </c>
    </row>
    <row r="101" spans="2:24" ht="18" customHeight="1">
      <c r="B101" s="722" t="s">
        <v>578</v>
      </c>
      <c r="C101" s="690"/>
      <c r="D101" s="277"/>
      <c r="E101" s="1546">
        <f>COLUMN('Unit Mix'!T1)</f>
        <v>20</v>
      </c>
      <c r="F101" s="1546">
        <f>COLUMN('Unit Mix'!T1)</f>
        <v>20</v>
      </c>
      <c r="G101" s="895" t="b">
        <f>OR(ComponentVisibility[[#This Row],[Force True]],AND(ComponentVisibility[[#This Row],[Program True]],NOT(ComponentVisibility[[#This Row],[Force False]])))</f>
        <v>1</v>
      </c>
      <c r="H101" s="258" t="s">
        <v>584</v>
      </c>
      <c r="I101" s="1030"/>
      <c r="J101" s="278"/>
      <c r="K101" s="278" t="b">
        <f>SUMPRODUCT(ComponentVisibility[[#This Row],[IIG]:[HHC]],IsPrograms)&gt;0</f>
        <v>1</v>
      </c>
      <c r="L101" s="257">
        <v>0</v>
      </c>
      <c r="M101" s="257">
        <v>1</v>
      </c>
      <c r="N101" s="257">
        <v>1</v>
      </c>
      <c r="O101" s="257">
        <v>0</v>
      </c>
      <c r="P101" s="896">
        <v>0</v>
      </c>
      <c r="Q101" s="257">
        <v>0</v>
      </c>
    </row>
    <row r="102" spans="2:24" ht="18" customHeight="1">
      <c r="B102" s="722" t="s">
        <v>578</v>
      </c>
      <c r="C102" s="690"/>
      <c r="D102" s="277"/>
      <c r="E102" s="1546">
        <f>COLUMN('Unit Mix'!I1)</f>
        <v>9</v>
      </c>
      <c r="F102" s="1546">
        <f>COLUMN('Unit Mix'!I1)</f>
        <v>9</v>
      </c>
      <c r="G102" s="895" t="b">
        <f>OR(ComponentVisibility[[#This Row],[Force True]],AND(ComponentVisibility[[#This Row],[Program True]],NOT(ComponentVisibility[[#This Row],[Force False]])))</f>
        <v>1</v>
      </c>
      <c r="H102" s="258" t="s">
        <v>585</v>
      </c>
      <c r="I102" s="278"/>
      <c r="J102" s="278"/>
      <c r="K102" s="278" t="b">
        <f>SUMPRODUCT(ComponentVisibility[[#This Row],[IIG]:[HHC]],IsPrograms)&gt;0</f>
        <v>1</v>
      </c>
      <c r="L102" s="257">
        <v>0</v>
      </c>
      <c r="M102" s="257">
        <v>0</v>
      </c>
      <c r="N102" s="257">
        <v>1</v>
      </c>
      <c r="O102" s="257">
        <v>0</v>
      </c>
      <c r="P102" s="896">
        <v>0</v>
      </c>
      <c r="Q102" s="257">
        <v>0</v>
      </c>
    </row>
    <row r="103" spans="2:24" ht="18" customHeight="1">
      <c r="B103" s="722" t="s">
        <v>578</v>
      </c>
      <c r="C103" s="690"/>
      <c r="D103" s="277"/>
      <c r="E103" s="1546">
        <f>COLUMN('Unit Mix'!AF1)</f>
        <v>32</v>
      </c>
      <c r="F103" s="1546">
        <f>COLUMN('Unit Mix'!AG1)</f>
        <v>33</v>
      </c>
      <c r="G103" s="895" t="b">
        <f>OR(ComponentVisibility[[#This Row],[Force True]],AND(ComponentVisibility[[#This Row],[Program True]],NOT(ComponentVisibility[[#This Row],[Force False]])))</f>
        <v>1</v>
      </c>
      <c r="H103" s="258" t="s">
        <v>586</v>
      </c>
      <c r="I103" s="278"/>
      <c r="J103" s="278"/>
      <c r="K103" s="278" t="b">
        <f>SUMPRODUCT(ComponentVisibility[[#This Row],[IIG]:[HHC]],IsPrograms)&gt;0</f>
        <v>1</v>
      </c>
      <c r="L103" s="257">
        <v>0</v>
      </c>
      <c r="M103" s="257">
        <v>0</v>
      </c>
      <c r="N103" s="257">
        <v>1</v>
      </c>
      <c r="O103" s="257">
        <v>0</v>
      </c>
      <c r="P103" s="896">
        <v>0</v>
      </c>
      <c r="Q103" s="257">
        <v>0</v>
      </c>
    </row>
    <row r="104" spans="2:24" ht="18" customHeight="1">
      <c r="B104" s="722" t="s">
        <v>578</v>
      </c>
      <c r="C104" s="690"/>
      <c r="D104" s="277"/>
      <c r="E104" s="1546">
        <f>COLUMN('Unit Mix'!J1)</f>
        <v>10</v>
      </c>
      <c r="F104" s="1546">
        <f>COLUMN('Unit Mix'!J1)</f>
        <v>10</v>
      </c>
      <c r="G104" s="895" t="b">
        <f>OR(ComponentVisibility[[#This Row],[Force True]],AND(ComponentVisibility[[#This Row],[Program True]],NOT(ComponentVisibility[[#This Row],[Force False]])))</f>
        <v>0</v>
      </c>
      <c r="H104" s="258" t="s">
        <v>587</v>
      </c>
      <c r="I104" s="278"/>
      <c r="J104" s="278"/>
      <c r="K104" s="278" t="b">
        <f>SUMPRODUCT(ComponentVisibility[[#This Row],[IIG]:[HHC]],IsPrograms)&gt;0</f>
        <v>0</v>
      </c>
      <c r="L104" s="257">
        <v>0</v>
      </c>
      <c r="M104" s="257">
        <v>0</v>
      </c>
      <c r="N104" s="257">
        <v>0</v>
      </c>
      <c r="O104" s="257">
        <v>0</v>
      </c>
      <c r="P104" s="896">
        <v>1</v>
      </c>
      <c r="Q104" s="257">
        <v>0</v>
      </c>
    </row>
    <row r="105" spans="2:24" ht="18" customHeight="1">
      <c r="B105" s="722" t="s">
        <v>578</v>
      </c>
      <c r="C105" s="690"/>
      <c r="D105" s="277"/>
      <c r="E105" s="1546">
        <f>COLUMN('Unit Mix'!AE1)</f>
        <v>31</v>
      </c>
      <c r="F105" s="1546">
        <f>COLUMN('Unit Mix'!AE1)</f>
        <v>31</v>
      </c>
      <c r="G105" s="895" t="b">
        <f>OR(ComponentVisibility[[#This Row],[Force True]],AND(ComponentVisibility[[#This Row],[Program True]],NOT(ComponentVisibility[[#This Row],[Force False]])))</f>
        <v>0</v>
      </c>
      <c r="H105" s="258" t="s">
        <v>587</v>
      </c>
      <c r="I105" s="278"/>
      <c r="J105" s="278"/>
      <c r="K105" s="278" t="b">
        <f>SUMPRODUCT(ComponentVisibility[[#This Row],[IIG]:[HHC]],IsPrograms)&gt;0</f>
        <v>0</v>
      </c>
      <c r="L105" s="257">
        <v>0</v>
      </c>
      <c r="M105" s="257">
        <v>0</v>
      </c>
      <c r="N105" s="257">
        <v>0</v>
      </c>
      <c r="O105" s="257">
        <v>0</v>
      </c>
      <c r="P105" s="896">
        <v>1</v>
      </c>
      <c r="Q105" s="257">
        <v>0</v>
      </c>
    </row>
    <row r="106" spans="2:24" ht="18" customHeight="1">
      <c r="B106" s="722" t="s">
        <v>578</v>
      </c>
      <c r="C106" s="690"/>
      <c r="D106" s="277"/>
      <c r="E106" s="1546">
        <f>COLUMN('Unit Mix'!O1)</f>
        <v>15</v>
      </c>
      <c r="F106" s="1546">
        <f>COLUMN('Unit Mix'!Q1)</f>
        <v>17</v>
      </c>
      <c r="G106" s="895" t="b">
        <f>OR(ComponentVisibility[[#This Row],[Force True]],AND(ComponentVisibility[[#This Row],[Program True]],NOT(ComponentVisibility[[#This Row],[Force False]])))</f>
        <v>1</v>
      </c>
      <c r="H106" s="258" t="s">
        <v>588</v>
      </c>
      <c r="I106" s="278" t="b">
        <f>vmTH="Yes"</f>
        <v>1</v>
      </c>
      <c r="J106" s="278"/>
      <c r="K106" s="278" t="b">
        <f>SUMPRODUCT(ComponentVisibility[[#This Row],[IIG]:[HHC]],IsPrograms)&gt;0</f>
        <v>0</v>
      </c>
      <c r="L106" s="257"/>
      <c r="M106" s="257"/>
      <c r="N106" s="257"/>
      <c r="O106" s="257"/>
      <c r="P106" s="896"/>
      <c r="Q106" s="257"/>
    </row>
    <row r="107" spans="2:24" ht="18" customHeight="1">
      <c r="B107" s="683" t="s">
        <v>589</v>
      </c>
      <c r="C107" s="277">
        <f>ROW(Scoring!A4)</f>
        <v>4</v>
      </c>
      <c r="D107" s="1546">
        <f>ROW(Scoring!A4)</f>
        <v>4</v>
      </c>
      <c r="E107" s="1546"/>
      <c r="F107" s="1546"/>
      <c r="G107" s="895" t="b">
        <f>OR(ComponentVisibility[[#This Row],[Force True]],AND(ComponentVisibility[[#This Row],[Program True]],NOT(ComponentVisibility[[#This Row],[Force False]])))</f>
        <v>0</v>
      </c>
      <c r="H107" s="258" t="s">
        <v>590</v>
      </c>
      <c r="I107" s="1030" t="b">
        <f>IsVhhp</f>
        <v>0</v>
      </c>
      <c r="J107" s="278"/>
      <c r="K107" s="278" t="b">
        <f>SUMPRODUCT(ComponentVisibility[[#This Row],[IIG]:[HHC]],IsPrograms)&gt;0</f>
        <v>0</v>
      </c>
      <c r="L107" s="257"/>
      <c r="M107" s="257"/>
      <c r="N107" s="257"/>
      <c r="O107" s="257"/>
      <c r="P107" s="896"/>
      <c r="Q107" s="257"/>
      <c r="R107" s="263"/>
      <c r="S107" s="263"/>
      <c r="T107" s="263"/>
      <c r="U107" s="263"/>
      <c r="V107" s="263"/>
      <c r="W107" s="263"/>
      <c r="X107" s="263"/>
    </row>
    <row r="108" spans="2:24" ht="18" customHeight="1">
      <c r="B108" s="683" t="s">
        <v>589</v>
      </c>
      <c r="C108" s="277">
        <f>ROW(Scoring!A5)</f>
        <v>5</v>
      </c>
      <c r="D108" s="1546">
        <f>ROW(Scoring!A5)</f>
        <v>5</v>
      </c>
      <c r="E108" s="1546"/>
      <c r="F108" s="1546"/>
      <c r="G108" s="895" t="b">
        <f>OR(ComponentVisibility[[#This Row],[Force True]],AND(ComponentVisibility[[#This Row],[Program True]],NOT(ComponentVisibility[[#This Row],[Force False]])))</f>
        <v>1</v>
      </c>
      <c r="H108" s="258" t="s">
        <v>591</v>
      </c>
      <c r="I108" s="1030" t="b">
        <f>IsIig</f>
        <v>1</v>
      </c>
      <c r="J108" s="278"/>
      <c r="K108" s="278" t="b">
        <f>SUMPRODUCT(ComponentVisibility[[#This Row],[IIG]:[HHC]],IsPrograms)&gt;0</f>
        <v>0</v>
      </c>
      <c r="L108" s="257"/>
      <c r="M108" s="257"/>
      <c r="N108" s="257"/>
      <c r="O108" s="257"/>
      <c r="P108" s="896"/>
      <c r="Q108" s="257"/>
      <c r="R108" s="263"/>
      <c r="S108" s="263"/>
      <c r="T108" s="263"/>
      <c r="U108" s="263"/>
      <c r="V108" s="263"/>
      <c r="W108" s="263"/>
      <c r="X108" s="263"/>
    </row>
    <row r="109" spans="2:24" ht="18" customHeight="1">
      <c r="B109" s="683" t="s">
        <v>589</v>
      </c>
      <c r="C109" s="277">
        <f>ROW(Scoring!A6)</f>
        <v>6</v>
      </c>
      <c r="D109" s="1546">
        <f>ROW(Scoring!A6)</f>
        <v>6</v>
      </c>
      <c r="E109" s="1546"/>
      <c r="F109" s="1546"/>
      <c r="G109" s="895" t="b">
        <f>OR(ComponentVisibility[[#This Row],[Force True]],AND(ComponentVisibility[[#This Row],[Program True]],NOT(ComponentVisibility[[#This Row],[Force False]])))</f>
        <v>1</v>
      </c>
      <c r="H109" s="258" t="s">
        <v>592</v>
      </c>
      <c r="I109" s="1030" t="b">
        <f>IsSerna</f>
        <v>1</v>
      </c>
      <c r="J109" s="278"/>
      <c r="K109" s="278" t="b">
        <f>SUMPRODUCT(ComponentVisibility[[#This Row],[IIG]:[HHC]],IsPrograms)&gt;0</f>
        <v>0</v>
      </c>
      <c r="L109" s="257"/>
      <c r="M109" s="257"/>
      <c r="N109" s="257"/>
      <c r="O109" s="257"/>
      <c r="P109" s="896"/>
      <c r="Q109" s="257"/>
      <c r="R109" s="263"/>
      <c r="S109" s="263"/>
      <c r="T109" s="263"/>
      <c r="U109" s="263"/>
      <c r="V109" s="263"/>
      <c r="W109" s="263"/>
      <c r="X109" s="263"/>
    </row>
    <row r="110" spans="2:24" ht="18" customHeight="1">
      <c r="B110" s="683" t="s">
        <v>589</v>
      </c>
      <c r="C110" s="277">
        <f>ROW(Scoring!A61)</f>
        <v>61</v>
      </c>
      <c r="D110" s="1546">
        <f>ROW(Scoring!A61)</f>
        <v>61</v>
      </c>
      <c r="E110" s="899"/>
      <c r="F110" s="899"/>
      <c r="G110" s="900" t="b">
        <f>OR(ComponentVisibility[[#This Row],[Force True]],AND(ComponentVisibility[[#This Row],[Program True]],NOT(ComponentVisibility[[#This Row],[Force False]])))</f>
        <v>0</v>
      </c>
      <c r="H110" s="1059" t="s">
        <v>593</v>
      </c>
      <c r="I110" s="1030" t="b">
        <f>vmOOA="Yes"</f>
        <v>0</v>
      </c>
      <c r="J110" s="901"/>
      <c r="K110" s="901" t="b">
        <f>SUMPRODUCT(ComponentVisibility[[#This Row],[IIG]:[HHC]],IsPrograms)&gt;0</f>
        <v>0</v>
      </c>
      <c r="L110" s="902"/>
      <c r="M110" s="902"/>
      <c r="N110" s="902"/>
      <c r="O110" s="902"/>
      <c r="P110" s="903"/>
      <c r="Q110" s="902"/>
      <c r="R110" s="263"/>
      <c r="S110" s="263"/>
      <c r="T110" s="263"/>
      <c r="U110" s="263"/>
      <c r="V110" s="263"/>
      <c r="W110" s="263"/>
      <c r="X110" s="263"/>
    </row>
    <row r="111" spans="2:24" ht="18" customHeight="1">
      <c r="B111" s="683" t="s">
        <v>589</v>
      </c>
      <c r="C111" s="277">
        <f>ROW(Scoring!A66)</f>
        <v>66</v>
      </c>
      <c r="D111" s="1546">
        <f>ROW(Scoring!A66)</f>
        <v>66</v>
      </c>
      <c r="E111" s="1546"/>
      <c r="F111" s="1546"/>
      <c r="G111" s="895" t="b">
        <f>OR(ComponentVisibility[[#This Row],[Force True]],AND(ComponentVisibility[[#This Row],[Program True]],NOT(ComponentVisibility[[#This Row],[Force False]])))</f>
        <v>0</v>
      </c>
      <c r="H111" s="258" t="s">
        <v>594</v>
      </c>
      <c r="I111" s="1030" t="b">
        <f>vmCES="Yes"</f>
        <v>0</v>
      </c>
      <c r="J111" s="278"/>
      <c r="K111" s="278" t="b">
        <f>SUMPRODUCT(ComponentVisibility[[#This Row],[IIG]:[HHC]],IsPrograms)&gt;0</f>
        <v>0</v>
      </c>
      <c r="L111" s="257"/>
      <c r="M111" s="257"/>
      <c r="N111" s="257"/>
      <c r="O111" s="257"/>
      <c r="P111" s="896"/>
      <c r="Q111" s="257"/>
      <c r="R111" s="263"/>
      <c r="S111" s="263"/>
      <c r="T111" s="263"/>
      <c r="U111" s="263"/>
      <c r="V111" s="263"/>
      <c r="W111" s="263"/>
      <c r="X111" s="263"/>
    </row>
    <row r="112" spans="2:24" ht="18" customHeight="1">
      <c r="B112" s="683" t="s">
        <v>589</v>
      </c>
      <c r="C112" s="277">
        <f>ROW(Scoring!A67)</f>
        <v>67</v>
      </c>
      <c r="D112" s="1546">
        <f>ROW(Scoring!A70)</f>
        <v>70</v>
      </c>
      <c r="E112" s="1546"/>
      <c r="F112" s="1546"/>
      <c r="G112" s="895" t="b">
        <f>OR(ComponentVisibility[[#This Row],[Force True]],AND(ComponentVisibility[[#This Row],[Program True]],NOT(ComponentVisibility[[#This Row],[Force False]])))</f>
        <v>0</v>
      </c>
      <c r="H112" s="258" t="s">
        <v>595</v>
      </c>
      <c r="I112" s="278" t="b">
        <f>IF(OR(vmNC="Acquisition &amp; Rehabilitation",vmNC="Rehabilitation",vmNC="New Construction &amp; Acq/Rehab"),TRUE,FALSE)</f>
        <v>0</v>
      </c>
      <c r="J112" s="278"/>
      <c r="K112" s="278" t="b">
        <f>SUMPRODUCT(ComponentVisibility[[#This Row],[IIG]:[HHC]],IsPrograms)&gt;0</f>
        <v>0</v>
      </c>
      <c r="L112" s="257"/>
      <c r="M112" s="257"/>
      <c r="N112" s="257"/>
      <c r="O112" s="257"/>
      <c r="P112" s="896"/>
      <c r="Q112" s="257"/>
      <c r="R112" s="263"/>
      <c r="S112" s="263"/>
      <c r="T112" s="263"/>
      <c r="U112" s="263"/>
      <c r="V112" s="263"/>
      <c r="W112" s="263"/>
      <c r="X112" s="263"/>
    </row>
    <row r="113" spans="1:24" ht="18" customHeight="1">
      <c r="A113" s="663"/>
      <c r="B113" s="683" t="s">
        <v>589</v>
      </c>
      <c r="C113" s="277">
        <f>ROW(Scoring!A123)</f>
        <v>123</v>
      </c>
      <c r="D113" s="1546">
        <f>ROW(Scoring!A124)</f>
        <v>124</v>
      </c>
      <c r="E113" s="1546"/>
      <c r="F113" s="1546"/>
      <c r="G113" s="267" t="b">
        <f>OR(ComponentVisibility[[#This Row],[Force True]],AND(ComponentVisibility[[#This Row],[Program True]],NOT(ComponentVisibility[[#This Row],[Force False]])))</f>
        <v>0</v>
      </c>
      <c r="H113" s="258" t="s">
        <v>596</v>
      </c>
      <c r="I113" s="278" t="b">
        <f>vmBonaFide="Yes"</f>
        <v>0</v>
      </c>
      <c r="J113" s="257"/>
      <c r="K113" s="278" t="b">
        <f>SUMPRODUCT(ComponentVisibility[[#This Row],[IIG]:[HHC]],IsPrograms)&gt;0</f>
        <v>0</v>
      </c>
      <c r="L113" s="257"/>
      <c r="M113" s="257"/>
      <c r="N113" s="257"/>
      <c r="O113" s="257"/>
      <c r="P113" s="896"/>
      <c r="Q113" s="257"/>
      <c r="R113" s="263"/>
      <c r="S113" s="263"/>
      <c r="T113" s="263"/>
      <c r="U113" s="263"/>
      <c r="V113" s="263"/>
      <c r="W113" s="263"/>
      <c r="X113" s="263"/>
    </row>
    <row r="114" spans="1:24" ht="18" customHeight="1">
      <c r="A114" s="663"/>
      <c r="B114" s="683" t="s">
        <v>589</v>
      </c>
      <c r="C114" s="277">
        <f>ROW(Scoring!A156)</f>
        <v>156</v>
      </c>
      <c r="D114" s="1546">
        <f>ROW(Scoring!A157)</f>
        <v>157</v>
      </c>
      <c r="E114" s="1546"/>
      <c r="F114" s="1546"/>
      <c r="G114" s="895" t="b">
        <f>OR(ComponentVisibility[[#This Row],[Force True]],AND(ComponentVisibility[[#This Row],[Program True]],NOT(ComponentVisibility[[#This Row],[Force False]])))</f>
        <v>0</v>
      </c>
      <c r="H114" s="258" t="s">
        <v>596</v>
      </c>
      <c r="I114" s="1030" t="b">
        <f>vmCF="N/A"</f>
        <v>0</v>
      </c>
      <c r="J114" s="278"/>
      <c r="K114" s="278" t="b">
        <f>SUMPRODUCT(ComponentVisibility[[#This Row],[IIG]:[HHC]],IsPrograms)&gt;0</f>
        <v>0</v>
      </c>
      <c r="L114" s="257"/>
      <c r="M114" s="257"/>
      <c r="N114" s="257"/>
      <c r="O114" s="257"/>
      <c r="P114" s="896"/>
      <c r="Q114" s="257"/>
      <c r="R114" s="263"/>
      <c r="S114" s="263"/>
      <c r="T114" s="263"/>
      <c r="U114" s="263"/>
      <c r="V114" s="263"/>
      <c r="W114" s="263"/>
      <c r="X114" s="263"/>
    </row>
    <row r="115" spans="1:24" ht="18" customHeight="1">
      <c r="A115" s="663"/>
      <c r="B115" s="683" t="s">
        <v>589</v>
      </c>
      <c r="C115" s="277">
        <f>ROW(Scoring!A184)</f>
        <v>184</v>
      </c>
      <c r="D115" s="1546">
        <f>ROW(Scoring!A185)</f>
        <v>185</v>
      </c>
      <c r="E115" s="1546"/>
      <c r="F115" s="1546"/>
      <c r="G115" s="895" t="b">
        <f>OR(ComponentVisibility[[#This Row],[Force True]],AND(ComponentVisibility[[#This Row],[Program True]],NOT(ComponentVisibility[[#This Row],[Force False]])))</f>
        <v>0</v>
      </c>
      <c r="H115" s="258" t="s">
        <v>597</v>
      </c>
      <c r="I115" s="1030" t="b">
        <f>vmNER="N/A"</f>
        <v>0</v>
      </c>
      <c r="J115" s="278"/>
      <c r="K115" s="278" t="b">
        <f>SUMPRODUCT(ComponentVisibility[[#This Row],[IIG]:[HHC]],IsPrograms)&gt;0</f>
        <v>0</v>
      </c>
      <c r="L115" s="257"/>
      <c r="M115" s="257"/>
      <c r="N115" s="257"/>
      <c r="O115" s="257"/>
      <c r="P115" s="896"/>
      <c r="Q115" s="257"/>
      <c r="R115" s="263"/>
      <c r="S115" s="263"/>
      <c r="T115" s="263"/>
      <c r="U115" s="263"/>
      <c r="V115" s="263"/>
      <c r="W115" s="263"/>
      <c r="X115" s="263"/>
    </row>
    <row r="116" spans="1:24" ht="18" customHeight="1">
      <c r="A116" s="663"/>
      <c r="B116" s="683" t="s">
        <v>589</v>
      </c>
      <c r="C116" s="277">
        <f>ROW(Scoring!A186)</f>
        <v>186</v>
      </c>
      <c r="D116" s="1546">
        <f>ROW(Scoring!A189)</f>
        <v>189</v>
      </c>
      <c r="E116" s="1546"/>
      <c r="F116" s="1546"/>
      <c r="G116" s="895" t="b">
        <f>OR(ComponentVisibility[[#This Row],[Force True]],AND(ComponentVisibility[[#This Row],[Program True]],NOT(ComponentVisibility[[#This Row],[Force False]])))</f>
        <v>0</v>
      </c>
      <c r="H116" s="258" t="s">
        <v>597</v>
      </c>
      <c r="I116" s="1030" t="b">
        <f>vmNER="No"</f>
        <v>0</v>
      </c>
      <c r="J116" s="278"/>
      <c r="K116" s="278" t="b">
        <f>SUMPRODUCT(ComponentVisibility[[#This Row],[IIG]:[HHC]],IsPrograms)&gt;0</f>
        <v>0</v>
      </c>
      <c r="L116" s="257"/>
      <c r="M116" s="257"/>
      <c r="N116" s="257"/>
      <c r="O116" s="257"/>
      <c r="P116" s="896"/>
      <c r="Q116" s="257"/>
      <c r="R116" s="263"/>
      <c r="S116" s="263"/>
      <c r="T116" s="263"/>
      <c r="U116" s="263"/>
      <c r="V116" s="263"/>
      <c r="W116" s="263"/>
      <c r="X116" s="263"/>
    </row>
    <row r="117" spans="1:24" ht="18" customHeight="1">
      <c r="A117" s="663"/>
      <c r="B117" s="683" t="s">
        <v>589</v>
      </c>
      <c r="C117" s="277">
        <f>ROW(Scoring!A190)</f>
        <v>190</v>
      </c>
      <c r="D117" s="1546">
        <f>ROW(Scoring!A190)</f>
        <v>190</v>
      </c>
      <c r="E117" s="899"/>
      <c r="F117" s="899"/>
      <c r="G117" s="900" t="b">
        <f>OR(ComponentVisibility[[#This Row],[Force True]],AND(ComponentVisibility[[#This Row],[Program True]],NOT(ComponentVisibility[[#This Row],[Force False]])))</f>
        <v>0</v>
      </c>
      <c r="H117" s="258" t="s">
        <v>598</v>
      </c>
      <c r="I117" s="1030" t="b">
        <f>OR(vmWCL="Yes",vmOCL="Yes")</f>
        <v>0</v>
      </c>
      <c r="J117" s="901"/>
      <c r="K117" s="901" t="b">
        <f>SUMPRODUCT(ComponentVisibility[[#This Row],[IIG]:[HHC]],IsPrograms)&gt;0</f>
        <v>0</v>
      </c>
      <c r="L117" s="902"/>
      <c r="M117" s="902"/>
      <c r="N117" s="902"/>
      <c r="O117" s="902"/>
      <c r="P117" s="903"/>
      <c r="Q117" s="902"/>
      <c r="R117" s="263"/>
      <c r="S117" s="263"/>
      <c r="T117" s="263"/>
      <c r="U117" s="263"/>
      <c r="V117" s="263"/>
      <c r="W117" s="263"/>
      <c r="X117" s="263"/>
    </row>
    <row r="118" spans="1:24" ht="18" customHeight="1">
      <c r="A118" s="663"/>
      <c r="B118" s="683" t="s">
        <v>589</v>
      </c>
      <c r="C118" s="277">
        <f>ROW(Scoring!A191)</f>
        <v>191</v>
      </c>
      <c r="D118" s="1546">
        <f>ROW(Scoring!A191)</f>
        <v>191</v>
      </c>
      <c r="E118" s="899"/>
      <c r="F118" s="899"/>
      <c r="G118" s="900" t="b">
        <f>OR(ComponentVisibility[[#This Row],[Force True]],AND(ComponentVisibility[[#This Row],[Program True]],NOT(ComponentVisibility[[#This Row],[Force False]])))</f>
        <v>0</v>
      </c>
      <c r="H118" s="258" t="s">
        <v>599</v>
      </c>
      <c r="I118" s="1030" t="b">
        <f>vmOCL="Yes"</f>
        <v>0</v>
      </c>
      <c r="J118" s="901"/>
      <c r="K118" s="901" t="b">
        <f>SUMPRODUCT(ComponentVisibility[[#This Row],[IIG]:[HHC]],IsPrograms)&gt;0</f>
        <v>0</v>
      </c>
      <c r="L118" s="902"/>
      <c r="M118" s="902"/>
      <c r="N118" s="902"/>
      <c r="O118" s="902"/>
      <c r="P118" s="903"/>
      <c r="Q118" s="902"/>
      <c r="R118" s="263"/>
      <c r="S118" s="263"/>
      <c r="T118" s="263"/>
      <c r="U118" s="263"/>
      <c r="V118" s="263"/>
      <c r="W118" s="263"/>
      <c r="X118" s="263"/>
    </row>
    <row r="119" spans="1:24" ht="18" customHeight="1">
      <c r="A119" s="663"/>
      <c r="B119" s="683" t="s">
        <v>589</v>
      </c>
      <c r="C119" s="277">
        <f>ROW(Scoring!A167)</f>
        <v>167</v>
      </c>
      <c r="D119" s="1546">
        <f>ROW(Scoring!A168)</f>
        <v>168</v>
      </c>
      <c r="E119" s="1546"/>
      <c r="F119" s="1546"/>
      <c r="G119" s="895" t="b">
        <f>OR(ComponentVisibility[[#This Row],[Force True]],AND(ComponentVisibility[[#This Row],[Program True]],NOT(ComponentVisibility[[#This Row],[Force False]])))</f>
        <v>0</v>
      </c>
      <c r="H119" s="258" t="s">
        <v>600</v>
      </c>
      <c r="I119" s="1030" t="b">
        <f>vmLUA="N/A"</f>
        <v>0</v>
      </c>
      <c r="J119" s="278"/>
      <c r="K119" s="278" t="b">
        <f>SUMPRODUCT(ComponentVisibility[[#This Row],[IIG]:[HHC]],IsPrograms)&gt;0</f>
        <v>0</v>
      </c>
      <c r="L119" s="257"/>
      <c r="M119" s="257"/>
      <c r="N119" s="257"/>
      <c r="O119" s="257"/>
      <c r="P119" s="896"/>
      <c r="Q119" s="257"/>
      <c r="R119" s="263"/>
      <c r="S119" s="263"/>
      <c r="T119" s="263"/>
      <c r="U119" s="263"/>
      <c r="V119" s="263"/>
      <c r="W119" s="263"/>
      <c r="X119" s="263"/>
    </row>
    <row r="120" spans="1:24" ht="18" customHeight="1">
      <c r="A120" s="663"/>
      <c r="B120" s="683" t="s">
        <v>589</v>
      </c>
      <c r="C120" s="277">
        <f>ROW(Scoring!A169)</f>
        <v>169</v>
      </c>
      <c r="D120" s="1546">
        <f>ROW(Scoring!A172)</f>
        <v>172</v>
      </c>
      <c r="E120" s="899"/>
      <c r="F120" s="899"/>
      <c r="G120" s="900" t="b">
        <f>OR(ComponentVisibility[[#This Row],[Force True]],AND(ComponentVisibility[[#This Row],[Program True]],NOT(ComponentVisibility[[#This Row],[Force False]])))</f>
        <v>0</v>
      </c>
      <c r="H120" s="258" t="s">
        <v>600</v>
      </c>
      <c r="I120" s="1030" t="b">
        <f>vmLUA="No"</f>
        <v>0</v>
      </c>
      <c r="J120" s="901"/>
      <c r="K120" s="901" t="b">
        <f>SUMPRODUCT(ComponentVisibility[[#This Row],[IIG]:[HHC]],IsPrograms)&gt;0</f>
        <v>0</v>
      </c>
      <c r="L120" s="902"/>
      <c r="M120" s="902"/>
      <c r="N120" s="902"/>
      <c r="O120" s="902"/>
      <c r="P120" s="903"/>
      <c r="Q120" s="902"/>
      <c r="R120" s="263"/>
      <c r="S120" s="263"/>
      <c r="T120" s="263"/>
      <c r="U120" s="263"/>
      <c r="V120" s="263"/>
      <c r="W120" s="263"/>
      <c r="X120" s="263"/>
    </row>
    <row r="121" spans="1:24" ht="18" customHeight="1">
      <c r="A121" s="663"/>
      <c r="B121" s="683" t="s">
        <v>589</v>
      </c>
      <c r="C121" s="277">
        <f>ROW(Scoring!A173)</f>
        <v>173</v>
      </c>
      <c r="D121" s="1546">
        <f>ROW(Scoring!A173)</f>
        <v>173</v>
      </c>
      <c r="E121" s="1546"/>
      <c r="F121" s="1546"/>
      <c r="G121" s="895" t="b">
        <f>OR(ComponentVisibility[[#This Row],[Force True]],AND(ComponentVisibility[[#This Row],[Program True]],NOT(ComponentVisibility[[#This Row],[Force False]])))</f>
        <v>0</v>
      </c>
      <c r="H121" s="258" t="s">
        <v>601</v>
      </c>
      <c r="I121" s="1030" t="b">
        <f>OR(vmWCL2="Yes",vmOCL2="Yes")</f>
        <v>0</v>
      </c>
      <c r="J121" s="278"/>
      <c r="K121" s="278" t="b">
        <f>SUMPRODUCT(ComponentVisibility[[#This Row],[IIG]:[HHC]],IsPrograms)&gt;0</f>
        <v>0</v>
      </c>
      <c r="L121" s="257"/>
      <c r="M121" s="257"/>
      <c r="N121" s="257"/>
      <c r="O121" s="257"/>
      <c r="P121" s="896"/>
      <c r="Q121" s="257"/>
      <c r="R121" s="263"/>
      <c r="S121" s="263"/>
      <c r="T121" s="263"/>
      <c r="U121" s="263"/>
      <c r="V121" s="263"/>
      <c r="W121" s="263"/>
      <c r="X121" s="263"/>
    </row>
    <row r="122" spans="1:24" ht="18" customHeight="1">
      <c r="A122" s="663"/>
      <c r="B122" s="683" t="s">
        <v>589</v>
      </c>
      <c r="C122" s="277">
        <f>ROW(Scoring!A174)</f>
        <v>174</v>
      </c>
      <c r="D122" s="1546">
        <f>ROW(Scoring!A174)</f>
        <v>174</v>
      </c>
      <c r="E122" s="899"/>
      <c r="F122" s="899"/>
      <c r="G122" s="900" t="b">
        <f>OR(ComponentVisibility[[#This Row],[Force True]],AND(ComponentVisibility[[#This Row],[Program True]],NOT(ComponentVisibility[[#This Row],[Force False]])))</f>
        <v>0</v>
      </c>
      <c r="H122" s="258" t="s">
        <v>602</v>
      </c>
      <c r="I122" s="1030" t="b">
        <f>vmOCL2="Yes"</f>
        <v>0</v>
      </c>
      <c r="J122" s="901"/>
      <c r="K122" s="901" t="b">
        <f>SUMPRODUCT(ComponentVisibility[[#This Row],[IIG]:[HHC]],IsPrograms)&gt;0</f>
        <v>0</v>
      </c>
      <c r="L122" s="902"/>
      <c r="M122" s="902"/>
      <c r="N122" s="902"/>
      <c r="O122" s="902"/>
      <c r="P122" s="903"/>
      <c r="Q122" s="902"/>
      <c r="R122" s="263"/>
      <c r="S122" s="263"/>
      <c r="T122" s="263"/>
      <c r="U122" s="263"/>
      <c r="V122" s="263"/>
      <c r="W122" s="263"/>
      <c r="X122" s="263"/>
    </row>
    <row r="123" spans="1:24" ht="18" customHeight="1">
      <c r="A123" s="663"/>
      <c r="B123" s="683" t="s">
        <v>589</v>
      </c>
      <c r="C123" s="277">
        <f>ROW(Scoring!A178)</f>
        <v>178</v>
      </c>
      <c r="D123" s="1546">
        <f>ROW(Scoring!A178)</f>
        <v>178</v>
      </c>
      <c r="E123" s="1546"/>
      <c r="F123" s="1546"/>
      <c r="G123" s="895" t="b">
        <f>OR(ComponentVisibility[[#This Row],[Force True]],AND(ComponentVisibility[[#This Row],[Program True]],NOT(ComponentVisibility[[#This Row],[Force False]])))</f>
        <v>0</v>
      </c>
      <c r="H123" s="258" t="s">
        <v>603</v>
      </c>
      <c r="I123" s="1030" t="b">
        <f>vmCApplication="Yes"</f>
        <v>0</v>
      </c>
      <c r="J123" s="278"/>
      <c r="K123" s="278" t="b">
        <f>SUMPRODUCT(ComponentVisibility[[#This Row],[IIG]:[HHC]],IsPrograms)&gt;0</f>
        <v>0</v>
      </c>
      <c r="L123" s="257"/>
      <c r="M123" s="257"/>
      <c r="N123" s="257"/>
      <c r="O123" s="257"/>
      <c r="P123" s="896"/>
      <c r="Q123" s="257"/>
      <c r="R123" s="263"/>
      <c r="S123" s="263"/>
      <c r="T123" s="263"/>
      <c r="U123" s="263"/>
      <c r="V123" s="263"/>
      <c r="W123" s="263"/>
      <c r="X123" s="263"/>
    </row>
    <row r="124" spans="1:24" ht="18" customHeight="1">
      <c r="A124" s="663"/>
      <c r="B124" s="683" t="s">
        <v>589</v>
      </c>
      <c r="C124" s="277">
        <f>ROW(Scoring!A181)</f>
        <v>181</v>
      </c>
      <c r="D124" s="1546">
        <f>ROW(Scoring!A181)</f>
        <v>181</v>
      </c>
      <c r="E124" s="1546"/>
      <c r="F124" s="1546"/>
      <c r="G124" s="895" t="b">
        <f>OR(ComponentVisibility[[#This Row],[Force True]],AND(ComponentVisibility[[#This Row],[Program True]],NOT(ComponentVisibility[[#This Row],[Force False]])))</f>
        <v>0</v>
      </c>
      <c r="H124" s="258" t="s">
        <v>604</v>
      </c>
      <c r="I124" s="1030" t="b">
        <f>vmAICP="Yes"</f>
        <v>0</v>
      </c>
      <c r="J124" s="278"/>
      <c r="K124" s="278" t="b">
        <f>SUMPRODUCT(ComponentVisibility[[#This Row],[IIG]:[HHC]],IsPrograms)&gt;0</f>
        <v>0</v>
      </c>
      <c r="L124" s="257"/>
      <c r="M124" s="257"/>
      <c r="N124" s="257"/>
      <c r="O124" s="257"/>
      <c r="P124" s="896"/>
      <c r="Q124" s="257"/>
      <c r="R124" s="263"/>
      <c r="S124" s="263"/>
      <c r="T124" s="263"/>
      <c r="U124" s="263"/>
      <c r="V124" s="263"/>
      <c r="W124" s="263"/>
      <c r="X124" s="263"/>
    </row>
    <row r="125" spans="1:24" ht="18" customHeight="1">
      <c r="A125" s="663"/>
      <c r="B125" s="683" t="s">
        <v>589</v>
      </c>
      <c r="C125" s="277">
        <f>ROW(Scoring!A207)</f>
        <v>207</v>
      </c>
      <c r="D125" s="1546">
        <f>ROW(Scoring!A207)</f>
        <v>207</v>
      </c>
      <c r="E125" s="1546"/>
      <c r="F125" s="1546"/>
      <c r="G125" s="895" t="b">
        <f>OR(ComponentVisibility[[#This Row],[Force True]],AND(ComponentVisibility[[#This Row],[Program True]],NOT(ComponentVisibility[[#This Row],[Force False]])))</f>
        <v>0</v>
      </c>
      <c r="H125" s="258" t="s">
        <v>567</v>
      </c>
      <c r="I125" s="278" t="b">
        <f>vmRural="Yes"</f>
        <v>0</v>
      </c>
      <c r="J125" s="278"/>
      <c r="K125" s="278" t="b">
        <f>SUMPRODUCT(ComponentVisibility[[#This Row],[IIG]:[HHC]],IsPrograms)&gt;0</f>
        <v>0</v>
      </c>
      <c r="L125" s="257"/>
      <c r="M125" s="257"/>
      <c r="N125" s="257"/>
      <c r="O125" s="257"/>
      <c r="P125" s="896"/>
      <c r="Q125" s="257"/>
      <c r="R125" s="263"/>
      <c r="S125" s="263"/>
      <c r="T125" s="263"/>
      <c r="U125" s="263"/>
      <c r="V125" s="263"/>
      <c r="W125" s="263"/>
      <c r="X125" s="263"/>
    </row>
    <row r="126" spans="1:24" ht="18" customHeight="1">
      <c r="A126" s="663"/>
      <c r="B126" s="683" t="s">
        <v>589</v>
      </c>
      <c r="C126" s="277">
        <f>ROW(Scoring!A208)</f>
        <v>208</v>
      </c>
      <c r="D126" s="1546">
        <f>ROW(Scoring!A208)</f>
        <v>208</v>
      </c>
      <c r="E126" s="1546"/>
      <c r="F126" s="1546"/>
      <c r="G126" s="895" t="b">
        <f>OR(ComponentVisibility[[#This Row],[Force True]],AND(ComponentVisibility[[#This Row],[Program True]],NOT(ComponentVisibility[[#This Row],[Force False]])))</f>
        <v>1</v>
      </c>
      <c r="H126" s="258" t="s">
        <v>605</v>
      </c>
      <c r="I126" s="278" t="b">
        <f>vmRural="No"</f>
        <v>1</v>
      </c>
      <c r="J126" s="278"/>
      <c r="K126" s="278" t="b">
        <f>SUMPRODUCT(ComponentVisibility[[#This Row],[IIG]:[HHC]],IsPrograms)&gt;0</f>
        <v>0</v>
      </c>
      <c r="L126" s="257"/>
      <c r="M126" s="257"/>
      <c r="N126" s="257"/>
      <c r="O126" s="257"/>
      <c r="P126" s="896"/>
      <c r="Q126" s="257"/>
      <c r="R126" s="263"/>
      <c r="S126" s="263"/>
      <c r="T126" s="263"/>
      <c r="U126" s="263"/>
      <c r="V126" s="263"/>
      <c r="W126" s="263"/>
      <c r="X126" s="263"/>
    </row>
    <row r="127" spans="1:24" ht="18" customHeight="1">
      <c r="A127" s="663"/>
      <c r="B127" s="683" t="s">
        <v>589</v>
      </c>
      <c r="C127" s="277">
        <f>ROW(Scoring!A218)</f>
        <v>218</v>
      </c>
      <c r="D127" s="1546">
        <f>ROW(Scoring!A218)</f>
        <v>218</v>
      </c>
      <c r="E127" s="1546"/>
      <c r="F127" s="1546"/>
      <c r="G127" s="267" t="b">
        <f>OR(ComponentVisibility[[#This Row],[Force True]],AND(ComponentVisibility[[#This Row],[Program True]],NOT(ComponentVisibility[[#This Row],[Force False]])))</f>
        <v>0</v>
      </c>
      <c r="H127" s="258" t="s">
        <v>606</v>
      </c>
      <c r="I127" s="278" t="b">
        <f>vmExcessSurplus="Yes"</f>
        <v>0</v>
      </c>
      <c r="J127" s="257"/>
      <c r="K127" s="278" t="b">
        <f>SUMPRODUCT(ComponentVisibility[[#This Row],[IIG]:[HHC]],IsPrograms)&gt;0</f>
        <v>0</v>
      </c>
      <c r="L127" s="257"/>
      <c r="M127" s="257"/>
      <c r="N127" s="257"/>
      <c r="O127" s="257"/>
      <c r="P127" s="896"/>
      <c r="Q127" s="257"/>
      <c r="R127" s="263"/>
      <c r="S127" s="263"/>
      <c r="T127" s="263"/>
      <c r="U127" s="263"/>
      <c r="V127" s="263"/>
      <c r="W127" s="263"/>
      <c r="X127" s="263"/>
    </row>
    <row r="128" spans="1:24" ht="18" customHeight="1">
      <c r="A128" s="663"/>
      <c r="B128" s="683" t="s">
        <v>589</v>
      </c>
      <c r="C128" s="277">
        <f>ROW(Scoring!A222)</f>
        <v>222</v>
      </c>
      <c r="D128" s="1546">
        <f>ROW(Scoring!A222)</f>
        <v>222</v>
      </c>
      <c r="E128" s="1546"/>
      <c r="F128" s="1546"/>
      <c r="G128" s="895" t="b">
        <f>OR(ComponentVisibility[[#This Row],[Force True]],AND(ComponentVisibility[[#This Row],[Program True]],NOT(ComponentVisibility[[#This Row],[Force False]])))</f>
        <v>0</v>
      </c>
      <c r="H128" s="258" t="s">
        <v>607</v>
      </c>
      <c r="I128" s="278" t="b">
        <f>vmTAL="Yes"</f>
        <v>0</v>
      </c>
      <c r="J128" s="278"/>
      <c r="K128" s="278" t="b">
        <f>SUMPRODUCT(ComponentVisibility[[#This Row],[IIG]:[HHC]],IsPrograms)&gt;0</f>
        <v>0</v>
      </c>
      <c r="L128" s="257"/>
      <c r="M128" s="257"/>
      <c r="N128" s="257"/>
      <c r="O128" s="257"/>
      <c r="P128" s="896"/>
      <c r="Q128" s="257"/>
      <c r="R128" s="263"/>
      <c r="S128" s="263"/>
      <c r="T128" s="263"/>
      <c r="U128" s="263"/>
      <c r="V128" s="263"/>
      <c r="W128" s="263"/>
      <c r="X128" s="263"/>
    </row>
    <row r="129" spans="1:24" ht="18" customHeight="1">
      <c r="A129" s="663"/>
      <c r="B129" s="683" t="s">
        <v>589</v>
      </c>
      <c r="C129" s="277">
        <f>ROW(Scoring!A244)</f>
        <v>244</v>
      </c>
      <c r="D129" s="1546">
        <f>ROW(Scoring!A244)</f>
        <v>244</v>
      </c>
      <c r="E129" s="1546"/>
      <c r="F129" s="1546"/>
      <c r="G129" s="895" t="b">
        <f>OR(ComponentVisibility[[#This Row],[Force True]],AND(ComponentVisibility[[#This Row],[Program True]],NOT(ComponentVisibility[[#This Row],[Force False]])))</f>
        <v>0</v>
      </c>
      <c r="H129" s="258" t="s">
        <v>608</v>
      </c>
      <c r="I129" s="1030" t="b">
        <f>vmBroadbandA="Yes"</f>
        <v>0</v>
      </c>
      <c r="J129" s="278"/>
      <c r="K129" s="278" t="b">
        <f>SUMPRODUCT(ComponentVisibility[[#This Row],[IIG]:[HHC]],IsPrograms)&gt;0</f>
        <v>0</v>
      </c>
      <c r="L129" s="257"/>
      <c r="M129" s="257"/>
      <c r="N129" s="257"/>
      <c r="O129" s="257"/>
      <c r="P129" s="896"/>
      <c r="Q129" s="257"/>
      <c r="R129" s="263"/>
      <c r="S129" s="263"/>
      <c r="T129" s="263"/>
      <c r="U129" s="263"/>
      <c r="V129" s="263"/>
      <c r="W129" s="263"/>
      <c r="X129" s="263"/>
    </row>
    <row r="130" spans="1:24" ht="18" customHeight="1">
      <c r="B130" s="683" t="s">
        <v>589</v>
      </c>
      <c r="C130" s="277">
        <f>ROW(Scoring!A248)</f>
        <v>248</v>
      </c>
      <c r="D130" s="1546">
        <f>ROW(Scoring!A248)</f>
        <v>248</v>
      </c>
      <c r="E130" s="1546"/>
      <c r="F130" s="1546"/>
      <c r="G130" s="895" t="b">
        <f>OR(ComponentVisibility[[#This Row],[Force True]],AND(ComponentVisibility[[#This Row],[Program True]],NOT(ComponentVisibility[[#This Row],[Force False]])))</f>
        <v>0</v>
      </c>
      <c r="H130" s="258" t="s">
        <v>609</v>
      </c>
      <c r="I130" s="278" t="b">
        <f>vmSustainableCS="Yes"</f>
        <v>0</v>
      </c>
      <c r="J130" s="278"/>
      <c r="K130" s="278" t="b">
        <f>SUMPRODUCT(ComponentVisibility[[#This Row],[IIG]:[HHC]],IsPrograms)&gt;0</f>
        <v>0</v>
      </c>
      <c r="L130" s="257"/>
      <c r="M130" s="257"/>
      <c r="N130" s="257"/>
      <c r="O130" s="257"/>
      <c r="P130" s="896"/>
      <c r="Q130" s="1030"/>
      <c r="R130" s="263"/>
      <c r="S130" s="263"/>
      <c r="T130" s="263"/>
      <c r="U130" s="263"/>
      <c r="V130" s="263"/>
      <c r="W130" s="263"/>
      <c r="X130" s="263"/>
    </row>
    <row r="131" spans="1:24" ht="18" customHeight="1">
      <c r="B131" s="683" t="s">
        <v>589</v>
      </c>
      <c r="C131" s="277">
        <f>ROW(Scoring!A251)</f>
        <v>251</v>
      </c>
      <c r="D131" s="1546">
        <f>ROW(Scoring!A251)</f>
        <v>251</v>
      </c>
      <c r="E131" s="1445"/>
      <c r="F131" s="1445"/>
      <c r="G131" s="719" t="b">
        <f>OR(ComponentVisibility[[#This Row],[Force True]],AND(ComponentVisibility[[#This Row],[Program True]],NOT(ComponentVisibility[[#This Row],[Force False]])))</f>
        <v>0</v>
      </c>
      <c r="H131" s="258" t="s">
        <v>610</v>
      </c>
      <c r="I131" s="278" t="b">
        <f>vmRegionalPlan="Yes"</f>
        <v>0</v>
      </c>
      <c r="J131" s="267"/>
      <c r="K131" s="267" t="b">
        <f>SUMPRODUCT(ComponentVisibility[[#This Row],[IIG]:[HHC]],IsPrograms)&gt;0</f>
        <v>0</v>
      </c>
      <c r="L131" s="268"/>
      <c r="M131" s="268"/>
      <c r="N131" s="268"/>
      <c r="O131" s="268"/>
      <c r="P131" s="284"/>
      <c r="Q131" s="1148"/>
      <c r="R131" s="263"/>
      <c r="S131" s="263"/>
      <c r="T131" s="263"/>
      <c r="U131" s="263"/>
      <c r="V131" s="263"/>
      <c r="W131" s="263"/>
      <c r="X131" s="263"/>
    </row>
    <row r="132" spans="1:24" ht="18" customHeight="1">
      <c r="B132" s="683" t="s">
        <v>589</v>
      </c>
      <c r="C132" s="277">
        <f>ROW(Scoring!A254)</f>
        <v>254</v>
      </c>
      <c r="D132" s="1546">
        <f>ROW(Scoring!A254)</f>
        <v>254</v>
      </c>
      <c r="E132" s="1546"/>
      <c r="F132" s="1546"/>
      <c r="G132" s="895" t="b">
        <f>OR(ComponentVisibility[[#This Row],[Force True]],AND(ComponentVisibility[[#This Row],[Program True]],NOT(ComponentVisibility[[#This Row],[Force False]])))</f>
        <v>0</v>
      </c>
      <c r="H132" s="258" t="s">
        <v>611</v>
      </c>
      <c r="I132" s="1030" t="b">
        <f>vmTPA="Yes"</f>
        <v>0</v>
      </c>
      <c r="J132" s="278"/>
      <c r="K132" s="278" t="b">
        <f>SUMPRODUCT(ComponentVisibility[[#This Row],[IIG]:[HHC]],IsPrograms)&gt;0</f>
        <v>0</v>
      </c>
      <c r="L132" s="257"/>
      <c r="M132" s="257"/>
      <c r="N132" s="257"/>
      <c r="O132" s="257"/>
      <c r="P132" s="896"/>
      <c r="Q132" s="1030"/>
      <c r="R132" s="263"/>
      <c r="S132" s="263"/>
      <c r="T132" s="263"/>
      <c r="U132" s="263"/>
      <c r="V132" s="263"/>
      <c r="W132" s="263"/>
      <c r="X132" s="263"/>
    </row>
    <row r="133" spans="1:24" ht="18" customHeight="1">
      <c r="B133" s="683" t="s">
        <v>589</v>
      </c>
      <c r="C133" s="277">
        <f>ROW(Scoring!A257)</f>
        <v>257</v>
      </c>
      <c r="D133" s="1546">
        <f>ROW(Scoring!A257)</f>
        <v>257</v>
      </c>
      <c r="E133" s="1445"/>
      <c r="F133" s="1445"/>
      <c r="G133" s="719" t="b">
        <f>OR(ComponentVisibility[[#This Row],[Force True]],AND(ComponentVisibility[[#This Row],[Program True]],NOT(ComponentVisibility[[#This Row],[Force False]])))</f>
        <v>0</v>
      </c>
      <c r="H133" s="258" t="s">
        <v>612</v>
      </c>
      <c r="I133" s="278" t="b">
        <f>IF(OR(vmGreenBuilding="N/A",vmGreenBuilding=""),FALSE,TRUE)</f>
        <v>0</v>
      </c>
      <c r="J133" s="267"/>
      <c r="K133" s="267" t="b">
        <f>SUMPRODUCT(ComponentVisibility[[#This Row],[IIG]:[HHC]],IsPrograms)&gt;0</f>
        <v>0</v>
      </c>
      <c r="L133" s="268"/>
      <c r="M133" s="268"/>
      <c r="N133" s="268"/>
      <c r="O133" s="268"/>
      <c r="P133" s="284"/>
      <c r="Q133" s="1148"/>
      <c r="R133" s="263"/>
      <c r="S133" s="263"/>
      <c r="T133" s="263"/>
      <c r="U133" s="263"/>
      <c r="V133" s="263"/>
      <c r="W133" s="263"/>
      <c r="X133" s="263"/>
    </row>
    <row r="134" spans="1:24" ht="18" customHeight="1">
      <c r="B134" s="683" t="s">
        <v>589</v>
      </c>
      <c r="C134" s="277">
        <f>ROW(Scoring!A260)</f>
        <v>260</v>
      </c>
      <c r="D134" s="1546">
        <f>ROW(Scoring!A260)</f>
        <v>260</v>
      </c>
      <c r="E134" s="1445"/>
      <c r="F134" s="1445"/>
      <c r="G134" s="719" t="b">
        <f>OR(ComponentVisibility[[#This Row],[Force True]],AND(ComponentVisibility[[#This Row],[Program True]],NOT(ComponentVisibility[[#This Row],[Force False]])))</f>
        <v>0</v>
      </c>
      <c r="H134" s="258" t="s">
        <v>613</v>
      </c>
      <c r="I134" s="278" t="b">
        <f>vmElectricDesign="Yes"</f>
        <v>0</v>
      </c>
      <c r="J134" s="267"/>
      <c r="K134" s="267" t="b">
        <f>SUMPRODUCT(ComponentVisibility[[#This Row],[IIG]:[HHC]],IsPrograms)&gt;0</f>
        <v>0</v>
      </c>
      <c r="L134" s="268"/>
      <c r="M134" s="268"/>
      <c r="N134" s="268"/>
      <c r="O134" s="268"/>
      <c r="P134" s="284"/>
      <c r="Q134" s="720"/>
      <c r="R134" s="264"/>
      <c r="S134" s="264"/>
      <c r="T134" s="264"/>
      <c r="U134" s="264"/>
      <c r="V134" s="264"/>
      <c r="W134" s="264"/>
      <c r="X134" s="264"/>
    </row>
    <row r="135" spans="1:24" ht="18" customHeight="1">
      <c r="B135" s="683" t="s">
        <v>589</v>
      </c>
      <c r="C135" s="277">
        <f>ROW(Scoring!A263)</f>
        <v>263</v>
      </c>
      <c r="D135" s="1546">
        <f>ROW(Scoring!A263)</f>
        <v>263</v>
      </c>
      <c r="E135" s="1445"/>
      <c r="F135" s="1445"/>
      <c r="G135" s="719" t="b">
        <f>OR(ComponentVisibility[[#This Row],[Force True]],AND(ComponentVisibility[[#This Row],[Program True]],NOT(ComponentVisibility[[#This Row],[Force False]])))</f>
        <v>0</v>
      </c>
      <c r="H135" s="258" t="s">
        <v>614</v>
      </c>
      <c r="I135" s="278" t="b">
        <f>vmElectricPowered="Yes"</f>
        <v>0</v>
      </c>
      <c r="J135" s="267"/>
      <c r="K135" s="267" t="b">
        <f>SUMPRODUCT(ComponentVisibility[[#This Row],[IIG]:[HHC]],IsPrograms)&gt;0</f>
        <v>0</v>
      </c>
      <c r="L135" s="268"/>
      <c r="M135" s="268"/>
      <c r="N135" s="268"/>
      <c r="O135" s="268"/>
      <c r="P135" s="284"/>
      <c r="Q135" s="268"/>
    </row>
    <row r="136" spans="1:24" ht="18" customHeight="1">
      <c r="B136" s="683" t="s">
        <v>589</v>
      </c>
      <c r="C136" s="277">
        <f>ROW(Scoring!B273)</f>
        <v>273</v>
      </c>
      <c r="D136" s="1546">
        <f>ROW(Scoring!A275)</f>
        <v>275</v>
      </c>
      <c r="E136" s="1546"/>
      <c r="F136" s="1546"/>
      <c r="G136" s="895" t="b">
        <f>OR(ComponentVisibility[[#This Row],[Force True]],AND(ComponentVisibility[[#This Row],[Program True]],NOT(ComponentVisibility[[#This Row],[Force False]])))</f>
        <v>1</v>
      </c>
      <c r="H136" s="258" t="s">
        <v>615</v>
      </c>
      <c r="I136" s="1030" t="b">
        <f>IF(OR(IsVhhp,IsIig,IsSerna),TRUE,FALSE)</f>
        <v>1</v>
      </c>
      <c r="J136" s="278"/>
      <c r="K136" s="278" t="b">
        <f>SUMPRODUCT(ComponentVisibility[[#This Row],[IIG]:[HHC]],IsPrograms)&gt;0</f>
        <v>0</v>
      </c>
      <c r="L136" s="257"/>
      <c r="M136" s="257"/>
      <c r="N136" s="257"/>
      <c r="O136" s="257"/>
      <c r="P136" s="896"/>
      <c r="Q136" s="257"/>
    </row>
    <row r="137" spans="1:24" ht="18" customHeight="1">
      <c r="B137" s="683" t="s">
        <v>589</v>
      </c>
      <c r="C137" s="277">
        <f>ROW(Scoring!A276)</f>
        <v>276</v>
      </c>
      <c r="D137" s="1546">
        <f>ROW(Scoring!A345)</f>
        <v>345</v>
      </c>
      <c r="E137" s="1546"/>
      <c r="F137" s="1546"/>
      <c r="G137" s="895" t="b">
        <f>OR(ComponentVisibility[[#This Row],[Force True]],AND(ComponentVisibility[[#This Row],[Program True]],NOT(ComponentVisibility[[#This Row],[Force False]])))</f>
        <v>0</v>
      </c>
      <c r="H137" s="258" t="s">
        <v>616</v>
      </c>
      <c r="I137" s="1030" t="b">
        <f>IsVhhp</f>
        <v>0</v>
      </c>
      <c r="J137" s="278"/>
      <c r="K137" s="278" t="b">
        <f>SUMPRODUCT(ComponentVisibility[[#This Row],[IIG]:[HHC]],IsPrograms)&gt;0</f>
        <v>0</v>
      </c>
      <c r="L137" s="257"/>
      <c r="M137" s="257"/>
      <c r="N137" s="257"/>
      <c r="O137" s="257"/>
      <c r="P137" s="896"/>
      <c r="Q137" s="257"/>
    </row>
    <row r="138" spans="1:24" ht="18" customHeight="1">
      <c r="B138" s="683" t="s">
        <v>589</v>
      </c>
      <c r="C138" s="277">
        <f>ROW(Scoring!A297)</f>
        <v>297</v>
      </c>
      <c r="D138" s="1546">
        <f>ROW(Scoring!A327)</f>
        <v>327</v>
      </c>
      <c r="E138" s="1546"/>
      <c r="F138" s="1546"/>
      <c r="G138" s="895" t="b">
        <f>OR(ComponentVisibility[[#This Row],[Force True]],AND(ComponentVisibility[[#This Row],[Program True]],NOT(ComponentVisibility[[#This Row],[Force False]])))</f>
        <v>1</v>
      </c>
      <c r="H138" s="258" t="s">
        <v>617</v>
      </c>
      <c r="I138" s="1030" t="b">
        <f>IF(OR(IsSH,IsTH),TRUE,FALSE)</f>
        <v>1</v>
      </c>
      <c r="J138" s="278"/>
      <c r="K138" s="278" t="b">
        <f>SUMPRODUCT(ComponentVisibility[[#This Row],[IIG]:[HHC]],IsPrograms)&gt;0</f>
        <v>0</v>
      </c>
      <c r="L138" s="257"/>
      <c r="M138" s="257"/>
      <c r="N138" s="257"/>
      <c r="O138" s="257"/>
      <c r="P138" s="896"/>
      <c r="Q138" s="257"/>
    </row>
    <row r="139" spans="1:24" ht="18" customHeight="1">
      <c r="B139" s="683" t="s">
        <v>589</v>
      </c>
      <c r="C139" s="277">
        <f>ROW(Scoring!A346)</f>
        <v>346</v>
      </c>
      <c r="D139" s="1546">
        <f>ROW(Scoring!A353)</f>
        <v>353</v>
      </c>
      <c r="E139" s="1146"/>
      <c r="F139" s="1146"/>
      <c r="G139" s="1147" t="b">
        <f>OR(ComponentVisibility[[#This Row],[Force True]],AND(ComponentVisibility[[#This Row],[Program True]],NOT(ComponentVisibility[[#This Row],[Force False]])))</f>
        <v>1</v>
      </c>
      <c r="H139" s="258" t="s">
        <v>618</v>
      </c>
      <c r="I139" s="1148" t="b">
        <f>IsSerna</f>
        <v>1</v>
      </c>
      <c r="J139" s="1149"/>
      <c r="K139" s="1149" t="b">
        <f>SUMPRODUCT(ComponentVisibility[[#This Row],[IIG]:[HHC]],IsPrograms)&gt;0</f>
        <v>0</v>
      </c>
      <c r="L139" s="1150"/>
      <c r="M139" s="1150"/>
      <c r="N139" s="1150"/>
      <c r="O139" s="1150"/>
      <c r="P139" s="1151"/>
      <c r="Q139" s="1150"/>
    </row>
    <row r="140" spans="1:24" ht="18" customHeight="1">
      <c r="B140" s="683" t="s">
        <v>589</v>
      </c>
      <c r="C140" s="277">
        <f>ROW(Scoring!A354)</f>
        <v>354</v>
      </c>
      <c r="D140" s="1546">
        <f>ROW(Scoring!A376)</f>
        <v>376</v>
      </c>
      <c r="E140" s="1146"/>
      <c r="F140" s="1146"/>
      <c r="G140" s="1147" t="b">
        <f>OR(ComponentVisibility[[#This Row],[Force True]],AND(ComponentVisibility[[#This Row],[Program True]],NOT(ComponentVisibility[[#This Row],[Force False]])))</f>
        <v>1</v>
      </c>
      <c r="H140" s="258" t="s">
        <v>619</v>
      </c>
      <c r="I140" s="1148" t="b">
        <f>IsIig</f>
        <v>1</v>
      </c>
      <c r="J140" s="1149"/>
      <c r="K140" s="1149" t="b">
        <f>SUMPRODUCT(ComponentVisibility[[#This Row],[IIG]:[HHC]],IsPrograms)&gt;0</f>
        <v>0</v>
      </c>
      <c r="L140" s="1150"/>
      <c r="M140" s="1150"/>
      <c r="N140" s="1150"/>
      <c r="O140" s="1150"/>
      <c r="P140" s="1151"/>
      <c r="Q140" s="1150"/>
    </row>
    <row r="141" spans="1:24" ht="18" customHeight="1">
      <c r="B141" s="683" t="s">
        <v>589</v>
      </c>
      <c r="C141" s="277">
        <f>ROW(Scoring!A369)</f>
        <v>369</v>
      </c>
      <c r="D141" s="1546">
        <f>ROW(Scoring!A369)</f>
        <v>369</v>
      </c>
      <c r="E141" s="1146"/>
      <c r="F141" s="1146"/>
      <c r="G141" s="1147" t="b">
        <f>OR(ComponentVisibility[[#This Row],[Force True]],AND(ComponentVisibility[[#This Row],[Program True]],NOT(ComponentVisibility[[#This Row],[Force False]])))</f>
        <v>1</v>
      </c>
      <c r="H141" s="258" t="s">
        <v>620</v>
      </c>
      <c r="I141" s="1148" t="b">
        <f>vmProhousing="Yes"</f>
        <v>1</v>
      </c>
      <c r="J141" s="1149"/>
      <c r="K141" s="1149" t="b">
        <f>SUMPRODUCT(ComponentVisibility[[#This Row],[IIG]:[HHC]],IsPrograms)&gt;0</f>
        <v>0</v>
      </c>
      <c r="L141" s="1150"/>
      <c r="M141" s="1150"/>
      <c r="N141" s="1150"/>
      <c r="O141" s="1150"/>
      <c r="P141" s="1151"/>
      <c r="Q141" s="1150"/>
    </row>
    <row r="142" spans="1:24" ht="18" customHeight="1">
      <c r="B142" s="683" t="s">
        <v>589</v>
      </c>
      <c r="C142" s="277">
        <f>ROW(Scoring!A370)</f>
        <v>370</v>
      </c>
      <c r="D142" s="1546">
        <f>ROW(Scoring!A375)</f>
        <v>375</v>
      </c>
      <c r="E142" s="1445"/>
      <c r="F142" s="1445"/>
      <c r="G142" s="719" t="b">
        <f>OR(ComponentVisibility[[#This Row],[Force True]],AND(ComponentVisibility[[#This Row],[Program True]],NOT(ComponentVisibility[[#This Row],[Force False]])))</f>
        <v>0</v>
      </c>
      <c r="H142" s="258" t="s">
        <v>621</v>
      </c>
      <c r="I142" s="1148" t="b">
        <f>vmProhousing="No"</f>
        <v>0</v>
      </c>
      <c r="J142" s="267"/>
      <c r="K142" s="267" t="b">
        <f>SUMPRODUCT(ComponentVisibility[[#This Row],[IIG]:[HHC]],IsPrograms)&gt;0</f>
        <v>0</v>
      </c>
      <c r="L142" s="268"/>
      <c r="M142" s="268"/>
      <c r="N142" s="268"/>
      <c r="O142" s="268"/>
      <c r="P142" s="284"/>
      <c r="Q142" s="268"/>
    </row>
  </sheetData>
  <mergeCells count="4">
    <mergeCell ref="I2:J3"/>
    <mergeCell ref="C3:D3"/>
    <mergeCell ref="E3:F3"/>
    <mergeCell ref="L2:Q2"/>
  </mergeCells>
  <conditionalFormatting sqref="L3:P3 R4:AB17 L18:Q112">
    <cfRule type="cellIs" dxfId="1089" priority="65" operator="equal">
      <formula>1</formula>
    </cfRule>
  </conditionalFormatting>
  <conditionalFormatting sqref="I5:I28 I33:I142 J29:J32 G5:G112 K5:K106">
    <cfRule type="cellIs" dxfId="1088" priority="64" operator="equal">
      <formula>TRUE</formula>
    </cfRule>
  </conditionalFormatting>
  <conditionalFormatting sqref="Q3">
    <cfRule type="cellIs" dxfId="1087" priority="16" operator="equal">
      <formula>1</formula>
    </cfRule>
  </conditionalFormatting>
  <conditionalFormatting sqref="Q113:Q126">
    <cfRule type="cellIs" dxfId="1086" priority="9" operator="equal">
      <formula>1</formula>
    </cfRule>
  </conditionalFormatting>
  <conditionalFormatting sqref="L113:P126">
    <cfRule type="cellIs" dxfId="1085" priority="11" operator="equal">
      <formula>1</formula>
    </cfRule>
  </conditionalFormatting>
  <conditionalFormatting sqref="G113:G126 K113:K126">
    <cfRule type="cellIs" dxfId="1084" priority="10" operator="equal">
      <formula>TRUE</formula>
    </cfRule>
  </conditionalFormatting>
  <conditionalFormatting sqref="Q127:Q129">
    <cfRule type="cellIs" dxfId="1083" priority="6" operator="equal">
      <formula>1</formula>
    </cfRule>
  </conditionalFormatting>
  <conditionalFormatting sqref="L127:P129">
    <cfRule type="cellIs" dxfId="1082" priority="8" operator="equal">
      <formula>1</formula>
    </cfRule>
  </conditionalFormatting>
  <conditionalFormatting sqref="G127:G129 K127:K129">
    <cfRule type="cellIs" dxfId="1081" priority="7" operator="equal">
      <formula>TRUE</formula>
    </cfRule>
  </conditionalFormatting>
  <pageMargins left="0.7" right="0.7" top="0.75" bottom="0.75" header="0.3" footer="0.3"/>
  <pageSetup orientation="portrait" r:id="rId1"/>
  <ignoredErrors>
    <ignoredError sqref="I58:I89 I12:I17 I106:I142 I5:I11 I29:I32" calculatedColumn="1"/>
    <ignoredError sqref="C30" formula="1"/>
  </ignoredErrors>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B1:AO42"/>
  <sheetViews>
    <sheetView showGridLines="0" zoomScaleNormal="100" workbookViewId="0"/>
  </sheetViews>
  <sheetFormatPr defaultColWidth="10.33203125" defaultRowHeight="15" customHeight="1"/>
  <cols>
    <col min="1" max="1" width="5.6640625" style="27" customWidth="1"/>
    <col min="2" max="39" width="4.109375" style="27" customWidth="1"/>
    <col min="40" max="16384" width="10.33203125" style="27"/>
  </cols>
  <sheetData>
    <row r="1" spans="2:40" ht="15" customHeight="1">
      <c r="B1" s="1686"/>
      <c r="C1" s="1686"/>
      <c r="D1" s="1686"/>
      <c r="E1" s="1686"/>
      <c r="F1" s="1686"/>
      <c r="G1" s="1686"/>
      <c r="H1" s="1686"/>
      <c r="I1" s="1686"/>
      <c r="J1" s="1686"/>
      <c r="K1" s="1686"/>
      <c r="L1" s="1686"/>
      <c r="M1" s="1686"/>
      <c r="N1" s="1686"/>
      <c r="O1" s="1686"/>
      <c r="P1" s="1686"/>
      <c r="Q1" s="1686"/>
      <c r="R1" s="1686"/>
      <c r="S1" s="1686"/>
      <c r="T1" s="1686"/>
      <c r="U1" s="1686"/>
      <c r="V1" s="1686"/>
      <c r="W1" s="1686"/>
      <c r="X1" s="1686"/>
      <c r="Y1" s="1686"/>
      <c r="Z1" s="1686"/>
      <c r="AA1" s="1686"/>
      <c r="AB1" s="1686"/>
      <c r="AC1" s="1686"/>
      <c r="AD1" s="1686"/>
      <c r="AE1" s="1686"/>
      <c r="AF1" s="1686"/>
      <c r="AG1" s="1686"/>
      <c r="AH1" s="1686"/>
      <c r="AI1" s="1686"/>
      <c r="AJ1" s="1686"/>
      <c r="AK1" s="1686"/>
      <c r="AL1" s="1686"/>
      <c r="AM1" s="1686"/>
    </row>
    <row r="2" spans="2:40" ht="45" customHeight="1">
      <c r="B2" s="1691" t="s">
        <v>622</v>
      </c>
      <c r="C2" s="1691"/>
      <c r="D2" s="1691"/>
      <c r="E2" s="1691"/>
      <c r="F2" s="1691"/>
      <c r="G2" s="1691"/>
      <c r="H2" s="1691"/>
      <c r="I2" s="1691"/>
      <c r="J2" s="1691"/>
      <c r="K2" s="1691"/>
      <c r="L2" s="1691"/>
      <c r="M2" s="1691"/>
      <c r="N2" s="1691"/>
      <c r="O2" s="1691"/>
      <c r="P2" s="1691"/>
      <c r="Q2" s="1691"/>
      <c r="R2" s="1691"/>
      <c r="S2" s="1691"/>
      <c r="T2" s="1691"/>
      <c r="U2" s="1691"/>
      <c r="V2" s="1691"/>
      <c r="W2" s="1691"/>
      <c r="X2" s="1691"/>
      <c r="Y2" s="1691"/>
      <c r="Z2" s="1691"/>
      <c r="AA2" s="1691"/>
      <c r="AB2" s="1691"/>
      <c r="AC2" s="1691"/>
      <c r="AD2" s="1691"/>
      <c r="AE2" s="1691"/>
      <c r="AF2" s="1691"/>
      <c r="AG2" s="1691"/>
      <c r="AH2" s="1691"/>
      <c r="AI2" s="1691"/>
      <c r="AJ2" s="1691"/>
      <c r="AK2" s="1691"/>
      <c r="AL2" s="1691"/>
      <c r="AM2" s="1691"/>
    </row>
    <row r="3" spans="2:40" ht="42" customHeight="1">
      <c r="B3" s="1692" t="s">
        <v>623</v>
      </c>
      <c r="C3" s="1692"/>
      <c r="D3" s="1692"/>
      <c r="E3" s="1692"/>
      <c r="F3" s="1692"/>
      <c r="G3" s="1692"/>
      <c r="H3" s="1692"/>
      <c r="I3" s="1692"/>
      <c r="J3" s="1692"/>
      <c r="K3" s="1692"/>
      <c r="L3" s="1692"/>
      <c r="M3" s="1692"/>
      <c r="N3" s="1692"/>
      <c r="O3" s="1692"/>
      <c r="P3" s="1692"/>
      <c r="Q3" s="1692"/>
      <c r="R3" s="1692"/>
      <c r="S3" s="1692"/>
      <c r="T3" s="1692"/>
      <c r="U3" s="1692"/>
      <c r="V3" s="1692"/>
      <c r="W3" s="1692"/>
      <c r="X3" s="1692"/>
      <c r="Y3" s="1692"/>
      <c r="Z3" s="1692"/>
      <c r="AA3" s="1692"/>
      <c r="AB3" s="1692"/>
      <c r="AC3" s="1692"/>
      <c r="AD3" s="1692"/>
      <c r="AE3" s="1692"/>
      <c r="AF3" s="1692"/>
      <c r="AG3" s="1692"/>
      <c r="AH3" s="1692"/>
      <c r="AI3" s="1692"/>
      <c r="AJ3" s="1692"/>
      <c r="AK3" s="1692"/>
      <c r="AL3" s="1692"/>
      <c r="AM3" s="1692"/>
    </row>
    <row r="4" spans="2:40" ht="30" customHeight="1">
      <c r="B4" s="1693" t="s">
        <v>624</v>
      </c>
      <c r="C4" s="1693"/>
      <c r="D4" s="1693"/>
      <c r="E4" s="1693"/>
      <c r="F4" s="1693"/>
      <c r="G4" s="1693"/>
      <c r="H4" s="1693"/>
      <c r="I4" s="1693"/>
      <c r="J4" s="1693"/>
      <c r="K4" s="1693"/>
      <c r="L4" s="1693"/>
      <c r="M4" s="1693"/>
      <c r="N4" s="1693"/>
      <c r="O4" s="1693"/>
      <c r="P4" s="1693"/>
      <c r="Q4" s="1693"/>
      <c r="R4" s="1693"/>
      <c r="S4" s="1693"/>
      <c r="T4" s="1693"/>
      <c r="U4" s="1693"/>
      <c r="V4" s="1693"/>
      <c r="W4" s="1693"/>
      <c r="X4" s="1693"/>
      <c r="Y4" s="1693"/>
      <c r="Z4" s="1693"/>
      <c r="AA4" s="1693"/>
      <c r="AB4" s="1693"/>
      <c r="AC4" s="1693"/>
      <c r="AD4" s="1693"/>
      <c r="AE4" s="1693"/>
      <c r="AF4" s="1693"/>
      <c r="AG4" s="1693"/>
      <c r="AH4" s="1693"/>
      <c r="AI4" s="1693"/>
      <c r="AJ4" s="1693"/>
      <c r="AK4" s="1693"/>
      <c r="AL4" s="1693"/>
      <c r="AM4" s="1693"/>
      <c r="AN4" s="216"/>
    </row>
    <row r="5" spans="2:40" ht="15" customHeight="1">
      <c r="B5" s="28"/>
      <c r="C5" s="28"/>
      <c r="D5" s="28"/>
      <c r="E5" s="28"/>
      <c r="F5" s="28"/>
      <c r="G5" s="28"/>
      <c r="H5" s="28"/>
      <c r="I5" s="28"/>
      <c r="J5" s="28"/>
      <c r="K5" s="28"/>
      <c r="L5" s="28"/>
      <c r="M5" s="28"/>
      <c r="N5" s="28"/>
      <c r="O5" s="28"/>
      <c r="P5" s="28"/>
      <c r="Q5" s="28"/>
      <c r="R5" s="28"/>
      <c r="S5" s="28"/>
      <c r="T5" s="28"/>
      <c r="U5" s="28"/>
      <c r="V5" s="28"/>
      <c r="W5" s="28"/>
      <c r="X5" s="28"/>
      <c r="Y5" s="29"/>
      <c r="Z5" s="29"/>
      <c r="AA5" s="29"/>
    </row>
    <row r="6" spans="2:40" ht="15" customHeight="1">
      <c r="B6" s="29"/>
      <c r="C6" s="29"/>
      <c r="D6" s="29"/>
      <c r="E6" s="29"/>
      <c r="F6" s="29"/>
      <c r="G6" s="29"/>
      <c r="H6" s="29"/>
      <c r="I6" s="29"/>
      <c r="J6" s="29"/>
      <c r="K6" s="29"/>
      <c r="L6" s="29"/>
      <c r="M6" s="29"/>
      <c r="N6" s="29"/>
      <c r="O6" s="29"/>
      <c r="P6" s="29"/>
      <c r="Q6" s="29"/>
      <c r="R6" s="29"/>
      <c r="S6" s="29"/>
      <c r="T6" s="29"/>
      <c r="U6" s="29"/>
      <c r="V6" s="29"/>
      <c r="W6" s="29"/>
      <c r="X6" s="29"/>
      <c r="Y6" s="29"/>
      <c r="Z6" s="29"/>
      <c r="AA6" s="29"/>
    </row>
    <row r="7" spans="2:40" ht="15" customHeight="1">
      <c r="B7" s="29"/>
      <c r="C7" s="29"/>
      <c r="D7" s="29"/>
      <c r="E7" s="29"/>
      <c r="F7" s="29"/>
      <c r="G7" s="29"/>
      <c r="H7" s="29"/>
      <c r="I7" s="29"/>
      <c r="J7" s="29"/>
      <c r="K7" s="29"/>
      <c r="L7" s="29"/>
      <c r="M7" s="29"/>
      <c r="N7" s="29"/>
      <c r="O7" s="29"/>
      <c r="P7" s="29"/>
      <c r="Q7" s="29"/>
      <c r="R7" s="29"/>
      <c r="S7" s="29"/>
      <c r="T7" s="29"/>
      <c r="U7" s="29"/>
      <c r="V7" s="29"/>
      <c r="W7" s="29"/>
      <c r="X7" s="29"/>
      <c r="Y7" s="29"/>
      <c r="Z7" s="29"/>
      <c r="AA7" s="29"/>
    </row>
    <row r="8" spans="2:40" ht="15" customHeight="1">
      <c r="B8" s="29"/>
      <c r="C8" s="29"/>
      <c r="D8" s="29"/>
      <c r="E8" s="29"/>
      <c r="F8" s="29"/>
      <c r="G8" s="29"/>
      <c r="H8" s="29"/>
      <c r="I8" s="29"/>
      <c r="J8" s="29"/>
      <c r="K8" s="29"/>
      <c r="L8" s="29"/>
      <c r="M8" s="29"/>
      <c r="N8" s="29"/>
      <c r="O8" s="29"/>
      <c r="P8" s="29"/>
      <c r="Q8" s="29"/>
      <c r="R8" s="29"/>
      <c r="S8" s="29"/>
      <c r="T8" s="29"/>
      <c r="U8" s="29"/>
      <c r="V8" s="29"/>
      <c r="W8" s="29"/>
      <c r="X8" s="29"/>
      <c r="Y8" s="29"/>
      <c r="Z8" s="29"/>
      <c r="AA8" s="29"/>
    </row>
    <row r="9" spans="2:40" ht="15" customHeight="1">
      <c r="B9" s="29"/>
      <c r="C9" s="29"/>
      <c r="D9" s="29"/>
      <c r="E9" s="29"/>
      <c r="F9" s="29"/>
      <c r="G9" s="29"/>
      <c r="H9" s="29"/>
      <c r="I9" s="29"/>
      <c r="J9" s="29"/>
      <c r="K9" s="29"/>
      <c r="L9" s="29"/>
      <c r="M9" s="29"/>
      <c r="N9" s="29"/>
      <c r="O9" s="29"/>
      <c r="P9" s="29"/>
      <c r="Q9" s="29"/>
      <c r="R9" s="29"/>
      <c r="S9" s="29"/>
      <c r="T9" s="29"/>
      <c r="U9" s="29"/>
      <c r="V9" s="29"/>
      <c r="W9" s="29"/>
      <c r="X9" s="29"/>
      <c r="Y9" s="29"/>
      <c r="Z9" s="29"/>
      <c r="AA9" s="29"/>
    </row>
    <row r="10" spans="2:40" ht="15" customHeight="1">
      <c r="B10" s="29"/>
      <c r="C10" s="29"/>
      <c r="D10" s="29"/>
      <c r="E10" s="29"/>
      <c r="F10" s="29"/>
      <c r="G10" s="29"/>
      <c r="H10" s="29"/>
      <c r="I10" s="29"/>
      <c r="J10" s="29"/>
      <c r="K10" s="29"/>
      <c r="L10" s="29"/>
      <c r="M10" s="29"/>
      <c r="N10" s="29"/>
      <c r="O10" s="29"/>
      <c r="P10" s="29"/>
      <c r="Q10" s="29"/>
      <c r="R10" s="29"/>
      <c r="S10" s="29"/>
      <c r="T10" s="29"/>
      <c r="U10" s="29"/>
      <c r="V10" s="29"/>
      <c r="W10" s="29"/>
      <c r="X10" s="29"/>
      <c r="Y10" s="29"/>
      <c r="Z10" s="29"/>
      <c r="AA10" s="29"/>
    </row>
    <row r="11" spans="2:40" ht="15" customHeight="1">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row>
    <row r="12" spans="2:40" ht="15" customHeight="1">
      <c r="B12" s="29"/>
      <c r="C12" s="29"/>
      <c r="D12" s="29"/>
      <c r="E12" s="29"/>
      <c r="F12" s="29"/>
      <c r="G12" s="29"/>
      <c r="H12" s="29"/>
      <c r="I12" s="29"/>
      <c r="J12" s="29"/>
      <c r="K12" s="29"/>
      <c r="L12" s="29"/>
      <c r="M12" s="29"/>
      <c r="N12" s="29"/>
      <c r="O12" s="29"/>
      <c r="P12" s="29"/>
      <c r="Q12" s="29"/>
      <c r="R12" s="29"/>
      <c r="S12" s="29"/>
      <c r="T12" s="29"/>
      <c r="U12" s="29"/>
      <c r="V12" s="29"/>
      <c r="W12" s="29"/>
      <c r="X12" s="29"/>
      <c r="Y12" s="29"/>
      <c r="Z12" s="29"/>
      <c r="AA12" s="29"/>
    </row>
    <row r="13" spans="2:40" ht="15" customHeight="1">
      <c r="B13" s="29"/>
      <c r="C13" s="29"/>
      <c r="D13" s="29"/>
      <c r="E13" s="29"/>
      <c r="F13" s="29"/>
      <c r="G13" s="29"/>
      <c r="H13" s="29"/>
      <c r="I13" s="29"/>
      <c r="J13" s="29"/>
      <c r="K13" s="29"/>
      <c r="L13" s="29"/>
      <c r="M13" s="29"/>
      <c r="N13" s="29"/>
      <c r="O13" s="29"/>
      <c r="P13" s="29"/>
      <c r="Q13" s="29"/>
      <c r="R13" s="29"/>
      <c r="S13" s="29"/>
      <c r="T13" s="29"/>
      <c r="U13" s="29"/>
      <c r="V13" s="29"/>
      <c r="W13" s="29"/>
      <c r="X13" s="29"/>
      <c r="Y13" s="29"/>
      <c r="Z13" s="29"/>
      <c r="AA13" s="29"/>
    </row>
    <row r="14" spans="2:40" ht="15" customHeight="1">
      <c r="B14" s="29"/>
      <c r="C14" s="29"/>
      <c r="D14" s="29"/>
      <c r="E14" s="29"/>
      <c r="F14" s="29"/>
      <c r="G14" s="29"/>
      <c r="H14" s="29"/>
      <c r="I14" s="29"/>
      <c r="J14" s="29"/>
      <c r="K14" s="29"/>
      <c r="L14" s="29"/>
      <c r="M14" s="29"/>
      <c r="N14" s="29"/>
      <c r="O14" s="29"/>
      <c r="P14" s="29"/>
      <c r="Q14" s="29"/>
      <c r="R14" s="29"/>
      <c r="S14" s="29"/>
      <c r="T14" s="29"/>
      <c r="U14" s="29"/>
      <c r="V14" s="29"/>
      <c r="W14" s="29"/>
      <c r="X14" s="29"/>
      <c r="Y14" s="29"/>
      <c r="Z14" s="29"/>
      <c r="AA14" s="29"/>
    </row>
    <row r="15" spans="2:40" ht="15" customHeight="1">
      <c r="B15" s="29"/>
      <c r="C15" s="29"/>
      <c r="D15" s="29"/>
      <c r="E15" s="29"/>
      <c r="F15" s="29"/>
      <c r="G15" s="29"/>
      <c r="H15" s="29"/>
      <c r="I15" s="29"/>
      <c r="J15" s="29"/>
      <c r="K15" s="29"/>
      <c r="L15" s="29"/>
      <c r="M15" s="29"/>
      <c r="N15" s="29"/>
      <c r="O15" s="29"/>
      <c r="P15" s="29"/>
      <c r="Q15" s="29"/>
      <c r="R15" s="29"/>
      <c r="S15" s="29"/>
      <c r="T15" s="29"/>
      <c r="U15" s="29"/>
      <c r="V15" s="29"/>
      <c r="W15" s="29"/>
      <c r="X15" s="29"/>
      <c r="Y15" s="29"/>
      <c r="Z15" s="29"/>
      <c r="AA15" s="29"/>
    </row>
    <row r="16" spans="2:40" ht="15" customHeight="1">
      <c r="B16" s="29"/>
      <c r="C16" s="29"/>
      <c r="D16" s="29"/>
      <c r="E16" s="29"/>
      <c r="F16" s="29"/>
      <c r="G16" s="29"/>
      <c r="H16" s="29"/>
      <c r="I16" s="29"/>
      <c r="J16" s="29"/>
      <c r="K16" s="29"/>
      <c r="L16" s="29"/>
      <c r="M16" s="29"/>
      <c r="N16" s="29"/>
      <c r="O16" s="29"/>
      <c r="P16" s="29"/>
      <c r="Q16" s="29"/>
      <c r="R16" s="29"/>
      <c r="S16" s="29"/>
      <c r="T16" s="29"/>
      <c r="U16" s="29"/>
      <c r="V16" s="29"/>
      <c r="W16" s="29"/>
      <c r="X16" s="29"/>
      <c r="Y16" s="29"/>
      <c r="Z16" s="29"/>
      <c r="AA16" s="29"/>
    </row>
    <row r="17" spans="2:39" ht="15" customHeight="1">
      <c r="B17" s="29"/>
      <c r="C17" s="29"/>
      <c r="D17" s="29"/>
      <c r="E17" s="29"/>
      <c r="F17" s="29"/>
      <c r="G17" s="29"/>
      <c r="H17" s="29"/>
      <c r="I17" s="29"/>
      <c r="J17" s="29"/>
      <c r="K17" s="29"/>
      <c r="L17" s="29"/>
      <c r="M17" s="29"/>
      <c r="N17" s="29"/>
      <c r="O17" s="29"/>
      <c r="P17" s="29"/>
      <c r="Q17" s="29"/>
      <c r="R17" s="29"/>
      <c r="S17" s="29"/>
      <c r="T17" s="29"/>
      <c r="U17" s="29"/>
      <c r="V17" s="29"/>
      <c r="W17" s="29"/>
      <c r="X17" s="29"/>
      <c r="Y17" s="29"/>
      <c r="Z17" s="29"/>
      <c r="AA17" s="29"/>
    </row>
    <row r="18" spans="2:39" ht="15" customHeight="1">
      <c r="B18" s="29"/>
      <c r="C18" s="29"/>
      <c r="D18" s="29"/>
      <c r="E18" s="29"/>
      <c r="F18" s="29"/>
      <c r="G18" s="29"/>
      <c r="H18" s="29"/>
      <c r="I18" s="29"/>
      <c r="J18" s="29"/>
      <c r="K18" s="29"/>
      <c r="L18" s="29"/>
      <c r="M18" s="29"/>
      <c r="N18" s="29"/>
      <c r="O18" s="29"/>
      <c r="P18" s="29"/>
      <c r="Q18" s="29"/>
      <c r="R18" s="29"/>
      <c r="S18" s="29"/>
      <c r="T18" s="29"/>
      <c r="U18" s="29"/>
      <c r="V18" s="29"/>
      <c r="W18" s="29"/>
      <c r="X18" s="29"/>
      <c r="Y18" s="29"/>
      <c r="Z18" s="29"/>
      <c r="AA18" s="29"/>
    </row>
    <row r="19" spans="2:39" ht="15" customHeight="1">
      <c r="B19" s="29"/>
      <c r="C19" s="29"/>
      <c r="D19" s="29"/>
      <c r="E19" s="29"/>
      <c r="F19" s="29"/>
      <c r="G19" s="29"/>
      <c r="H19" s="29"/>
      <c r="I19" s="29"/>
      <c r="J19" s="29"/>
      <c r="K19" s="29"/>
      <c r="L19" s="29"/>
      <c r="M19" s="29"/>
      <c r="N19" s="29"/>
      <c r="O19" s="29"/>
      <c r="P19" s="29"/>
      <c r="Q19" s="29"/>
      <c r="R19" s="29"/>
      <c r="S19" s="29"/>
      <c r="T19" s="29"/>
      <c r="U19" s="29"/>
      <c r="V19" s="29"/>
      <c r="W19" s="29"/>
      <c r="X19" s="29"/>
      <c r="Y19" s="29"/>
      <c r="Z19" s="29"/>
      <c r="AA19" s="29"/>
    </row>
    <row r="20" spans="2:39" ht="15" customHeight="1">
      <c r="B20" s="29"/>
      <c r="C20" s="29"/>
      <c r="D20" s="29"/>
      <c r="E20" s="29"/>
      <c r="F20" s="29"/>
      <c r="G20" s="29"/>
      <c r="H20" s="29"/>
      <c r="I20" s="29"/>
      <c r="J20" s="29"/>
      <c r="K20" s="29"/>
      <c r="L20" s="29"/>
      <c r="M20" s="29"/>
      <c r="N20" s="29"/>
      <c r="O20" s="29"/>
      <c r="P20" s="29"/>
      <c r="Q20" s="29"/>
      <c r="R20" s="29"/>
      <c r="S20" s="29"/>
      <c r="T20" s="29"/>
      <c r="U20" s="29"/>
      <c r="V20" s="29"/>
      <c r="W20" s="29"/>
      <c r="X20" s="29"/>
      <c r="Y20" s="29"/>
      <c r="Z20" s="29"/>
      <c r="AA20" s="29"/>
    </row>
    <row r="21" spans="2:39" ht="15" customHeight="1">
      <c r="B21" s="29"/>
      <c r="C21" s="29"/>
      <c r="D21" s="29"/>
      <c r="E21" s="29"/>
      <c r="F21" s="29"/>
      <c r="G21" s="29"/>
      <c r="H21" s="29"/>
      <c r="I21" s="29"/>
      <c r="J21" s="29"/>
      <c r="K21" s="29"/>
      <c r="L21" s="29"/>
      <c r="M21" s="29"/>
      <c r="N21" s="29"/>
      <c r="O21" s="29"/>
      <c r="P21" s="29"/>
      <c r="Q21" s="29"/>
      <c r="R21" s="29"/>
      <c r="S21" s="29"/>
      <c r="T21" s="29"/>
      <c r="U21" s="29"/>
      <c r="V21" s="29"/>
      <c r="W21" s="29"/>
      <c r="X21" s="29"/>
      <c r="Y21" s="29"/>
      <c r="Z21" s="29"/>
      <c r="AA21" s="29"/>
    </row>
    <row r="22" spans="2:39" ht="30" customHeight="1">
      <c r="B22" s="1687" t="s">
        <v>625</v>
      </c>
      <c r="C22" s="1687"/>
      <c r="D22" s="1687"/>
      <c r="E22" s="1687"/>
      <c r="F22" s="1687"/>
      <c r="G22" s="1687"/>
      <c r="H22" s="1687"/>
      <c r="I22" s="1687"/>
      <c r="J22" s="1687"/>
      <c r="K22" s="1687"/>
      <c r="L22" s="1687"/>
      <c r="M22" s="1687"/>
      <c r="N22" s="1687"/>
      <c r="O22" s="1687"/>
      <c r="P22" s="1687"/>
      <c r="Q22" s="1687"/>
      <c r="R22" s="1687"/>
      <c r="S22" s="1687"/>
      <c r="T22" s="1687"/>
      <c r="U22" s="1687"/>
      <c r="V22" s="1687"/>
      <c r="W22" s="1687"/>
      <c r="X22" s="1687"/>
      <c r="Y22" s="1687"/>
      <c r="Z22" s="1687"/>
      <c r="AA22" s="1687"/>
      <c r="AB22" s="1687"/>
      <c r="AC22" s="1687"/>
      <c r="AD22" s="1687"/>
      <c r="AE22" s="1687"/>
      <c r="AF22" s="1687"/>
      <c r="AG22" s="1687"/>
      <c r="AH22" s="1687"/>
      <c r="AI22" s="1687"/>
      <c r="AJ22" s="1687"/>
      <c r="AK22" s="1687"/>
      <c r="AL22" s="1687"/>
      <c r="AM22" s="1687"/>
    </row>
    <row r="23" spans="2:39" ht="30" customHeight="1">
      <c r="B23" s="1688" t="s">
        <v>626</v>
      </c>
      <c r="C23" s="1688"/>
      <c r="D23" s="1688"/>
      <c r="E23" s="1688"/>
      <c r="F23" s="1688"/>
      <c r="G23" s="1688"/>
      <c r="H23" s="1688"/>
      <c r="I23" s="1688"/>
      <c r="J23" s="1688"/>
      <c r="K23" s="1688"/>
      <c r="L23" s="1688"/>
      <c r="M23" s="1688"/>
      <c r="N23" s="1688"/>
      <c r="O23" s="1688"/>
      <c r="P23" s="1688"/>
      <c r="Q23" s="1688"/>
      <c r="R23" s="1688"/>
      <c r="S23" s="1688"/>
      <c r="T23" s="1688"/>
      <c r="U23" s="1688"/>
      <c r="V23" s="1688"/>
      <c r="W23" s="1688"/>
      <c r="X23" s="1688"/>
      <c r="Y23" s="1688"/>
      <c r="Z23" s="1688"/>
      <c r="AA23" s="1688"/>
      <c r="AB23" s="1688"/>
      <c r="AC23" s="1688"/>
      <c r="AD23" s="1688"/>
      <c r="AE23" s="1688"/>
      <c r="AF23" s="1688"/>
      <c r="AG23" s="1688"/>
      <c r="AH23" s="1688"/>
      <c r="AI23" s="1688"/>
      <c r="AJ23" s="1688"/>
      <c r="AK23" s="1688"/>
      <c r="AL23" s="1688"/>
      <c r="AM23" s="1688"/>
    </row>
    <row r="24" spans="2:39" ht="15" customHeight="1">
      <c r="B24" s="30"/>
      <c r="C24" s="30"/>
      <c r="D24" s="30"/>
      <c r="E24" s="30"/>
      <c r="F24" s="30"/>
      <c r="G24" s="30"/>
      <c r="H24" s="30"/>
      <c r="I24" s="30"/>
      <c r="J24" s="30"/>
      <c r="K24" s="30"/>
      <c r="L24" s="30"/>
      <c r="M24" s="30"/>
      <c r="N24" s="30"/>
      <c r="O24" s="30"/>
      <c r="P24" s="30"/>
      <c r="Q24" s="30"/>
      <c r="R24" s="30"/>
      <c r="S24" s="30"/>
      <c r="T24" s="30"/>
      <c r="U24" s="30"/>
      <c r="V24" s="30"/>
      <c r="W24" s="29"/>
      <c r="X24" s="29"/>
      <c r="Y24" s="29"/>
      <c r="Z24" s="29"/>
      <c r="AA24" s="29"/>
    </row>
    <row r="25" spans="2:39" ht="30" customHeight="1">
      <c r="B25" s="1689" t="s">
        <v>627</v>
      </c>
      <c r="C25" s="1689"/>
      <c r="D25" s="1689"/>
      <c r="E25" s="1689"/>
      <c r="F25" s="1689"/>
      <c r="G25" s="1689"/>
      <c r="H25" s="1689"/>
      <c r="I25" s="1689"/>
      <c r="J25" s="1689"/>
      <c r="K25" s="1689"/>
      <c r="L25" s="1689"/>
      <c r="M25" s="1689"/>
      <c r="N25" s="1689"/>
      <c r="O25" s="1689"/>
      <c r="P25" s="1689"/>
      <c r="Q25" s="1689"/>
      <c r="R25" s="1689"/>
      <c r="S25" s="1689"/>
      <c r="T25" s="1689"/>
      <c r="U25" s="1689"/>
      <c r="V25" s="1689"/>
      <c r="W25" s="1689"/>
      <c r="X25" s="1689"/>
      <c r="Y25" s="1689"/>
      <c r="Z25" s="1689"/>
      <c r="AA25" s="1689"/>
      <c r="AB25" s="1689"/>
      <c r="AC25" s="1689"/>
      <c r="AD25" s="1689"/>
      <c r="AE25" s="1689"/>
      <c r="AF25" s="1689"/>
      <c r="AG25" s="1689"/>
      <c r="AH25" s="1689"/>
      <c r="AI25" s="1689"/>
      <c r="AJ25" s="1689"/>
      <c r="AK25" s="1689"/>
      <c r="AL25" s="1689"/>
      <c r="AM25" s="1689"/>
    </row>
    <row r="26" spans="2:39" ht="30" customHeight="1">
      <c r="B26" s="1690" t="s">
        <v>628</v>
      </c>
      <c r="C26" s="1690"/>
      <c r="D26" s="1690"/>
      <c r="E26" s="1690"/>
      <c r="F26" s="1690"/>
      <c r="G26" s="1690"/>
      <c r="H26" s="1690"/>
      <c r="I26" s="1690"/>
      <c r="J26" s="1690"/>
      <c r="K26" s="1690"/>
      <c r="L26" s="1690"/>
      <c r="M26" s="1690"/>
      <c r="N26" s="1690"/>
      <c r="O26" s="1690"/>
      <c r="P26" s="1690"/>
      <c r="Q26" s="1690"/>
      <c r="R26" s="1690"/>
      <c r="S26" s="1690"/>
      <c r="T26" s="1690"/>
      <c r="U26" s="1690"/>
      <c r="V26" s="1690"/>
      <c r="W26" s="1690"/>
      <c r="X26" s="1690"/>
      <c r="Y26" s="1690"/>
      <c r="Z26" s="1690"/>
      <c r="AA26" s="1690"/>
      <c r="AB26" s="1690"/>
      <c r="AC26" s="1690"/>
      <c r="AD26" s="1690"/>
      <c r="AE26" s="1690"/>
      <c r="AF26" s="1690"/>
      <c r="AG26" s="1690"/>
      <c r="AH26" s="1690"/>
      <c r="AI26" s="1690"/>
      <c r="AJ26" s="1690"/>
      <c r="AK26" s="1690"/>
      <c r="AL26" s="1690"/>
      <c r="AM26" s="1690"/>
    </row>
    <row r="27" spans="2:39" ht="15" customHeight="1">
      <c r="B27" s="30"/>
      <c r="C27" s="30"/>
      <c r="D27" s="30"/>
      <c r="E27" s="30"/>
      <c r="F27" s="30"/>
      <c r="G27" s="30"/>
      <c r="H27" s="30"/>
      <c r="I27" s="30"/>
      <c r="J27" s="30"/>
      <c r="K27" s="30"/>
      <c r="L27" s="30"/>
      <c r="M27" s="30"/>
      <c r="N27" s="30"/>
      <c r="O27" s="30"/>
      <c r="P27" s="30"/>
      <c r="Q27" s="30"/>
      <c r="R27" s="30"/>
      <c r="S27" s="30"/>
      <c r="T27" s="30"/>
      <c r="U27" s="30"/>
      <c r="V27" s="30"/>
      <c r="W27" s="29"/>
      <c r="X27" s="29"/>
      <c r="Y27" s="29"/>
      <c r="Z27" s="29"/>
      <c r="AA27" s="29"/>
    </row>
    <row r="28" spans="2:39" ht="30" customHeight="1">
      <c r="B28" s="1689" t="s">
        <v>629</v>
      </c>
      <c r="C28" s="1689"/>
      <c r="D28" s="1689"/>
      <c r="E28" s="1689"/>
      <c r="F28" s="1689"/>
      <c r="G28" s="1689"/>
      <c r="H28" s="1689"/>
      <c r="I28" s="1689"/>
      <c r="J28" s="1689"/>
      <c r="K28" s="1689"/>
      <c r="L28" s="1689"/>
      <c r="M28" s="1689"/>
      <c r="N28" s="1689"/>
      <c r="O28" s="1689"/>
      <c r="P28" s="1689"/>
      <c r="Q28" s="1689"/>
      <c r="R28" s="1689"/>
      <c r="S28" s="1689"/>
      <c r="T28" s="1689"/>
      <c r="U28" s="1689"/>
      <c r="V28" s="1689"/>
      <c r="W28" s="1689"/>
      <c r="X28" s="1689"/>
      <c r="Y28" s="1689"/>
      <c r="Z28" s="1689"/>
      <c r="AA28" s="1689"/>
      <c r="AB28" s="1689"/>
      <c r="AC28" s="1689"/>
      <c r="AD28" s="1689"/>
      <c r="AE28" s="1689"/>
      <c r="AF28" s="1689"/>
      <c r="AG28" s="1689"/>
      <c r="AH28" s="1689"/>
      <c r="AI28" s="1689"/>
      <c r="AJ28" s="1689"/>
      <c r="AK28" s="1689"/>
      <c r="AL28" s="1689"/>
      <c r="AM28" s="1689"/>
    </row>
    <row r="29" spans="2:39" ht="30" customHeight="1">
      <c r="B29" s="1690" t="s">
        <v>630</v>
      </c>
      <c r="C29" s="1690"/>
      <c r="D29" s="1690"/>
      <c r="E29" s="1690"/>
      <c r="F29" s="1690"/>
      <c r="G29" s="1690"/>
      <c r="H29" s="1690"/>
      <c r="I29" s="1690"/>
      <c r="J29" s="1690"/>
      <c r="K29" s="1690"/>
      <c r="L29" s="1690"/>
      <c r="M29" s="1690"/>
      <c r="N29" s="1690"/>
      <c r="O29" s="1690"/>
      <c r="P29" s="1690"/>
      <c r="Q29" s="1690"/>
      <c r="R29" s="1690"/>
      <c r="S29" s="1690"/>
      <c r="T29" s="1690"/>
      <c r="U29" s="1690"/>
      <c r="V29" s="1690"/>
      <c r="W29" s="1690"/>
      <c r="X29" s="1690"/>
      <c r="Y29" s="1690"/>
      <c r="Z29" s="1690"/>
      <c r="AA29" s="1690"/>
      <c r="AB29" s="1690"/>
      <c r="AC29" s="1690"/>
      <c r="AD29" s="1690"/>
      <c r="AE29" s="1690"/>
      <c r="AF29" s="1690"/>
      <c r="AG29" s="1690"/>
      <c r="AH29" s="1690"/>
      <c r="AI29" s="1690"/>
      <c r="AJ29" s="1690"/>
      <c r="AK29" s="1690"/>
      <c r="AL29" s="1690"/>
      <c r="AM29" s="1690"/>
    </row>
    <row r="30" spans="2:39" ht="15" customHeight="1">
      <c r="B30" s="1446"/>
      <c r="C30" s="1446"/>
      <c r="D30" s="1446"/>
      <c r="E30" s="1446"/>
      <c r="F30" s="1446"/>
      <c r="G30" s="1446"/>
      <c r="H30" s="1446"/>
      <c r="I30" s="1446"/>
      <c r="J30" s="1446"/>
      <c r="K30" s="1446"/>
      <c r="L30" s="1446"/>
      <c r="M30" s="1446"/>
      <c r="N30" s="1446"/>
      <c r="O30" s="1446"/>
      <c r="P30" s="1446"/>
      <c r="Q30" s="1446"/>
      <c r="R30" s="1446"/>
      <c r="S30" s="1446"/>
      <c r="T30" s="1446"/>
      <c r="U30" s="1446"/>
      <c r="V30" s="1446"/>
      <c r="W30" s="1446"/>
      <c r="X30" s="1446"/>
      <c r="Y30" s="29"/>
      <c r="Z30" s="29"/>
      <c r="AA30" s="29"/>
    </row>
    <row r="31" spans="2:39" ht="15" customHeight="1">
      <c r="B31" s="30"/>
      <c r="C31" s="30"/>
      <c r="D31" s="30"/>
      <c r="E31" s="30"/>
      <c r="F31" s="30"/>
      <c r="G31" s="30"/>
      <c r="H31" s="30"/>
      <c r="I31" s="30"/>
      <c r="J31" s="30"/>
      <c r="K31" s="30"/>
      <c r="L31" s="30"/>
      <c r="M31" s="30"/>
      <c r="N31" s="30"/>
      <c r="O31" s="30"/>
      <c r="P31" s="30"/>
      <c r="Q31" s="30"/>
      <c r="R31" s="30"/>
      <c r="S31" s="30"/>
      <c r="T31" s="30"/>
      <c r="U31" s="30"/>
      <c r="V31" s="30"/>
      <c r="W31" s="29"/>
      <c r="X31" s="29"/>
      <c r="Y31" s="29"/>
      <c r="Z31" s="29"/>
      <c r="AA31" s="29"/>
    </row>
    <row r="32" spans="2:39" ht="15" customHeight="1">
      <c r="B32" s="1694" t="s">
        <v>631</v>
      </c>
      <c r="C32" s="1694"/>
      <c r="D32" s="1694"/>
      <c r="E32" s="1694"/>
      <c r="F32" s="1694"/>
      <c r="G32" s="1694"/>
      <c r="H32" s="1694"/>
      <c r="I32" s="1694"/>
      <c r="J32" s="1694"/>
      <c r="K32" s="1694"/>
      <c r="L32" s="1694"/>
      <c r="M32" s="1694"/>
      <c r="N32" s="1694"/>
      <c r="O32" s="1694"/>
      <c r="P32" s="1694"/>
      <c r="Q32" s="1694"/>
      <c r="R32" s="1694"/>
      <c r="S32" s="1694"/>
      <c r="T32" s="1694"/>
      <c r="U32" s="1694"/>
      <c r="V32" s="1694"/>
      <c r="W32" s="1694"/>
      <c r="X32" s="1694"/>
      <c r="Y32" s="1694"/>
      <c r="Z32" s="1694"/>
      <c r="AA32" s="1694"/>
      <c r="AB32" s="1694"/>
      <c r="AC32" s="1694"/>
      <c r="AD32" s="1694"/>
      <c r="AE32" s="1694"/>
      <c r="AF32" s="1694"/>
      <c r="AG32" s="1694"/>
      <c r="AH32" s="1694"/>
      <c r="AI32" s="1694"/>
      <c r="AJ32" s="1694"/>
      <c r="AK32" s="1694"/>
      <c r="AL32" s="1694"/>
      <c r="AM32" s="1694"/>
    </row>
    <row r="33" spans="2:41" ht="15" customHeight="1">
      <c r="B33" s="1694" t="s">
        <v>632</v>
      </c>
      <c r="C33" s="1694"/>
      <c r="D33" s="1694"/>
      <c r="E33" s="1694"/>
      <c r="F33" s="1694"/>
      <c r="G33" s="1694"/>
      <c r="H33" s="1694"/>
      <c r="I33" s="1694"/>
      <c r="J33" s="1694"/>
      <c r="K33" s="1694"/>
      <c r="L33" s="1694"/>
      <c r="M33" s="1694"/>
      <c r="N33" s="1694"/>
      <c r="O33" s="1694"/>
      <c r="P33" s="1694"/>
      <c r="Q33" s="1694"/>
      <c r="R33" s="1694"/>
      <c r="S33" s="1694"/>
      <c r="T33" s="1694"/>
      <c r="U33" s="1694"/>
      <c r="V33" s="1694"/>
      <c r="W33" s="1694"/>
      <c r="X33" s="1694"/>
      <c r="Y33" s="1694"/>
      <c r="Z33" s="1694"/>
      <c r="AA33" s="1694"/>
      <c r="AB33" s="1694"/>
      <c r="AC33" s="1694"/>
      <c r="AD33" s="1694"/>
      <c r="AE33" s="1694"/>
      <c r="AF33" s="1694"/>
      <c r="AG33" s="1694"/>
      <c r="AH33" s="1694"/>
      <c r="AI33" s="1694"/>
      <c r="AJ33" s="1694"/>
      <c r="AK33" s="1694"/>
      <c r="AL33" s="1694"/>
      <c r="AM33" s="1694"/>
    </row>
    <row r="34" spans="2:41" ht="15" customHeight="1">
      <c r="B34" s="1694" t="s">
        <v>633</v>
      </c>
      <c r="C34" s="1694"/>
      <c r="D34" s="1694"/>
      <c r="E34" s="1694"/>
      <c r="F34" s="1694"/>
      <c r="G34" s="1694"/>
      <c r="H34" s="1694"/>
      <c r="I34" s="1694"/>
      <c r="J34" s="1694"/>
      <c r="K34" s="1694"/>
      <c r="L34" s="1694"/>
      <c r="M34" s="1694"/>
      <c r="N34" s="1694"/>
      <c r="O34" s="1694"/>
      <c r="P34" s="1694"/>
      <c r="Q34" s="1694"/>
      <c r="R34" s="1694"/>
      <c r="S34" s="1694"/>
      <c r="T34" s="1694"/>
      <c r="U34" s="1694"/>
      <c r="V34" s="1694"/>
      <c r="W34" s="1694"/>
      <c r="X34" s="1694"/>
      <c r="Y34" s="1694"/>
      <c r="Z34" s="1694"/>
      <c r="AA34" s="1694"/>
      <c r="AB34" s="1694"/>
      <c r="AC34" s="1694"/>
      <c r="AD34" s="1694"/>
      <c r="AE34" s="1694"/>
      <c r="AF34" s="1694"/>
      <c r="AG34" s="1694"/>
      <c r="AH34" s="1694"/>
      <c r="AI34" s="1694"/>
      <c r="AJ34" s="1694"/>
      <c r="AK34" s="1694"/>
      <c r="AL34" s="1694"/>
      <c r="AM34" s="1694"/>
    </row>
    <row r="35" spans="2:41" ht="15" customHeight="1">
      <c r="B35" s="1695" t="s">
        <v>634</v>
      </c>
      <c r="C35" s="1695"/>
      <c r="D35" s="1695"/>
      <c r="E35" s="1695"/>
      <c r="F35" s="1695"/>
      <c r="G35" s="1695"/>
      <c r="H35" s="1695"/>
      <c r="I35" s="1695"/>
      <c r="J35" s="1695"/>
      <c r="K35" s="1695"/>
      <c r="L35" s="1695"/>
      <c r="M35" s="1695"/>
      <c r="N35" s="1695"/>
      <c r="O35" s="1695"/>
      <c r="P35" s="1695"/>
      <c r="Q35" s="1695"/>
      <c r="R35" s="1695"/>
      <c r="S35" s="1695"/>
      <c r="T35" s="1695"/>
      <c r="U35" s="1695"/>
      <c r="V35" s="1695"/>
      <c r="W35" s="1695"/>
      <c r="X35" s="1695"/>
      <c r="Y35" s="1695"/>
      <c r="Z35" s="1695"/>
      <c r="AA35" s="1695"/>
      <c r="AB35" s="1695"/>
      <c r="AC35" s="1695"/>
      <c r="AD35" s="1695"/>
      <c r="AE35" s="1695"/>
      <c r="AF35" s="1695"/>
      <c r="AG35" s="1695"/>
      <c r="AH35" s="1695"/>
      <c r="AI35" s="1695"/>
      <c r="AJ35" s="1695"/>
      <c r="AK35" s="1695"/>
      <c r="AL35" s="1695"/>
      <c r="AM35" s="1695"/>
    </row>
    <row r="36" spans="2:41" ht="15" customHeight="1">
      <c r="B36" s="1696" t="s">
        <v>635</v>
      </c>
      <c r="C36" s="1696"/>
      <c r="D36" s="1696"/>
      <c r="E36" s="1696"/>
      <c r="F36" s="1696"/>
      <c r="G36" s="1696"/>
      <c r="H36" s="1696"/>
      <c r="I36" s="1696"/>
      <c r="J36" s="1696"/>
      <c r="K36" s="1696"/>
      <c r="L36" s="1696"/>
      <c r="M36" s="1696"/>
      <c r="N36" s="1696"/>
      <c r="O36" s="1696"/>
      <c r="P36" s="1696"/>
      <c r="Q36" s="1696"/>
      <c r="R36" s="1696"/>
      <c r="S36" s="1696"/>
      <c r="T36" s="1696"/>
      <c r="U36" s="1696"/>
      <c r="V36" s="1696"/>
      <c r="W36" s="1696"/>
      <c r="X36" s="1696"/>
      <c r="Y36" s="1696"/>
      <c r="Z36" s="1696"/>
      <c r="AA36" s="1696"/>
      <c r="AB36" s="1696"/>
      <c r="AC36" s="1696"/>
      <c r="AD36" s="1696"/>
      <c r="AE36" s="1696"/>
      <c r="AF36" s="1696"/>
      <c r="AG36" s="1696"/>
      <c r="AH36" s="1696"/>
      <c r="AI36" s="1696"/>
      <c r="AJ36" s="1696"/>
      <c r="AK36" s="1696"/>
      <c r="AL36" s="1696"/>
      <c r="AM36" s="1696"/>
      <c r="AN36" s="1051"/>
      <c r="AO36" s="27" t="s">
        <v>636</v>
      </c>
    </row>
    <row r="37" spans="2:41" ht="15" customHeight="1">
      <c r="B37" s="29"/>
      <c r="C37" s="29"/>
      <c r="D37" s="29"/>
      <c r="E37" s="29"/>
      <c r="F37" s="29"/>
      <c r="G37" s="29"/>
      <c r="H37" s="29"/>
      <c r="I37" s="29"/>
      <c r="J37" s="29"/>
      <c r="K37" s="29"/>
      <c r="L37" s="29"/>
      <c r="M37" s="29"/>
      <c r="N37" s="29"/>
      <c r="O37" s="29"/>
      <c r="P37" s="29"/>
      <c r="Q37" s="29"/>
      <c r="R37" s="29"/>
      <c r="S37" s="29"/>
      <c r="T37" s="29"/>
      <c r="U37" s="29"/>
      <c r="V37" s="29"/>
      <c r="W37" s="29"/>
      <c r="X37" s="29"/>
      <c r="Y37" s="29"/>
      <c r="Z37" s="29"/>
      <c r="AA37" s="29"/>
    </row>
    <row r="38" spans="2:41" ht="15" customHeight="1">
      <c r="B38" s="29"/>
      <c r="C38" s="29"/>
      <c r="D38" s="29"/>
      <c r="E38" s="29"/>
      <c r="F38" s="29"/>
      <c r="G38" s="29"/>
      <c r="H38" s="29"/>
      <c r="I38" s="29"/>
      <c r="J38" s="29"/>
      <c r="K38" s="29"/>
      <c r="L38" s="29"/>
      <c r="M38" s="29"/>
      <c r="N38" s="29"/>
      <c r="O38" s="29"/>
      <c r="P38" s="29"/>
      <c r="Q38" s="29"/>
      <c r="R38" s="29"/>
      <c r="S38" s="29"/>
      <c r="T38" s="29"/>
      <c r="U38" s="29"/>
      <c r="V38" s="29"/>
      <c r="W38" s="29"/>
      <c r="X38" s="29"/>
      <c r="Y38" s="29"/>
      <c r="Z38" s="29"/>
      <c r="AA38" s="29"/>
    </row>
    <row r="39" spans="2:41" ht="15" customHeight="1">
      <c r="B39" s="29"/>
      <c r="C39" s="29"/>
      <c r="D39" s="29"/>
      <c r="E39" s="29"/>
      <c r="F39" s="29"/>
      <c r="G39" s="29"/>
      <c r="H39" s="29"/>
      <c r="I39" s="29"/>
      <c r="J39" s="29"/>
      <c r="K39" s="29"/>
      <c r="L39" s="29"/>
      <c r="M39" s="29"/>
      <c r="N39" s="29"/>
      <c r="O39" s="29"/>
      <c r="P39" s="29"/>
      <c r="Q39" s="29"/>
      <c r="R39" s="29"/>
      <c r="S39" s="29"/>
      <c r="T39" s="29"/>
      <c r="U39" s="29"/>
      <c r="V39" s="29"/>
      <c r="W39" s="29"/>
      <c r="X39" s="29"/>
      <c r="Y39" s="29"/>
      <c r="Z39" s="29"/>
      <c r="AA39" s="29"/>
    </row>
    <row r="40" spans="2:41" ht="17.399999999999999">
      <c r="B40" s="1697" t="s">
        <v>637</v>
      </c>
      <c r="C40" s="1697"/>
      <c r="D40" s="1697"/>
      <c r="E40" s="1697"/>
      <c r="F40" s="1697"/>
      <c r="G40" s="1697"/>
      <c r="H40" s="1697"/>
      <c r="I40" s="1697"/>
      <c r="J40" s="1697"/>
      <c r="K40" s="1697"/>
      <c r="L40" s="1697"/>
      <c r="M40" s="1697"/>
      <c r="N40" s="1697"/>
      <c r="O40" s="1697"/>
      <c r="P40" s="1697"/>
      <c r="Q40" s="1697"/>
      <c r="R40" s="1697"/>
      <c r="S40" s="1697"/>
      <c r="T40" s="1697"/>
      <c r="U40" s="1697"/>
      <c r="V40" s="1697"/>
      <c r="W40" s="1697"/>
      <c r="X40" s="1697"/>
      <c r="Y40" s="1697"/>
      <c r="Z40" s="1697"/>
      <c r="AA40" s="1697"/>
      <c r="AB40" s="1697"/>
      <c r="AC40" s="1697"/>
      <c r="AD40" s="1697"/>
      <c r="AE40" s="1697"/>
      <c r="AF40" s="1697"/>
      <c r="AG40" s="1697"/>
      <c r="AH40" s="1697"/>
      <c r="AI40" s="1697"/>
      <c r="AJ40" s="1697"/>
      <c r="AK40" s="1697"/>
      <c r="AL40" s="1697"/>
      <c r="AM40" s="1697"/>
      <c r="AN40" s="216"/>
    </row>
    <row r="41" spans="2:41" ht="15" customHeight="1">
      <c r="B41" s="1698" t="s">
        <v>638</v>
      </c>
      <c r="C41" s="1698"/>
      <c r="D41" s="1699">
        <v>44607</v>
      </c>
      <c r="E41" s="1699"/>
      <c r="F41" s="29"/>
      <c r="G41" s="29"/>
      <c r="H41" s="29"/>
      <c r="I41" s="29"/>
      <c r="J41" s="29"/>
      <c r="K41" s="29"/>
      <c r="L41" s="29"/>
      <c r="M41" s="29"/>
      <c r="N41" s="29"/>
      <c r="O41" s="29"/>
      <c r="P41" s="29"/>
      <c r="Q41" s="29"/>
      <c r="R41" s="29"/>
      <c r="S41" s="29"/>
      <c r="T41" s="29"/>
      <c r="U41" s="29"/>
      <c r="V41" s="29"/>
      <c r="W41" s="29"/>
      <c r="X41" s="29"/>
      <c r="Y41" s="29"/>
      <c r="Z41" s="29"/>
      <c r="AA41" s="29"/>
      <c r="AN41" s="216"/>
    </row>
    <row r="42" spans="2:41" ht="15.75" customHeight="1">
      <c r="B42" s="1685" t="s">
        <v>639</v>
      </c>
      <c r="C42" s="1685"/>
      <c r="D42" s="1685"/>
      <c r="E42" s="1685"/>
      <c r="F42" s="1685"/>
      <c r="G42" s="1685"/>
      <c r="H42" s="1685"/>
      <c r="I42" s="1685"/>
      <c r="J42" s="1685"/>
      <c r="K42" s="1685"/>
      <c r="L42" s="1685"/>
      <c r="M42" s="1685"/>
      <c r="N42" s="1685"/>
      <c r="O42" s="1685"/>
      <c r="P42" s="1685"/>
      <c r="Q42" s="1685"/>
      <c r="R42" s="1685"/>
      <c r="S42" s="1685"/>
      <c r="T42" s="1685"/>
      <c r="U42" s="1685"/>
      <c r="V42" s="1685"/>
      <c r="W42" s="1685"/>
      <c r="X42" s="1685"/>
      <c r="Y42" s="1685"/>
      <c r="Z42" s="1685"/>
      <c r="AA42" s="1685"/>
      <c r="AB42" s="1685"/>
      <c r="AC42" s="1685"/>
      <c r="AD42" s="1685"/>
      <c r="AE42" s="1685"/>
      <c r="AF42" s="1685"/>
      <c r="AG42" s="1685"/>
      <c r="AH42" s="1685"/>
      <c r="AI42" s="1685"/>
      <c r="AJ42" s="1685"/>
      <c r="AK42" s="1685"/>
      <c r="AL42" s="1685"/>
      <c r="AM42" s="1685"/>
    </row>
  </sheetData>
  <mergeCells count="19">
    <mergeCell ref="B40:AM40"/>
    <mergeCell ref="B41:C41"/>
    <mergeCell ref="D41:E41"/>
    <mergeCell ref="B42:AM42"/>
    <mergeCell ref="B1:AM1"/>
    <mergeCell ref="B22:AM22"/>
    <mergeCell ref="B23:AM23"/>
    <mergeCell ref="B25:AM25"/>
    <mergeCell ref="B26:AM26"/>
    <mergeCell ref="B2:AM2"/>
    <mergeCell ref="B3:AM3"/>
    <mergeCell ref="B4:AM4"/>
    <mergeCell ref="B28:AM28"/>
    <mergeCell ref="B29:AM29"/>
    <mergeCell ref="B32:AM32"/>
    <mergeCell ref="B33:AM33"/>
    <mergeCell ref="B34:AM34"/>
    <mergeCell ref="B35:AM35"/>
    <mergeCell ref="B36:AM36"/>
  </mergeCells>
  <hyperlinks>
    <hyperlink ref="B36:X36" r:id="rId1" display="Website: http://www.hcd.ca.gov/grants-funding/active-funding/MHP.shtml" xr:uid="{00000000-0004-0000-0300-000000000000}"/>
  </hyperlinks>
  <printOptions horizontalCentered="1"/>
  <pageMargins left="0" right="0.25" top="0" bottom="0" header="0.25" footer="0.25"/>
  <pageSetup scale="67" orientation="portrait" r:id="rId2"/>
  <headerFooter>
    <oddFooter>&amp;L&amp;F&amp;C&amp;P of &amp;N&amp;R &amp;A</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2:AP25"/>
  <sheetViews>
    <sheetView showGridLines="0" zoomScaleNormal="100" workbookViewId="0"/>
  </sheetViews>
  <sheetFormatPr defaultColWidth="9.109375" defaultRowHeight="18" customHeight="1"/>
  <cols>
    <col min="1" max="1" width="5.6640625" style="285" customWidth="1"/>
    <col min="2" max="39" width="4.109375" style="285" customWidth="1"/>
    <col min="40" max="40" width="9.6640625" style="290" customWidth="1"/>
    <col min="41" max="41" width="9.109375" style="285" customWidth="1"/>
    <col min="42" max="42" width="9.109375" style="39" customWidth="1"/>
    <col min="43" max="16384" width="9.109375" style="39"/>
  </cols>
  <sheetData>
    <row r="2" spans="1:42" ht="24" customHeight="1" thickBot="1">
      <c r="B2" s="1700" t="s">
        <v>640</v>
      </c>
      <c r="C2" s="1700"/>
      <c r="D2" s="1700"/>
      <c r="E2" s="1700"/>
      <c r="F2" s="1700"/>
      <c r="G2" s="1700"/>
      <c r="H2" s="1700"/>
      <c r="I2" s="1700"/>
      <c r="J2" s="1700"/>
      <c r="K2" s="1700"/>
      <c r="L2" s="1700"/>
      <c r="M2" s="1700"/>
      <c r="N2" s="1700"/>
      <c r="O2" s="1700"/>
      <c r="P2" s="1700"/>
      <c r="Q2" s="1700"/>
      <c r="R2" s="1700"/>
      <c r="S2" s="1700"/>
      <c r="T2" s="1700"/>
      <c r="U2" s="1700"/>
      <c r="V2" s="1700"/>
      <c r="W2" s="1700"/>
      <c r="X2" s="1700"/>
      <c r="Y2" s="1700"/>
      <c r="Z2" s="1700"/>
      <c r="AA2" s="1700"/>
      <c r="AB2" s="1700"/>
      <c r="AC2" s="1700"/>
      <c r="AD2" s="1700"/>
      <c r="AE2" s="1700"/>
      <c r="AF2" s="1700"/>
      <c r="AG2" s="1700"/>
      <c r="AH2" s="1700"/>
      <c r="AI2" s="1700"/>
      <c r="AJ2" s="1700"/>
      <c r="AK2" s="1700"/>
      <c r="AL2" s="1700"/>
      <c r="AM2" s="1700"/>
      <c r="AN2" s="286"/>
      <c r="AO2" s="39"/>
    </row>
    <row r="3" spans="1:42" ht="18" customHeight="1">
      <c r="B3" s="1296"/>
      <c r="C3" s="1296"/>
      <c r="D3" s="1296"/>
      <c r="E3" s="1296"/>
      <c r="F3" s="1296"/>
      <c r="G3" s="1296"/>
      <c r="H3" s="1297"/>
      <c r="I3" s="1296"/>
      <c r="J3" s="266"/>
      <c r="K3" s="266"/>
      <c r="L3" s="266"/>
      <c r="M3" s="266"/>
      <c r="N3" s="266"/>
      <c r="O3" s="266"/>
      <c r="P3" s="266"/>
      <c r="Q3" s="266"/>
      <c r="R3" s="266"/>
      <c r="S3" s="266"/>
      <c r="T3" s="266"/>
      <c r="U3" s="266"/>
      <c r="V3" s="266"/>
      <c r="W3" s="266"/>
      <c r="X3" s="266"/>
      <c r="Y3" s="266"/>
      <c r="Z3" s="266"/>
      <c r="AA3" s="266"/>
      <c r="AB3" s="266"/>
      <c r="AC3" s="266"/>
      <c r="AD3" s="266"/>
      <c r="AE3" s="266"/>
      <c r="AF3" s="266"/>
      <c r="AG3" s="266"/>
      <c r="AH3" s="1296"/>
      <c r="AI3" s="1296"/>
      <c r="AJ3" s="1296"/>
      <c r="AK3" s="1296"/>
      <c r="AL3" s="1296"/>
      <c r="AM3" s="1298"/>
      <c r="AN3" s="1299"/>
      <c r="AO3" s="1298"/>
      <c r="AP3" s="1298"/>
    </row>
    <row r="4" spans="1:42" ht="36" customHeight="1">
      <c r="B4" s="1701" t="s">
        <v>641</v>
      </c>
      <c r="C4" s="1701"/>
      <c r="D4" s="1701"/>
      <c r="E4" s="1701"/>
      <c r="F4" s="1701"/>
      <c r="G4" s="1701"/>
      <c r="H4" s="1701"/>
      <c r="I4" s="1701"/>
      <c r="J4" s="1701"/>
      <c r="K4" s="1701"/>
      <c r="L4" s="1701"/>
      <c r="M4" s="1701"/>
      <c r="N4" s="1701"/>
      <c r="O4" s="1701"/>
      <c r="P4" s="1701"/>
      <c r="Q4" s="1701"/>
      <c r="R4" s="1701"/>
      <c r="S4" s="1701"/>
      <c r="T4" s="1701"/>
      <c r="U4" s="1701"/>
      <c r="V4" s="1701"/>
      <c r="W4" s="1701"/>
      <c r="X4" s="1701"/>
      <c r="Y4" s="1701"/>
      <c r="Z4" s="1701"/>
      <c r="AA4" s="1701"/>
      <c r="AB4" s="1701"/>
      <c r="AC4" s="1701"/>
      <c r="AD4" s="1701"/>
      <c r="AE4" s="1701"/>
      <c r="AF4" s="1701"/>
      <c r="AG4" s="1701"/>
      <c r="AH4" s="1701"/>
      <c r="AI4" s="1701"/>
      <c r="AJ4" s="1701"/>
      <c r="AK4" s="1701"/>
      <c r="AL4" s="1701"/>
      <c r="AM4" s="1701"/>
      <c r="AN4" s="1299"/>
      <c r="AO4" s="1298"/>
      <c r="AP4" s="1298"/>
    </row>
    <row r="5" spans="1:42" ht="18" customHeight="1" thickBot="1">
      <c r="B5" s="292"/>
      <c r="C5" s="292"/>
      <c r="D5" s="292"/>
      <c r="E5" s="292"/>
      <c r="F5" s="292"/>
      <c r="G5" s="292"/>
      <c r="H5" s="292"/>
      <c r="I5" s="292"/>
      <c r="J5" s="292"/>
      <c r="K5" s="292"/>
      <c r="L5" s="292"/>
      <c r="M5" s="292"/>
      <c r="N5" s="292"/>
      <c r="O5" s="292"/>
      <c r="P5" s="292"/>
      <c r="Q5" s="292"/>
      <c r="R5" s="292"/>
      <c r="S5" s="292"/>
      <c r="T5" s="292"/>
      <c r="U5" s="292"/>
      <c r="V5" s="292"/>
      <c r="W5" s="292"/>
      <c r="X5" s="292"/>
      <c r="Y5" s="292"/>
      <c r="Z5" s="292"/>
      <c r="AA5" s="292"/>
      <c r="AB5" s="292"/>
      <c r="AC5" s="292"/>
      <c r="AD5" s="292"/>
      <c r="AE5" s="292"/>
      <c r="AF5" s="292"/>
      <c r="AG5" s="292"/>
      <c r="AH5" s="292"/>
      <c r="AI5" s="292"/>
      <c r="AJ5" s="292"/>
      <c r="AK5" s="292"/>
      <c r="AL5" s="292"/>
      <c r="AM5" s="292"/>
      <c r="AN5" s="286"/>
      <c r="AO5" s="39"/>
    </row>
    <row r="6" spans="1:42" ht="18" customHeight="1">
      <c r="B6" s="1702" t="s">
        <v>642</v>
      </c>
      <c r="C6" s="1702"/>
      <c r="D6" s="1702"/>
      <c r="E6" s="1702"/>
      <c r="F6" s="1702"/>
      <c r="G6" s="1702"/>
      <c r="H6" s="1702"/>
      <c r="I6" s="1702"/>
      <c r="J6" s="1702"/>
      <c r="K6" s="1702"/>
      <c r="L6" s="1702"/>
      <c r="M6" s="1702"/>
      <c r="N6" s="1702"/>
      <c r="O6" s="1702"/>
      <c r="P6" s="1702"/>
      <c r="Q6" s="1702"/>
      <c r="R6" s="1702"/>
      <c r="S6" s="1702"/>
      <c r="T6" s="1702"/>
      <c r="U6" s="1702"/>
      <c r="V6" s="1702"/>
      <c r="W6" s="1702"/>
      <c r="X6" s="1702"/>
      <c r="Y6" s="1702"/>
      <c r="Z6" s="1702"/>
      <c r="AA6" s="1702"/>
      <c r="AB6" s="1702"/>
      <c r="AC6" s="1702"/>
      <c r="AD6" s="1702"/>
      <c r="AE6" s="1702"/>
      <c r="AF6" s="1702"/>
      <c r="AG6" s="1702"/>
      <c r="AH6" s="1702"/>
      <c r="AI6" s="1702"/>
      <c r="AJ6" s="1702"/>
      <c r="AK6" s="1702"/>
      <c r="AL6" s="1702"/>
      <c r="AM6" s="1702"/>
      <c r="AN6" s="40"/>
      <c r="AO6" s="39"/>
    </row>
    <row r="7" spans="1:42" ht="18" customHeight="1">
      <c r="A7" s="39"/>
      <c r="B7" s="1702" t="s">
        <v>643</v>
      </c>
      <c r="C7" s="1702"/>
      <c r="D7" s="1702"/>
      <c r="E7" s="1702"/>
      <c r="F7" s="1702"/>
      <c r="G7" s="1702"/>
      <c r="H7" s="1702"/>
      <c r="I7" s="1702"/>
      <c r="J7" s="1702"/>
      <c r="K7" s="1702"/>
      <c r="L7" s="1702"/>
      <c r="M7" s="1702"/>
      <c r="N7" s="1702"/>
      <c r="O7" s="1702"/>
      <c r="P7" s="1702"/>
      <c r="Q7" s="1702"/>
      <c r="R7" s="1702"/>
      <c r="S7" s="1702"/>
      <c r="T7" s="1702"/>
      <c r="U7" s="1702"/>
      <c r="V7" s="1702"/>
      <c r="W7" s="1702"/>
      <c r="X7" s="1702"/>
      <c r="Y7" s="1702"/>
      <c r="Z7" s="1712"/>
      <c r="AA7" s="1712"/>
      <c r="AB7" s="1712"/>
      <c r="AC7" s="1712"/>
      <c r="AD7" s="1712"/>
      <c r="AE7" s="1712"/>
      <c r="AF7" s="1712"/>
      <c r="AG7" s="1712"/>
      <c r="AH7" s="1712"/>
      <c r="AI7" s="1712"/>
      <c r="AJ7" s="1712"/>
      <c r="AK7" s="1712"/>
      <c r="AL7" s="1712"/>
      <c r="AM7" s="1712"/>
      <c r="AN7" s="288"/>
      <c r="AO7" s="39"/>
    </row>
    <row r="8" spans="1:42" ht="18" customHeight="1">
      <c r="A8" s="39"/>
      <c r="B8" s="1711" t="s">
        <v>644</v>
      </c>
      <c r="C8" s="1711"/>
      <c r="D8" s="1711"/>
      <c r="E8" s="1711"/>
      <c r="F8" s="1711"/>
      <c r="G8" s="1711"/>
      <c r="H8" s="1711"/>
      <c r="I8" s="1711"/>
      <c r="J8" s="1711"/>
      <c r="K8" s="1711"/>
      <c r="L8" s="1711"/>
      <c r="M8" s="1711"/>
      <c r="N8" s="1711"/>
      <c r="O8" s="1711"/>
      <c r="P8" s="1711"/>
      <c r="Q8" s="1711"/>
      <c r="R8" s="1711"/>
      <c r="S8" s="1711"/>
      <c r="T8" s="1711"/>
      <c r="U8" s="1711"/>
      <c r="V8" s="1711"/>
      <c r="W8" s="1711"/>
      <c r="X8" s="1711"/>
      <c r="Y8" s="1711"/>
      <c r="Z8" s="1711"/>
      <c r="AA8" s="1711"/>
      <c r="AB8" s="1711"/>
      <c r="AC8" s="1711"/>
      <c r="AD8" s="1711"/>
      <c r="AE8" s="1711"/>
      <c r="AF8" s="1711"/>
      <c r="AG8" s="1711"/>
      <c r="AH8" s="1711"/>
      <c r="AI8" s="1711"/>
      <c r="AJ8" s="1711"/>
      <c r="AK8" s="1711"/>
      <c r="AL8" s="1711"/>
      <c r="AM8" s="1711"/>
      <c r="AN8" s="40"/>
    </row>
    <row r="9" spans="1:42" ht="36" customHeight="1">
      <c r="A9" s="39"/>
      <c r="B9" s="1703" t="s">
        <v>645</v>
      </c>
      <c r="C9" s="1703"/>
      <c r="D9" s="1703"/>
      <c r="E9" s="1703"/>
      <c r="F9" s="1703"/>
      <c r="G9" s="1703"/>
      <c r="H9" s="1703"/>
      <c r="I9" s="1703"/>
      <c r="J9" s="1703"/>
      <c r="K9" s="1703"/>
      <c r="L9" s="1703"/>
      <c r="M9" s="1703"/>
      <c r="N9" s="1703"/>
      <c r="O9" s="1703"/>
      <c r="P9" s="1703"/>
      <c r="Q9" s="1703"/>
      <c r="R9" s="1703"/>
      <c r="S9" s="1703"/>
      <c r="T9" s="1703"/>
      <c r="U9" s="1703"/>
      <c r="V9" s="1703"/>
      <c r="W9" s="1703"/>
      <c r="X9" s="1703"/>
      <c r="Y9" s="1703"/>
      <c r="Z9" s="1703"/>
      <c r="AA9" s="1703"/>
      <c r="AB9" s="1703"/>
      <c r="AC9" s="1703"/>
      <c r="AD9" s="1703"/>
      <c r="AE9" s="1703"/>
      <c r="AF9" s="1703"/>
      <c r="AG9" s="1703"/>
      <c r="AH9" s="1703"/>
      <c r="AI9" s="1703"/>
      <c r="AJ9" s="1703"/>
      <c r="AK9" s="1703"/>
      <c r="AL9" s="1703"/>
      <c r="AM9" s="1703"/>
      <c r="AN9" s="273"/>
      <c r="AO9" s="39"/>
    </row>
    <row r="10" spans="1:42" ht="18" customHeight="1">
      <c r="A10" s="39"/>
      <c r="B10" s="1704" t="s">
        <v>646</v>
      </c>
      <c r="C10" s="1705"/>
      <c r="D10" s="1705"/>
      <c r="E10" s="1705"/>
      <c r="F10" s="1705"/>
      <c r="G10" s="1705"/>
      <c r="H10" s="1705"/>
      <c r="I10" s="1705"/>
      <c r="J10" s="1705"/>
      <c r="K10" s="1705"/>
      <c r="L10" s="1705"/>
      <c r="M10" s="1705"/>
      <c r="N10" s="1705"/>
      <c r="O10" s="1705"/>
      <c r="P10" s="1705"/>
      <c r="Q10" s="1705"/>
      <c r="R10" s="1705"/>
      <c r="S10" s="1705"/>
      <c r="T10" s="1705"/>
      <c r="U10" s="1705"/>
      <c r="V10" s="1705"/>
      <c r="W10" s="1705"/>
      <c r="X10" s="1705"/>
      <c r="Y10" s="1705"/>
      <c r="Z10" s="1705"/>
      <c r="AA10" s="1705"/>
      <c r="AB10" s="1705"/>
      <c r="AC10" s="1705"/>
      <c r="AD10" s="1705"/>
      <c r="AE10" s="1705"/>
      <c r="AF10" s="1705"/>
      <c r="AG10" s="1705"/>
      <c r="AH10" s="1705"/>
      <c r="AI10" s="1705"/>
      <c r="AJ10" s="1705"/>
      <c r="AK10" s="1705"/>
      <c r="AL10" s="1705"/>
      <c r="AM10" s="1705"/>
      <c r="AN10" s="274"/>
      <c r="AO10" s="39"/>
    </row>
    <row r="11" spans="1:42" ht="18" customHeight="1" thickBot="1">
      <c r="A11" s="39"/>
      <c r="B11" s="1708" t="s">
        <v>647</v>
      </c>
      <c r="C11" s="1708"/>
      <c r="D11" s="1708"/>
      <c r="E11" s="1708"/>
      <c r="F11" s="1708"/>
      <c r="G11" s="1708"/>
      <c r="H11" s="1708"/>
      <c r="I11" s="1708"/>
      <c r="J11" s="1708"/>
      <c r="K11" s="1708"/>
      <c r="L11" s="1708"/>
      <c r="M11" s="1708"/>
      <c r="N11" s="1708"/>
      <c r="O11" s="1708"/>
      <c r="P11" s="1708"/>
      <c r="Q11" s="1708"/>
      <c r="R11" s="1708"/>
      <c r="S11" s="1708"/>
      <c r="T11" s="1708"/>
      <c r="U11" s="1708"/>
      <c r="V11" s="1708"/>
      <c r="W11" s="1708"/>
      <c r="X11" s="1708"/>
      <c r="Y11" s="1708"/>
      <c r="Z11" s="1708"/>
      <c r="AA11" s="1708"/>
      <c r="AB11" s="1708"/>
      <c r="AC11" s="1708"/>
      <c r="AD11" s="1708"/>
      <c r="AE11" s="1708"/>
      <c r="AF11" s="1708"/>
      <c r="AG11" s="1708"/>
      <c r="AH11" s="1708"/>
      <c r="AI11" s="1708"/>
      <c r="AJ11" s="1708"/>
      <c r="AK11" s="1708"/>
      <c r="AL11" s="1708"/>
      <c r="AM11" s="1708"/>
      <c r="AN11" s="1447"/>
      <c r="AO11" s="39"/>
    </row>
    <row r="12" spans="1:42" ht="36" customHeight="1" thickTop="1" thickBot="1">
      <c r="A12" s="39"/>
      <c r="B12" s="1709" t="s">
        <v>648</v>
      </c>
      <c r="C12" s="1709"/>
      <c r="D12" s="1709"/>
      <c r="E12" s="1709"/>
      <c r="F12" s="1709"/>
      <c r="G12" s="1709"/>
      <c r="H12" s="1709"/>
      <c r="I12" s="1709"/>
      <c r="J12" s="1709"/>
      <c r="K12" s="1709"/>
      <c r="L12" s="1709"/>
      <c r="M12" s="1709"/>
      <c r="N12" s="1709"/>
      <c r="O12" s="1709"/>
      <c r="P12" s="1709"/>
      <c r="Q12" s="1709"/>
      <c r="R12" s="1709"/>
      <c r="S12" s="1709"/>
      <c r="T12" s="1709"/>
      <c r="U12" s="1709"/>
      <c r="V12" s="1709"/>
      <c r="W12" s="1709"/>
      <c r="X12" s="1709"/>
      <c r="Y12" s="1709"/>
      <c r="Z12" s="1709"/>
      <c r="AA12" s="1709"/>
      <c r="AB12" s="1709"/>
      <c r="AC12" s="1709"/>
      <c r="AD12" s="1709"/>
      <c r="AE12" s="1709"/>
      <c r="AF12" s="1709"/>
      <c r="AG12" s="1709"/>
      <c r="AH12" s="1709"/>
      <c r="AI12" s="1709"/>
      <c r="AJ12" s="1709"/>
      <c r="AK12" s="1709"/>
      <c r="AL12" s="1709"/>
      <c r="AM12" s="1709"/>
      <c r="AN12" s="275"/>
      <c r="AO12" s="39"/>
    </row>
    <row r="13" spans="1:42" ht="18" customHeight="1" thickTop="1" thickBot="1">
      <c r="A13" s="39"/>
      <c r="B13" s="1710" t="s">
        <v>649</v>
      </c>
      <c r="C13" s="1710"/>
      <c r="D13" s="1710"/>
      <c r="E13" s="1710"/>
      <c r="F13" s="1710"/>
      <c r="G13" s="1710"/>
      <c r="H13" s="1710"/>
      <c r="I13" s="1710"/>
      <c r="J13" s="1710"/>
      <c r="K13" s="1710"/>
      <c r="L13" s="1710"/>
      <c r="M13" s="1710"/>
      <c r="N13" s="1710"/>
      <c r="O13" s="1710"/>
      <c r="P13" s="1710"/>
      <c r="Q13" s="1710"/>
      <c r="R13" s="1710"/>
      <c r="S13" s="1710"/>
      <c r="T13" s="1710"/>
      <c r="U13" s="1710"/>
      <c r="V13" s="1710"/>
      <c r="W13" s="1710"/>
      <c r="X13" s="1710"/>
      <c r="Y13" s="1710"/>
      <c r="Z13" s="1710"/>
      <c r="AA13" s="1710"/>
      <c r="AB13" s="1710"/>
      <c r="AC13" s="1710"/>
      <c r="AD13" s="1710"/>
      <c r="AE13" s="1710"/>
      <c r="AF13" s="1710"/>
      <c r="AG13" s="1710"/>
      <c r="AH13" s="1710"/>
      <c r="AI13" s="1710"/>
      <c r="AJ13" s="1710"/>
      <c r="AK13" s="1710"/>
      <c r="AL13" s="1710"/>
      <c r="AM13" s="1710"/>
      <c r="AN13" s="276"/>
      <c r="AO13" s="39"/>
    </row>
    <row r="14" spans="1:42" ht="36" customHeight="1" thickTop="1">
      <c r="A14" s="39"/>
      <c r="B14" s="1706" t="s">
        <v>650</v>
      </c>
      <c r="C14" s="1706"/>
      <c r="D14" s="1706"/>
      <c r="E14" s="1706"/>
      <c r="F14" s="1706"/>
      <c r="G14" s="1706"/>
      <c r="H14" s="1706"/>
      <c r="I14" s="1706"/>
      <c r="J14" s="1706"/>
      <c r="K14" s="1706"/>
      <c r="L14" s="1706"/>
      <c r="M14" s="1706"/>
      <c r="N14" s="1706"/>
      <c r="O14" s="1706"/>
      <c r="P14" s="1706"/>
      <c r="Q14" s="1706"/>
      <c r="R14" s="1706"/>
      <c r="S14" s="1706"/>
      <c r="T14" s="1706"/>
      <c r="U14" s="1706"/>
      <c r="V14" s="1706"/>
      <c r="W14" s="1706"/>
      <c r="X14" s="1706"/>
      <c r="Y14" s="1706"/>
      <c r="Z14" s="1706"/>
      <c r="AA14" s="1706"/>
      <c r="AB14" s="1706"/>
      <c r="AC14" s="1706"/>
      <c r="AD14" s="1706"/>
      <c r="AE14" s="1706"/>
      <c r="AF14" s="1706"/>
      <c r="AG14" s="1706"/>
      <c r="AH14" s="1706"/>
      <c r="AI14" s="1706"/>
      <c r="AJ14" s="1706"/>
      <c r="AK14" s="1706"/>
      <c r="AL14" s="1706"/>
      <c r="AM14" s="1706"/>
      <c r="AN14" s="289"/>
      <c r="AO14" s="39"/>
    </row>
    <row r="15" spans="1:42" ht="72" customHeight="1">
      <c r="A15" s="39"/>
      <c r="B15" s="1707" t="s">
        <v>651</v>
      </c>
      <c r="C15" s="1707"/>
      <c r="D15" s="1707"/>
      <c r="E15" s="1707"/>
      <c r="F15" s="1707"/>
      <c r="G15" s="1707"/>
      <c r="H15" s="1707"/>
      <c r="I15" s="1707"/>
      <c r="J15" s="1707"/>
      <c r="K15" s="1707"/>
      <c r="L15" s="1707"/>
      <c r="M15" s="1707"/>
      <c r="N15" s="1707"/>
      <c r="O15" s="1707"/>
      <c r="P15" s="1707"/>
      <c r="Q15" s="1707"/>
      <c r="R15" s="1707"/>
      <c r="S15" s="1707"/>
      <c r="T15" s="1707"/>
      <c r="U15" s="1707"/>
      <c r="V15" s="1707"/>
      <c r="W15" s="1707"/>
      <c r="X15" s="1707"/>
      <c r="Y15" s="1707"/>
      <c r="Z15" s="1707"/>
      <c r="AA15" s="1707"/>
      <c r="AB15" s="1707"/>
      <c r="AC15" s="1707"/>
      <c r="AD15" s="1707"/>
      <c r="AE15" s="1707"/>
      <c r="AF15" s="1707"/>
      <c r="AG15" s="1707"/>
      <c r="AH15" s="1707"/>
      <c r="AI15" s="1707"/>
      <c r="AJ15" s="1707"/>
      <c r="AK15" s="1707"/>
      <c r="AL15" s="1707"/>
      <c r="AM15" s="1707"/>
      <c r="AN15" s="1447"/>
      <c r="AO15" s="39"/>
    </row>
    <row r="16" spans="1:42" ht="18" customHeight="1">
      <c r="A16" s="39"/>
      <c r="AO16" s="39"/>
    </row>
    <row r="17" spans="1:41" ht="18" customHeight="1">
      <c r="A17" s="39"/>
      <c r="B17" s="1685" t="s">
        <v>639</v>
      </c>
      <c r="C17" s="1685"/>
      <c r="D17" s="1685"/>
      <c r="E17" s="1685"/>
      <c r="F17" s="1685"/>
      <c r="G17" s="1685"/>
      <c r="H17" s="1685"/>
      <c r="I17" s="1685"/>
      <c r="J17" s="1685"/>
      <c r="K17" s="1685"/>
      <c r="L17" s="1685"/>
      <c r="M17" s="1685"/>
      <c r="N17" s="1685"/>
      <c r="O17" s="1685"/>
      <c r="P17" s="1685"/>
      <c r="Q17" s="1685"/>
      <c r="R17" s="1685"/>
      <c r="S17" s="1685"/>
      <c r="T17" s="1685"/>
      <c r="U17" s="1685"/>
      <c r="V17" s="1685"/>
      <c r="W17" s="1685"/>
      <c r="X17" s="1685"/>
      <c r="Y17" s="1685"/>
      <c r="Z17" s="1685"/>
      <c r="AA17" s="1685"/>
      <c r="AB17" s="1685"/>
      <c r="AC17" s="1685"/>
      <c r="AD17" s="1685"/>
      <c r="AE17" s="1685"/>
      <c r="AF17" s="1685"/>
      <c r="AG17" s="1685"/>
      <c r="AH17" s="1685"/>
      <c r="AI17" s="1685"/>
      <c r="AJ17" s="1685"/>
      <c r="AK17" s="1685"/>
      <c r="AL17" s="1685"/>
      <c r="AM17" s="1685"/>
      <c r="AN17" s="291"/>
      <c r="AO17" s="39"/>
    </row>
    <row r="18" spans="1:41" ht="18" customHeight="1">
      <c r="A18" s="39"/>
      <c r="AO18" s="39"/>
    </row>
    <row r="19" spans="1:41" ht="18" customHeight="1">
      <c r="A19" s="39"/>
      <c r="AO19" s="39"/>
    </row>
    <row r="20" spans="1:41" ht="18" customHeight="1">
      <c r="A20" s="39"/>
      <c r="AO20" s="39"/>
    </row>
    <row r="21" spans="1:41" ht="18" customHeight="1">
      <c r="A21" s="39"/>
      <c r="AO21" s="39"/>
    </row>
    <row r="22" spans="1:41" ht="18" customHeight="1">
      <c r="A22" s="39"/>
      <c r="AO22" s="39"/>
    </row>
    <row r="23" spans="1:41" s="39" customFormat="1" ht="18" customHeight="1"/>
    <row r="24" spans="1:41" s="39" customFormat="1" ht="18" customHeight="1"/>
    <row r="25" spans="1:41" s="39" customFormat="1" ht="18" customHeight="1"/>
  </sheetData>
  <mergeCells count="14">
    <mergeCell ref="B2:AM2"/>
    <mergeCell ref="B4:AM4"/>
    <mergeCell ref="B17:AM17"/>
    <mergeCell ref="B6:AM6"/>
    <mergeCell ref="B9:AM9"/>
    <mergeCell ref="B10:AM10"/>
    <mergeCell ref="B14:AM14"/>
    <mergeCell ref="B15:AM15"/>
    <mergeCell ref="B11:AM11"/>
    <mergeCell ref="B12:AM12"/>
    <mergeCell ref="B13:AM13"/>
    <mergeCell ref="B8:AM8"/>
    <mergeCell ref="Z7:AM7"/>
    <mergeCell ref="B7:Y7"/>
  </mergeCells>
  <conditionalFormatting sqref="B14">
    <cfRule type="cellIs" dxfId="1061" priority="22" operator="greaterThan">
      <formula>""</formula>
    </cfRule>
  </conditionalFormatting>
  <printOptions horizontalCentered="1"/>
  <pageMargins left="0" right="0.25" top="0" bottom="0" header="0.25" footer="0.25"/>
  <pageSetup scale="67" orientation="portrait" r:id="rId1"/>
  <headerFooter>
    <oddFooter>&amp;L&amp;F&amp;C&amp;P of &amp;N&amp;R &amp;A</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tabColor rgb="FF92D050"/>
  </sheetPr>
  <dimension ref="A1:BJ505"/>
  <sheetViews>
    <sheetView showGridLines="0" tabSelected="1" topLeftCell="A465" zoomScaleNormal="100" zoomScaleSheetLayoutView="100" workbookViewId="0">
      <selection activeCell="AJ475" sqref="AJ475:AM475"/>
    </sheetView>
  </sheetViews>
  <sheetFormatPr defaultColWidth="10.33203125" defaultRowHeight="18" customHeight="1"/>
  <cols>
    <col min="1" max="1" width="5.6640625" style="452" customWidth="1"/>
    <col min="2" max="37" width="4.109375" style="359" customWidth="1"/>
    <col min="38" max="38" width="4.109375" style="975" customWidth="1"/>
    <col min="39" max="39" width="4.109375" style="439" customWidth="1"/>
    <col min="40" max="40" width="6.88671875" style="975" customWidth="1"/>
    <col min="41" max="41" width="8" style="973" customWidth="1"/>
    <col min="42" max="42" width="10.33203125" style="359" customWidth="1"/>
    <col min="43" max="43" width="17.44140625" style="359" customWidth="1"/>
    <col min="44" max="44" width="12.109375" style="359" hidden="1" customWidth="1"/>
    <col min="45" max="45" width="13.44140625" style="359" hidden="1" customWidth="1"/>
    <col min="46" max="47" width="10.33203125" style="359" hidden="1" customWidth="1"/>
    <col min="48" max="77" width="10.33203125" style="359" customWidth="1"/>
    <col min="78" max="16384" width="10.33203125" style="359"/>
  </cols>
  <sheetData>
    <row r="1" spans="1:47" ht="18" customHeight="1">
      <c r="B1" s="1058"/>
      <c r="C1" s="1058"/>
      <c r="D1" s="1058"/>
      <c r="E1" s="1058"/>
      <c r="F1" s="1058"/>
      <c r="G1" s="1058"/>
      <c r="H1" s="1058"/>
      <c r="I1" s="1058"/>
      <c r="J1" s="1058"/>
      <c r="K1" s="1058"/>
      <c r="L1" s="1058"/>
      <c r="M1" s="1058"/>
      <c r="N1" s="1058"/>
      <c r="O1" s="1058"/>
      <c r="P1" s="1058"/>
      <c r="Q1" s="1058"/>
      <c r="R1" s="1058"/>
      <c r="S1" s="1058"/>
      <c r="T1" s="1058"/>
      <c r="U1" s="1058"/>
      <c r="V1" s="1058"/>
      <c r="W1" s="1058"/>
      <c r="X1" s="1058"/>
      <c r="Y1" s="1058"/>
      <c r="Z1" s="1058"/>
      <c r="AA1" s="1058"/>
      <c r="AB1" s="1058"/>
      <c r="AC1" s="1058"/>
      <c r="AD1" s="1058"/>
      <c r="AE1" s="1058"/>
      <c r="AF1" s="1058"/>
      <c r="AG1" s="1058"/>
      <c r="AH1" s="1058"/>
      <c r="AI1" s="1058"/>
      <c r="AJ1" s="1058"/>
      <c r="AK1" s="1058"/>
      <c r="AL1" s="1058"/>
      <c r="AM1" s="1058"/>
      <c r="AN1" s="1459"/>
      <c r="AO1" s="1448"/>
      <c r="AP1" s="1058"/>
      <c r="AQ1" s="1058"/>
      <c r="AR1" s="1713" t="s">
        <v>652</v>
      </c>
      <c r="AS1" s="1713"/>
      <c r="AT1" s="1713"/>
      <c r="AU1" s="1713"/>
    </row>
    <row r="2" spans="1:47" ht="31.5" customHeight="1">
      <c r="B2" s="2357" t="s">
        <v>653</v>
      </c>
      <c r="C2" s="2357"/>
      <c r="D2" s="2357"/>
      <c r="E2" s="2357"/>
      <c r="F2" s="2357"/>
      <c r="G2" s="2357"/>
      <c r="H2" s="2357"/>
      <c r="I2" s="2357"/>
      <c r="J2" s="2357"/>
      <c r="K2" s="2357"/>
      <c r="L2" s="2357"/>
      <c r="M2" s="2357"/>
      <c r="N2" s="2357"/>
      <c r="O2" s="2357"/>
      <c r="P2" s="2357"/>
      <c r="Q2" s="2357"/>
      <c r="R2" s="2357"/>
      <c r="S2" s="2357"/>
      <c r="T2" s="2357"/>
      <c r="U2" s="2357"/>
      <c r="V2" s="2357"/>
      <c r="W2" s="2357"/>
      <c r="X2" s="2357"/>
      <c r="Y2" s="2357"/>
      <c r="Z2" s="2357"/>
      <c r="AA2" s="2357"/>
      <c r="AB2" s="2357"/>
      <c r="AC2" s="2357"/>
      <c r="AD2" s="2357"/>
      <c r="AE2" s="2357"/>
      <c r="AF2" s="2357"/>
      <c r="AG2" s="2357"/>
      <c r="AH2" s="2357"/>
      <c r="AI2" s="2357"/>
      <c r="AJ2" s="2357"/>
      <c r="AK2" s="2357"/>
      <c r="AL2" s="2357"/>
      <c r="AM2" s="2357"/>
      <c r="AN2" s="1459"/>
      <c r="AO2" s="998" t="b">
        <f>B14="Yes"</f>
        <v>1</v>
      </c>
      <c r="AP2" s="1000" t="s">
        <v>654</v>
      </c>
      <c r="AQ2" s="1058"/>
      <c r="AR2" s="978"/>
      <c r="AS2" s="1040"/>
      <c r="AT2" s="1042"/>
      <c r="AU2" s="1043"/>
    </row>
    <row r="3" spans="1:47" ht="18" customHeight="1">
      <c r="B3" s="1813" t="s">
        <v>655</v>
      </c>
      <c r="C3" s="1813"/>
      <c r="D3" s="1813"/>
      <c r="E3" s="1813"/>
      <c r="F3" s="1813"/>
      <c r="G3" s="1813"/>
      <c r="H3" s="1813"/>
      <c r="I3" s="1813"/>
      <c r="J3" s="1813"/>
      <c r="K3" s="1813"/>
      <c r="L3" s="1813"/>
      <c r="M3" s="1813"/>
      <c r="N3" s="1813"/>
      <c r="O3" s="1813"/>
      <c r="P3" s="1813"/>
      <c r="Q3" s="1813"/>
      <c r="R3" s="1813"/>
      <c r="S3" s="1814" t="str">
        <f>CONCATENATE(IF(IsMhp,"MHP §7317(d)",""),"  ",IF(IsIig,"IIG §307(d)",""),"  ",IF(IsSerna,"FWHG §307(d)",""))</f>
        <v>MHP §7317(d)  IIG §307(d)  FWHG §307(d)</v>
      </c>
      <c r="T3" s="1814"/>
      <c r="U3" s="1814"/>
      <c r="V3" s="1814"/>
      <c r="W3" s="1814"/>
      <c r="X3" s="1814"/>
      <c r="Y3" s="1814"/>
      <c r="Z3" s="1814"/>
      <c r="AA3" s="1814"/>
      <c r="AB3" s="1814"/>
      <c r="AC3" s="1814"/>
      <c r="AD3" s="1814"/>
      <c r="AE3" s="1814"/>
      <c r="AF3" s="1814"/>
      <c r="AG3" s="1814"/>
      <c r="AH3" s="1814"/>
      <c r="AI3" s="1814"/>
      <c r="AJ3" s="1814"/>
      <c r="AK3" s="1814"/>
      <c r="AL3" s="1814"/>
      <c r="AM3" s="1814"/>
      <c r="AN3" s="1459"/>
      <c r="AO3" s="999" t="b">
        <f>AL10="Yes"</f>
        <v>1</v>
      </c>
      <c r="AP3" s="1000" t="s">
        <v>656</v>
      </c>
      <c r="AQ3" s="1058"/>
      <c r="AR3" s="1448" t="s">
        <v>511</v>
      </c>
      <c r="AS3" s="1448" t="s">
        <v>509</v>
      </c>
      <c r="AT3" s="1058" t="s">
        <v>510</v>
      </c>
      <c r="AU3" s="1448" t="s">
        <v>513</v>
      </c>
    </row>
    <row r="4" spans="1:47" ht="18.75" customHeight="1" thickBot="1">
      <c r="B4" s="1452"/>
      <c r="C4" s="1452"/>
      <c r="D4" s="1452"/>
      <c r="E4" s="1452"/>
      <c r="F4" s="1452"/>
      <c r="G4" s="1452"/>
      <c r="H4" s="1452"/>
      <c r="I4" s="1452"/>
      <c r="J4" s="1452"/>
      <c r="K4" s="1452"/>
      <c r="L4" s="1452"/>
      <c r="M4" s="1452"/>
      <c r="N4" s="1452"/>
      <c r="O4" s="1452"/>
      <c r="P4" s="1452"/>
      <c r="Q4" s="1452"/>
      <c r="R4" s="1452"/>
      <c r="S4" s="1452"/>
      <c r="T4" s="1452"/>
      <c r="U4" s="1452"/>
      <c r="V4" s="1452"/>
      <c r="W4" s="1452"/>
      <c r="X4" s="1452"/>
      <c r="Y4" s="1452"/>
      <c r="Z4" s="1452"/>
      <c r="AA4" s="1452"/>
      <c r="AB4" s="1452"/>
      <c r="AC4" s="1452"/>
      <c r="AD4" s="1452"/>
      <c r="AE4" s="1452"/>
      <c r="AF4" s="1452"/>
      <c r="AG4" s="1452"/>
      <c r="AH4" s="1452"/>
      <c r="AI4" s="1452"/>
      <c r="AJ4" s="1037"/>
      <c r="AK4" s="1037"/>
      <c r="AL4" s="1037"/>
      <c r="AM4" s="1037"/>
      <c r="AN4" s="1459"/>
      <c r="AO4" s="999" t="b">
        <f>B10="Yes"</f>
        <v>1</v>
      </c>
      <c r="AP4" s="1000" t="s">
        <v>657</v>
      </c>
      <c r="AQ4" s="1058"/>
      <c r="AR4" s="1058"/>
      <c r="AS4" s="1058"/>
      <c r="AT4" s="1058"/>
      <c r="AU4" s="1058"/>
    </row>
    <row r="5" spans="1:47" ht="18.75" customHeight="1" thickTop="1">
      <c r="B5" s="2428" t="s">
        <v>658</v>
      </c>
      <c r="C5" s="2428"/>
      <c r="D5" s="2428"/>
      <c r="E5" s="2428"/>
      <c r="F5" s="2428"/>
      <c r="G5" s="2428"/>
      <c r="H5" s="2428"/>
      <c r="I5" s="2428"/>
      <c r="J5" s="2428"/>
      <c r="K5" s="2428"/>
      <c r="L5" s="2428"/>
      <c r="M5" s="2428"/>
      <c r="N5" s="2428"/>
      <c r="O5" s="2428"/>
      <c r="P5" s="2428"/>
      <c r="Q5" s="2428"/>
      <c r="R5" s="2428"/>
      <c r="S5" s="2428"/>
      <c r="T5" s="2428"/>
      <c r="U5" s="2428"/>
      <c r="V5" s="2428"/>
      <c r="W5" s="2428"/>
      <c r="X5" s="2428"/>
      <c r="Y5" s="2428"/>
      <c r="Z5" s="2428"/>
      <c r="AA5" s="2428"/>
      <c r="AB5" s="2428"/>
      <c r="AC5" s="2428"/>
      <c r="AD5" s="2428"/>
      <c r="AE5" s="2428"/>
      <c r="AF5" s="2428"/>
      <c r="AG5" s="2428"/>
      <c r="AH5" s="2428"/>
      <c r="AI5" s="2429"/>
      <c r="AJ5" s="1818" t="s">
        <v>659</v>
      </c>
      <c r="AK5" s="1819"/>
      <c r="AL5" s="1819"/>
      <c r="AM5" s="1820"/>
      <c r="AN5" s="1459"/>
      <c r="AO5" s="999" t="b">
        <f>B12="Yes"</f>
        <v>1</v>
      </c>
      <c r="AP5" s="1000" t="s">
        <v>660</v>
      </c>
      <c r="AQ5" s="1058"/>
      <c r="AR5" s="1058"/>
      <c r="AS5" s="1058"/>
      <c r="AT5" s="1058"/>
      <c r="AU5" s="1058"/>
    </row>
    <row r="6" spans="1:47" ht="18.75" customHeight="1" thickBot="1">
      <c r="B6" s="2428"/>
      <c r="C6" s="2428"/>
      <c r="D6" s="2428"/>
      <c r="E6" s="2428"/>
      <c r="F6" s="2428"/>
      <c r="G6" s="2428"/>
      <c r="H6" s="2428"/>
      <c r="I6" s="2428"/>
      <c r="J6" s="2428"/>
      <c r="K6" s="2428"/>
      <c r="L6" s="2428"/>
      <c r="M6" s="2428"/>
      <c r="N6" s="2428"/>
      <c r="O6" s="2428"/>
      <c r="P6" s="2428"/>
      <c r="Q6" s="2428"/>
      <c r="R6" s="2428"/>
      <c r="S6" s="2428"/>
      <c r="T6" s="2428"/>
      <c r="U6" s="2428"/>
      <c r="V6" s="2428"/>
      <c r="W6" s="2428"/>
      <c r="X6" s="2428"/>
      <c r="Y6" s="2428"/>
      <c r="Z6" s="2428"/>
      <c r="AA6" s="2428"/>
      <c r="AB6" s="2428"/>
      <c r="AC6" s="2428"/>
      <c r="AD6" s="2428"/>
      <c r="AE6" s="2428"/>
      <c r="AF6" s="2428"/>
      <c r="AG6" s="2428"/>
      <c r="AH6" s="2428"/>
      <c r="AI6" s="2429"/>
      <c r="AJ6" s="1821"/>
      <c r="AK6" s="1822"/>
      <c r="AL6" s="1822"/>
      <c r="AM6" s="1823"/>
      <c r="AN6" s="1459"/>
      <c r="AO6" s="999" t="b">
        <f>AL14="Yes"</f>
        <v>0</v>
      </c>
      <c r="AP6" s="1000" t="s">
        <v>661</v>
      </c>
      <c r="AQ6" s="1058"/>
      <c r="AR6" s="1058"/>
      <c r="AS6" s="1058"/>
      <c r="AT6" s="1058"/>
      <c r="AU6" s="1058"/>
    </row>
    <row r="7" spans="1:47" ht="18.75" customHeight="1" thickTop="1">
      <c r="B7" s="1452"/>
      <c r="C7" s="1452"/>
      <c r="D7" s="1452"/>
      <c r="E7" s="1452"/>
      <c r="F7" s="1452"/>
      <c r="G7" s="1452"/>
      <c r="H7" s="1452"/>
      <c r="I7" s="1452"/>
      <c r="J7" s="1452"/>
      <c r="K7" s="1452"/>
      <c r="L7" s="1452"/>
      <c r="M7" s="1452"/>
      <c r="N7" s="1452"/>
      <c r="O7" s="1452"/>
      <c r="P7" s="1452"/>
      <c r="Q7" s="1452"/>
      <c r="R7" s="1452"/>
      <c r="S7" s="1452"/>
      <c r="T7" s="1452"/>
      <c r="U7" s="1452"/>
      <c r="V7" s="1452"/>
      <c r="W7" s="1452"/>
      <c r="X7" s="1452"/>
      <c r="Y7" s="1452"/>
      <c r="Z7" s="1452"/>
      <c r="AA7" s="1452"/>
      <c r="AB7" s="1452"/>
      <c r="AC7" s="1452"/>
      <c r="AD7" s="1452"/>
      <c r="AE7" s="1452"/>
      <c r="AF7" s="1452"/>
      <c r="AG7" s="1452"/>
      <c r="AH7" s="1452"/>
      <c r="AI7" s="1452"/>
      <c r="AJ7" s="1452"/>
      <c r="AK7" s="1452"/>
      <c r="AL7" s="1452"/>
      <c r="AM7" s="1452"/>
      <c r="AN7" s="1459"/>
      <c r="AO7" s="999" t="b">
        <f>AL12="Yes"</f>
        <v>0</v>
      </c>
      <c r="AP7" s="1300" t="s">
        <v>662</v>
      </c>
      <c r="AQ7" s="1058"/>
      <c r="AR7" s="1058"/>
      <c r="AS7" s="1058"/>
      <c r="AT7" s="1058"/>
      <c r="AU7" s="1058"/>
    </row>
    <row r="8" spans="1:47" ht="18" customHeight="1" thickBot="1">
      <c r="B8" s="1815" t="s">
        <v>663</v>
      </c>
      <c r="C8" s="1815"/>
      <c r="D8" s="1815"/>
      <c r="E8" s="1815"/>
      <c r="F8" s="1815"/>
      <c r="G8" s="1815"/>
      <c r="H8" s="1815"/>
      <c r="I8" s="1815"/>
      <c r="J8" s="1815"/>
      <c r="K8" s="1815"/>
      <c r="L8" s="1815"/>
      <c r="M8" s="1815"/>
      <c r="N8" s="1815"/>
      <c r="O8" s="1815"/>
      <c r="P8" s="1815"/>
      <c r="Q8" s="1815"/>
      <c r="R8" s="1815"/>
      <c r="S8" s="1815"/>
      <c r="T8" s="1815"/>
      <c r="U8" s="1815"/>
      <c r="V8" s="1815"/>
      <c r="W8" s="1815"/>
      <c r="X8" s="1815"/>
      <c r="Y8" s="1815"/>
      <c r="Z8" s="1815"/>
      <c r="AA8" s="1815"/>
      <c r="AB8" s="1815"/>
      <c r="AC8" s="1815"/>
      <c r="AD8" s="1815"/>
      <c r="AE8" s="1815"/>
      <c r="AF8" s="1815"/>
      <c r="AG8" s="1815"/>
      <c r="AH8" s="1815"/>
      <c r="AI8" s="1815"/>
      <c r="AJ8" s="1815"/>
      <c r="AK8" s="1815"/>
      <c r="AL8" s="1815"/>
      <c r="AM8" s="1815"/>
      <c r="AN8" s="1301"/>
      <c r="AO8" s="1448"/>
      <c r="AP8" s="1058"/>
      <c r="AQ8" s="924"/>
      <c r="AR8" s="39"/>
      <c r="AS8" s="39"/>
      <c r="AT8" s="1058"/>
      <c r="AU8" s="1058"/>
    </row>
    <row r="9" spans="1:47" ht="18" customHeight="1">
      <c r="B9" s="1844"/>
      <c r="C9" s="1844"/>
      <c r="D9" s="1844"/>
      <c r="E9" s="1844"/>
      <c r="F9" s="1844"/>
      <c r="G9" s="1844"/>
      <c r="H9" s="1844"/>
      <c r="I9" s="1844"/>
      <c r="J9" s="1844"/>
      <c r="K9" s="1844"/>
      <c r="L9" s="1844"/>
      <c r="M9" s="1844"/>
      <c r="N9" s="1844"/>
      <c r="O9" s="1844"/>
      <c r="P9" s="1844"/>
      <c r="Q9" s="1844"/>
      <c r="R9" s="1844"/>
      <c r="S9" s="1844"/>
      <c r="T9" s="1844"/>
      <c r="U9" s="1844"/>
      <c r="V9" s="1844"/>
      <c r="W9" s="1844"/>
      <c r="X9" s="1844"/>
      <c r="Y9" s="1844"/>
      <c r="Z9" s="1844"/>
      <c r="AA9" s="1844"/>
      <c r="AB9" s="1844"/>
      <c r="AC9" s="1844"/>
      <c r="AD9" s="1844"/>
      <c r="AE9" s="1844"/>
      <c r="AF9" s="1844"/>
      <c r="AG9" s="1844"/>
      <c r="AH9" s="1844"/>
      <c r="AI9" s="1844"/>
      <c r="AJ9" s="1844"/>
      <c r="AK9" s="1844"/>
      <c r="AL9" s="1844"/>
      <c r="AM9" s="1844"/>
      <c r="AN9" s="1301"/>
      <c r="AO9" s="1448"/>
      <c r="AP9" s="1058"/>
      <c r="AQ9" s="39"/>
      <c r="AR9" s="39"/>
      <c r="AS9" s="39"/>
      <c r="AT9" s="1058"/>
      <c r="AU9" s="1058"/>
    </row>
    <row r="10" spans="1:47" ht="14.4">
      <c r="B10" s="1845" t="s">
        <v>664</v>
      </c>
      <c r="C10" s="1845"/>
      <c r="D10" s="1848" t="s">
        <v>665</v>
      </c>
      <c r="E10" s="1848"/>
      <c r="F10" s="1848"/>
      <c r="G10" s="1848"/>
      <c r="H10" s="1848"/>
      <c r="I10" s="1848"/>
      <c r="J10" s="1848"/>
      <c r="K10" s="1848"/>
      <c r="L10" s="1848"/>
      <c r="M10" s="1848"/>
      <c r="N10" s="1848"/>
      <c r="O10" s="1848"/>
      <c r="P10" s="1848"/>
      <c r="Q10" s="1848"/>
      <c r="R10" s="1848"/>
      <c r="S10" s="1848"/>
      <c r="T10" s="1848"/>
      <c r="U10" s="1058"/>
      <c r="V10" s="1899" t="s">
        <v>666</v>
      </c>
      <c r="W10" s="1899"/>
      <c r="X10" s="1899"/>
      <c r="Y10" s="1899"/>
      <c r="Z10" s="1899"/>
      <c r="AA10" s="1899"/>
      <c r="AB10" s="1899"/>
      <c r="AC10" s="1899"/>
      <c r="AD10" s="1899"/>
      <c r="AE10" s="1899"/>
      <c r="AF10" s="1899"/>
      <c r="AG10" s="1899"/>
      <c r="AH10" s="1899"/>
      <c r="AI10" s="1899"/>
      <c r="AJ10" s="1899"/>
      <c r="AK10" s="1899"/>
      <c r="AL10" s="1845" t="s">
        <v>664</v>
      </c>
      <c r="AM10" s="1845"/>
      <c r="AN10" s="1302"/>
      <c r="AO10" s="1448"/>
      <c r="AP10" s="1058"/>
      <c r="AQ10" s="39"/>
      <c r="AR10" s="39"/>
      <c r="AS10" s="290"/>
      <c r="AT10" s="1058"/>
      <c r="AU10" s="1058"/>
    </row>
    <row r="11" spans="1:47" s="303" customFormat="1" ht="13.8">
      <c r="A11" s="662"/>
    </row>
    <row r="12" spans="1:47" ht="14.4">
      <c r="B12" s="1846" t="s">
        <v>664</v>
      </c>
      <c r="C12" s="1846"/>
      <c r="D12" s="1848" t="s">
        <v>667</v>
      </c>
      <c r="E12" s="1848"/>
      <c r="F12" s="1848"/>
      <c r="G12" s="1848"/>
      <c r="H12" s="1848"/>
      <c r="I12" s="1848"/>
      <c r="J12" s="1848"/>
      <c r="K12" s="1848"/>
      <c r="L12" s="1848"/>
      <c r="M12" s="1848"/>
      <c r="N12" s="1848"/>
      <c r="O12" s="1848"/>
      <c r="P12" s="1848"/>
      <c r="Q12" s="1848"/>
      <c r="R12" s="1848"/>
      <c r="S12" s="1848"/>
      <c r="T12" s="1848"/>
      <c r="U12" s="1006"/>
      <c r="V12" s="1899" t="s">
        <v>668</v>
      </c>
      <c r="W12" s="1899"/>
      <c r="X12" s="1899"/>
      <c r="Y12" s="1899"/>
      <c r="Z12" s="1899"/>
      <c r="AA12" s="1899"/>
      <c r="AB12" s="1899"/>
      <c r="AC12" s="1899"/>
      <c r="AD12" s="1899"/>
      <c r="AE12" s="1899"/>
      <c r="AF12" s="1899"/>
      <c r="AG12" s="1899"/>
      <c r="AH12" s="1899"/>
      <c r="AI12" s="1899"/>
      <c r="AJ12" s="1899"/>
      <c r="AK12" s="1899"/>
      <c r="AL12" s="1846" t="s">
        <v>711</v>
      </c>
      <c r="AM12" s="1846"/>
      <c r="AN12" s="1302"/>
      <c r="AO12" s="1448"/>
      <c r="AP12" s="1058"/>
      <c r="AQ12" s="1303"/>
      <c r="AR12" s="39"/>
      <c r="AS12" s="290"/>
      <c r="AT12" s="1058"/>
      <c r="AU12" s="1058"/>
    </row>
    <row r="13" spans="1:47" s="445" customFormat="1" ht="18" customHeight="1">
      <c r="B13" s="695"/>
      <c r="C13" s="695"/>
      <c r="AL13" s="695"/>
      <c r="AM13" s="695"/>
    </row>
    <row r="14" spans="1:47" ht="18" customHeight="1">
      <c r="B14" s="1845" t="s">
        <v>664</v>
      </c>
      <c r="C14" s="1845"/>
      <c r="D14" s="1848" t="s">
        <v>669</v>
      </c>
      <c r="E14" s="1848"/>
      <c r="F14" s="1848"/>
      <c r="G14" s="1848"/>
      <c r="H14" s="1848"/>
      <c r="I14" s="1848"/>
      <c r="J14" s="1848"/>
      <c r="K14" s="1848"/>
      <c r="L14" s="1848"/>
      <c r="M14" s="1848"/>
      <c r="N14" s="1848"/>
      <c r="O14" s="1848"/>
      <c r="P14" s="1848"/>
      <c r="Q14" s="1848"/>
      <c r="R14" s="1848"/>
      <c r="S14" s="1848"/>
      <c r="T14" s="1848"/>
      <c r="U14" s="1058"/>
      <c r="V14" s="1900" t="s">
        <v>670</v>
      </c>
      <c r="W14" s="1900"/>
      <c r="X14" s="1900"/>
      <c r="Y14" s="1900"/>
      <c r="Z14" s="1900"/>
      <c r="AA14" s="1900"/>
      <c r="AB14" s="1900"/>
      <c r="AC14" s="1900"/>
      <c r="AD14" s="1900"/>
      <c r="AE14" s="1900"/>
      <c r="AF14" s="1900"/>
      <c r="AG14" s="1900"/>
      <c r="AH14" s="1900"/>
      <c r="AI14" s="1900"/>
      <c r="AJ14" s="1900"/>
      <c r="AK14" s="1900"/>
      <c r="AL14" s="1845" t="s">
        <v>711</v>
      </c>
      <c r="AM14" s="1845"/>
      <c r="AN14" s="1302"/>
      <c r="AO14" s="1448"/>
      <c r="AP14" s="1058"/>
      <c r="AQ14" s="39"/>
      <c r="AR14" s="39"/>
      <c r="AS14" s="290"/>
      <c r="AT14" s="1058"/>
      <c r="AU14" s="1058"/>
    </row>
    <row r="15" spans="1:47" ht="18" customHeight="1">
      <c r="B15" s="1058"/>
      <c r="C15" s="1058"/>
      <c r="D15" s="1058"/>
      <c r="E15" s="1058"/>
      <c r="F15" s="1058"/>
      <c r="G15" s="1058"/>
      <c r="H15" s="1058"/>
      <c r="I15" s="1058"/>
      <c r="J15" s="1058"/>
      <c r="K15" s="1058"/>
      <c r="L15" s="1058"/>
      <c r="M15" s="1058"/>
      <c r="N15" s="1058"/>
      <c r="O15" s="1058"/>
      <c r="P15" s="1058"/>
      <c r="Q15" s="1058"/>
      <c r="R15" s="1058"/>
      <c r="S15" s="1058"/>
      <c r="T15" s="1058"/>
      <c r="U15" s="1058"/>
      <c r="V15" s="1459"/>
      <c r="W15" s="1058"/>
      <c r="X15" s="1058"/>
      <c r="Y15" s="1058"/>
      <c r="Z15" s="1058"/>
      <c r="AA15" s="1058"/>
      <c r="AB15" s="1058"/>
      <c r="AC15" s="1058"/>
      <c r="AD15" s="1058"/>
      <c r="AE15" s="1058"/>
      <c r="AF15" s="1058"/>
      <c r="AG15" s="1058"/>
      <c r="AH15" s="1058"/>
      <c r="AI15" s="1058"/>
      <c r="AJ15" s="1058"/>
      <c r="AK15" s="1058"/>
      <c r="AL15" s="1058"/>
      <c r="AM15" s="1058"/>
      <c r="AN15" s="1300"/>
      <c r="AO15" s="1448"/>
      <c r="AP15" s="1058"/>
      <c r="AQ15" s="40"/>
      <c r="AR15" s="40"/>
      <c r="AS15" s="40"/>
      <c r="AT15" s="1058"/>
      <c r="AU15" s="1058"/>
    </row>
    <row r="16" spans="1:47" ht="18" customHeight="1" thickBot="1">
      <c r="B16" s="2431" t="s">
        <v>671</v>
      </c>
      <c r="C16" s="2431"/>
      <c r="D16" s="2431"/>
      <c r="E16" s="2431"/>
      <c r="F16" s="2431"/>
      <c r="G16" s="2431"/>
      <c r="H16" s="2431"/>
      <c r="I16" s="2431"/>
      <c r="J16" s="2432" t="str">
        <f>CONCATENATE(IF(IsMhp,"MHP §7302(e)",""),"  ",IF(IsIig,"IIG §303(a)(b)",""),"  ",IF(IsSerna,"FWHG §307(d)",""))</f>
        <v>MHP §7302(e)  IIG §303(a)(b)  FWHG §307(d)</v>
      </c>
      <c r="K16" s="2432"/>
      <c r="L16" s="2432"/>
      <c r="M16" s="2432"/>
      <c r="N16" s="2432"/>
      <c r="O16" s="2432"/>
      <c r="P16" s="2432"/>
      <c r="Q16" s="2432"/>
      <c r="R16" s="2432"/>
      <c r="S16" s="2432"/>
      <c r="T16" s="2432"/>
      <c r="U16" s="2432"/>
      <c r="V16" s="1036"/>
      <c r="W16" s="943"/>
      <c r="X16" s="943"/>
      <c r="Y16" s="943"/>
      <c r="Z16" s="943"/>
      <c r="AA16" s="943"/>
      <c r="AB16" s="943"/>
      <c r="AC16" s="943"/>
      <c r="AD16" s="943"/>
      <c r="AE16" s="943"/>
      <c r="AF16" s="943"/>
      <c r="AG16" s="943"/>
      <c r="AH16" s="943"/>
      <c r="AI16" s="943"/>
      <c r="AJ16" s="943"/>
      <c r="AK16" s="943"/>
      <c r="AL16" s="943"/>
      <c r="AM16" s="943"/>
      <c r="AN16" s="1300"/>
      <c r="AO16" s="1448"/>
      <c r="AP16" s="1058"/>
      <c r="AQ16" s="40"/>
      <c r="AR16" s="40"/>
      <c r="AS16" s="40"/>
      <c r="AT16" s="1058"/>
      <c r="AU16" s="1058"/>
    </row>
    <row r="17" spans="1:45" s="974" customFormat="1" ht="18" customHeight="1">
      <c r="A17" s="463"/>
      <c r="B17" s="1001"/>
      <c r="C17" s="1001"/>
      <c r="D17" s="1001"/>
      <c r="E17" s="1001"/>
      <c r="F17" s="1001"/>
      <c r="G17" s="1001"/>
      <c r="H17" s="1001"/>
      <c r="I17" s="1001"/>
      <c r="J17" s="1001"/>
      <c r="K17" s="1001"/>
      <c r="L17" s="1001"/>
      <c r="M17" s="1001"/>
      <c r="N17" s="1001"/>
      <c r="O17" s="1001"/>
      <c r="P17" s="1001"/>
      <c r="Q17" s="1001"/>
      <c r="R17" s="1001"/>
      <c r="S17" s="1001"/>
      <c r="T17" s="1002"/>
      <c r="U17" s="1002"/>
      <c r="V17" s="1002"/>
      <c r="W17" s="1002"/>
      <c r="X17" s="1002"/>
      <c r="Y17" s="1002"/>
      <c r="Z17" s="1002"/>
      <c r="AA17" s="1003"/>
      <c r="AB17" s="1003"/>
      <c r="AC17" s="1003"/>
      <c r="AD17" s="1003"/>
      <c r="AE17" s="1003"/>
      <c r="AF17" s="1003"/>
      <c r="AG17" s="1003"/>
      <c r="AH17" s="1003"/>
      <c r="AI17" s="1003"/>
      <c r="AJ17" s="1003"/>
      <c r="AK17" s="1003"/>
      <c r="AL17" s="1003"/>
      <c r="AM17" s="1003"/>
      <c r="AN17" s="1304"/>
      <c r="AO17" s="1004"/>
      <c r="AP17" s="1304"/>
      <c r="AQ17" s="287"/>
      <c r="AR17" s="287"/>
      <c r="AS17" s="287"/>
    </row>
    <row r="18" spans="1:45" s="974" customFormat="1" ht="14.4">
      <c r="A18" s="463"/>
      <c r="B18" s="1845" t="s">
        <v>664</v>
      </c>
      <c r="C18" s="1845"/>
      <c r="D18" s="1753" t="s">
        <v>672</v>
      </c>
      <c r="E18" s="1753"/>
      <c r="F18" s="1753"/>
      <c r="G18" s="1753"/>
      <c r="H18" s="1753"/>
      <c r="I18" s="1753"/>
      <c r="J18" s="1753"/>
      <c r="K18" s="1753"/>
      <c r="L18" s="1753"/>
      <c r="M18" s="1753"/>
      <c r="N18" s="1753"/>
      <c r="O18" s="1753"/>
      <c r="P18" s="1753"/>
      <c r="Q18" s="1753"/>
      <c r="R18" s="1753"/>
      <c r="S18" s="1753"/>
      <c r="T18" s="1002"/>
      <c r="U18" s="1002"/>
      <c r="V18" s="1002"/>
      <c r="W18" s="1002"/>
      <c r="X18" s="1002"/>
      <c r="Y18" s="1002"/>
      <c r="Z18" s="1002"/>
      <c r="AA18" s="1003"/>
      <c r="AB18" s="1003"/>
      <c r="AC18" s="1003"/>
      <c r="AD18" s="1003"/>
      <c r="AE18" s="1003"/>
      <c r="AF18" s="1003"/>
      <c r="AG18" s="1003"/>
      <c r="AH18" s="1003"/>
      <c r="AI18" s="1003"/>
      <c r="AJ18" s="1003"/>
      <c r="AK18" s="1003"/>
      <c r="AL18" s="1003"/>
      <c r="AM18" s="1003"/>
      <c r="AN18" s="1304"/>
      <c r="AO18" s="1005" t="b">
        <f>B18="Yes"</f>
        <v>1</v>
      </c>
      <c r="AP18" s="40" t="s">
        <v>673</v>
      </c>
      <c r="AQ18" s="287"/>
      <c r="AR18" s="287"/>
      <c r="AS18" s="287"/>
    </row>
    <row r="19" spans="1:45" s="974" customFormat="1" ht="18" customHeight="1">
      <c r="A19" s="463"/>
      <c r="B19" s="2387" t="s">
        <v>674</v>
      </c>
      <c r="C19" s="2387"/>
      <c r="D19" s="2387"/>
      <c r="E19" s="2387"/>
      <c r="F19" s="2387"/>
      <c r="G19" s="2387"/>
      <c r="H19" s="2387"/>
      <c r="I19" s="2387"/>
      <c r="J19" s="2387"/>
      <c r="K19" s="2387"/>
      <c r="L19" s="2387"/>
      <c r="M19" s="2387"/>
      <c r="N19" s="2387"/>
      <c r="O19" s="2387"/>
      <c r="P19" s="2387"/>
      <c r="Q19" s="2387"/>
      <c r="R19" s="2387"/>
      <c r="S19" s="2387"/>
      <c r="T19" s="2387"/>
      <c r="U19" s="2387"/>
      <c r="V19" s="2387"/>
      <c r="W19" s="1727" t="s">
        <v>664</v>
      </c>
      <c r="X19" s="1727"/>
      <c r="Y19" s="1002"/>
      <c r="Z19" s="1456"/>
      <c r="AA19" s="1456"/>
      <c r="AB19" s="1003"/>
      <c r="AC19" s="1003"/>
      <c r="AD19" s="1003"/>
      <c r="AE19" s="1003"/>
      <c r="AF19" s="1003"/>
      <c r="AG19" s="1003"/>
      <c r="AH19" s="1003"/>
      <c r="AI19" s="1003"/>
      <c r="AJ19" s="1003"/>
      <c r="AK19" s="1003"/>
      <c r="AL19" s="1003"/>
      <c r="AM19" s="1003"/>
      <c r="AN19" s="1304"/>
      <c r="AO19" s="1004"/>
      <c r="AP19" s="1304"/>
      <c r="AQ19" s="287"/>
      <c r="AR19" s="287"/>
      <c r="AS19" s="287"/>
    </row>
    <row r="20" spans="1:45" s="974" customFormat="1" ht="18" customHeight="1">
      <c r="A20" s="463"/>
      <c r="B20" s="2430" t="s">
        <v>675</v>
      </c>
      <c r="C20" s="2430"/>
      <c r="D20" s="2430"/>
      <c r="E20" s="2430"/>
      <c r="F20" s="2430"/>
      <c r="G20" s="2430"/>
      <c r="H20" s="2430"/>
      <c r="I20" s="2430"/>
      <c r="J20" s="2430"/>
      <c r="K20" s="2430"/>
      <c r="L20" s="2430"/>
      <c r="M20" s="2430"/>
      <c r="N20" s="2430"/>
      <c r="O20" s="2430"/>
      <c r="P20" s="2430"/>
      <c r="Q20" s="2430"/>
      <c r="R20" s="2430"/>
      <c r="S20" s="1879" t="s">
        <v>711</v>
      </c>
      <c r="T20" s="1880"/>
      <c r="U20" s="2433" t="str">
        <f>IF(S20="No","To be eligible for funding, all IIG applications must include a Qualifying Infill Project.","")</f>
        <v>To be eligible for funding, all IIG applications must include a Qualifying Infill Project.</v>
      </c>
      <c r="V20" s="2434"/>
      <c r="W20" s="2434"/>
      <c r="X20" s="2434"/>
      <c r="Y20" s="2434"/>
      <c r="Z20" s="2434"/>
      <c r="AA20" s="2434"/>
      <c r="AB20" s="2434"/>
      <c r="AC20" s="2434"/>
      <c r="AD20" s="2434"/>
      <c r="AE20" s="2434"/>
      <c r="AF20" s="2434"/>
      <c r="AG20" s="2434"/>
      <c r="AH20" s="2434"/>
      <c r="AI20" s="2434"/>
      <c r="AJ20" s="2434"/>
      <c r="AK20" s="2434"/>
      <c r="AL20" s="2434"/>
      <c r="AM20" s="2434"/>
      <c r="AN20" s="1304"/>
      <c r="AO20" s="1004"/>
      <c r="AP20" s="1304"/>
      <c r="AQ20" s="287"/>
      <c r="AR20" s="287"/>
      <c r="AS20" s="287"/>
    </row>
    <row r="21" spans="1:45" s="974" customFormat="1" ht="18" customHeight="1">
      <c r="A21" s="463"/>
      <c r="B21" s="2443" t="s">
        <v>676</v>
      </c>
      <c r="C21" s="2443"/>
      <c r="D21" s="2443"/>
      <c r="E21" s="2444" t="str">
        <f>'Document Checklist'!$E$148</f>
        <v>64. CIP Integral to QIP</v>
      </c>
      <c r="F21" s="2445"/>
      <c r="G21" s="2445"/>
      <c r="H21" s="2445"/>
      <c r="I21" s="2445"/>
      <c r="J21" s="2445"/>
      <c r="K21" s="2446"/>
      <c r="L21" s="2392" t="str">
        <f>'Document Checklist'!$N$148</f>
        <v>Applicant narrative and documentation evidencing the Locality requiring the CIP.</v>
      </c>
      <c r="M21" s="2393"/>
      <c r="N21" s="2393"/>
      <c r="O21" s="2393"/>
      <c r="P21" s="2393"/>
      <c r="Q21" s="2393"/>
      <c r="R21" s="2393"/>
      <c r="S21" s="2393"/>
      <c r="T21" s="2393"/>
      <c r="U21" s="2393"/>
      <c r="V21" s="2393"/>
      <c r="W21" s="2393"/>
      <c r="X21" s="2393"/>
      <c r="Y21" s="2393"/>
      <c r="Z21" s="2393"/>
      <c r="AA21" s="2393"/>
      <c r="AB21" s="2393"/>
      <c r="AC21" s="2393"/>
      <c r="AD21" s="2393"/>
      <c r="AE21" s="2394"/>
      <c r="AF21" s="2395" t="s">
        <v>677</v>
      </c>
      <c r="AG21" s="2396"/>
      <c r="AH21" s="2396"/>
      <c r="AI21" s="2396"/>
      <c r="AJ21" s="2396"/>
      <c r="AK21" s="2396"/>
      <c r="AL21" s="1743" t="s">
        <v>1475</v>
      </c>
      <c r="AM21" s="1743"/>
      <c r="AN21" s="1304"/>
      <c r="AO21" s="1004"/>
      <c r="AP21" s="1304"/>
      <c r="AQ21" s="287"/>
      <c r="AR21" s="287"/>
      <c r="AS21" s="287"/>
    </row>
    <row r="22" spans="1:45" s="974" customFormat="1" ht="18" customHeight="1">
      <c r="A22" s="463"/>
      <c r="B22" s="2397" t="s">
        <v>678</v>
      </c>
      <c r="C22" s="2397"/>
      <c r="D22" s="2397"/>
      <c r="E22" s="2397"/>
      <c r="F22" s="2397"/>
      <c r="G22" s="2397"/>
      <c r="H22" s="2397"/>
      <c r="I22" s="2397"/>
      <c r="J22" s="2397"/>
      <c r="K22" s="2397"/>
      <c r="L22" s="2397"/>
      <c r="M22" s="2397"/>
      <c r="N22" s="2397"/>
      <c r="O22" s="2397"/>
      <c r="P22" s="2397"/>
      <c r="Q22" s="2397"/>
      <c r="R22" s="2397"/>
      <c r="S22" s="2397"/>
      <c r="T22" s="2397"/>
      <c r="U22" s="2397"/>
      <c r="V22" s="2397"/>
      <c r="W22" s="2397"/>
      <c r="X22" s="2397"/>
      <c r="Y22" s="2397"/>
      <c r="Z22" s="2397"/>
      <c r="AA22" s="2397"/>
      <c r="AB22" s="2397"/>
      <c r="AC22" s="2397"/>
      <c r="AD22" s="2397"/>
      <c r="AE22" s="2397"/>
      <c r="AF22" s="2397"/>
      <c r="AG22" s="2397"/>
      <c r="AH22" s="2397"/>
      <c r="AI22" s="2397"/>
      <c r="AJ22" s="2397"/>
      <c r="AK22" s="2397"/>
      <c r="AL22" s="2398" t="s">
        <v>664</v>
      </c>
      <c r="AM22" s="2399"/>
      <c r="AN22" s="1304"/>
      <c r="AO22" s="1004"/>
      <c r="AP22" s="1304"/>
      <c r="AQ22" s="287"/>
      <c r="AR22" s="287"/>
      <c r="AS22" s="287"/>
    </row>
    <row r="23" spans="1:45" s="974" customFormat="1" ht="18" customHeight="1">
      <c r="A23" s="463"/>
      <c r="B23" s="2404" t="s">
        <v>679</v>
      </c>
      <c r="C23" s="2404"/>
      <c r="D23" s="2404"/>
      <c r="E23" s="2404"/>
      <c r="F23" s="2404"/>
      <c r="G23" s="2404"/>
      <c r="H23" s="2404"/>
      <c r="I23" s="2404"/>
      <c r="J23" s="2404"/>
      <c r="K23" s="2404"/>
      <c r="L23" s="2404"/>
      <c r="M23" s="2404"/>
      <c r="N23" s="2404"/>
      <c r="O23" s="2404"/>
      <c r="P23" s="2404"/>
      <c r="Q23" s="2404"/>
      <c r="R23" s="2404"/>
      <c r="S23" s="2404"/>
      <c r="T23" s="2404"/>
      <c r="U23" s="2404"/>
      <c r="V23" s="2404"/>
      <c r="W23" s="1466"/>
      <c r="X23" s="1466"/>
      <c r="Y23" s="1466"/>
      <c r="Z23" s="1466"/>
      <c r="AA23" s="1466"/>
      <c r="AB23" s="1466"/>
      <c r="AC23" s="1466"/>
      <c r="AD23" s="1466"/>
      <c r="AE23" s="1466"/>
      <c r="AF23" s="1466"/>
      <c r="AG23" s="1466"/>
      <c r="AH23" s="1466"/>
      <c r="AI23" s="1466"/>
      <c r="AJ23" s="1466"/>
      <c r="AK23" s="1466"/>
      <c r="AL23" s="2400"/>
      <c r="AM23" s="2401"/>
      <c r="AN23" s="1304"/>
      <c r="AO23" s="1004"/>
      <c r="AP23" s="1304"/>
      <c r="AQ23" s="287"/>
      <c r="AR23" s="287"/>
      <c r="AS23" s="287"/>
    </row>
    <row r="24" spans="1:45" s="974" customFormat="1" ht="18" customHeight="1">
      <c r="A24" s="463"/>
      <c r="B24" s="2402" t="s">
        <v>680</v>
      </c>
      <c r="C24" s="2402"/>
      <c r="D24" s="2402"/>
      <c r="E24" s="2402"/>
      <c r="F24" s="2402"/>
      <c r="G24" s="2402"/>
      <c r="H24" s="2402"/>
      <c r="I24" s="2402"/>
      <c r="J24" s="2402"/>
      <c r="K24" s="2402"/>
      <c r="L24" s="2402"/>
      <c r="M24" s="2402"/>
      <c r="N24" s="2402"/>
      <c r="O24" s="2402"/>
      <c r="P24" s="2402"/>
      <c r="Q24" s="2402"/>
      <c r="R24" s="2402"/>
      <c r="S24" s="2402"/>
      <c r="T24" s="2402"/>
      <c r="U24" s="2402"/>
      <c r="V24" s="2402"/>
      <c r="W24" s="2402"/>
      <c r="X24" s="2402"/>
      <c r="Y24" s="2402"/>
      <c r="Z24" s="2402"/>
      <c r="AA24" s="2402"/>
      <c r="AB24" s="2402"/>
      <c r="AC24" s="2402"/>
      <c r="AD24" s="2402"/>
      <c r="AE24" s="2402"/>
      <c r="AF24" s="2402"/>
      <c r="AG24" s="2402"/>
      <c r="AH24" s="2402"/>
      <c r="AI24" s="2402"/>
      <c r="AJ24" s="2402"/>
      <c r="AK24" s="2403"/>
      <c r="AL24" s="1880" t="s">
        <v>664</v>
      </c>
      <c r="AM24" s="1727"/>
      <c r="AN24" s="1304"/>
      <c r="AO24" s="1004"/>
      <c r="AP24" s="1304"/>
      <c r="AQ24" s="287"/>
      <c r="AR24" s="287"/>
      <c r="AS24" s="287"/>
    </row>
    <row r="25" spans="1:45" s="974" customFormat="1" ht="14.4">
      <c r="A25" s="463"/>
      <c r="B25" s="1890" t="s">
        <v>681</v>
      </c>
      <c r="C25" s="1890"/>
      <c r="D25" s="1890"/>
      <c r="E25" s="1890"/>
      <c r="F25" s="1890"/>
      <c r="G25" s="1890"/>
      <c r="H25" s="1890"/>
      <c r="I25" s="1890"/>
      <c r="J25" s="1890"/>
      <c r="K25" s="1890"/>
      <c r="L25" s="1890"/>
      <c r="M25" s="1890"/>
      <c r="N25" s="1890"/>
      <c r="O25" s="1890"/>
      <c r="P25" s="1890"/>
      <c r="Q25" s="1890"/>
      <c r="R25" s="1890"/>
      <c r="S25" s="1890"/>
      <c r="T25" s="1890"/>
      <c r="U25" s="1891"/>
      <c r="V25" s="1727" t="s">
        <v>664</v>
      </c>
      <c r="W25" s="1727"/>
      <c r="X25" s="368"/>
      <c r="Y25" s="368"/>
      <c r="Z25" s="368"/>
      <c r="AA25" s="368"/>
      <c r="AB25" s="368"/>
      <c r="AC25" s="368"/>
      <c r="AD25" s="368"/>
      <c r="AE25" s="368"/>
      <c r="AF25" s="368"/>
      <c r="AG25" s="368"/>
      <c r="AH25" s="368"/>
      <c r="AI25" s="368"/>
      <c r="AJ25" s="368"/>
      <c r="AK25" s="368"/>
      <c r="AL25" s="368"/>
      <c r="AM25" s="368"/>
      <c r="AN25" s="1304"/>
      <c r="AO25" s="1004"/>
      <c r="AP25" s="1304"/>
      <c r="AQ25" s="287"/>
      <c r="AR25" s="287"/>
      <c r="AS25" s="287"/>
    </row>
    <row r="26" spans="1:45" s="974" customFormat="1" ht="14.4">
      <c r="A26" s="463"/>
      <c r="B26" s="1896" t="s">
        <v>4144</v>
      </c>
      <c r="C26" s="1897"/>
      <c r="D26" s="1897"/>
      <c r="E26" s="1897"/>
      <c r="F26" s="1897"/>
      <c r="G26" s="1897"/>
      <c r="H26" s="1897"/>
      <c r="I26" s="1897"/>
      <c r="J26" s="1897"/>
      <c r="K26" s="1897"/>
      <c r="L26" s="1897"/>
      <c r="M26" s="1897"/>
      <c r="N26" s="1897"/>
      <c r="O26" s="1897"/>
      <c r="P26" s="1897"/>
      <c r="Q26" s="1897"/>
      <c r="R26" s="1897"/>
      <c r="S26" s="1897"/>
      <c r="T26" s="1897"/>
      <c r="U26" s="1897"/>
      <c r="V26" s="1897"/>
      <c r="W26" s="1897"/>
      <c r="X26" s="1897"/>
      <c r="Y26" s="1897"/>
      <c r="Z26" s="1897"/>
      <c r="AA26" s="1897"/>
      <c r="AB26" s="1897"/>
      <c r="AC26" s="1897"/>
      <c r="AD26" s="1897"/>
      <c r="AE26" s="1897"/>
      <c r="AF26" s="1897"/>
      <c r="AG26" s="1898"/>
      <c r="AH26" s="368"/>
      <c r="AI26" s="368"/>
      <c r="AJ26" s="368"/>
      <c r="AK26" s="368"/>
      <c r="AL26" s="368"/>
      <c r="AM26" s="368"/>
      <c r="AN26" s="1304"/>
      <c r="AO26" s="1004"/>
      <c r="AP26" s="1304"/>
      <c r="AQ26" s="287"/>
      <c r="AR26" s="287"/>
      <c r="AS26" s="287"/>
    </row>
    <row r="27" spans="1:45" s="974" customFormat="1" ht="14.4">
      <c r="A27" s="463"/>
      <c r="B27" s="1851" t="s">
        <v>676</v>
      </c>
      <c r="C27" s="1851"/>
      <c r="D27" s="1851"/>
      <c r="E27" s="1715" t="str">
        <f>'Document Checklist'!$E$149</f>
        <v>65. Urban Area</v>
      </c>
      <c r="F27" s="1716"/>
      <c r="G27" s="1716"/>
      <c r="H27" s="1716"/>
      <c r="I27" s="1716"/>
      <c r="J27" s="1716"/>
      <c r="K27" s="1717"/>
      <c r="L27" s="1718" t="str">
        <f>'Document Checklist'!$N$149</f>
        <v>Provide documentation of location in an Urbanized Area.</v>
      </c>
      <c r="M27" s="1719"/>
      <c r="N27" s="1719"/>
      <c r="O27" s="1719"/>
      <c r="P27" s="1719"/>
      <c r="Q27" s="1719"/>
      <c r="R27" s="1719"/>
      <c r="S27" s="1719"/>
      <c r="T27" s="1719"/>
      <c r="U27" s="1719"/>
      <c r="V27" s="1719"/>
      <c r="W27" s="1719"/>
      <c r="X27" s="1719"/>
      <c r="Y27" s="1719"/>
      <c r="Z27" s="1719"/>
      <c r="AA27" s="1719"/>
      <c r="AB27" s="1719"/>
      <c r="AC27" s="1719"/>
      <c r="AD27" s="1719"/>
      <c r="AE27" s="1720"/>
      <c r="AF27" s="2129" t="s">
        <v>677</v>
      </c>
      <c r="AG27" s="2130"/>
      <c r="AH27" s="2130"/>
      <c r="AI27" s="2130"/>
      <c r="AJ27" s="2130"/>
      <c r="AK27" s="2130"/>
      <c r="AL27" s="1743" t="s">
        <v>664</v>
      </c>
      <c r="AM27" s="1743"/>
      <c r="AN27" s="1304"/>
      <c r="AO27" s="1004"/>
      <c r="AP27" s="1304"/>
      <c r="AQ27" s="287"/>
      <c r="AR27" s="287"/>
      <c r="AS27" s="287"/>
    </row>
    <row r="28" spans="1:45" s="974" customFormat="1" ht="14.4">
      <c r="A28" s="463"/>
      <c r="B28" s="1001"/>
      <c r="C28" s="1001"/>
      <c r="D28" s="1001"/>
      <c r="E28" s="1001"/>
      <c r="F28" s="1001"/>
      <c r="G28" s="1001"/>
      <c r="H28" s="1001"/>
      <c r="I28" s="1001"/>
      <c r="J28" s="1001"/>
      <c r="K28" s="1001"/>
      <c r="L28" s="1001"/>
      <c r="M28" s="1001"/>
      <c r="N28" s="1001"/>
      <c r="O28" s="1001"/>
      <c r="P28" s="1001"/>
      <c r="Q28" s="1001"/>
      <c r="R28" s="1001"/>
      <c r="S28" s="1001"/>
      <c r="T28" s="1002"/>
      <c r="U28" s="1002"/>
      <c r="V28" s="1002"/>
      <c r="W28" s="1002"/>
      <c r="X28" s="1002"/>
      <c r="Y28" s="1002"/>
      <c r="Z28" s="1002"/>
      <c r="AA28" s="1003"/>
      <c r="AB28" s="1003"/>
      <c r="AC28" s="1003"/>
      <c r="AD28" s="1003"/>
      <c r="AE28" s="1003"/>
      <c r="AF28" s="1003"/>
      <c r="AG28" s="1003"/>
      <c r="AH28" s="1003"/>
      <c r="AI28" s="1003"/>
      <c r="AJ28" s="1003"/>
      <c r="AK28" s="1003"/>
      <c r="AL28" s="1003"/>
      <c r="AM28" s="1003"/>
      <c r="AN28" s="1304"/>
      <c r="AO28" s="1004"/>
      <c r="AP28" s="1304"/>
      <c r="AQ28" s="287"/>
      <c r="AR28" s="287"/>
      <c r="AS28" s="287"/>
    </row>
    <row r="29" spans="1:45" s="974" customFormat="1" ht="14.4">
      <c r="A29" s="463"/>
      <c r="B29" s="1845" t="s">
        <v>664</v>
      </c>
      <c r="C29" s="1845"/>
      <c r="D29" s="1848" t="str">
        <f>IF(AND(IsMhp,IsSerna),"Farmworker Housing (MHP &amp; FWHG)",IF(IsMhp,"Farmworker Housing (MHP)",IF(IsSerna,"Farmworker Housing (FWHG)","")))</f>
        <v>Farmworker Housing (MHP &amp; FWHG)</v>
      </c>
      <c r="E29" s="1848"/>
      <c r="F29" s="1848"/>
      <c r="G29" s="1848"/>
      <c r="H29" s="1848"/>
      <c r="I29" s="1848"/>
      <c r="J29" s="1848"/>
      <c r="K29" s="1848"/>
      <c r="L29" s="1848"/>
      <c r="M29" s="1848"/>
      <c r="N29" s="1848"/>
      <c r="O29" s="1848"/>
      <c r="P29" s="1848"/>
      <c r="Q29" s="1848"/>
      <c r="R29" s="1848"/>
      <c r="S29" s="1848"/>
      <c r="T29" s="1006"/>
      <c r="U29" s="1006"/>
      <c r="V29" s="1006"/>
      <c r="W29" s="1006"/>
      <c r="X29" s="1002"/>
      <c r="Y29" s="1002"/>
      <c r="Z29" s="1002"/>
      <c r="AA29" s="1003"/>
      <c r="AB29" s="1003"/>
      <c r="AC29" s="1003"/>
      <c r="AD29" s="1003"/>
      <c r="AE29" s="1003"/>
      <c r="AF29" s="1003"/>
      <c r="AG29" s="1003"/>
      <c r="AH29" s="1003"/>
      <c r="AI29" s="1003"/>
      <c r="AJ29" s="1003"/>
      <c r="AK29" s="1003"/>
      <c r="AL29" s="1003"/>
      <c r="AM29" s="1003"/>
      <c r="AN29" s="1304"/>
      <c r="AO29" s="1005" t="b">
        <f>B29="Yes"</f>
        <v>1</v>
      </c>
      <c r="AP29" s="40" t="s">
        <v>682</v>
      </c>
      <c r="AQ29" s="287"/>
      <c r="AR29" s="287"/>
      <c r="AS29" s="287"/>
    </row>
    <row r="30" spans="1:45" s="974" customFormat="1" ht="14.4">
      <c r="A30" s="463"/>
      <c r="B30" s="1893" t="s">
        <v>683</v>
      </c>
      <c r="C30" s="1893"/>
      <c r="D30" s="1893"/>
      <c r="E30" s="1893"/>
      <c r="F30" s="1893"/>
      <c r="G30" s="1893"/>
      <c r="H30" s="1893"/>
      <c r="I30" s="1893"/>
      <c r="J30" s="1893"/>
      <c r="K30" s="1893"/>
      <c r="L30" s="1893"/>
      <c r="M30" s="1893"/>
      <c r="N30" s="1893"/>
      <c r="O30" s="1893"/>
      <c r="P30" s="1893"/>
      <c r="Q30" s="1893"/>
      <c r="R30" s="1894" t="str">
        <f>CONCATENATE(IF(IsMhp,"MHP MHP §7302 (e)(4)",""),"  ",IF(IsSerna,"§FWHG 7204",""))</f>
        <v>MHP MHP §7302 (e)(4)  §FWHG 7204</v>
      </c>
      <c r="S30" s="1894"/>
      <c r="T30" s="1894"/>
      <c r="U30" s="1894"/>
      <c r="V30" s="1894"/>
      <c r="W30" s="1894"/>
      <c r="X30" s="1894"/>
      <c r="Y30" s="1894"/>
      <c r="Z30" s="1894"/>
      <c r="AA30" s="1894"/>
      <c r="AB30" s="1894"/>
      <c r="AC30" s="1895"/>
      <c r="AD30" s="1727" t="s">
        <v>664</v>
      </c>
      <c r="AE30" s="1727"/>
      <c r="AF30" s="1003"/>
      <c r="AG30" s="1003"/>
      <c r="AH30" s="1003"/>
      <c r="AI30" s="1003"/>
      <c r="AJ30" s="1003"/>
      <c r="AK30" s="1003"/>
      <c r="AL30" s="1003"/>
      <c r="AM30" s="1003"/>
      <c r="AN30" s="1304"/>
      <c r="AO30" s="1004"/>
      <c r="AP30" s="1304"/>
      <c r="AQ30" s="287"/>
      <c r="AR30" s="287"/>
      <c r="AS30" s="287"/>
    </row>
    <row r="31" spans="1:45" s="368" customFormat="1" ht="13.8">
      <c r="A31" s="445"/>
      <c r="B31" s="1890" t="s">
        <v>684</v>
      </c>
      <c r="C31" s="1890"/>
      <c r="D31" s="1890"/>
      <c r="E31" s="1890"/>
      <c r="F31" s="1890"/>
      <c r="G31" s="1890"/>
      <c r="H31" s="1890"/>
      <c r="I31" s="1890"/>
      <c r="J31" s="1890"/>
      <c r="K31" s="1890"/>
      <c r="L31" s="1890"/>
      <c r="M31" s="1890"/>
      <c r="N31" s="1890"/>
      <c r="O31" s="1890"/>
      <c r="P31" s="1890"/>
      <c r="Q31" s="1890"/>
      <c r="R31" s="1890"/>
      <c r="S31" s="1890"/>
      <c r="T31" s="1890"/>
      <c r="U31" s="1890"/>
      <c r="V31" s="1890"/>
      <c r="W31" s="1891"/>
      <c r="X31" s="1727" t="s">
        <v>664</v>
      </c>
      <c r="Y31" s="1727"/>
    </row>
    <row r="32" spans="1:45" s="368" customFormat="1" ht="13.8">
      <c r="A32" s="445"/>
      <c r="B32" s="1890" t="s">
        <v>685</v>
      </c>
      <c r="C32" s="1890"/>
      <c r="D32" s="1890"/>
      <c r="E32" s="1890"/>
      <c r="F32" s="1890"/>
      <c r="G32" s="1890"/>
      <c r="H32" s="1890"/>
      <c r="I32" s="1890"/>
      <c r="J32" s="1890"/>
      <c r="K32" s="1890"/>
      <c r="L32" s="1890"/>
      <c r="M32" s="1890"/>
      <c r="N32" s="1890"/>
      <c r="O32" s="1890"/>
      <c r="P32" s="1890"/>
      <c r="Q32" s="1890"/>
      <c r="R32" s="1890"/>
      <c r="S32" s="1890"/>
      <c r="T32" s="1890"/>
      <c r="U32" s="1890"/>
      <c r="V32" s="1890"/>
      <c r="W32" s="1890"/>
      <c r="X32" s="1890"/>
      <c r="Y32" s="1890"/>
      <c r="Z32" s="1890"/>
      <c r="AA32" s="1890"/>
      <c r="AB32" s="1890"/>
      <c r="AC32" s="1890"/>
      <c r="AD32" s="1890"/>
      <c r="AE32" s="1890"/>
      <c r="AF32" s="1890"/>
      <c r="AG32" s="1727" t="s">
        <v>664</v>
      </c>
      <c r="AH32" s="1727"/>
    </row>
    <row r="33" spans="1:45" s="368" customFormat="1" ht="13.8">
      <c r="A33" s="445"/>
      <c r="B33" s="1890" t="s">
        <v>686</v>
      </c>
      <c r="C33" s="1890"/>
      <c r="D33" s="1890"/>
      <c r="E33" s="1890"/>
      <c r="F33" s="1890"/>
      <c r="G33" s="1890"/>
      <c r="H33" s="1890"/>
      <c r="I33" s="1890"/>
      <c r="J33" s="1890"/>
      <c r="K33" s="1890"/>
      <c r="L33" s="1890"/>
      <c r="M33" s="1890"/>
      <c r="N33" s="1890"/>
      <c r="O33" s="1890"/>
      <c r="P33" s="1890"/>
      <c r="Q33" s="1890"/>
      <c r="R33" s="1890"/>
      <c r="S33" s="1890"/>
      <c r="T33" s="1890"/>
      <c r="U33" s="1890"/>
      <c r="V33" s="1890"/>
      <c r="W33" s="1890"/>
      <c r="X33" s="1890"/>
      <c r="Y33" s="1890"/>
      <c r="Z33" s="1890"/>
      <c r="AA33" s="1890"/>
      <c r="AB33" s="1890"/>
      <c r="AC33" s="1890"/>
      <c r="AD33" s="1890"/>
      <c r="AE33" s="1891"/>
      <c r="AF33" s="1727" t="s">
        <v>711</v>
      </c>
      <c r="AG33" s="1727"/>
    </row>
    <row r="34" spans="1:45" s="368" customFormat="1" ht="13.8">
      <c r="A34" s="445"/>
      <c r="B34" s="1892" t="s">
        <v>687</v>
      </c>
      <c r="C34" s="1892"/>
      <c r="D34" s="1892"/>
      <c r="E34" s="1892"/>
      <c r="F34" s="1892"/>
      <c r="G34" s="1892"/>
      <c r="H34" s="1892"/>
      <c r="I34" s="1892"/>
      <c r="J34" s="1892"/>
      <c r="K34" s="1892"/>
      <c r="L34" s="1892"/>
      <c r="M34" s="1892"/>
      <c r="N34" s="1892"/>
      <c r="O34" s="1892"/>
      <c r="P34" s="1892"/>
      <c r="Q34" s="1892"/>
      <c r="R34" s="1892"/>
      <c r="S34" s="1892"/>
      <c r="T34" s="1892"/>
      <c r="U34" s="1892"/>
      <c r="V34" s="1892"/>
      <c r="W34" s="1892"/>
      <c r="X34" s="1892"/>
      <c r="Y34" s="1892"/>
      <c r="Z34" s="1892"/>
      <c r="AA34" s="1892"/>
      <c r="AB34" s="1892"/>
      <c r="AC34" s="1892"/>
      <c r="AD34" s="1892"/>
      <c r="AE34" s="1892"/>
      <c r="AF34" s="1892"/>
      <c r="AG34" s="1892"/>
      <c r="AH34" s="1892"/>
      <c r="AI34" s="1892"/>
      <c r="AJ34" s="1892"/>
      <c r="AK34" s="1892"/>
      <c r="AL34" s="1727" t="s">
        <v>664</v>
      </c>
      <c r="AM34" s="1727"/>
    </row>
    <row r="35" spans="1:45" s="974" customFormat="1" ht="14.4">
      <c r="A35" s="463"/>
      <c r="B35" s="1001"/>
      <c r="C35" s="1001"/>
      <c r="D35" s="1001"/>
      <c r="E35" s="1001"/>
      <c r="F35" s="1001"/>
      <c r="G35" s="1001"/>
      <c r="H35" s="1001"/>
      <c r="I35" s="1001"/>
      <c r="J35" s="1001"/>
      <c r="K35" s="1001"/>
      <c r="L35" s="1001"/>
      <c r="M35" s="1001"/>
      <c r="N35" s="1001"/>
      <c r="O35" s="1001"/>
      <c r="P35" s="1001"/>
      <c r="Q35" s="1001"/>
      <c r="R35" s="1001"/>
      <c r="S35" s="1001"/>
      <c r="T35" s="1002"/>
      <c r="U35" s="1002"/>
      <c r="V35" s="1002"/>
      <c r="W35" s="1002"/>
      <c r="X35" s="1002"/>
      <c r="Y35" s="1002"/>
      <c r="Z35" s="1002"/>
      <c r="AA35" s="1003"/>
      <c r="AB35" s="1003"/>
      <c r="AC35" s="1003"/>
      <c r="AD35" s="1003"/>
      <c r="AE35" s="1003"/>
      <c r="AF35" s="1003"/>
      <c r="AG35" s="1003"/>
      <c r="AH35" s="1003"/>
      <c r="AI35" s="1003"/>
      <c r="AJ35" s="1003"/>
      <c r="AK35" s="1003"/>
      <c r="AL35" s="1003"/>
      <c r="AM35" s="1003"/>
      <c r="AN35" s="1304"/>
      <c r="AO35" s="1004"/>
      <c r="AP35" s="1304"/>
      <c r="AQ35" s="287"/>
      <c r="AR35" s="287"/>
      <c r="AS35" s="287"/>
    </row>
    <row r="36" spans="1:45" s="974" customFormat="1" ht="14.4">
      <c r="A36" s="463"/>
      <c r="B36" s="1845" t="s">
        <v>664</v>
      </c>
      <c r="C36" s="1845"/>
      <c r="D36" s="1753" t="s">
        <v>688</v>
      </c>
      <c r="E36" s="1753"/>
      <c r="F36" s="1753"/>
      <c r="G36" s="1753"/>
      <c r="H36" s="1753"/>
      <c r="I36" s="1753"/>
      <c r="J36" s="1753"/>
      <c r="K36" s="1753"/>
      <c r="L36" s="1753"/>
      <c r="M36" s="1753"/>
      <c r="N36" s="1753"/>
      <c r="O36" s="1753"/>
      <c r="P36" s="1753"/>
      <c r="Q36" s="1753"/>
      <c r="R36" s="1753"/>
      <c r="S36" s="1753"/>
      <c r="T36" s="1002"/>
      <c r="U36" s="1002"/>
      <c r="V36" s="1002"/>
      <c r="W36" s="1002"/>
      <c r="X36" s="1002"/>
      <c r="Y36" s="1002"/>
      <c r="Z36" s="1002"/>
      <c r="AA36" s="1003"/>
      <c r="AB36" s="1003"/>
      <c r="AC36" s="1003"/>
      <c r="AD36" s="1003"/>
      <c r="AE36" s="1003"/>
      <c r="AF36" s="1003"/>
      <c r="AG36" s="1003"/>
      <c r="AH36" s="1003"/>
      <c r="AI36" s="1003"/>
      <c r="AJ36" s="1003"/>
      <c r="AK36" s="1003"/>
      <c r="AL36" s="1003"/>
      <c r="AM36" s="1003"/>
      <c r="AN36" s="1304"/>
      <c r="AO36" s="1005" t="b">
        <f>B36="yes"</f>
        <v>1</v>
      </c>
      <c r="AP36" s="1303" t="s">
        <v>689</v>
      </c>
      <c r="AQ36" s="287"/>
      <c r="AR36" s="287"/>
      <c r="AS36" s="287"/>
    </row>
    <row r="37" spans="1:45" s="974" customFormat="1" ht="18" customHeight="1">
      <c r="A37" s="463"/>
      <c r="B37" s="1849" t="s">
        <v>690</v>
      </c>
      <c r="C37" s="1849"/>
      <c r="D37" s="1849"/>
      <c r="E37" s="1849"/>
      <c r="F37" s="1849"/>
      <c r="G37" s="1849"/>
      <c r="H37" s="1849"/>
      <c r="I37" s="1849"/>
      <c r="J37" s="1849"/>
      <c r="K37" s="1849"/>
      <c r="L37" s="1849"/>
      <c r="M37" s="1849"/>
      <c r="N37" s="1849"/>
      <c r="O37" s="1849"/>
      <c r="P37" s="1849"/>
      <c r="Q37" s="1849"/>
      <c r="R37" s="1849"/>
      <c r="S37" s="1849"/>
      <c r="T37" s="1002"/>
      <c r="U37" s="1002"/>
      <c r="V37" s="1002"/>
      <c r="W37" s="1002"/>
      <c r="X37" s="1002"/>
      <c r="Y37" s="1002"/>
      <c r="Z37" s="1002"/>
      <c r="AA37" s="1003"/>
      <c r="AB37" s="1003"/>
      <c r="AC37" s="1003"/>
      <c r="AD37" s="1003"/>
      <c r="AE37" s="1003"/>
      <c r="AF37" s="1003"/>
      <c r="AG37" s="1003"/>
      <c r="AH37" s="1003"/>
      <c r="AI37" s="1003"/>
      <c r="AJ37" s="1003"/>
      <c r="AK37" s="1003"/>
      <c r="AL37" s="1003"/>
      <c r="AM37" s="1003"/>
      <c r="AN37" s="1304"/>
      <c r="AO37" s="1004"/>
      <c r="AP37" s="1304"/>
      <c r="AQ37" s="287"/>
      <c r="AR37" s="287"/>
      <c r="AS37" s="287"/>
    </row>
    <row r="38" spans="1:45" s="974" customFormat="1" ht="14.4">
      <c r="A38" s="463"/>
      <c r="B38" s="2379" t="s">
        <v>4118</v>
      </c>
      <c r="C38" s="2379"/>
      <c r="D38" s="2379"/>
      <c r="E38" s="2379"/>
      <c r="F38" s="2379"/>
      <c r="G38" s="2379"/>
      <c r="H38" s="2379"/>
      <c r="I38" s="2379"/>
      <c r="J38" s="2379"/>
      <c r="K38" s="2379"/>
      <c r="L38" s="2379"/>
      <c r="M38" s="2379"/>
      <c r="N38" s="2379"/>
      <c r="O38" s="2379"/>
      <c r="P38" s="2379"/>
      <c r="Q38" s="2379"/>
      <c r="R38" s="2379"/>
      <c r="S38" s="2379"/>
      <c r="T38" s="2379"/>
      <c r="U38" s="2379"/>
      <c r="V38" s="1879" t="s">
        <v>664</v>
      </c>
      <c r="W38" s="1880"/>
      <c r="X38" s="1002"/>
      <c r="Y38" s="1002"/>
      <c r="Z38" s="1002"/>
      <c r="AA38" s="1003"/>
      <c r="AB38" s="1003"/>
      <c r="AC38" s="1003"/>
      <c r="AD38" s="1003"/>
      <c r="AE38" s="1003"/>
      <c r="AF38" s="1003"/>
      <c r="AG38" s="1003"/>
      <c r="AH38" s="1003"/>
      <c r="AI38" s="1003"/>
      <c r="AJ38" s="1003"/>
      <c r="AK38" s="1003"/>
      <c r="AL38" s="1003"/>
      <c r="AM38" s="1003"/>
      <c r="AN38" s="1304"/>
      <c r="AO38" s="1004"/>
      <c r="AP38" s="1304"/>
      <c r="AQ38" s="287"/>
      <c r="AR38" s="287"/>
      <c r="AS38" s="287"/>
    </row>
    <row r="39" spans="1:45" s="974" customFormat="1" ht="14.4">
      <c r="A39" s="463"/>
      <c r="B39" s="1001"/>
      <c r="C39" s="1001"/>
      <c r="D39" s="1001"/>
      <c r="E39" s="1001"/>
      <c r="F39" s="1001"/>
      <c r="G39" s="1001"/>
      <c r="H39" s="1001"/>
      <c r="I39" s="1001"/>
      <c r="J39" s="1001"/>
      <c r="K39" s="1001"/>
      <c r="L39" s="1001"/>
      <c r="M39" s="1001"/>
      <c r="N39" s="1001"/>
      <c r="O39" s="1001"/>
      <c r="P39" s="1001"/>
      <c r="Q39" s="1001"/>
      <c r="R39" s="1001"/>
      <c r="S39" s="1001"/>
      <c r="T39" s="1002"/>
      <c r="U39" s="1002"/>
      <c r="V39" s="1002"/>
      <c r="W39" s="1002"/>
      <c r="X39" s="1002"/>
      <c r="Y39" s="1002"/>
      <c r="Z39" s="1002"/>
      <c r="AA39" s="1003"/>
      <c r="AB39" s="1003"/>
      <c r="AC39" s="1003"/>
      <c r="AD39" s="1003"/>
      <c r="AE39" s="1003"/>
      <c r="AF39" s="1003"/>
      <c r="AG39" s="1003"/>
      <c r="AH39" s="1003"/>
      <c r="AI39" s="1003"/>
      <c r="AJ39" s="1003"/>
      <c r="AK39" s="1003"/>
      <c r="AL39" s="1003"/>
      <c r="AM39" s="1003"/>
      <c r="AN39" s="1304"/>
      <c r="AO39" s="1004"/>
      <c r="AP39" s="1304"/>
      <c r="AQ39" s="287"/>
      <c r="AR39" s="287"/>
      <c r="AS39" s="287"/>
    </row>
    <row r="40" spans="1:45" ht="14.4">
      <c r="B40" s="1845" t="s">
        <v>664</v>
      </c>
      <c r="C40" s="1845"/>
      <c r="D40" s="1753" t="s">
        <v>691</v>
      </c>
      <c r="E40" s="1753"/>
      <c r="F40" s="1753"/>
      <c r="G40" s="1753"/>
      <c r="H40" s="1753"/>
      <c r="I40" s="1753"/>
      <c r="J40" s="1753"/>
      <c r="K40" s="1753"/>
      <c r="L40" s="1753"/>
      <c r="M40" s="1753"/>
      <c r="N40" s="1753"/>
      <c r="O40" s="1753"/>
      <c r="P40" s="1753"/>
      <c r="Q40" s="1753"/>
      <c r="R40" s="1753"/>
      <c r="S40" s="1753"/>
      <c r="T40" s="1002"/>
      <c r="U40" s="1002"/>
      <c r="V40" s="1002"/>
      <c r="W40" s="1002"/>
      <c r="X40" s="1002"/>
      <c r="Y40" s="1002"/>
      <c r="Z40" s="1002"/>
      <c r="AA40" s="1007"/>
      <c r="AB40" s="1007"/>
      <c r="AC40" s="1007"/>
      <c r="AD40" s="1007"/>
      <c r="AE40" s="1007"/>
      <c r="AF40" s="1007"/>
      <c r="AG40" s="1007"/>
      <c r="AH40" s="1007"/>
      <c r="AI40" s="1007"/>
      <c r="AJ40" s="1007"/>
      <c r="AK40" s="1007"/>
      <c r="AL40" s="1007"/>
      <c r="AM40" s="1007"/>
      <c r="AN40" s="1300"/>
      <c r="AO40" s="1005" t="b">
        <f>B40="Yes"</f>
        <v>1</v>
      </c>
      <c r="AP40" s="40" t="s">
        <v>692</v>
      </c>
      <c r="AQ40" s="40"/>
      <c r="AR40" s="40"/>
      <c r="AS40" s="40"/>
    </row>
    <row r="41" spans="1:45" ht="14.4">
      <c r="A41" s="363"/>
      <c r="B41" s="2379" t="s">
        <v>4119</v>
      </c>
      <c r="C41" s="2379"/>
      <c r="D41" s="2379"/>
      <c r="E41" s="2379"/>
      <c r="F41" s="2379"/>
      <c r="G41" s="2379"/>
      <c r="H41" s="2379"/>
      <c r="I41" s="2379"/>
      <c r="J41" s="2379"/>
      <c r="K41" s="2379"/>
      <c r="L41" s="2379"/>
      <c r="M41" s="2379"/>
      <c r="N41" s="2379"/>
      <c r="O41" s="2379"/>
      <c r="P41" s="2379"/>
      <c r="Q41" s="2379"/>
      <c r="R41" s="2379"/>
      <c r="S41" s="2379"/>
      <c r="T41" s="2379"/>
      <c r="U41" s="2379"/>
      <c r="V41" s="1727" t="s">
        <v>664</v>
      </c>
      <c r="W41" s="1727"/>
      <c r="X41" s="1058"/>
      <c r="Y41" s="1058"/>
      <c r="Z41" s="1058"/>
      <c r="AA41" s="1058"/>
      <c r="AB41" s="1058"/>
      <c r="AC41" s="1007"/>
      <c r="AD41" s="1007"/>
      <c r="AE41" s="1007"/>
      <c r="AF41" s="1007"/>
      <c r="AG41" s="1007"/>
      <c r="AH41" s="1007"/>
      <c r="AI41" s="1007"/>
      <c r="AJ41" s="1007"/>
      <c r="AK41" s="1007"/>
      <c r="AL41" s="1007"/>
      <c r="AM41" s="1007"/>
      <c r="AN41" s="1300"/>
      <c r="AO41" s="1005"/>
      <c r="AP41" s="40"/>
      <c r="AQ41" s="40"/>
      <c r="AR41" s="40"/>
      <c r="AS41" s="40"/>
    </row>
    <row r="42" spans="1:45" s="363" customFormat="1" ht="14.4">
      <c r="A42" s="463"/>
      <c r="B42" s="1001"/>
      <c r="C42" s="693"/>
      <c r="D42" s="693"/>
      <c r="E42" s="693"/>
      <c r="F42" s="693"/>
      <c r="G42" s="693"/>
      <c r="H42" s="693"/>
      <c r="I42" s="693"/>
      <c r="J42" s="693"/>
      <c r="K42" s="693"/>
      <c r="L42" s="693"/>
      <c r="M42" s="693"/>
      <c r="N42" s="693"/>
      <c r="O42" s="693"/>
      <c r="P42" s="693"/>
      <c r="Q42" s="693"/>
      <c r="R42" s="693"/>
      <c r="S42" s="693"/>
      <c r="T42" s="693"/>
      <c r="U42" s="1002"/>
      <c r="V42" s="1002"/>
      <c r="W42" s="1002"/>
      <c r="AC42" s="1008"/>
      <c r="AD42" s="1008"/>
      <c r="AE42" s="1008"/>
      <c r="AF42" s="1008"/>
      <c r="AG42" s="1008"/>
      <c r="AH42" s="1008"/>
      <c r="AI42" s="1008"/>
      <c r="AJ42" s="1008"/>
      <c r="AK42" s="1008"/>
      <c r="AL42" s="1008"/>
      <c r="AM42" s="1008"/>
      <c r="AN42" s="1302"/>
      <c r="AO42" s="1009"/>
      <c r="AP42" s="694"/>
      <c r="AQ42" s="694"/>
      <c r="AR42" s="694"/>
    </row>
    <row r="43" spans="1:45" ht="14.4">
      <c r="B43" s="1845" t="s">
        <v>664</v>
      </c>
      <c r="C43" s="1845"/>
      <c r="D43" s="1753" t="s">
        <v>693</v>
      </c>
      <c r="E43" s="1753"/>
      <c r="F43" s="1753"/>
      <c r="G43" s="1753"/>
      <c r="H43" s="1753"/>
      <c r="I43" s="1753"/>
      <c r="J43" s="1753"/>
      <c r="K43" s="1753"/>
      <c r="L43" s="1753"/>
      <c r="M43" s="1753"/>
      <c r="N43" s="1753"/>
      <c r="O43" s="1753"/>
      <c r="P43" s="1753"/>
      <c r="Q43" s="1753"/>
      <c r="R43" s="1753"/>
      <c r="S43" s="1753"/>
      <c r="T43" s="1010"/>
      <c r="U43" s="1010"/>
      <c r="V43" s="1010"/>
      <c r="W43" s="1010"/>
      <c r="X43" s="1010"/>
      <c r="Y43" s="1010"/>
      <c r="Z43" s="1010"/>
      <c r="AA43" s="1010"/>
      <c r="AB43" s="1010"/>
      <c r="AC43" s="1010"/>
      <c r="AD43" s="1010"/>
      <c r="AE43" s="1010"/>
      <c r="AF43" s="1010"/>
      <c r="AG43" s="1010"/>
      <c r="AH43" s="1010"/>
      <c r="AI43" s="1010"/>
      <c r="AJ43" s="1010"/>
      <c r="AK43" s="1010"/>
      <c r="AL43" s="1010"/>
      <c r="AM43" s="1010"/>
      <c r="AN43" s="1300"/>
      <c r="AO43" s="1005" t="b">
        <f>B43="Yes"</f>
        <v>1</v>
      </c>
      <c r="AP43" s="40" t="s">
        <v>694</v>
      </c>
      <c r="AQ43" s="40"/>
      <c r="AR43" s="40"/>
      <c r="AS43" s="40"/>
    </row>
    <row r="44" spans="1:45" ht="13.8">
      <c r="B44" s="2387" t="s">
        <v>4120</v>
      </c>
      <c r="C44" s="2387"/>
      <c r="D44" s="2387"/>
      <c r="E44" s="2387"/>
      <c r="F44" s="2387"/>
      <c r="G44" s="2387"/>
      <c r="H44" s="2387"/>
      <c r="I44" s="2387"/>
      <c r="J44" s="2387"/>
      <c r="K44" s="2387"/>
      <c r="L44" s="2387"/>
      <c r="M44" s="2387"/>
      <c r="N44" s="2387"/>
      <c r="O44" s="2387"/>
      <c r="P44" s="2387"/>
      <c r="Q44" s="2387"/>
      <c r="R44" s="2387"/>
      <c r="S44" s="2387"/>
      <c r="T44" s="2387"/>
      <c r="U44" s="2387"/>
      <c r="V44" s="1727" t="s">
        <v>664</v>
      </c>
      <c r="W44" s="1727"/>
      <c r="X44" s="1058"/>
      <c r="Y44" s="1058"/>
      <c r="Z44" s="1058"/>
      <c r="AA44" s="1006"/>
      <c r="AB44" s="1011"/>
      <c r="AC44" s="1012"/>
      <c r="AD44" s="1012"/>
      <c r="AE44" s="1012"/>
      <c r="AF44" s="1012"/>
      <c r="AG44" s="1012"/>
      <c r="AH44" s="1012"/>
      <c r="AI44" s="1012"/>
      <c r="AJ44" s="1012"/>
      <c r="AK44" s="1012"/>
      <c r="AL44" s="1012"/>
      <c r="AM44" s="1012"/>
      <c r="AN44" s="40"/>
      <c r="AO44" s="1058"/>
      <c r="AP44" s="1058"/>
      <c r="AQ44" s="40"/>
      <c r="AR44" s="40"/>
      <c r="AS44" s="40"/>
    </row>
    <row r="45" spans="1:45" ht="13.8">
      <c r="A45" s="463"/>
      <c r="B45" s="1473"/>
      <c r="C45" s="1013"/>
      <c r="D45" s="1013"/>
      <c r="E45" s="1013"/>
      <c r="F45" s="1013"/>
      <c r="G45" s="1013"/>
      <c r="H45" s="1013"/>
      <c r="I45" s="1013"/>
      <c r="J45" s="1013"/>
      <c r="K45" s="1013"/>
      <c r="L45" s="1013"/>
      <c r="M45" s="1013"/>
      <c r="N45" s="1013"/>
      <c r="O45" s="1013"/>
      <c r="P45" s="1013"/>
      <c r="Q45" s="1013"/>
      <c r="R45" s="1013"/>
      <c r="S45" s="1013"/>
      <c r="T45" s="1002"/>
      <c r="U45" s="1002"/>
      <c r="V45" s="1014"/>
      <c r="W45" s="1002"/>
      <c r="X45" s="1002"/>
      <c r="Y45" s="1058"/>
      <c r="Z45" s="1058"/>
      <c r="AA45" s="1006"/>
      <c r="AB45" s="1011"/>
      <c r="AC45" s="1012"/>
      <c r="AD45" s="1012"/>
      <c r="AE45" s="1012"/>
      <c r="AF45" s="1012"/>
      <c r="AG45" s="1012"/>
      <c r="AH45" s="1012"/>
      <c r="AI45" s="1012"/>
      <c r="AJ45" s="1012"/>
      <c r="AK45" s="1012"/>
      <c r="AL45" s="1012"/>
      <c r="AM45" s="1012"/>
      <c r="AN45" s="40"/>
      <c r="AO45" s="1058"/>
      <c r="AP45" s="1058"/>
      <c r="AQ45" s="40"/>
      <c r="AR45" s="40"/>
      <c r="AS45" s="40"/>
    </row>
    <row r="46" spans="1:45" ht="14.4">
      <c r="A46" s="1203"/>
      <c r="B46" s="1845" t="s">
        <v>664</v>
      </c>
      <c r="C46" s="1845"/>
      <c r="D46" s="1753" t="s">
        <v>695</v>
      </c>
      <c r="E46" s="1753"/>
      <c r="F46" s="1753"/>
      <c r="G46" s="1753"/>
      <c r="H46" s="1753"/>
      <c r="I46" s="1753"/>
      <c r="J46" s="1753"/>
      <c r="K46" s="1753"/>
      <c r="L46" s="1753"/>
      <c r="M46" s="1753"/>
      <c r="N46" s="1753"/>
      <c r="O46" s="1753"/>
      <c r="P46" s="1753"/>
      <c r="Q46" s="1753"/>
      <c r="R46" s="1753"/>
      <c r="S46" s="1753"/>
      <c r="T46" s="1006"/>
      <c r="U46" s="1006"/>
      <c r="V46" s="1006"/>
      <c r="W46" s="1006"/>
      <c r="X46" s="1006"/>
      <c r="Y46" s="1006"/>
      <c r="Z46" s="1006"/>
      <c r="AA46" s="1006"/>
      <c r="AB46" s="1011"/>
      <c r="AC46" s="1012"/>
      <c r="AD46" s="1012"/>
      <c r="AE46" s="1012"/>
      <c r="AF46" s="1012"/>
      <c r="AG46" s="1012"/>
      <c r="AH46" s="1012"/>
      <c r="AI46" s="1012"/>
      <c r="AJ46" s="1012"/>
      <c r="AK46" s="1012"/>
      <c r="AL46" s="1012"/>
      <c r="AM46" s="1012"/>
      <c r="AN46" s="40"/>
      <c r="AO46" s="1005" t="b">
        <f>B46="Yes"</f>
        <v>1</v>
      </c>
      <c r="AP46" s="40" t="s">
        <v>696</v>
      </c>
      <c r="AQ46" s="40"/>
      <c r="AR46" s="40"/>
      <c r="AS46" s="40"/>
    </row>
    <row r="47" spans="1:45" s="985" customFormat="1" ht="36" customHeight="1">
      <c r="A47" s="661"/>
      <c r="B47" s="1714" t="s">
        <v>697</v>
      </c>
      <c r="C47" s="1714"/>
      <c r="D47" s="1714"/>
      <c r="E47" s="1714"/>
      <c r="F47" s="1714"/>
      <c r="G47" s="1714"/>
      <c r="H47" s="1714"/>
      <c r="I47" s="1714"/>
      <c r="J47" s="1714"/>
      <c r="K47" s="1714"/>
      <c r="L47" s="1714"/>
      <c r="M47" s="1714"/>
      <c r="N47" s="1714"/>
      <c r="O47" s="1714"/>
      <c r="P47" s="1714"/>
      <c r="Q47" s="1714"/>
      <c r="R47" s="1714"/>
      <c r="S47" s="1714"/>
      <c r="T47" s="1714"/>
      <c r="U47" s="1714"/>
      <c r="V47" s="1714"/>
      <c r="W47" s="1714"/>
      <c r="X47" s="1714"/>
      <c r="Y47" s="1714"/>
      <c r="Z47" s="1714"/>
      <c r="AA47" s="1714"/>
      <c r="AB47" s="1714"/>
      <c r="AC47" s="1714"/>
      <c r="AD47" s="1714"/>
      <c r="AE47" s="1714"/>
      <c r="AF47" s="1714"/>
      <c r="AG47" s="1714"/>
      <c r="AH47" s="1714"/>
      <c r="AI47" s="1714"/>
      <c r="AJ47" s="1714"/>
      <c r="AK47" s="1714"/>
      <c r="AL47" s="1714"/>
      <c r="AM47" s="1714"/>
    </row>
    <row r="48" spans="1:45" s="445" customFormat="1" ht="18" customHeight="1">
      <c r="B48" s="2430" t="s">
        <v>4121</v>
      </c>
      <c r="C48" s="2430"/>
      <c r="D48" s="2430"/>
      <c r="E48" s="2430"/>
      <c r="F48" s="2430"/>
      <c r="G48" s="2430"/>
      <c r="H48" s="2430"/>
      <c r="I48" s="2430"/>
      <c r="J48" s="2430"/>
      <c r="K48" s="2430"/>
      <c r="L48" s="2430"/>
      <c r="M48" s="2430"/>
      <c r="N48" s="2430"/>
      <c r="O48" s="2430"/>
      <c r="P48" s="2430"/>
      <c r="Q48" s="2430"/>
      <c r="R48" s="2430"/>
      <c r="S48" s="2430"/>
      <c r="T48" s="2430"/>
      <c r="U48" s="2430"/>
      <c r="V48" s="2430"/>
      <c r="W48" s="2430"/>
      <c r="X48" s="2438"/>
      <c r="Y48" s="1840" t="s">
        <v>664</v>
      </c>
      <c r="Z48" s="1840"/>
      <c r="AB48" s="695"/>
    </row>
    <row r="49" spans="1:45" s="445" customFormat="1" ht="13.8">
      <c r="B49" s="1851" t="s">
        <v>676</v>
      </c>
      <c r="C49" s="1851"/>
      <c r="D49" s="1851"/>
      <c r="E49" s="2300" t="str">
        <f>'Document Checklist'!$E$99</f>
        <v>20. Integration Plan</v>
      </c>
      <c r="F49" s="2301"/>
      <c r="G49" s="2301"/>
      <c r="H49" s="2301"/>
      <c r="I49" s="2301"/>
      <c r="J49" s="2301"/>
      <c r="K49" s="2302"/>
      <c r="L49" s="2439" t="str">
        <f>'Document Checklist'!$N$99</f>
        <v>For Special Needs Projects provide an Integration Plan that demonstrates how Sponsor will meet §7302(G) requirements.</v>
      </c>
      <c r="M49" s="2440"/>
      <c r="N49" s="2440"/>
      <c r="O49" s="2440"/>
      <c r="P49" s="2440"/>
      <c r="Q49" s="2440"/>
      <c r="R49" s="2440"/>
      <c r="S49" s="2440"/>
      <c r="T49" s="2440"/>
      <c r="U49" s="2440"/>
      <c r="V49" s="2440"/>
      <c r="W49" s="2440"/>
      <c r="X49" s="2440"/>
      <c r="Y49" s="2440"/>
      <c r="Z49" s="2440"/>
      <c r="AA49" s="2440"/>
      <c r="AB49" s="2441"/>
      <c r="AC49" s="2440"/>
      <c r="AD49" s="2440"/>
      <c r="AE49" s="2442"/>
      <c r="AF49" s="2129" t="s">
        <v>677</v>
      </c>
      <c r="AG49" s="2130"/>
      <c r="AH49" s="2130"/>
      <c r="AI49" s="2130"/>
      <c r="AJ49" s="2130"/>
      <c r="AK49" s="2130"/>
      <c r="AL49" s="1743" t="s">
        <v>664</v>
      </c>
      <c r="AM49" s="1743"/>
    </row>
    <row r="50" spans="1:45" ht="13.8">
      <c r="B50" s="1058"/>
      <c r="C50" s="1058"/>
      <c r="D50" s="1058"/>
      <c r="E50" s="1058"/>
      <c r="F50" s="1058"/>
      <c r="G50" s="1058"/>
      <c r="H50" s="1058"/>
      <c r="I50" s="1058"/>
      <c r="J50" s="1058"/>
      <c r="K50" s="1058"/>
      <c r="L50" s="1058"/>
      <c r="M50" s="1058"/>
      <c r="N50" s="1058"/>
      <c r="O50" s="1058"/>
      <c r="P50" s="1058"/>
      <c r="Q50" s="1058"/>
      <c r="R50" s="1058"/>
      <c r="S50" s="1058"/>
      <c r="T50" s="1006"/>
      <c r="U50" s="1006"/>
      <c r="V50" s="1006"/>
      <c r="W50" s="1006"/>
      <c r="X50" s="1006"/>
      <c r="Y50" s="1006"/>
      <c r="Z50" s="1006"/>
      <c r="AA50" s="1006"/>
      <c r="AB50" s="1011"/>
      <c r="AC50" s="1012"/>
      <c r="AD50" s="1012"/>
      <c r="AE50" s="1012"/>
      <c r="AF50" s="1012"/>
      <c r="AG50" s="1012"/>
      <c r="AH50" s="1012"/>
      <c r="AI50" s="1012"/>
      <c r="AJ50" s="1012"/>
      <c r="AK50" s="1012"/>
      <c r="AL50" s="1012"/>
      <c r="AM50" s="1012"/>
      <c r="AN50" s="40"/>
      <c r="AO50" s="1058"/>
      <c r="AP50" s="1058"/>
      <c r="AQ50" s="40"/>
      <c r="AR50" s="40"/>
      <c r="AS50" s="40"/>
    </row>
    <row r="51" spans="1:45" ht="14.4" hidden="1">
      <c r="B51" s="1845" t="s">
        <v>664</v>
      </c>
      <c r="C51" s="1845"/>
      <c r="D51" s="1753" t="s">
        <v>698</v>
      </c>
      <c r="E51" s="1753"/>
      <c r="F51" s="1753"/>
      <c r="G51" s="1753"/>
      <c r="H51" s="1753"/>
      <c r="I51" s="1753"/>
      <c r="J51" s="1753"/>
      <c r="K51" s="1753"/>
      <c r="L51" s="1753"/>
      <c r="M51" s="1753"/>
      <c r="N51" s="1753"/>
      <c r="O51" s="1753"/>
      <c r="P51" s="1753"/>
      <c r="Q51" s="1753"/>
      <c r="R51" s="1753"/>
      <c r="S51" s="1753"/>
      <c r="T51" s="1006"/>
      <c r="U51" s="1006"/>
      <c r="V51" s="1006"/>
      <c r="W51" s="1006"/>
      <c r="X51" s="1006"/>
      <c r="Y51" s="1006"/>
      <c r="Z51" s="1006"/>
      <c r="AA51" s="1006"/>
      <c r="AB51" s="1011"/>
      <c r="AC51" s="1012"/>
      <c r="AD51" s="1012"/>
      <c r="AE51" s="1012"/>
      <c r="AF51" s="1012"/>
      <c r="AG51" s="1012"/>
      <c r="AH51" s="1012"/>
      <c r="AI51" s="1012"/>
      <c r="AJ51" s="1012"/>
      <c r="AK51" s="1012"/>
      <c r="AL51" s="1012"/>
      <c r="AM51" s="1012"/>
      <c r="AN51" s="40"/>
      <c r="AO51" s="1005" t="b">
        <f>B51="Yes"</f>
        <v>1</v>
      </c>
      <c r="AP51" s="40" t="s">
        <v>699</v>
      </c>
      <c r="AQ51" s="1033"/>
      <c r="AR51" s="40" t="s">
        <v>700</v>
      </c>
      <c r="AS51" s="40"/>
    </row>
    <row r="52" spans="1:45" ht="13.8">
      <c r="B52" s="1058"/>
      <c r="C52" s="1058"/>
      <c r="D52" s="1058"/>
      <c r="E52" s="1058"/>
      <c r="F52" s="1058"/>
      <c r="G52" s="1058"/>
      <c r="H52" s="1058"/>
      <c r="I52" s="1058"/>
      <c r="J52" s="1058"/>
      <c r="K52" s="1058"/>
      <c r="L52" s="1058"/>
      <c r="M52" s="1058"/>
      <c r="N52" s="1058"/>
      <c r="O52" s="1058"/>
      <c r="P52" s="1058"/>
      <c r="Q52" s="1058"/>
      <c r="R52" s="1058"/>
      <c r="S52" s="1058"/>
      <c r="T52" s="1006"/>
      <c r="U52" s="1006"/>
      <c r="V52" s="1006"/>
      <c r="W52" s="1006"/>
      <c r="X52" s="1006"/>
      <c r="Y52" s="1006"/>
      <c r="Z52" s="1006"/>
      <c r="AA52" s="1006"/>
      <c r="AB52" s="1011"/>
      <c r="AC52" s="1012"/>
      <c r="AD52" s="1012"/>
      <c r="AE52" s="1012"/>
      <c r="AF52" s="1012"/>
      <c r="AG52" s="1012"/>
      <c r="AH52" s="1012"/>
      <c r="AI52" s="1012"/>
      <c r="AJ52" s="1012"/>
      <c r="AK52" s="1012"/>
      <c r="AL52" s="1012"/>
      <c r="AM52" s="1012"/>
      <c r="AN52" s="40"/>
      <c r="AO52" s="1058"/>
      <c r="AP52" s="1058"/>
      <c r="AQ52" s="40"/>
      <c r="AR52" s="40"/>
      <c r="AS52" s="40"/>
    </row>
    <row r="53" spans="1:45" ht="14.4">
      <c r="B53" s="1845" t="s">
        <v>664</v>
      </c>
      <c r="C53" s="1845"/>
      <c r="D53" s="1753" t="s">
        <v>701</v>
      </c>
      <c r="E53" s="1753"/>
      <c r="F53" s="1753"/>
      <c r="G53" s="1753"/>
      <c r="H53" s="1753"/>
      <c r="I53" s="1753"/>
      <c r="J53" s="1753"/>
      <c r="K53" s="1753"/>
      <c r="L53" s="1753"/>
      <c r="M53" s="1753"/>
      <c r="N53" s="1753"/>
      <c r="O53" s="1753"/>
      <c r="P53" s="1753"/>
      <c r="Q53" s="1753"/>
      <c r="R53" s="1753"/>
      <c r="S53" s="1753"/>
      <c r="T53" s="1006"/>
      <c r="U53" s="1006"/>
      <c r="V53" s="1006"/>
      <c r="W53" s="1006"/>
      <c r="X53" s="1006"/>
      <c r="Y53" s="1006"/>
      <c r="Z53" s="1006"/>
      <c r="AA53" s="1006"/>
      <c r="AB53" s="1011"/>
      <c r="AC53" s="1012"/>
      <c r="AD53" s="1012"/>
      <c r="AE53" s="1012"/>
      <c r="AF53" s="1012"/>
      <c r="AG53" s="1012"/>
      <c r="AH53" s="1012"/>
      <c r="AI53" s="1012"/>
      <c r="AJ53" s="1012"/>
      <c r="AK53" s="1012"/>
      <c r="AL53" s="1012"/>
      <c r="AM53" s="1012"/>
      <c r="AN53" s="40"/>
      <c r="AO53" s="1005" t="b">
        <f>B53="Yes"</f>
        <v>1</v>
      </c>
      <c r="AP53" s="40" t="s">
        <v>702</v>
      </c>
      <c r="AQ53" s="40"/>
      <c r="AR53" s="40"/>
      <c r="AS53" s="40"/>
    </row>
    <row r="54" spans="1:45" s="303" customFormat="1" ht="14.4" thickBot="1">
      <c r="A54" s="662"/>
      <c r="B54" s="1728" t="s">
        <v>676</v>
      </c>
      <c r="C54" s="1729"/>
      <c r="D54" s="1730"/>
      <c r="E54" s="1715" t="str">
        <f>'Document Checklist'!$E$150</f>
        <v>66. Transitional Housing Project</v>
      </c>
      <c r="F54" s="1716"/>
      <c r="G54" s="1716"/>
      <c r="H54" s="1716"/>
      <c r="I54" s="1716"/>
      <c r="J54" s="1716"/>
      <c r="K54" s="1717"/>
      <c r="L54" s="1718" t="str">
        <f>'Document Checklist'!$N$150</f>
        <v xml:space="preserve">Attach documents describing how housing will accommodate ready conversion to permanent housing at minimum cost. </v>
      </c>
      <c r="M54" s="1719"/>
      <c r="N54" s="1719"/>
      <c r="O54" s="1719"/>
      <c r="P54" s="1719"/>
      <c r="Q54" s="1719"/>
      <c r="R54" s="1719"/>
      <c r="S54" s="1719"/>
      <c r="T54" s="1719"/>
      <c r="U54" s="1719"/>
      <c r="V54" s="1719"/>
      <c r="W54" s="1719"/>
      <c r="X54" s="1719"/>
      <c r="Y54" s="1719"/>
      <c r="Z54" s="1719"/>
      <c r="AA54" s="1719"/>
      <c r="AB54" s="1719"/>
      <c r="AC54" s="1719"/>
      <c r="AD54" s="1719"/>
      <c r="AE54" s="1720"/>
      <c r="AF54" s="1721" t="s">
        <v>677</v>
      </c>
      <c r="AG54" s="1722"/>
      <c r="AH54" s="1722"/>
      <c r="AI54" s="1722"/>
      <c r="AJ54" s="1722"/>
      <c r="AK54" s="1723"/>
      <c r="AL54" s="1724" t="s">
        <v>711</v>
      </c>
      <c r="AM54" s="1725"/>
    </row>
    <row r="55" spans="1:45" s="975" customFormat="1" ht="14.4" hidden="1" thickBot="1">
      <c r="A55" s="463"/>
      <c r="B55" s="1459"/>
      <c r="C55" s="1459"/>
      <c r="D55" s="1459"/>
      <c r="E55" s="1459"/>
      <c r="F55" s="1459"/>
      <c r="G55" s="1459"/>
      <c r="H55" s="1459"/>
      <c r="I55" s="1459"/>
      <c r="J55" s="1459"/>
      <c r="K55" s="1459"/>
      <c r="L55" s="1459"/>
      <c r="M55" s="1459"/>
      <c r="N55" s="1459"/>
      <c r="O55" s="1459"/>
      <c r="P55" s="1459"/>
      <c r="Q55" s="1459"/>
      <c r="R55" s="1459"/>
      <c r="S55" s="1459"/>
      <c r="T55" s="1006"/>
      <c r="U55" s="1006"/>
      <c r="V55" s="1006"/>
      <c r="W55" s="1006"/>
      <c r="X55" s="1006"/>
      <c r="Y55" s="1006"/>
      <c r="Z55" s="1006"/>
      <c r="AA55" s="1006"/>
      <c r="AB55" s="1011"/>
      <c r="AC55" s="1012"/>
      <c r="AD55" s="1012"/>
      <c r="AE55" s="1012"/>
      <c r="AF55" s="1012"/>
      <c r="AG55" s="1012"/>
      <c r="AH55" s="1012"/>
      <c r="AI55" s="1012"/>
      <c r="AJ55" s="1012"/>
      <c r="AK55" s="1012"/>
      <c r="AL55" s="1012"/>
      <c r="AM55" s="1012"/>
      <c r="AN55" s="287"/>
      <c r="AO55" s="1459"/>
      <c r="AP55" s="1459"/>
      <c r="AQ55" s="287"/>
      <c r="AR55" s="287"/>
      <c r="AS55" s="287"/>
    </row>
    <row r="56" spans="1:45" s="975" customFormat="1" ht="18" customHeight="1">
      <c r="A56" s="463"/>
      <c r="B56" s="930"/>
      <c r="C56" s="930"/>
      <c r="D56" s="930"/>
      <c r="E56" s="930"/>
      <c r="F56" s="930"/>
      <c r="G56" s="930"/>
      <c r="H56" s="930"/>
      <c r="I56" s="930"/>
      <c r="J56" s="930"/>
      <c r="K56" s="930"/>
      <c r="L56" s="930"/>
      <c r="M56" s="930"/>
      <c r="N56" s="930"/>
      <c r="O56" s="930"/>
      <c r="P56" s="930"/>
      <c r="Q56" s="930"/>
      <c r="R56" s="930"/>
      <c r="S56" s="930"/>
      <c r="T56" s="1015"/>
      <c r="U56" s="1015"/>
      <c r="V56" s="1015"/>
      <c r="W56" s="1015"/>
      <c r="X56" s="1015"/>
      <c r="Y56" s="1015"/>
      <c r="Z56" s="1015"/>
      <c r="AA56" s="1015"/>
      <c r="AB56" s="1016"/>
      <c r="AC56" s="1017"/>
      <c r="AD56" s="1017"/>
      <c r="AE56" s="1017"/>
      <c r="AF56" s="1017"/>
      <c r="AG56" s="1017"/>
      <c r="AH56" s="1017"/>
      <c r="AI56" s="1017"/>
      <c r="AJ56" s="1017"/>
      <c r="AK56" s="1017"/>
      <c r="AL56" s="1017"/>
      <c r="AM56" s="1017"/>
      <c r="AN56" s="287"/>
      <c r="AO56" s="1459"/>
      <c r="AP56" s="1459"/>
      <c r="AQ56" s="287"/>
      <c r="AR56" s="287"/>
      <c r="AS56" s="287"/>
    </row>
    <row r="57" spans="1:45" ht="13.8">
      <c r="B57" s="1800" t="s">
        <v>703</v>
      </c>
      <c r="C57" s="1800"/>
      <c r="D57" s="1800"/>
      <c r="E57" s="1800"/>
      <c r="F57" s="1800"/>
      <c r="G57" s="1800"/>
      <c r="H57" s="1800"/>
      <c r="I57" s="1800"/>
      <c r="J57" s="1800"/>
      <c r="K57" s="1800"/>
      <c r="L57" s="1800"/>
      <c r="M57" s="1727" t="s">
        <v>664</v>
      </c>
      <c r="N57" s="1727"/>
      <c r="O57" s="1877" t="str">
        <f>CONCATENATE(IF(IsMhp,"MHP §7301(dddd)",""),"  ",IF(IsIig,"IIG §302(rr)",""),"  ",IF(IsSerna,"FWHG §7202(vv)",""),"  ",IF(IsVhhp,"VHHP §101(ss)",""))</f>
        <v xml:space="preserve">MHP §7301(dddd)  IIG §302(rr)  FWHG §7202(vv)  </v>
      </c>
      <c r="P57" s="1878"/>
      <c r="Q57" s="1878"/>
      <c r="R57" s="1878"/>
      <c r="S57" s="1878"/>
      <c r="T57" s="1878"/>
      <c r="U57" s="1878"/>
      <c r="V57" s="1878"/>
      <c r="W57" s="1878"/>
      <c r="X57" s="1878"/>
      <c r="Y57" s="1878"/>
      <c r="Z57" s="1878"/>
      <c r="AA57" s="1878"/>
      <c r="AB57" s="1878"/>
      <c r="AC57" s="1878"/>
      <c r="AD57" s="1878"/>
      <c r="AE57" s="1878"/>
      <c r="AF57" s="1878"/>
      <c r="AG57" s="1012"/>
      <c r="AH57" s="1012"/>
      <c r="AI57" s="1012"/>
      <c r="AJ57" s="1012"/>
      <c r="AK57" s="1012"/>
      <c r="AL57" s="1012"/>
      <c r="AM57" s="1012"/>
      <c r="AN57" s="40"/>
      <c r="AO57" s="1058"/>
      <c r="AP57" s="1058"/>
      <c r="AQ57" s="40"/>
      <c r="AR57" s="40"/>
      <c r="AS57" s="40"/>
    </row>
    <row r="58" spans="1:45" ht="13.8">
      <c r="B58" s="1850" t="s">
        <v>4105</v>
      </c>
      <c r="C58" s="1850"/>
      <c r="D58" s="1850"/>
      <c r="E58" s="1850"/>
      <c r="F58" s="1850"/>
      <c r="G58" s="1850"/>
      <c r="H58" s="1850"/>
      <c r="I58" s="1850"/>
      <c r="J58" s="1850"/>
      <c r="K58" s="1850"/>
      <c r="L58" s="1850"/>
      <c r="M58" s="1850"/>
      <c r="N58" s="1850"/>
      <c r="O58" s="1850"/>
      <c r="P58" s="1850"/>
      <c r="Q58" s="1850"/>
      <c r="R58" s="1850"/>
      <c r="S58" s="1850"/>
      <c r="T58" s="1850"/>
      <c r="U58" s="1850"/>
      <c r="V58" s="1829" t="s">
        <v>4148</v>
      </c>
      <c r="W58" s="1829"/>
      <c r="X58" s="1829"/>
      <c r="Y58" s="1829"/>
      <c r="Z58" s="1006"/>
      <c r="AA58" s="1006"/>
      <c r="AB58" s="1011"/>
      <c r="AC58" s="1012"/>
      <c r="AD58" s="1012"/>
      <c r="AE58" s="1012"/>
      <c r="AF58" s="1012"/>
      <c r="AG58" s="1012"/>
      <c r="AH58" s="1012"/>
      <c r="AI58" s="1012"/>
      <c r="AJ58" s="1012"/>
      <c r="AK58" s="1012"/>
      <c r="AL58" s="1012"/>
      <c r="AM58" s="1012"/>
      <c r="AN58" s="40"/>
      <c r="AO58" s="1058"/>
      <c r="AP58" s="1058"/>
      <c r="AQ58" s="40"/>
      <c r="AR58" s="40"/>
      <c r="AS58" s="40"/>
    </row>
    <row r="59" spans="1:45" ht="13.8">
      <c r="A59" s="363"/>
      <c r="B59" s="1830" t="s">
        <v>704</v>
      </c>
      <c r="C59" s="1830"/>
      <c r="D59" s="1830"/>
      <c r="E59" s="1830"/>
      <c r="F59" s="1830"/>
      <c r="G59" s="1830"/>
      <c r="H59" s="1830"/>
      <c r="I59" s="1830"/>
      <c r="J59" s="1830"/>
      <c r="K59" s="1830"/>
      <c r="L59" s="1830"/>
      <c r="M59" s="1830"/>
      <c r="N59" s="1830"/>
      <c r="O59" s="1830"/>
      <c r="P59" s="1830"/>
      <c r="Q59" s="1830"/>
      <c r="R59" s="1830"/>
      <c r="S59" s="1830"/>
      <c r="T59" s="1830"/>
      <c r="U59" s="1830"/>
      <c r="V59" s="1830"/>
      <c r="W59" s="1830"/>
      <c r="X59" s="1830"/>
      <c r="Y59" s="1830"/>
      <c r="Z59" s="1830"/>
      <c r="AA59" s="1830"/>
      <c r="AB59" s="1830"/>
      <c r="AC59" s="1830"/>
      <c r="AD59" s="1830"/>
      <c r="AE59" s="1830"/>
      <c r="AF59" s="1830"/>
      <c r="AG59" s="1830"/>
      <c r="AH59" s="1830"/>
      <c r="AI59" s="1830"/>
      <c r="AJ59" s="1830"/>
      <c r="AK59" s="1830"/>
      <c r="AL59" s="1727" t="s">
        <v>664</v>
      </c>
      <c r="AM59" s="1727"/>
      <c r="AN59" s="699"/>
      <c r="AO59" s="1058"/>
      <c r="AP59" s="1058"/>
      <c r="AQ59" s="699"/>
      <c r="AR59" s="699"/>
      <c r="AS59" s="699"/>
    </row>
    <row r="60" spans="1:45" ht="13.8" hidden="1">
      <c r="B60" s="1728" t="s">
        <v>676</v>
      </c>
      <c r="C60" s="1729"/>
      <c r="D60" s="1730"/>
      <c r="E60" s="1715" t="str">
        <f>'Document Checklist'!$E$49</f>
        <v>8a. Indian Country Verification</v>
      </c>
      <c r="F60" s="1716"/>
      <c r="G60" s="1716"/>
      <c r="H60" s="1716"/>
      <c r="I60" s="1716"/>
      <c r="J60" s="1716"/>
      <c r="K60" s="1717"/>
      <c r="L60" s="1718" t="str">
        <f>'Document Checklist'!$N$49</f>
        <v>Documentation verifying land is located in Indian Country as defined by 18 USC 1151</v>
      </c>
      <c r="M60" s="1719"/>
      <c r="N60" s="1719"/>
      <c r="O60" s="1719"/>
      <c r="P60" s="1719"/>
      <c r="Q60" s="1719"/>
      <c r="R60" s="1719"/>
      <c r="S60" s="1719"/>
      <c r="T60" s="1719"/>
      <c r="U60" s="1719"/>
      <c r="V60" s="1719"/>
      <c r="W60" s="1719"/>
      <c r="X60" s="1719"/>
      <c r="Y60" s="1719"/>
      <c r="Z60" s="1719"/>
      <c r="AA60" s="1719"/>
      <c r="AB60" s="1719"/>
      <c r="AC60" s="1719"/>
      <c r="AD60" s="1719"/>
      <c r="AE60" s="1720"/>
      <c r="AF60" s="1721" t="s">
        <v>677</v>
      </c>
      <c r="AG60" s="1722"/>
      <c r="AH60" s="1722"/>
      <c r="AI60" s="1722"/>
      <c r="AJ60" s="1722"/>
      <c r="AK60" s="1723"/>
      <c r="AL60" s="1724" t="s">
        <v>711</v>
      </c>
      <c r="AM60" s="1725"/>
      <c r="AN60" s="40"/>
      <c r="AO60" s="1058"/>
      <c r="AP60" s="1058"/>
      <c r="AQ60" s="40"/>
      <c r="AR60" s="40"/>
      <c r="AS60" s="40"/>
    </row>
    <row r="61" spans="1:45" ht="13.8">
      <c r="B61" s="1728" t="s">
        <v>676</v>
      </c>
      <c r="C61" s="1729"/>
      <c r="D61" s="1730"/>
      <c r="E61" s="1715" t="str">
        <f>'Document Checklist'!$E$50</f>
        <v>8b. Fee Land Verification</v>
      </c>
      <c r="F61" s="1716"/>
      <c r="G61" s="1716"/>
      <c r="H61" s="1716"/>
      <c r="I61" s="1716"/>
      <c r="J61" s="1716"/>
      <c r="K61" s="1717"/>
      <c r="L61" s="1718" t="str">
        <f>'Document Checklist'!$N$50</f>
        <v>Documentation verifying land is located on Fee Land.</v>
      </c>
      <c r="M61" s="1719"/>
      <c r="N61" s="1719"/>
      <c r="O61" s="1719"/>
      <c r="P61" s="1719"/>
      <c r="Q61" s="1719"/>
      <c r="R61" s="1719"/>
      <c r="S61" s="1719"/>
      <c r="T61" s="1719"/>
      <c r="U61" s="1719"/>
      <c r="V61" s="1719"/>
      <c r="W61" s="1719"/>
      <c r="X61" s="1719"/>
      <c r="Y61" s="1719"/>
      <c r="Z61" s="1719"/>
      <c r="AA61" s="1719"/>
      <c r="AB61" s="1719"/>
      <c r="AC61" s="1719"/>
      <c r="AD61" s="1719"/>
      <c r="AE61" s="1720"/>
      <c r="AF61" s="1721" t="s">
        <v>677</v>
      </c>
      <c r="AG61" s="1722"/>
      <c r="AH61" s="1722"/>
      <c r="AI61" s="1722"/>
      <c r="AJ61" s="1722"/>
      <c r="AK61" s="1723"/>
      <c r="AL61" s="1724" t="s">
        <v>711</v>
      </c>
      <c r="AM61" s="1725"/>
      <c r="AN61" s="40"/>
      <c r="AO61" s="1058"/>
      <c r="AP61" s="1058"/>
      <c r="AQ61" s="40"/>
      <c r="AR61" s="40"/>
      <c r="AS61" s="40"/>
    </row>
    <row r="62" spans="1:45" ht="18" customHeight="1">
      <c r="B62" s="1058"/>
      <c r="C62" s="1058"/>
      <c r="D62" s="1058"/>
      <c r="E62" s="1058"/>
      <c r="F62" s="1058"/>
      <c r="G62" s="1058"/>
      <c r="H62" s="1058"/>
      <c r="I62" s="1058"/>
      <c r="J62" s="1058"/>
      <c r="K62" s="1058"/>
      <c r="L62" s="1058"/>
      <c r="M62" s="1058"/>
      <c r="N62" s="1058"/>
      <c r="O62" s="1058"/>
      <c r="P62" s="1058"/>
      <c r="Q62" s="1058"/>
      <c r="R62" s="1058"/>
      <c r="S62" s="1058"/>
      <c r="T62" s="1006"/>
      <c r="U62" s="1006"/>
      <c r="V62" s="1006"/>
      <c r="W62" s="1006"/>
      <c r="X62" s="1006"/>
      <c r="Y62" s="1006"/>
      <c r="Z62" s="1006"/>
      <c r="AA62" s="1006"/>
      <c r="AB62" s="1011"/>
      <c r="AC62" s="1012"/>
      <c r="AD62" s="1012"/>
      <c r="AE62" s="1012"/>
      <c r="AF62" s="1012"/>
      <c r="AG62" s="1012"/>
      <c r="AH62" s="1012"/>
      <c r="AI62" s="1012"/>
      <c r="AJ62" s="1012"/>
      <c r="AK62" s="1012"/>
      <c r="AL62" s="1012"/>
      <c r="AM62" s="1012"/>
      <c r="AN62" s="40"/>
      <c r="AO62" s="1058"/>
      <c r="AP62" s="1058"/>
      <c r="AQ62" s="40" t="b">
        <f>OR(vmNCBD="Yes",vmCBD="Yes",vmED="Yes")</f>
        <v>1</v>
      </c>
      <c r="AR62" s="40"/>
      <c r="AS62" s="40"/>
    </row>
    <row r="63" spans="1:45" ht="13.2" customHeight="1">
      <c r="B63" s="1800" t="s">
        <v>705</v>
      </c>
      <c r="C63" s="1800"/>
      <c r="D63" s="1800"/>
      <c r="E63" s="1800"/>
      <c r="F63" s="1800"/>
      <c r="G63" s="1800"/>
      <c r="H63" s="1800"/>
      <c r="I63" s="1800"/>
      <c r="J63" s="1800"/>
      <c r="K63" s="1800"/>
      <c r="L63" s="1800"/>
      <c r="M63" s="1800"/>
      <c r="N63" s="1800"/>
      <c r="O63" s="1800"/>
      <c r="P63" s="1800"/>
      <c r="Q63" s="1800"/>
      <c r="R63" s="1879" t="s">
        <v>664</v>
      </c>
      <c r="S63" s="1880"/>
      <c r="T63" s="1798" t="str">
        <f>CONCATENATE(IF(IsMhp,"MHP §7301(yy)",""),"  ",IF(IsIig,"IIG §302(aa)",""),"  ",IF(IsSerna,"FWHG §7202(ff)",""),"  ",IF(IsVhhp,"VHHP §101(z)",""))</f>
        <v xml:space="preserve">MHP §7301(yy)  IIG §302(aa)  FWHG §7202(ff)  </v>
      </c>
      <c r="U63" s="1799"/>
      <c r="V63" s="1799"/>
      <c r="W63" s="1799"/>
      <c r="X63" s="1799"/>
      <c r="Y63" s="1799"/>
      <c r="Z63" s="1799"/>
      <c r="AA63" s="1799"/>
      <c r="AB63" s="1799"/>
      <c r="AC63" s="1799"/>
      <c r="AD63" s="1799"/>
      <c r="AE63" s="1799"/>
      <c r="AF63" s="1799"/>
      <c r="AG63" s="1799"/>
      <c r="AH63" s="1799"/>
      <c r="AI63" s="1799"/>
      <c r="AJ63" s="1799"/>
      <c r="AK63" s="1799"/>
      <c r="AL63" s="1012"/>
      <c r="AM63" s="1012"/>
      <c r="AN63" s="40"/>
      <c r="AO63" s="360"/>
      <c r="AP63" s="1058"/>
      <c r="AQ63" s="40"/>
      <c r="AR63" s="40"/>
      <c r="AS63" s="40"/>
    </row>
    <row r="64" spans="1:45" s="303" customFormat="1" ht="13.8">
      <c r="A64" s="662"/>
      <c r="B64" s="1728" t="s">
        <v>676</v>
      </c>
      <c r="C64" s="1729"/>
      <c r="D64" s="1730"/>
      <c r="E64" s="1715" t="str">
        <f>'Document Checklist'!$E$151</f>
        <v>67. NCBD Experience</v>
      </c>
      <c r="F64" s="1716"/>
      <c r="G64" s="1716"/>
      <c r="H64" s="1716"/>
      <c r="I64" s="1716"/>
      <c r="J64" s="1716"/>
      <c r="K64" s="1717"/>
      <c r="L64" s="1718" t="str">
        <f>'Document Checklist'!$N$151</f>
        <v xml:space="preserve">Attached documentation satisfying MHP §7301(yy)  IIG §302(aa)  FWHG §7202(ff)  </v>
      </c>
      <c r="M64" s="1719"/>
      <c r="N64" s="1719"/>
      <c r="O64" s="1719"/>
      <c r="P64" s="1719"/>
      <c r="Q64" s="1719"/>
      <c r="R64" s="1719"/>
      <c r="S64" s="1719"/>
      <c r="T64" s="1719"/>
      <c r="U64" s="1719"/>
      <c r="V64" s="1719"/>
      <c r="W64" s="1719"/>
      <c r="X64" s="1719"/>
      <c r="Y64" s="1719"/>
      <c r="Z64" s="1719"/>
      <c r="AA64" s="1719"/>
      <c r="AB64" s="1719"/>
      <c r="AC64" s="1719"/>
      <c r="AD64" s="1719"/>
      <c r="AE64" s="1720"/>
      <c r="AF64" s="1721" t="s">
        <v>677</v>
      </c>
      <c r="AG64" s="1722"/>
      <c r="AH64" s="1722"/>
      <c r="AI64" s="1722"/>
      <c r="AJ64" s="1722"/>
      <c r="AK64" s="1723"/>
      <c r="AL64" s="1724" t="s">
        <v>664</v>
      </c>
      <c r="AM64" s="1725"/>
      <c r="AN64" s="946"/>
      <c r="AO64" s="946"/>
    </row>
    <row r="65" spans="1:45" ht="18" customHeight="1">
      <c r="B65" s="1058"/>
      <c r="C65" s="1058"/>
      <c r="D65" s="1058"/>
      <c r="E65" s="1058"/>
      <c r="F65" s="1058"/>
      <c r="G65" s="1058"/>
      <c r="H65" s="1058"/>
      <c r="I65" s="1058"/>
      <c r="J65" s="1058"/>
      <c r="K65" s="1058"/>
      <c r="L65" s="1058"/>
      <c r="M65" s="1058"/>
      <c r="N65" s="1058"/>
      <c r="O65" s="1058"/>
      <c r="P65" s="1058"/>
      <c r="Q65" s="1058"/>
      <c r="R65" s="1058"/>
      <c r="S65" s="1058"/>
      <c r="T65" s="1058"/>
      <c r="U65" s="1058"/>
      <c r="V65" s="1006"/>
      <c r="W65" s="1006"/>
      <c r="X65" s="1006"/>
      <c r="Y65" s="1006"/>
      <c r="Z65" s="1006"/>
      <c r="AA65" s="1006"/>
      <c r="AB65" s="1011"/>
      <c r="AC65" s="1012"/>
      <c r="AD65" s="1012"/>
      <c r="AE65" s="1012"/>
      <c r="AF65" s="1012"/>
      <c r="AG65" s="1012"/>
      <c r="AH65" s="1012"/>
      <c r="AI65" s="1012"/>
      <c r="AJ65" s="1012"/>
      <c r="AK65" s="1012"/>
      <c r="AL65" s="1012"/>
      <c r="AM65" s="1012"/>
      <c r="AN65" s="40"/>
      <c r="AO65" s="360"/>
      <c r="AP65" s="1058"/>
      <c r="AQ65" s="40"/>
      <c r="AR65" s="40"/>
      <c r="AS65" s="40"/>
    </row>
    <row r="66" spans="1:45" ht="18" customHeight="1">
      <c r="B66" s="1800" t="s">
        <v>706</v>
      </c>
      <c r="C66" s="1800"/>
      <c r="D66" s="1800"/>
      <c r="E66" s="1800"/>
      <c r="F66" s="1800"/>
      <c r="G66" s="1800"/>
      <c r="H66" s="1800"/>
      <c r="I66" s="1800"/>
      <c r="J66" s="1800"/>
      <c r="K66" s="1800"/>
      <c r="L66" s="1800"/>
      <c r="M66" s="1800"/>
      <c r="N66" s="1800"/>
      <c r="O66" s="1800"/>
      <c r="P66" s="1800"/>
      <c r="Q66" s="1727" t="s">
        <v>664</v>
      </c>
      <c r="R66" s="1727"/>
      <c r="S66" s="1867" t="str">
        <f>CONCATENATE(IF(IsMhp,"MHP §7301(t)",""),"  ",IF(IsIig,"IIG §302(aa)",""),"  ",IF(IsSerna,"FWHG §7202(ff)",""),"  ",IF(IsVhhp,"VHHP §101(z)",""))</f>
        <v xml:space="preserve">MHP §7301(t)  IIG §302(aa)  FWHG §7202(ff)  </v>
      </c>
      <c r="T66" s="1868"/>
      <c r="U66" s="1868"/>
      <c r="V66" s="1868"/>
      <c r="W66" s="1868"/>
      <c r="X66" s="1868"/>
      <c r="Y66" s="1868"/>
      <c r="Z66" s="1868"/>
      <c r="AA66" s="1868"/>
      <c r="AB66" s="1868"/>
      <c r="AC66" s="1868"/>
      <c r="AD66" s="1868"/>
      <c r="AE66" s="1868"/>
      <c r="AF66" s="1868"/>
      <c r="AG66" s="1868"/>
      <c r="AH66" s="1868"/>
      <c r="AI66" s="1868"/>
      <c r="AJ66" s="1868"/>
      <c r="AK66" s="1012"/>
      <c r="AL66" s="1012"/>
      <c r="AM66" s="1012"/>
      <c r="AN66" s="40"/>
      <c r="AO66" s="360"/>
      <c r="AP66" s="1058"/>
      <c r="AQ66" s="40"/>
      <c r="AR66" s="40"/>
      <c r="AS66" s="40"/>
    </row>
    <row r="67" spans="1:45" s="662" customFormat="1" ht="13.8">
      <c r="B67" s="2382" t="s">
        <v>707</v>
      </c>
      <c r="C67" s="2383"/>
      <c r="D67" s="2383"/>
      <c r="E67" s="2383"/>
      <c r="F67" s="2383"/>
      <c r="G67" s="2383"/>
      <c r="H67" s="2383"/>
      <c r="I67" s="2383"/>
      <c r="J67" s="2383"/>
      <c r="K67" s="2383"/>
      <c r="L67" s="2383"/>
      <c r="M67" s="2383"/>
      <c r="N67" s="2383"/>
      <c r="O67" s="2383"/>
      <c r="P67" s="2383"/>
      <c r="Q67" s="2383"/>
      <c r="R67" s="2383"/>
      <c r="S67" s="2383"/>
      <c r="T67" s="2383"/>
      <c r="U67" s="2383"/>
      <c r="V67" s="2383"/>
      <c r="W67" s="2383"/>
      <c r="X67" s="2383"/>
      <c r="Y67" s="2383"/>
      <c r="Z67" s="2383"/>
      <c r="AA67" s="2383"/>
      <c r="AB67" s="2383"/>
      <c r="AC67" s="2383"/>
      <c r="AD67" s="2383"/>
      <c r="AE67" s="2383"/>
      <c r="AF67" s="2383"/>
      <c r="AG67" s="2383"/>
      <c r="AH67" s="2383"/>
      <c r="AI67" s="2383"/>
      <c r="AJ67" s="2383"/>
      <c r="AK67" s="2383"/>
      <c r="AL67" s="1727" t="s">
        <v>664</v>
      </c>
      <c r="AM67" s="1727"/>
    </row>
    <row r="68" spans="1:45" s="662" customFormat="1" ht="13.8">
      <c r="B68" s="1728" t="s">
        <v>676</v>
      </c>
      <c r="C68" s="1729"/>
      <c r="D68" s="1730"/>
      <c r="E68" s="1715" t="str">
        <f>'Document Checklist'!$E$152</f>
        <v>68. CBD Experience</v>
      </c>
      <c r="F68" s="1716"/>
      <c r="G68" s="1716"/>
      <c r="H68" s="1716"/>
      <c r="I68" s="1716"/>
      <c r="J68" s="1716"/>
      <c r="K68" s="1717"/>
      <c r="L68" s="1718" t="str">
        <f>'Document Checklist'!$N$152</f>
        <v xml:space="preserve">Attached documentation satisfying MHP §7301(t)  IIG §302(aa)  FWHG §7202(ff)  </v>
      </c>
      <c r="M68" s="1719"/>
      <c r="N68" s="1719"/>
      <c r="O68" s="1719"/>
      <c r="P68" s="1719"/>
      <c r="Q68" s="1719"/>
      <c r="R68" s="1719"/>
      <c r="S68" s="1719"/>
      <c r="T68" s="1719"/>
      <c r="U68" s="1719"/>
      <c r="V68" s="1719"/>
      <c r="W68" s="1719"/>
      <c r="X68" s="1719"/>
      <c r="Y68" s="1719"/>
      <c r="Z68" s="1719"/>
      <c r="AA68" s="1719"/>
      <c r="AB68" s="1719"/>
      <c r="AC68" s="1719"/>
      <c r="AD68" s="1719"/>
      <c r="AE68" s="1720"/>
      <c r="AF68" s="1721" t="s">
        <v>677</v>
      </c>
      <c r="AG68" s="1722"/>
      <c r="AH68" s="1722"/>
      <c r="AI68" s="1722"/>
      <c r="AJ68" s="1722"/>
      <c r="AK68" s="1723"/>
      <c r="AL68" s="1724" t="s">
        <v>664</v>
      </c>
      <c r="AM68" s="1725"/>
      <c r="AN68" s="946"/>
      <c r="AO68" s="946"/>
    </row>
    <row r="69" spans="1:45" ht="18" customHeight="1">
      <c r="B69" s="1058"/>
      <c r="C69" s="1058"/>
      <c r="D69" s="1058"/>
      <c r="E69" s="1058"/>
      <c r="F69" s="1058"/>
      <c r="G69" s="1058"/>
      <c r="H69" s="1058"/>
      <c r="I69" s="1058"/>
      <c r="J69" s="1058"/>
      <c r="K69" s="1058"/>
      <c r="L69" s="1058"/>
      <c r="M69" s="1058"/>
      <c r="N69" s="1058"/>
      <c r="O69" s="1058"/>
      <c r="P69" s="1058"/>
      <c r="Q69" s="1058"/>
      <c r="R69" s="1058"/>
      <c r="S69" s="1058"/>
      <c r="T69" s="1058"/>
      <c r="U69" s="1058"/>
      <c r="V69" s="1006"/>
      <c r="W69" s="1006"/>
      <c r="X69" s="1006"/>
      <c r="Y69" s="1006"/>
      <c r="Z69" s="1006"/>
      <c r="AA69" s="1006"/>
      <c r="AB69" s="1011"/>
      <c r="AC69" s="1012"/>
      <c r="AD69" s="1012"/>
      <c r="AE69" s="1012"/>
      <c r="AF69" s="1012"/>
      <c r="AG69" s="1012"/>
      <c r="AH69" s="1012"/>
      <c r="AI69" s="1012"/>
      <c r="AJ69" s="1012"/>
      <c r="AK69" s="1012"/>
      <c r="AL69" s="1012"/>
      <c r="AM69" s="1012"/>
      <c r="AN69" s="40"/>
      <c r="AO69" s="360"/>
      <c r="AP69" s="1058"/>
      <c r="AQ69" s="40"/>
      <c r="AR69" s="40"/>
      <c r="AS69" s="40"/>
    </row>
    <row r="70" spans="1:45" ht="15" customHeight="1">
      <c r="B70" s="1800" t="s">
        <v>708</v>
      </c>
      <c r="C70" s="1800"/>
      <c r="D70" s="1800"/>
      <c r="E70" s="1800"/>
      <c r="F70" s="1800"/>
      <c r="G70" s="1800"/>
      <c r="H70" s="1800"/>
      <c r="I70" s="1800"/>
      <c r="J70" s="1800"/>
      <c r="K70" s="1800"/>
      <c r="L70" s="1800"/>
      <c r="M70" s="1800"/>
      <c r="N70" s="1800"/>
      <c r="O70" s="1727" t="s">
        <v>664</v>
      </c>
      <c r="P70" s="1727"/>
      <c r="Q70" s="1867" t="str">
        <f>CONCATENATE(IF(IsMhp,"MHP §7301(bb)",""),"  ",IF(IsIig,"IIG §302(aa)",""),"  ",IF(IsSerna,"FWHG §7202(ff)",""),"  ",IF(IsVhhp,"VHHP §101(z)",""))</f>
        <v xml:space="preserve">MHP §7301(bb)  IIG §302(aa)  FWHG §7202(ff)  </v>
      </c>
      <c r="R70" s="1868"/>
      <c r="S70" s="1868"/>
      <c r="T70" s="1868"/>
      <c r="U70" s="1868"/>
      <c r="V70" s="1868"/>
      <c r="W70" s="1868"/>
      <c r="X70" s="1868"/>
      <c r="Y70" s="1868"/>
      <c r="Z70" s="1868"/>
      <c r="AA70" s="1868"/>
      <c r="AB70" s="1868"/>
      <c r="AC70" s="1868"/>
      <c r="AD70" s="1868"/>
      <c r="AE70" s="1868"/>
      <c r="AF70" s="1868"/>
      <c r="AG70" s="1868"/>
      <c r="AH70" s="1868"/>
      <c r="AI70" s="1012"/>
      <c r="AJ70" s="1012"/>
      <c r="AK70" s="1012"/>
      <c r="AL70" s="1012"/>
      <c r="AM70" s="1012"/>
      <c r="AN70" s="40"/>
      <c r="AO70" s="360"/>
      <c r="AP70" s="1058"/>
      <c r="AQ70" s="40"/>
      <c r="AR70" s="40"/>
      <c r="AS70" s="40"/>
    </row>
    <row r="71" spans="1:45" s="662" customFormat="1" ht="13.8">
      <c r="B71" s="2382" t="s">
        <v>709</v>
      </c>
      <c r="C71" s="2382"/>
      <c r="D71" s="2382"/>
      <c r="E71" s="2382"/>
      <c r="F71" s="2382"/>
      <c r="G71" s="2382"/>
      <c r="H71" s="2382"/>
      <c r="I71" s="2382"/>
      <c r="J71" s="2382"/>
      <c r="K71" s="2382"/>
      <c r="L71" s="2382"/>
      <c r="M71" s="2382"/>
      <c r="N71" s="2382"/>
      <c r="O71" s="2382"/>
      <c r="P71" s="2382"/>
      <c r="Q71" s="2382"/>
      <c r="R71" s="2382"/>
      <c r="S71" s="2382"/>
      <c r="T71" s="2382"/>
      <c r="U71" s="2382"/>
      <c r="V71" s="2382"/>
      <c r="W71" s="2382"/>
      <c r="X71" s="2382"/>
      <c r="Y71" s="2382"/>
      <c r="Z71" s="2382"/>
      <c r="AA71" s="2382"/>
      <c r="AB71" s="2382"/>
      <c r="AC71" s="2382"/>
      <c r="AD71" s="2382"/>
      <c r="AE71" s="2382"/>
      <c r="AF71" s="2382"/>
      <c r="AG71" s="2382"/>
      <c r="AH71" s="2382"/>
      <c r="AI71" s="2382"/>
      <c r="AJ71" s="2382"/>
      <c r="AK71" s="2382"/>
      <c r="AL71" s="1727" t="s">
        <v>664</v>
      </c>
      <c r="AM71" s="1727"/>
    </row>
    <row r="72" spans="1:45" ht="13.8">
      <c r="B72" s="1728" t="s">
        <v>676</v>
      </c>
      <c r="C72" s="1729"/>
      <c r="D72" s="1730"/>
      <c r="E72" s="1715" t="str">
        <f>'Document Checklist'!$E$153</f>
        <v>69. ED Experience</v>
      </c>
      <c r="F72" s="1716"/>
      <c r="G72" s="1716"/>
      <c r="H72" s="1716"/>
      <c r="I72" s="1716"/>
      <c r="J72" s="1716"/>
      <c r="K72" s="1717"/>
      <c r="L72" s="1718" t="str">
        <f>'Document Checklist'!$N$153</f>
        <v xml:space="preserve">Attached documentation satisfying MHP §7301(bb)  IIG §302(aa)  FWHG §7202(ff)  </v>
      </c>
      <c r="M72" s="1719"/>
      <c r="N72" s="1719"/>
      <c r="O72" s="1719"/>
      <c r="P72" s="1719"/>
      <c r="Q72" s="1719"/>
      <c r="R72" s="1719"/>
      <c r="S72" s="1719"/>
      <c r="T72" s="1719"/>
      <c r="U72" s="1719"/>
      <c r="V72" s="1719"/>
      <c r="W72" s="1719"/>
      <c r="X72" s="1719"/>
      <c r="Y72" s="1719"/>
      <c r="Z72" s="1719"/>
      <c r="AA72" s="1719"/>
      <c r="AB72" s="1719"/>
      <c r="AC72" s="1719"/>
      <c r="AD72" s="1719"/>
      <c r="AE72" s="1720"/>
      <c r="AF72" s="1721" t="s">
        <v>677</v>
      </c>
      <c r="AG72" s="1722"/>
      <c r="AH72" s="1722"/>
      <c r="AI72" s="1722"/>
      <c r="AJ72" s="1722"/>
      <c r="AK72" s="1723"/>
      <c r="AL72" s="1724" t="s">
        <v>664</v>
      </c>
      <c r="AM72" s="1725"/>
      <c r="AN72" s="40"/>
      <c r="AO72" s="360"/>
      <c r="AP72" s="1058"/>
      <c r="AQ72" s="40"/>
      <c r="AR72" s="40"/>
      <c r="AS72" s="40"/>
    </row>
    <row r="73" spans="1:45" ht="13.8">
      <c r="B73" s="1058"/>
      <c r="C73" s="1058"/>
      <c r="D73" s="1058"/>
      <c r="E73" s="1058"/>
      <c r="F73" s="1058"/>
      <c r="G73" s="1058"/>
      <c r="H73" s="1058"/>
      <c r="I73" s="1058"/>
      <c r="J73" s="1058"/>
      <c r="K73" s="1058"/>
      <c r="L73" s="1058"/>
      <c r="M73" s="1058"/>
      <c r="N73" s="1058"/>
      <c r="O73" s="1058"/>
      <c r="P73" s="1058"/>
      <c r="Q73" s="1058"/>
      <c r="R73" s="1058"/>
      <c r="S73" s="1058"/>
      <c r="T73" s="1058"/>
      <c r="U73" s="1058"/>
      <c r="V73" s="1058"/>
      <c r="W73" s="1058"/>
      <c r="X73" s="1058"/>
      <c r="Y73" s="1058"/>
      <c r="Z73" s="1058"/>
      <c r="AA73" s="1058"/>
      <c r="AB73" s="1058"/>
      <c r="AC73" s="1058"/>
      <c r="AD73" s="1058"/>
      <c r="AE73" s="1058"/>
      <c r="AF73" s="1058"/>
      <c r="AG73" s="1058"/>
      <c r="AH73" s="1058"/>
      <c r="AI73" s="1058"/>
      <c r="AJ73" s="1058"/>
      <c r="AK73" s="1058"/>
      <c r="AL73" s="1058"/>
      <c r="AM73" s="1058"/>
      <c r="AN73" s="40"/>
      <c r="AO73" s="360"/>
      <c r="AP73" s="1058"/>
      <c r="AQ73" s="40"/>
      <c r="AR73" s="40"/>
      <c r="AS73" s="40"/>
    </row>
    <row r="74" spans="1:45" ht="13.8">
      <c r="B74" s="1726" t="s">
        <v>710</v>
      </c>
      <c r="C74" s="1726"/>
      <c r="D74" s="1726"/>
      <c r="E74" s="1726"/>
      <c r="F74" s="1726"/>
      <c r="G74" s="1726"/>
      <c r="H74" s="1726"/>
      <c r="I74" s="1726"/>
      <c r="J74" s="1726"/>
      <c r="K74" s="1726"/>
      <c r="L74" s="1726"/>
      <c r="M74" s="1726"/>
      <c r="N74" s="1726"/>
      <c r="O74" s="1726"/>
      <c r="P74" s="1726"/>
      <c r="Q74" s="1726"/>
      <c r="R74" s="1726"/>
      <c r="S74" s="1726"/>
      <c r="T74" s="1726"/>
      <c r="U74" s="1726"/>
      <c r="V74" s="1726"/>
      <c r="W74" s="1726"/>
      <c r="X74" s="1726"/>
      <c r="Y74" s="1726"/>
      <c r="Z74" s="1726"/>
      <c r="AA74" s="1726"/>
      <c r="AB74" s="1726"/>
      <c r="AC74" s="1726"/>
      <c r="AD74" s="1726"/>
      <c r="AE74" s="1726"/>
      <c r="AF74" s="1726"/>
      <c r="AG74" s="1726"/>
      <c r="AH74" s="1726"/>
      <c r="AI74" s="1726"/>
      <c r="AJ74" s="1726"/>
      <c r="AK74" s="1726"/>
      <c r="AL74" s="1727" t="s">
        <v>664</v>
      </c>
      <c r="AM74" s="1727"/>
      <c r="AN74" s="40"/>
      <c r="AO74" s="360"/>
      <c r="AP74" s="1058"/>
      <c r="AQ74" s="40"/>
      <c r="AR74" s="40"/>
      <c r="AS74" s="40"/>
    </row>
    <row r="75" spans="1:45" ht="13.8">
      <c r="B75" s="1728" t="s">
        <v>676</v>
      </c>
      <c r="C75" s="1729"/>
      <c r="D75" s="1730"/>
      <c r="E75" s="1715" t="str">
        <f>'Document Checklist'!$E$154</f>
        <v>70. SponDev Cont. Agreement</v>
      </c>
      <c r="F75" s="1716"/>
      <c r="G75" s="1716"/>
      <c r="H75" s="1716"/>
      <c r="I75" s="1716"/>
      <c r="J75" s="1716"/>
      <c r="K75" s="1717"/>
      <c r="L75" s="1718" t="str">
        <f>'Document Checklist'!$N$154</f>
        <v>Attached contract agreement between Sponsor and Experience Developer</v>
      </c>
      <c r="M75" s="1719"/>
      <c r="N75" s="1719"/>
      <c r="O75" s="1719"/>
      <c r="P75" s="1719"/>
      <c r="Q75" s="1719"/>
      <c r="R75" s="1719"/>
      <c r="S75" s="1719"/>
      <c r="T75" s="1719"/>
      <c r="U75" s="1719"/>
      <c r="V75" s="1719"/>
      <c r="W75" s="1719"/>
      <c r="X75" s="1719"/>
      <c r="Y75" s="1719"/>
      <c r="Z75" s="1719"/>
      <c r="AA75" s="1719"/>
      <c r="AB75" s="1719"/>
      <c r="AC75" s="1719"/>
      <c r="AD75" s="1719"/>
      <c r="AE75" s="1720"/>
      <c r="AF75" s="1721" t="s">
        <v>677</v>
      </c>
      <c r="AG75" s="1722"/>
      <c r="AH75" s="1722"/>
      <c r="AI75" s="1722"/>
      <c r="AJ75" s="1722"/>
      <c r="AK75" s="1723"/>
      <c r="AL75" s="1724" t="s">
        <v>711</v>
      </c>
      <c r="AM75" s="1725"/>
      <c r="AN75" s="40"/>
      <c r="AO75" s="360"/>
      <c r="AP75" s="1058"/>
      <c r="AQ75" s="40"/>
      <c r="AR75" s="40"/>
      <c r="AS75" s="40"/>
    </row>
    <row r="76" spans="1:45" ht="18" customHeight="1" thickBot="1">
      <c r="B76" s="943"/>
      <c r="C76" s="943"/>
      <c r="D76" s="943"/>
      <c r="E76" s="943"/>
      <c r="F76" s="943"/>
      <c r="G76" s="943"/>
      <c r="H76" s="943"/>
      <c r="I76" s="943"/>
      <c r="J76" s="943"/>
      <c r="K76" s="943"/>
      <c r="L76" s="943"/>
      <c r="M76" s="943"/>
      <c r="N76" s="943"/>
      <c r="O76" s="943"/>
      <c r="P76" s="943"/>
      <c r="Q76" s="943"/>
      <c r="R76" s="943"/>
      <c r="S76" s="943"/>
      <c r="T76" s="1018"/>
      <c r="U76" s="1018"/>
      <c r="V76" s="1018"/>
      <c r="W76" s="1018"/>
      <c r="X76" s="1018"/>
      <c r="Y76" s="1018"/>
      <c r="Z76" s="1018"/>
      <c r="AA76" s="1018"/>
      <c r="AB76" s="1019"/>
      <c r="AC76" s="1020"/>
      <c r="AD76" s="1020"/>
      <c r="AE76" s="1020"/>
      <c r="AF76" s="1020"/>
      <c r="AG76" s="1020"/>
      <c r="AH76" s="1020"/>
      <c r="AI76" s="1020"/>
      <c r="AJ76" s="1020"/>
      <c r="AK76" s="1020"/>
      <c r="AL76" s="1020"/>
      <c r="AM76" s="1020"/>
      <c r="AN76" s="40"/>
      <c r="AO76" s="1058"/>
      <c r="AP76" s="1058"/>
      <c r="AQ76" s="40"/>
      <c r="AR76" s="40"/>
      <c r="AS76" s="40"/>
    </row>
    <row r="77" spans="1:45" ht="18" customHeight="1">
      <c r="B77" s="1459"/>
      <c r="C77" s="1459"/>
      <c r="D77" s="1459"/>
      <c r="E77" s="1459"/>
      <c r="F77" s="1459"/>
      <c r="G77" s="1459"/>
      <c r="H77" s="1459"/>
      <c r="I77" s="1459"/>
      <c r="J77" s="1459"/>
      <c r="K77" s="1459"/>
      <c r="L77" s="1459"/>
      <c r="M77" s="1459"/>
      <c r="N77" s="1459"/>
      <c r="O77" s="1459"/>
      <c r="P77" s="1459"/>
      <c r="Q77" s="1459"/>
      <c r="R77" s="1459"/>
      <c r="S77" s="1459"/>
      <c r="T77" s="1006"/>
      <c r="U77" s="1006"/>
      <c r="V77" s="1006"/>
      <c r="W77" s="1006"/>
      <c r="X77" s="1006"/>
      <c r="Y77" s="1006"/>
      <c r="Z77" s="1006"/>
      <c r="AA77" s="1006"/>
      <c r="AB77" s="1011"/>
      <c r="AC77" s="1012"/>
      <c r="AD77" s="1012"/>
      <c r="AE77" s="1012"/>
      <c r="AF77" s="1012"/>
      <c r="AG77" s="1012"/>
      <c r="AH77" s="1012"/>
      <c r="AI77" s="1012"/>
      <c r="AJ77" s="1012"/>
      <c r="AK77" s="1012"/>
      <c r="AL77" s="1012"/>
      <c r="AM77" s="1012"/>
      <c r="AN77" s="40"/>
      <c r="AO77" s="1058"/>
      <c r="AP77" s="1058"/>
      <c r="AQ77" s="40"/>
      <c r="AR77" s="40"/>
      <c r="AS77" s="40"/>
    </row>
    <row r="78" spans="1:45" ht="54" customHeight="1">
      <c r="B78" s="1869" t="s">
        <v>4122</v>
      </c>
      <c r="C78" s="1869"/>
      <c r="D78" s="1869"/>
      <c r="E78" s="1869"/>
      <c r="F78" s="1869"/>
      <c r="G78" s="1869"/>
      <c r="H78" s="1869"/>
      <c r="I78" s="1869"/>
      <c r="J78" s="1869"/>
      <c r="K78" s="1869"/>
      <c r="L78" s="1869"/>
      <c r="M78" s="1869"/>
      <c r="N78" s="1869"/>
      <c r="O78" s="1869"/>
      <c r="P78" s="1869"/>
      <c r="Q78" s="1869"/>
      <c r="R78" s="1869"/>
      <c r="S78" s="1869"/>
      <c r="T78" s="1869"/>
      <c r="U78" s="1869"/>
      <c r="V78" s="1869"/>
      <c r="W78" s="1869"/>
      <c r="X78" s="1869"/>
      <c r="Y78" s="1869"/>
      <c r="Z78" s="1869"/>
      <c r="AA78" s="1869"/>
      <c r="AB78" s="1869"/>
      <c r="AC78" s="1869"/>
      <c r="AD78" s="1869"/>
      <c r="AE78" s="1869"/>
      <c r="AF78" s="1869"/>
      <c r="AG78" s="1869"/>
      <c r="AH78" s="1869"/>
      <c r="AI78" s="1869"/>
      <c r="AJ78" s="1869"/>
      <c r="AK78" s="1869"/>
      <c r="AL78" s="1765" t="s">
        <v>664</v>
      </c>
      <c r="AM78" s="1765"/>
      <c r="AN78" s="40"/>
      <c r="AO78" s="1058"/>
      <c r="AP78" s="1058"/>
      <c r="AQ78" s="40"/>
      <c r="AR78" s="40"/>
      <c r="AS78" s="40"/>
    </row>
    <row r="79" spans="1:45" s="946" customFormat="1" ht="13.8">
      <c r="A79" s="661"/>
      <c r="B79" s="1772" t="s">
        <v>4127</v>
      </c>
      <c r="C79" s="1773"/>
      <c r="D79" s="1773"/>
      <c r="E79" s="1773"/>
      <c r="F79" s="1773"/>
      <c r="G79" s="1773"/>
      <c r="H79" s="1773"/>
      <c r="I79" s="1773"/>
      <c r="J79" s="1773"/>
      <c r="K79" s="1773"/>
      <c r="L79" s="1773"/>
      <c r="M79" s="1773"/>
      <c r="N79" s="1773"/>
      <c r="O79" s="1773"/>
      <c r="P79" s="1773"/>
      <c r="Q79" s="1773"/>
      <c r="R79" s="1773"/>
      <c r="S79" s="1773"/>
      <c r="T79" s="1773"/>
      <c r="U79" s="1773"/>
      <c r="V79" s="1773"/>
      <c r="W79" s="1773"/>
      <c r="X79" s="1773"/>
      <c r="Y79" s="1773"/>
      <c r="Z79" s="1773"/>
      <c r="AA79" s="1773"/>
      <c r="AB79" s="1773"/>
      <c r="AC79" s="1773"/>
      <c r="AD79" s="1773"/>
      <c r="AE79" s="1773"/>
      <c r="AF79" s="1773"/>
      <c r="AG79" s="1773"/>
      <c r="AH79" s="1773"/>
      <c r="AI79" s="1773"/>
      <c r="AJ79" s="1773"/>
      <c r="AK79" s="1773"/>
      <c r="AL79" s="1765" t="s">
        <v>664</v>
      </c>
      <c r="AM79" s="1765"/>
    </row>
    <row r="80" spans="1:45" ht="13.8">
      <c r="A80" s="452" t="s">
        <v>509</v>
      </c>
      <c r="B80" s="1869" t="s">
        <v>712</v>
      </c>
      <c r="C80" s="1869"/>
      <c r="D80" s="1869"/>
      <c r="E80" s="1869"/>
      <c r="F80" s="1869"/>
      <c r="G80" s="1869"/>
      <c r="H80" s="1869"/>
      <c r="I80" s="1869"/>
      <c r="J80" s="1869"/>
      <c r="K80" s="1869"/>
      <c r="L80" s="1869"/>
      <c r="M80" s="1869"/>
      <c r="N80" s="1869"/>
      <c r="O80" s="1869"/>
      <c r="P80" s="1869"/>
      <c r="Q80" s="1869"/>
      <c r="R80" s="1869"/>
      <c r="S80" s="1869"/>
      <c r="T80" s="1869"/>
      <c r="U80" s="1869"/>
      <c r="V80" s="1869"/>
      <c r="W80" s="1869"/>
      <c r="X80" s="1869"/>
      <c r="Y80" s="1869"/>
      <c r="Z80" s="1869"/>
      <c r="AA80" s="1869"/>
      <c r="AB80" s="1869"/>
      <c r="AC80" s="1869"/>
      <c r="AD80" s="1869"/>
      <c r="AE80" s="1869"/>
      <c r="AF80" s="1869"/>
      <c r="AG80" s="1869"/>
      <c r="AH80" s="1869"/>
      <c r="AI80" s="1869"/>
      <c r="AJ80" s="1869"/>
      <c r="AK80" s="1869"/>
      <c r="AL80" s="1765" t="s">
        <v>664</v>
      </c>
      <c r="AM80" s="1765"/>
      <c r="AN80" s="40"/>
      <c r="AO80" s="1058"/>
      <c r="AP80" s="1058"/>
      <c r="AQ80" s="40"/>
      <c r="AR80" s="40"/>
      <c r="AS80" s="40"/>
    </row>
    <row r="81" spans="1:45" ht="18.75" customHeight="1">
      <c r="B81" s="1850" t="s">
        <v>4125</v>
      </c>
      <c r="C81" s="1850"/>
      <c r="D81" s="1850"/>
      <c r="E81" s="1850"/>
      <c r="F81" s="1850"/>
      <c r="G81" s="1850"/>
      <c r="H81" s="1850"/>
      <c r="I81" s="1850"/>
      <c r="J81" s="1850"/>
      <c r="K81" s="1850"/>
      <c r="L81" s="1850"/>
      <c r="M81" s="1850"/>
      <c r="N81" s="1850"/>
      <c r="O81" s="1850"/>
      <c r="P81" s="1850"/>
      <c r="Q81" s="1850"/>
      <c r="R81" s="1850"/>
      <c r="S81" s="1850"/>
      <c r="T81" s="1850"/>
      <c r="U81" s="1850"/>
      <c r="V81" s="1850"/>
      <c r="W81" s="1850"/>
      <c r="X81" s="1850"/>
      <c r="Y81" s="1850"/>
      <c r="Z81" s="1850"/>
      <c r="AA81" s="1850"/>
      <c r="AB81" s="1850"/>
      <c r="AC81" s="1850"/>
      <c r="AD81" s="1850"/>
      <c r="AE81" s="1850"/>
      <c r="AF81" s="1850"/>
      <c r="AG81" s="1850"/>
      <c r="AH81" s="1850"/>
      <c r="AI81" s="1850"/>
      <c r="AJ81" s="1850"/>
      <c r="AK81" s="1850"/>
      <c r="AL81" s="1765" t="s">
        <v>664</v>
      </c>
      <c r="AM81" s="1765"/>
      <c r="AN81" s="40"/>
      <c r="AO81" s="1058"/>
      <c r="AP81" s="1058"/>
      <c r="AQ81" s="40"/>
      <c r="AR81" s="40"/>
      <c r="AS81" s="40"/>
    </row>
    <row r="82" spans="1:45" ht="36" customHeight="1">
      <c r="B82" s="1869" t="s">
        <v>4126</v>
      </c>
      <c r="C82" s="1869"/>
      <c r="D82" s="1869"/>
      <c r="E82" s="1869"/>
      <c r="F82" s="1869"/>
      <c r="G82" s="1869"/>
      <c r="H82" s="1869"/>
      <c r="I82" s="1869"/>
      <c r="J82" s="1869"/>
      <c r="K82" s="1869"/>
      <c r="L82" s="1869"/>
      <c r="M82" s="1869"/>
      <c r="N82" s="1869"/>
      <c r="O82" s="1869"/>
      <c r="P82" s="1869"/>
      <c r="Q82" s="1869"/>
      <c r="R82" s="1869"/>
      <c r="S82" s="1869"/>
      <c r="T82" s="1869"/>
      <c r="U82" s="1869"/>
      <c r="V82" s="1869"/>
      <c r="W82" s="1869"/>
      <c r="X82" s="1869"/>
      <c r="Y82" s="1869"/>
      <c r="Z82" s="1869"/>
      <c r="AA82" s="1869"/>
      <c r="AB82" s="1869"/>
      <c r="AC82" s="1869"/>
      <c r="AD82" s="1869"/>
      <c r="AE82" s="1869"/>
      <c r="AF82" s="1869"/>
      <c r="AG82" s="1869"/>
      <c r="AH82" s="1869"/>
      <c r="AI82" s="1869"/>
      <c r="AJ82" s="1869"/>
      <c r="AK82" s="1869"/>
      <c r="AL82" s="1765" t="s">
        <v>664</v>
      </c>
      <c r="AM82" s="1765"/>
      <c r="AN82" s="40"/>
      <c r="AO82" s="1058"/>
      <c r="AP82" s="1058"/>
      <c r="AQ82" s="40"/>
      <c r="AR82" s="40"/>
      <c r="AS82" s="40"/>
    </row>
    <row r="83" spans="1:45" ht="18" customHeight="1">
      <c r="B83" s="1752" t="s">
        <v>713</v>
      </c>
      <c r="C83" s="1752"/>
      <c r="D83" s="1752"/>
      <c r="E83" s="1752"/>
      <c r="F83" s="1752"/>
      <c r="G83" s="1752"/>
      <c r="H83" s="1752"/>
      <c r="I83" s="1752"/>
      <c r="J83" s="1752"/>
      <c r="K83" s="1752"/>
      <c r="L83" s="1752"/>
      <c r="M83" s="1752"/>
      <c r="N83" s="1752"/>
      <c r="O83" s="1752"/>
      <c r="P83" s="1752"/>
      <c r="Q83" s="1752"/>
      <c r="R83" s="1752"/>
      <c r="S83" s="1752"/>
      <c r="T83" s="1752"/>
      <c r="U83" s="1913" t="str">
        <f>CONCATENATE(IF(IsMhp,"MHP §7302 (j)",""),"  ",IF(IsIig,"IIG §200(d)",""),"  ",IF(IsSerna,"FWHG §7202(vv)",""),"  ",IF(IsVhhp,"VHHP §101(ss)",""))</f>
        <v xml:space="preserve">MHP §7302 (j)  IIG §200(d)  FWHG §7202(vv)  </v>
      </c>
      <c r="V83" s="1913"/>
      <c r="W83" s="1913"/>
      <c r="X83" s="1913"/>
      <c r="Y83" s="1913"/>
      <c r="Z83" s="1913"/>
      <c r="AA83" s="1913"/>
      <c r="AB83" s="1913"/>
      <c r="AC83" s="1913"/>
      <c r="AD83" s="1913"/>
      <c r="AE83" s="1913"/>
      <c r="AF83" s="1913"/>
      <c r="AG83" s="1913"/>
      <c r="AH83" s="1913"/>
      <c r="AI83" s="1913"/>
      <c r="AJ83" s="1913"/>
      <c r="AK83" s="1914"/>
      <c r="AL83" s="1765" t="s">
        <v>664</v>
      </c>
      <c r="AM83" s="1765"/>
      <c r="AN83" s="1039"/>
      <c r="AO83" s="1058"/>
      <c r="AP83" s="1058"/>
      <c r="AQ83" s="40"/>
      <c r="AR83" s="40"/>
      <c r="AS83" s="40"/>
    </row>
    <row r="84" spans="1:45" ht="54" customHeight="1">
      <c r="A84" s="1667"/>
      <c r="B84" s="1830" t="s">
        <v>4123</v>
      </c>
      <c r="C84" s="1830"/>
      <c r="D84" s="1830"/>
      <c r="E84" s="1830"/>
      <c r="F84" s="1830"/>
      <c r="G84" s="1830"/>
      <c r="H84" s="1830"/>
      <c r="I84" s="1830"/>
      <c r="J84" s="1830"/>
      <c r="K84" s="1830"/>
      <c r="L84" s="1830"/>
      <c r="M84" s="1830"/>
      <c r="N84" s="1830"/>
      <c r="O84" s="1830"/>
      <c r="P84" s="1830"/>
      <c r="Q84" s="1830"/>
      <c r="R84" s="1830"/>
      <c r="S84" s="1830"/>
      <c r="T84" s="1830"/>
      <c r="U84" s="1830"/>
      <c r="V84" s="1830"/>
      <c r="W84" s="1830"/>
      <c r="X84" s="1830"/>
      <c r="Y84" s="1830"/>
      <c r="Z84" s="1830"/>
      <c r="AA84" s="1830"/>
      <c r="AB84" s="1830"/>
      <c r="AC84" s="1830"/>
      <c r="AD84" s="1830"/>
      <c r="AE84" s="1830"/>
      <c r="AF84" s="1830"/>
      <c r="AG84" s="1830"/>
      <c r="AH84" s="1830"/>
      <c r="AI84" s="1830"/>
      <c r="AJ84" s="1830"/>
      <c r="AK84" s="1830"/>
      <c r="AL84" s="1765" t="s">
        <v>664</v>
      </c>
      <c r="AM84" s="1765"/>
      <c r="AN84" s="40"/>
      <c r="AO84" s="1058"/>
      <c r="AP84" s="1058"/>
      <c r="AQ84" s="40"/>
      <c r="AR84" s="40"/>
      <c r="AS84" s="40"/>
    </row>
    <row r="85" spans="1:45" ht="36" customHeight="1">
      <c r="A85" s="1667"/>
      <c r="B85" s="1764" t="s">
        <v>4128</v>
      </c>
      <c r="C85" s="1764"/>
      <c r="D85" s="1764"/>
      <c r="E85" s="1764"/>
      <c r="F85" s="1764"/>
      <c r="G85" s="1764"/>
      <c r="H85" s="1764"/>
      <c r="I85" s="1764"/>
      <c r="J85" s="1764"/>
      <c r="K85" s="1764"/>
      <c r="L85" s="1764"/>
      <c r="M85" s="1764"/>
      <c r="N85" s="1764"/>
      <c r="O85" s="1764"/>
      <c r="P85" s="1764"/>
      <c r="Q85" s="1764"/>
      <c r="R85" s="1764"/>
      <c r="S85" s="1764"/>
      <c r="T85" s="1764"/>
      <c r="U85" s="1764"/>
      <c r="V85" s="1764"/>
      <c r="W85" s="1764"/>
      <c r="X85" s="1764"/>
      <c r="Y85" s="1764"/>
      <c r="Z85" s="1764"/>
      <c r="AA85" s="1764"/>
      <c r="AB85" s="1764"/>
      <c r="AC85" s="1764"/>
      <c r="AD85" s="1764"/>
      <c r="AE85" s="1764"/>
      <c r="AF85" s="1764"/>
      <c r="AG85" s="1764"/>
      <c r="AH85" s="1764"/>
      <c r="AI85" s="1764"/>
      <c r="AJ85" s="1764"/>
      <c r="AK85" s="1764"/>
      <c r="AL85" s="1765" t="s">
        <v>664</v>
      </c>
      <c r="AM85" s="1765"/>
      <c r="AN85" s="40"/>
      <c r="AO85" s="1058"/>
      <c r="AP85" s="1058"/>
      <c r="AQ85" s="40"/>
      <c r="AR85" s="40"/>
      <c r="AS85" s="40"/>
    </row>
    <row r="86" spans="1:45" ht="13.8">
      <c r="B86" s="1764" t="s">
        <v>714</v>
      </c>
      <c r="C86" s="1764"/>
      <c r="D86" s="1764"/>
      <c r="E86" s="1764"/>
      <c r="F86" s="1764"/>
      <c r="G86" s="1764"/>
      <c r="H86" s="1764"/>
      <c r="I86" s="1764"/>
      <c r="J86" s="1764"/>
      <c r="K86" s="1764"/>
      <c r="L86" s="1764"/>
      <c r="M86" s="1764"/>
      <c r="N86" s="1764"/>
      <c r="O86" s="1764"/>
      <c r="P86" s="1764"/>
      <c r="Q86" s="1764"/>
      <c r="R86" s="1764"/>
      <c r="S86" s="1764"/>
      <c r="T86" s="1764"/>
      <c r="U86" s="1764"/>
      <c r="V86" s="1764"/>
      <c r="W86" s="1764"/>
      <c r="X86" s="1764"/>
      <c r="Y86" s="1764"/>
      <c r="Z86" s="1764"/>
      <c r="AA86" s="1764"/>
      <c r="AB86" s="1764"/>
      <c r="AC86" s="1764"/>
      <c r="AD86" s="1764"/>
      <c r="AE86" s="1764"/>
      <c r="AF86" s="1764"/>
      <c r="AG86" s="1764"/>
      <c r="AH86" s="1764"/>
      <c r="AI86" s="1764"/>
      <c r="AJ86" s="1764"/>
      <c r="AK86" s="1764"/>
      <c r="AL86" s="1765" t="s">
        <v>664</v>
      </c>
      <c r="AM86" s="1765"/>
      <c r="AN86" s="40"/>
      <c r="AO86" s="1058"/>
      <c r="AP86" s="1058"/>
      <c r="AQ86" s="40"/>
      <c r="AR86" s="40"/>
      <c r="AS86" s="40"/>
    </row>
    <row r="87" spans="1:45" ht="13.8" customHeight="1">
      <c r="B87" s="1766" t="s">
        <v>676</v>
      </c>
      <c r="C87" s="1766"/>
      <c r="D87" s="1766"/>
      <c r="E87" s="1767" t="str">
        <f>'Document Checklist'!$E$155</f>
        <v>71. Project Timeline</v>
      </c>
      <c r="F87" s="1767"/>
      <c r="G87" s="1767"/>
      <c r="H87" s="1767"/>
      <c r="I87" s="1767"/>
      <c r="J87" s="1767"/>
      <c r="K87" s="1767"/>
      <c r="L87" s="1768" t="str">
        <f>'Document Checklist'!$N$155</f>
        <v>Attach explanation how the project meet the exceptions specified in program guidelines.</v>
      </c>
      <c r="M87" s="1768"/>
      <c r="N87" s="1768"/>
      <c r="O87" s="1768"/>
      <c r="P87" s="1768"/>
      <c r="Q87" s="1768"/>
      <c r="R87" s="1768"/>
      <c r="S87" s="1768"/>
      <c r="T87" s="1768"/>
      <c r="U87" s="1768"/>
      <c r="V87" s="1768"/>
      <c r="W87" s="1768"/>
      <c r="X87" s="1768"/>
      <c r="Y87" s="1768"/>
      <c r="Z87" s="1768"/>
      <c r="AA87" s="1768"/>
      <c r="AB87" s="1768"/>
      <c r="AC87" s="1768"/>
      <c r="AD87" s="1768"/>
      <c r="AE87" s="1768"/>
      <c r="AF87" s="1769" t="s">
        <v>677</v>
      </c>
      <c r="AG87" s="1770"/>
      <c r="AH87" s="1770"/>
      <c r="AI87" s="1770"/>
      <c r="AJ87" s="1770"/>
      <c r="AK87" s="1770"/>
      <c r="AL87" s="1765" t="s">
        <v>664</v>
      </c>
      <c r="AM87" s="1765"/>
      <c r="AN87" s="40"/>
      <c r="AO87" s="1058"/>
      <c r="AP87" s="1058"/>
      <c r="AQ87" s="40"/>
      <c r="AR87" s="40"/>
      <c r="AS87" s="40"/>
    </row>
    <row r="88" spans="1:45" ht="54" customHeight="1">
      <c r="B88" s="1728" t="s">
        <v>676</v>
      </c>
      <c r="C88" s="1729"/>
      <c r="D88" s="1730"/>
      <c r="E88" s="2327" t="str">
        <f>'Document Checklist'!$E$9</f>
        <v>3. Leg Letter</v>
      </c>
      <c r="F88" s="2328"/>
      <c r="G88" s="2328"/>
      <c r="H88" s="2328"/>
      <c r="I88" s="2328"/>
      <c r="J88" s="2328"/>
      <c r="K88" s="2329"/>
      <c r="L88" s="2347" t="str">
        <f>'Document Checklist'!$N$9</f>
        <v>Per Health &amp; Safety Code §50675.7(e) Sponsor must notify the Tribal governing body or local legislative body (City Council or County Board of Supervisors) of the Sponsor’s loan application prior to application submission.</v>
      </c>
      <c r="M88" s="2348"/>
      <c r="N88" s="2348"/>
      <c r="O88" s="2348"/>
      <c r="P88" s="2348"/>
      <c r="Q88" s="2348"/>
      <c r="R88" s="2348"/>
      <c r="S88" s="2348"/>
      <c r="T88" s="2348"/>
      <c r="U88" s="2348"/>
      <c r="V88" s="2348"/>
      <c r="W88" s="2348"/>
      <c r="X88" s="2348"/>
      <c r="Y88" s="2348"/>
      <c r="Z88" s="2348"/>
      <c r="AA88" s="2348"/>
      <c r="AB88" s="2348"/>
      <c r="AC88" s="2348"/>
      <c r="AD88" s="2348"/>
      <c r="AE88" s="2349"/>
      <c r="AF88" s="1908" t="s">
        <v>677</v>
      </c>
      <c r="AG88" s="1909"/>
      <c r="AH88" s="1909"/>
      <c r="AI88" s="1909"/>
      <c r="AJ88" s="1909"/>
      <c r="AK88" s="1910"/>
      <c r="AL88" s="1765" t="s">
        <v>664</v>
      </c>
      <c r="AM88" s="1765"/>
      <c r="AN88" s="40"/>
      <c r="AO88" s="1058"/>
      <c r="AP88" s="1058"/>
      <c r="AQ88" s="40"/>
      <c r="AR88" s="40"/>
      <c r="AS88" s="40"/>
    </row>
    <row r="89" spans="1:45" ht="18" customHeight="1">
      <c r="B89" s="363"/>
      <c r="C89" s="363"/>
      <c r="D89" s="363"/>
      <c r="E89" s="363"/>
      <c r="F89" s="363"/>
      <c r="G89" s="363"/>
      <c r="H89" s="363"/>
      <c r="I89" s="363"/>
      <c r="J89" s="363"/>
      <c r="K89" s="363"/>
      <c r="L89" s="363"/>
      <c r="M89" s="363"/>
      <c r="N89" s="363"/>
      <c r="O89" s="363"/>
      <c r="P89" s="363"/>
      <c r="Q89" s="363"/>
      <c r="R89" s="363"/>
      <c r="S89" s="363"/>
      <c r="T89" s="1656"/>
      <c r="U89" s="1656"/>
      <c r="V89" s="1656"/>
      <c r="W89" s="1656"/>
      <c r="X89" s="1656"/>
      <c r="Y89" s="1656"/>
      <c r="Z89" s="1656"/>
      <c r="AA89" s="1656"/>
      <c r="AB89" s="1657"/>
      <c r="AC89" s="1658"/>
      <c r="AD89" s="1658"/>
      <c r="AE89" s="1658"/>
      <c r="AF89" s="1658"/>
      <c r="AG89" s="1658"/>
      <c r="AH89" s="1658"/>
      <c r="AI89" s="1658"/>
      <c r="AJ89" s="1658"/>
      <c r="AK89" s="1658"/>
      <c r="AL89" s="1658"/>
      <c r="AM89" s="1658"/>
      <c r="AN89" s="694"/>
      <c r="AO89" s="1058"/>
      <c r="AP89" s="1058"/>
      <c r="AQ89" s="40"/>
      <c r="AR89" s="40"/>
      <c r="AS89" s="40"/>
    </row>
    <row r="90" spans="1:45" ht="18" customHeight="1">
      <c r="B90" s="1889" t="s">
        <v>4124</v>
      </c>
      <c r="C90" s="1889"/>
      <c r="D90" s="1889"/>
      <c r="E90" s="1889"/>
      <c r="F90" s="1889"/>
      <c r="G90" s="1889"/>
      <c r="H90" s="1889"/>
      <c r="I90" s="1889"/>
      <c r="J90" s="1889"/>
      <c r="K90" s="1889"/>
      <c r="L90" s="1889"/>
      <c r="M90" s="1889"/>
      <c r="N90" s="1889"/>
      <c r="O90" s="1889"/>
      <c r="P90" s="1889"/>
      <c r="Q90" s="1889"/>
      <c r="R90" s="1889"/>
      <c r="S90" s="1889"/>
      <c r="T90" s="1889"/>
      <c r="U90" s="1889"/>
      <c r="V90" s="1889"/>
      <c r="W90" s="1889"/>
      <c r="X90" s="1889"/>
      <c r="Y90" s="1889"/>
      <c r="Z90" s="1889"/>
      <c r="AA90" s="1889"/>
      <c r="AB90" s="1889"/>
      <c r="AC90" s="1889"/>
      <c r="AD90" s="1889"/>
      <c r="AE90" s="1889"/>
      <c r="AF90" s="1889"/>
      <c r="AG90" s="1889"/>
      <c r="AH90" s="1889"/>
      <c r="AI90" s="1889"/>
      <c r="AJ90" s="1889"/>
      <c r="AK90" s="1889"/>
      <c r="AL90" s="1889"/>
      <c r="AM90" s="1889"/>
      <c r="AN90" s="40"/>
      <c r="AO90" s="1058"/>
      <c r="AP90" s="1058"/>
      <c r="AQ90" s="40"/>
      <c r="AR90" s="40"/>
      <c r="AS90" s="40"/>
    </row>
    <row r="91" spans="1:45" ht="100.5" customHeight="1">
      <c r="B91" s="1852" t="s">
        <v>4149</v>
      </c>
      <c r="C91" s="1852"/>
      <c r="D91" s="1852"/>
      <c r="E91" s="1852"/>
      <c r="F91" s="1852"/>
      <c r="G91" s="1852"/>
      <c r="H91" s="1852"/>
      <c r="I91" s="1852"/>
      <c r="J91" s="1852"/>
      <c r="K91" s="1852"/>
      <c r="L91" s="1852"/>
      <c r="M91" s="1852"/>
      <c r="N91" s="1852"/>
      <c r="O91" s="1852"/>
      <c r="P91" s="1852"/>
      <c r="Q91" s="1852"/>
      <c r="R91" s="1852"/>
      <c r="S91" s="1852"/>
      <c r="T91" s="1852"/>
      <c r="U91" s="1852"/>
      <c r="V91" s="1852"/>
      <c r="W91" s="1852"/>
      <c r="X91" s="1852"/>
      <c r="Y91" s="1852"/>
      <c r="Z91" s="1852"/>
      <c r="AA91" s="1852"/>
      <c r="AB91" s="1852"/>
      <c r="AC91" s="1852"/>
      <c r="AD91" s="1852"/>
      <c r="AE91" s="1852"/>
      <c r="AF91" s="1852"/>
      <c r="AG91" s="1852"/>
      <c r="AH91" s="1852"/>
      <c r="AI91" s="1852"/>
      <c r="AJ91" s="1852"/>
      <c r="AK91" s="1852"/>
      <c r="AL91" s="1852"/>
      <c r="AM91" s="1852"/>
      <c r="AN91" s="40"/>
      <c r="AO91" s="1058"/>
      <c r="AP91" s="1058"/>
      <c r="AQ91" s="40"/>
      <c r="AR91" s="40"/>
      <c r="AS91" s="40"/>
    </row>
    <row r="92" spans="1:45" ht="18" customHeight="1">
      <c r="B92" s="1058"/>
      <c r="C92" s="1058"/>
      <c r="D92" s="1058"/>
      <c r="E92" s="1058"/>
      <c r="F92" s="1058"/>
      <c r="G92" s="1058"/>
      <c r="H92" s="1058"/>
      <c r="I92" s="1058"/>
      <c r="J92" s="1058"/>
      <c r="K92" s="1058"/>
      <c r="L92" s="1058"/>
      <c r="M92" s="1058"/>
      <c r="N92" s="1058"/>
      <c r="O92" s="1058"/>
      <c r="P92" s="1058"/>
      <c r="Q92" s="1058"/>
      <c r="R92" s="1058"/>
      <c r="S92" s="1058"/>
      <c r="T92" s="1006"/>
      <c r="U92" s="1006"/>
      <c r="V92" s="1006"/>
      <c r="W92" s="1006"/>
      <c r="X92" s="1006"/>
      <c r="Y92" s="1006"/>
      <c r="Z92" s="1006"/>
      <c r="AA92" s="1006"/>
      <c r="AB92" s="1011"/>
      <c r="AC92" s="1012"/>
      <c r="AD92" s="1012"/>
      <c r="AE92" s="1012"/>
      <c r="AF92" s="1012"/>
      <c r="AG92" s="1012"/>
      <c r="AH92" s="1012"/>
      <c r="AI92" s="1012"/>
      <c r="AJ92" s="1012"/>
      <c r="AK92" s="1012"/>
      <c r="AL92" s="1012"/>
      <c r="AM92" s="1012"/>
      <c r="AN92" s="40"/>
      <c r="AO92" s="1058"/>
      <c r="AP92" s="1058"/>
      <c r="AQ92" s="40"/>
      <c r="AR92" s="40"/>
      <c r="AS92" s="40"/>
    </row>
    <row r="93" spans="1:45" ht="13.8">
      <c r="B93" s="1889" t="s">
        <v>715</v>
      </c>
      <c r="C93" s="1889"/>
      <c r="D93" s="1889"/>
      <c r="E93" s="1889"/>
      <c r="F93" s="1889"/>
      <c r="G93" s="1889"/>
      <c r="H93" s="1889"/>
      <c r="I93" s="1889"/>
      <c r="J93" s="1889"/>
      <c r="K93" s="1889"/>
      <c r="L93" s="1889"/>
      <c r="M93" s="1889"/>
      <c r="N93" s="1889"/>
      <c r="O93" s="1889"/>
      <c r="P93" s="1889"/>
      <c r="Q93" s="1889"/>
      <c r="R93" s="1889"/>
      <c r="S93" s="1889"/>
      <c r="T93" s="1889"/>
      <c r="U93" s="1889"/>
      <c r="V93" s="1889"/>
      <c r="W93" s="1889"/>
      <c r="X93" s="1889"/>
      <c r="Y93" s="1889"/>
      <c r="Z93" s="1889"/>
      <c r="AA93" s="1889"/>
      <c r="AB93" s="1889"/>
      <c r="AC93" s="1889"/>
      <c r="AD93" s="1889"/>
      <c r="AE93" s="1889"/>
      <c r="AF93" s="1889"/>
      <c r="AG93" s="1889"/>
      <c r="AH93" s="1889"/>
      <c r="AI93" s="1889"/>
      <c r="AJ93" s="1889"/>
      <c r="AK93" s="1889"/>
      <c r="AL93" s="1889"/>
      <c r="AM93" s="1889"/>
      <c r="AN93" s="40"/>
      <c r="AO93" s="1058"/>
      <c r="AP93" s="1058"/>
      <c r="AQ93" s="40"/>
      <c r="AR93" s="40"/>
      <c r="AS93" s="40"/>
    </row>
    <row r="94" spans="1:45" ht="13.8">
      <c r="B94" s="1852" t="s">
        <v>509</v>
      </c>
      <c r="C94" s="1852"/>
      <c r="D94" s="1852"/>
      <c r="E94" s="1852"/>
      <c r="F94" s="1852"/>
      <c r="G94" s="1852"/>
      <c r="H94" s="1852"/>
      <c r="I94" s="1852"/>
      <c r="J94" s="1852"/>
      <c r="K94" s="1852"/>
      <c r="L94" s="1852"/>
      <c r="M94" s="1852"/>
      <c r="N94" s="1852"/>
      <c r="O94" s="1852"/>
      <c r="P94" s="1852"/>
      <c r="Q94" s="1852"/>
      <c r="R94" s="1852"/>
      <c r="S94" s="1852"/>
      <c r="T94" s="1852"/>
      <c r="U94" s="1852"/>
      <c r="V94" s="1852"/>
      <c r="W94" s="1852"/>
      <c r="X94" s="1852"/>
      <c r="Y94" s="1852"/>
      <c r="Z94" s="1852"/>
      <c r="AA94" s="1852"/>
      <c r="AB94" s="1852"/>
      <c r="AC94" s="1852"/>
      <c r="AD94" s="1852"/>
      <c r="AE94" s="1852"/>
      <c r="AF94" s="1852"/>
      <c r="AG94" s="1852"/>
      <c r="AH94" s="1852"/>
      <c r="AI94" s="1852"/>
      <c r="AJ94" s="1852"/>
      <c r="AK94" s="1852"/>
      <c r="AL94" s="1852"/>
      <c r="AM94" s="1852"/>
      <c r="AN94" s="40"/>
      <c r="AO94" s="1058"/>
      <c r="AP94" s="1058"/>
      <c r="AQ94" s="40"/>
      <c r="AR94" s="40"/>
      <c r="AS94" s="40"/>
    </row>
    <row r="95" spans="1:45" ht="13.8">
      <c r="B95" s="363"/>
      <c r="C95" s="363"/>
      <c r="D95" s="363"/>
      <c r="E95" s="363"/>
      <c r="F95" s="363"/>
      <c r="G95" s="363"/>
      <c r="H95" s="363"/>
      <c r="I95" s="363"/>
      <c r="J95" s="363"/>
      <c r="K95" s="363"/>
      <c r="L95" s="363"/>
      <c r="M95" s="363"/>
      <c r="N95" s="363"/>
      <c r="O95" s="363"/>
      <c r="P95" s="363"/>
      <c r="Q95" s="363"/>
      <c r="R95" s="363"/>
      <c r="S95" s="363"/>
      <c r="T95" s="1656"/>
      <c r="U95" s="1656"/>
      <c r="V95" s="1656"/>
      <c r="W95" s="1656"/>
      <c r="X95" s="1656"/>
      <c r="Y95" s="1656"/>
      <c r="Z95" s="1656"/>
      <c r="AA95" s="1656"/>
      <c r="AB95" s="1657"/>
      <c r="AC95" s="1658"/>
      <c r="AD95" s="1658"/>
      <c r="AE95" s="1658"/>
      <c r="AF95" s="1658"/>
      <c r="AG95" s="1658"/>
      <c r="AH95" s="1658"/>
      <c r="AI95" s="1658"/>
      <c r="AJ95" s="1658"/>
      <c r="AK95" s="1658"/>
      <c r="AL95" s="1658"/>
      <c r="AM95" s="1658"/>
      <c r="AN95" s="40"/>
      <c r="AO95" s="1058"/>
      <c r="AP95" s="1058"/>
      <c r="AQ95" s="40"/>
      <c r="AR95" s="40"/>
      <c r="AS95" s="40"/>
    </row>
    <row r="96" spans="1:45" ht="18" customHeight="1">
      <c r="B96" s="1847" t="s">
        <v>716</v>
      </c>
      <c r="C96" s="1847"/>
      <c r="D96" s="1847"/>
      <c r="E96" s="1847"/>
      <c r="F96" s="1847"/>
      <c r="G96" s="1847"/>
      <c r="H96" s="1847"/>
      <c r="I96" s="1847"/>
      <c r="J96" s="1847"/>
      <c r="K96" s="1847"/>
      <c r="L96" s="1847"/>
      <c r="M96" s="1847"/>
      <c r="N96" s="1847"/>
      <c r="O96" s="1847"/>
      <c r="P96" s="1847"/>
      <c r="Q96" s="1847"/>
      <c r="R96" s="1847"/>
      <c r="S96" s="1847"/>
      <c r="T96" s="1847"/>
      <c r="U96" s="1847"/>
      <c r="V96" s="1847"/>
      <c r="W96" s="1847"/>
      <c r="X96" s="1847"/>
      <c r="Y96" s="1847"/>
      <c r="Z96" s="1847"/>
      <c r="AA96" s="1847"/>
      <c r="AB96" s="1847"/>
      <c r="AC96" s="1847"/>
      <c r="AD96" s="1847"/>
      <c r="AE96" s="1847"/>
      <c r="AF96" s="1847"/>
      <c r="AG96" s="1847"/>
      <c r="AH96" s="1847"/>
      <c r="AI96" s="1847"/>
      <c r="AJ96" s="1847"/>
      <c r="AK96" s="1847"/>
      <c r="AL96" s="1847"/>
      <c r="AM96" s="1847"/>
      <c r="AN96" s="40"/>
      <c r="AO96" s="1058"/>
      <c r="AP96" s="1058"/>
      <c r="AQ96" s="40"/>
      <c r="AR96" s="40"/>
      <c r="AS96" s="40"/>
    </row>
    <row r="97" spans="1:45" ht="18" customHeight="1">
      <c r="B97" s="2367" t="s">
        <v>19</v>
      </c>
      <c r="C97" s="2368"/>
      <c r="D97" s="2368"/>
      <c r="E97" s="2369"/>
      <c r="F97" s="1833" t="s">
        <v>4150</v>
      </c>
      <c r="G97" s="1833"/>
      <c r="H97" s="1833"/>
      <c r="I97" s="1833"/>
      <c r="J97" s="1833"/>
      <c r="K97" s="1833"/>
      <c r="L97" s="1833"/>
      <c r="M97" s="1833"/>
      <c r="N97" s="1833"/>
      <c r="O97" s="1833"/>
      <c r="P97" s="1833"/>
      <c r="Q97" s="1833"/>
      <c r="R97" s="1833"/>
      <c r="S97" s="1833"/>
      <c r="T97" s="1833"/>
      <c r="U97" s="1834" t="s">
        <v>21</v>
      </c>
      <c r="V97" s="1834"/>
      <c r="W97" s="1834"/>
      <c r="X97" s="1834"/>
      <c r="Y97" s="1829" t="s">
        <v>4151</v>
      </c>
      <c r="Z97" s="1829"/>
      <c r="AA97" s="1829"/>
      <c r="AB97" s="1829"/>
      <c r="AC97" s="1829"/>
      <c r="AD97" s="1829"/>
      <c r="AE97" s="1829"/>
      <c r="AF97" s="1829"/>
      <c r="AG97" s="1829"/>
      <c r="AH97" s="1829"/>
      <c r="AI97" s="1829"/>
      <c r="AJ97" s="1829"/>
      <c r="AK97" s="1829"/>
      <c r="AL97" s="1829"/>
      <c r="AM97" s="1829"/>
      <c r="AN97" s="40"/>
      <c r="AO97" s="40"/>
      <c r="AP97" s="40"/>
      <c r="AQ97" s="40"/>
      <c r="AR97" s="40"/>
      <c r="AS97" s="40"/>
    </row>
    <row r="98" spans="1:45" ht="18" customHeight="1">
      <c r="B98" s="1885" t="s">
        <v>717</v>
      </c>
      <c r="C98" s="1886"/>
      <c r="D98" s="1886"/>
      <c r="E98" s="1887"/>
      <c r="F98" s="1888" t="s">
        <v>2328</v>
      </c>
      <c r="G98" s="1888"/>
      <c r="H98" s="1888"/>
      <c r="I98" s="1888"/>
      <c r="J98" s="1888"/>
      <c r="K98" s="1832" t="s">
        <v>22</v>
      </c>
      <c r="L98" s="1832"/>
      <c r="M98" s="1832"/>
      <c r="N98" s="1832"/>
      <c r="O98" s="1833" t="s">
        <v>4152</v>
      </c>
      <c r="P98" s="1833"/>
      <c r="Q98" s="1833"/>
      <c r="R98" s="1833"/>
      <c r="S98" s="1833"/>
      <c r="T98" s="1833"/>
      <c r="U98" s="1833"/>
      <c r="V98" s="2385" t="s">
        <v>23</v>
      </c>
      <c r="W98" s="2386"/>
      <c r="X98" s="2386"/>
      <c r="Y98" s="1833">
        <v>23423</v>
      </c>
      <c r="Z98" s="1833"/>
      <c r="AA98" s="1833"/>
      <c r="AB98" s="1833"/>
      <c r="AC98" s="2362" t="s">
        <v>719</v>
      </c>
      <c r="AD98" s="2362"/>
      <c r="AE98" s="2362"/>
      <c r="AF98" s="2362"/>
      <c r="AG98" s="2362"/>
      <c r="AH98" s="2362"/>
      <c r="AI98" s="2362"/>
      <c r="AJ98" s="2362"/>
      <c r="AK98" s="1881" t="str">
        <f>IF($F$98&gt;0,VLOOKUP($F$98,Dropdowns!G1:H58,2,FALSE),"")</f>
        <v>North</v>
      </c>
      <c r="AL98" s="1881"/>
      <c r="AM98" s="1881"/>
      <c r="AN98" s="40"/>
      <c r="AO98" s="40"/>
      <c r="AP98" s="40"/>
      <c r="AQ98" s="40"/>
      <c r="AR98" s="40"/>
      <c r="AS98" s="40"/>
    </row>
    <row r="99" spans="1:45" ht="13.8">
      <c r="B99" s="1772" t="s">
        <v>720</v>
      </c>
      <c r="C99" s="1773"/>
      <c r="D99" s="1773"/>
      <c r="E99" s="1773"/>
      <c r="F99" s="1773"/>
      <c r="G99" s="1773"/>
      <c r="H99" s="2378"/>
      <c r="I99" s="1841" t="s">
        <v>896</v>
      </c>
      <c r="J99" s="1842"/>
      <c r="K99" s="1842"/>
      <c r="L99" s="1842"/>
      <c r="M99" s="1842"/>
      <c r="N99" s="1842"/>
      <c r="O99" s="1842"/>
      <c r="P99" s="1842"/>
      <c r="Q99" s="1843"/>
      <c r="R99" s="2363"/>
      <c r="S99" s="2363"/>
      <c r="T99" s="2363"/>
      <c r="U99" s="2363"/>
      <c r="V99" s="2363"/>
      <c r="W99" s="2363"/>
      <c r="X99" s="2363"/>
      <c r="Y99" s="2363"/>
      <c r="Z99" s="2363"/>
      <c r="AA99" s="2363"/>
      <c r="AB99" s="2363"/>
      <c r="AC99" s="2363"/>
      <c r="AD99" s="2363"/>
      <c r="AE99" s="2363"/>
      <c r="AF99" s="2363"/>
      <c r="AG99" s="2363"/>
      <c r="AH99" s="2363"/>
      <c r="AI99" s="2363"/>
      <c r="AJ99" s="2363"/>
      <c r="AK99" s="2363"/>
      <c r="AL99" s="2363"/>
      <c r="AM99" s="2363"/>
      <c r="AN99" s="1448"/>
      <c r="AO99" s="1058"/>
      <c r="AP99" s="1058"/>
      <c r="AQ99" s="438"/>
      <c r="AR99" s="1058"/>
      <c r="AS99" s="1058"/>
    </row>
    <row r="100" spans="1:45" s="303" customFormat="1" ht="13.8">
      <c r="A100" s="662"/>
      <c r="B100" s="2131" t="s">
        <v>722</v>
      </c>
      <c r="C100" s="2132"/>
      <c r="D100" s="2132"/>
      <c r="E100" s="2132"/>
      <c r="F100" s="2132"/>
      <c r="G100" s="2132"/>
      <c r="H100" s="2132"/>
      <c r="I100" s="2132"/>
      <c r="J100" s="2132"/>
      <c r="K100" s="2132"/>
      <c r="L100" s="2132"/>
      <c r="M100" s="2132"/>
      <c r="N100" s="2132"/>
      <c r="O100" s="2132"/>
      <c r="P100" s="2132"/>
      <c r="Q100" s="2132"/>
      <c r="R100" s="2132"/>
      <c r="S100" s="2132"/>
      <c r="T100" s="2132"/>
      <c r="U100" s="2132"/>
      <c r="V100" s="2132"/>
      <c r="W100" s="2132"/>
      <c r="X100" s="2132"/>
      <c r="Y100" s="2132"/>
      <c r="Z100" s="2132"/>
      <c r="AA100" s="2132"/>
      <c r="AB100" s="2132"/>
      <c r="AC100" s="2132"/>
      <c r="AD100" s="2132"/>
      <c r="AE100" s="2132"/>
      <c r="AF100" s="2132"/>
      <c r="AG100" s="2132"/>
      <c r="AH100" s="2132"/>
      <c r="AI100" s="2132"/>
      <c r="AJ100" s="2132"/>
      <c r="AK100" s="2132"/>
      <c r="AL100" s="2132"/>
      <c r="AM100" s="2133"/>
    </row>
    <row r="101" spans="1:45" s="303" customFormat="1" ht="13.8">
      <c r="A101" s="662"/>
      <c r="B101" s="1731" t="s">
        <v>723</v>
      </c>
      <c r="C101" s="1732"/>
      <c r="D101" s="1733"/>
      <c r="E101" s="1831" t="str">
        <f>'Document Checklist'!$E$124</f>
        <v>42. Rehab Description</v>
      </c>
      <c r="F101" s="1831"/>
      <c r="G101" s="1831"/>
      <c r="H101" s="1831"/>
      <c r="I101" s="1831"/>
      <c r="J101" s="1831"/>
      <c r="K101" s="1831"/>
      <c r="L101" s="1831"/>
      <c r="M101" s="1831"/>
      <c r="N101" s="1718" t="str">
        <f>'Document Checklist'!$N$124</f>
        <v xml:space="preserve">Narrative description of current condition of structure(s) and overall scope of work. </v>
      </c>
      <c r="O101" s="1719"/>
      <c r="P101" s="1719"/>
      <c r="Q101" s="1719"/>
      <c r="R101" s="1719"/>
      <c r="S101" s="1719"/>
      <c r="T101" s="1719"/>
      <c r="U101" s="1719"/>
      <c r="V101" s="1719"/>
      <c r="W101" s="1719"/>
      <c r="X101" s="1719"/>
      <c r="Y101" s="1719"/>
      <c r="Z101" s="1719"/>
      <c r="AA101" s="1719"/>
      <c r="AB101" s="1719"/>
      <c r="AC101" s="1719"/>
      <c r="AD101" s="1719"/>
      <c r="AE101" s="1720"/>
      <c r="AF101" s="1789" t="s">
        <v>677</v>
      </c>
      <c r="AG101" s="1790"/>
      <c r="AH101" s="1790"/>
      <c r="AI101" s="1790"/>
      <c r="AJ101" s="1790"/>
      <c r="AK101" s="1791"/>
      <c r="AL101" s="1743" t="s">
        <v>664</v>
      </c>
      <c r="AM101" s="1743"/>
    </row>
    <row r="102" spans="1:45" s="303" customFormat="1" ht="13.8">
      <c r="A102" s="662"/>
      <c r="B102" s="1731" t="s">
        <v>723</v>
      </c>
      <c r="C102" s="1732"/>
      <c r="D102" s="1733"/>
      <c r="E102" s="1831" t="str">
        <f>'Document Checklist'!$E$125</f>
        <v>43. PNA or CNA</v>
      </c>
      <c r="F102" s="1831"/>
      <c r="G102" s="1831"/>
      <c r="H102" s="1831"/>
      <c r="I102" s="1831"/>
      <c r="J102" s="1831"/>
      <c r="K102" s="1831"/>
      <c r="L102" s="1831"/>
      <c r="M102" s="1831"/>
      <c r="N102" s="1718" t="str">
        <f>'Document Checklist'!$N$125</f>
        <v>PNA or CNA prepared by a qualified independent third party contractor.</v>
      </c>
      <c r="O102" s="1719"/>
      <c r="P102" s="1719"/>
      <c r="Q102" s="1719"/>
      <c r="R102" s="1719"/>
      <c r="S102" s="1719"/>
      <c r="T102" s="1719"/>
      <c r="U102" s="1719"/>
      <c r="V102" s="1719"/>
      <c r="W102" s="1719"/>
      <c r="X102" s="1719"/>
      <c r="Y102" s="1719"/>
      <c r="Z102" s="1719"/>
      <c r="AA102" s="1719"/>
      <c r="AB102" s="1719"/>
      <c r="AC102" s="1719"/>
      <c r="AD102" s="1719"/>
      <c r="AE102" s="1720"/>
      <c r="AF102" s="1789" t="s">
        <v>677</v>
      </c>
      <c r="AG102" s="1790"/>
      <c r="AH102" s="1790"/>
      <c r="AI102" s="1790"/>
      <c r="AJ102" s="1790"/>
      <c r="AK102" s="1791"/>
      <c r="AL102" s="1743" t="s">
        <v>664</v>
      </c>
      <c r="AM102" s="1743"/>
    </row>
    <row r="103" spans="1:45" s="303" customFormat="1" ht="13.8">
      <c r="A103" s="662"/>
      <c r="B103" s="1731" t="s">
        <v>723</v>
      </c>
      <c r="C103" s="1732"/>
      <c r="D103" s="1733"/>
      <c r="E103" s="1831" t="str">
        <f>'Document Checklist'!$E$126</f>
        <v>44. Rent Roll</v>
      </c>
      <c r="F103" s="1831"/>
      <c r="G103" s="1831"/>
      <c r="H103" s="1831"/>
      <c r="I103" s="1831"/>
      <c r="J103" s="1831"/>
      <c r="K103" s="1831"/>
      <c r="L103" s="1831"/>
      <c r="M103" s="1831"/>
      <c r="N103" s="1718" t="str">
        <f>'Document Checklist'!$N$126</f>
        <v xml:space="preserve">Current rent roll, including household income &amp; size for each unit. </v>
      </c>
      <c r="O103" s="1719"/>
      <c r="P103" s="1719"/>
      <c r="Q103" s="1719"/>
      <c r="R103" s="1719"/>
      <c r="S103" s="1719"/>
      <c r="T103" s="1719"/>
      <c r="U103" s="1719"/>
      <c r="V103" s="1719"/>
      <c r="W103" s="1719"/>
      <c r="X103" s="1719"/>
      <c r="Y103" s="1719"/>
      <c r="Z103" s="1719"/>
      <c r="AA103" s="1719"/>
      <c r="AB103" s="1719"/>
      <c r="AC103" s="1719"/>
      <c r="AD103" s="1719"/>
      <c r="AE103" s="1720"/>
      <c r="AF103" s="1789" t="s">
        <v>677</v>
      </c>
      <c r="AG103" s="1790"/>
      <c r="AH103" s="1790"/>
      <c r="AI103" s="1790"/>
      <c r="AJ103" s="1790"/>
      <c r="AK103" s="1791"/>
      <c r="AL103" s="1743" t="s">
        <v>664</v>
      </c>
      <c r="AM103" s="1743"/>
    </row>
    <row r="104" spans="1:45" ht="18" customHeight="1">
      <c r="A104" s="363"/>
      <c r="B104" s="1735" t="s">
        <v>724</v>
      </c>
      <c r="C104" s="1735"/>
      <c r="D104" s="1735"/>
      <c r="E104" s="1735"/>
      <c r="F104" s="1735"/>
      <c r="G104" s="1735"/>
      <c r="H104" s="1735"/>
      <c r="I104" s="1735"/>
      <c r="J104" s="1735"/>
      <c r="K104" s="1735"/>
      <c r="L104" s="1735"/>
      <c r="M104" s="1735"/>
      <c r="N104" s="1735"/>
      <c r="O104" s="1735"/>
      <c r="P104" s="1735"/>
      <c r="Q104" s="1735"/>
      <c r="R104" s="1735"/>
      <c r="S104" s="1735"/>
      <c r="T104" s="1735"/>
      <c r="U104" s="1735" t="s">
        <v>725</v>
      </c>
      <c r="V104" s="1735"/>
      <c r="W104" s="1735"/>
      <c r="X104" s="1735"/>
      <c r="Y104" s="1735"/>
      <c r="Z104" s="1735"/>
      <c r="AA104" s="1735"/>
      <c r="AB104" s="1735"/>
      <c r="AC104" s="1735"/>
      <c r="AD104" s="1735"/>
      <c r="AE104" s="1735"/>
      <c r="AF104" s="1735"/>
      <c r="AG104" s="1735"/>
      <c r="AH104" s="1735"/>
      <c r="AI104" s="1735"/>
      <c r="AJ104" s="1735"/>
      <c r="AK104" s="1735"/>
      <c r="AL104" s="1735"/>
      <c r="AM104" s="1735"/>
      <c r="AN104" s="1058"/>
      <c r="AO104" s="1448"/>
      <c r="AP104" s="1058"/>
      <c r="AQ104" s="1058"/>
      <c r="AR104" s="438"/>
      <c r="AS104" s="1058"/>
    </row>
    <row r="105" spans="1:45" ht="18" customHeight="1">
      <c r="A105" s="363"/>
      <c r="B105" s="1937">
        <v>23</v>
      </c>
      <c r="C105" s="1937"/>
      <c r="D105" s="1937"/>
      <c r="E105" s="1937"/>
      <c r="F105" s="1937"/>
      <c r="G105" s="1937"/>
      <c r="H105" s="1937">
        <v>26</v>
      </c>
      <c r="I105" s="1937"/>
      <c r="J105" s="1937"/>
      <c r="K105" s="1937"/>
      <c r="L105" s="1937"/>
      <c r="M105" s="1937"/>
      <c r="N105" s="1937">
        <v>29</v>
      </c>
      <c r="O105" s="1937"/>
      <c r="P105" s="1937"/>
      <c r="Q105" s="1937"/>
      <c r="R105" s="1937"/>
      <c r="S105" s="1937"/>
      <c r="T105" s="1937"/>
      <c r="U105" s="1937">
        <v>32</v>
      </c>
      <c r="V105" s="1937"/>
      <c r="W105" s="1937"/>
      <c r="X105" s="1937"/>
      <c r="Y105" s="1937"/>
      <c r="Z105" s="1937"/>
      <c r="AA105" s="1937"/>
      <c r="AB105" s="1937">
        <v>35</v>
      </c>
      <c r="AC105" s="1937"/>
      <c r="AD105" s="1937"/>
      <c r="AE105" s="1937"/>
      <c r="AF105" s="1937"/>
      <c r="AG105" s="1937"/>
      <c r="AH105" s="1937">
        <v>38</v>
      </c>
      <c r="AI105" s="1937"/>
      <c r="AJ105" s="1937"/>
      <c r="AK105" s="1937"/>
      <c r="AL105" s="1937"/>
      <c r="AM105" s="1937"/>
      <c r="AN105" s="1459"/>
      <c r="AO105" s="1058"/>
      <c r="AP105" s="1058"/>
      <c r="AQ105" s="1058"/>
      <c r="AR105" s="438"/>
      <c r="AS105" s="1058"/>
    </row>
    <row r="106" spans="1:45" ht="18" customHeight="1">
      <c r="A106" s="363"/>
      <c r="B106" s="1937">
        <v>24</v>
      </c>
      <c r="C106" s="1937"/>
      <c r="D106" s="1937"/>
      <c r="E106" s="1937"/>
      <c r="F106" s="1937"/>
      <c r="G106" s="1937"/>
      <c r="H106" s="1937">
        <v>27</v>
      </c>
      <c r="I106" s="1937"/>
      <c r="J106" s="1937"/>
      <c r="K106" s="1937"/>
      <c r="L106" s="1937"/>
      <c r="M106" s="1937"/>
      <c r="N106" s="1937">
        <v>30</v>
      </c>
      <c r="O106" s="1937"/>
      <c r="P106" s="1937"/>
      <c r="Q106" s="1937"/>
      <c r="R106" s="1937"/>
      <c r="S106" s="1937"/>
      <c r="T106" s="1937"/>
      <c r="U106" s="1937">
        <v>33</v>
      </c>
      <c r="V106" s="1937"/>
      <c r="W106" s="1937"/>
      <c r="X106" s="1937"/>
      <c r="Y106" s="1937"/>
      <c r="Z106" s="1937"/>
      <c r="AA106" s="1937"/>
      <c r="AB106" s="1937">
        <v>36</v>
      </c>
      <c r="AC106" s="1937"/>
      <c r="AD106" s="1937"/>
      <c r="AE106" s="1937"/>
      <c r="AF106" s="1937"/>
      <c r="AG106" s="1937"/>
      <c r="AH106" s="1937">
        <v>39</v>
      </c>
      <c r="AI106" s="1937"/>
      <c r="AJ106" s="1937"/>
      <c r="AK106" s="1937"/>
      <c r="AL106" s="1937"/>
      <c r="AM106" s="1937"/>
      <c r="AN106" s="1459"/>
      <c r="AO106" s="1058"/>
      <c r="AP106" s="1058"/>
      <c r="AQ106" s="1058"/>
      <c r="AR106" s="438"/>
      <c r="AS106" s="1058"/>
    </row>
    <row r="107" spans="1:45" ht="18" customHeight="1">
      <c r="A107" s="363"/>
      <c r="B107" s="1937">
        <v>25</v>
      </c>
      <c r="C107" s="1937"/>
      <c r="D107" s="1937"/>
      <c r="E107" s="1937"/>
      <c r="F107" s="1937"/>
      <c r="G107" s="1937"/>
      <c r="H107" s="1937">
        <v>28</v>
      </c>
      <c r="I107" s="1937"/>
      <c r="J107" s="1937"/>
      <c r="K107" s="1937"/>
      <c r="L107" s="1937"/>
      <c r="M107" s="1937"/>
      <c r="N107" s="1937">
        <v>31</v>
      </c>
      <c r="O107" s="1937"/>
      <c r="P107" s="1937"/>
      <c r="Q107" s="1937"/>
      <c r="R107" s="1937"/>
      <c r="S107" s="1937"/>
      <c r="T107" s="1937"/>
      <c r="U107" s="1937">
        <v>34</v>
      </c>
      <c r="V107" s="1937"/>
      <c r="W107" s="1937"/>
      <c r="X107" s="1937"/>
      <c r="Y107" s="1937"/>
      <c r="Z107" s="1937"/>
      <c r="AA107" s="1937"/>
      <c r="AB107" s="1937">
        <v>37</v>
      </c>
      <c r="AC107" s="1937"/>
      <c r="AD107" s="1937"/>
      <c r="AE107" s="1937"/>
      <c r="AF107" s="1937"/>
      <c r="AG107" s="1937"/>
      <c r="AH107" s="1937">
        <v>40</v>
      </c>
      <c r="AI107" s="1937"/>
      <c r="AJ107" s="1937"/>
      <c r="AK107" s="1937"/>
      <c r="AL107" s="1937"/>
      <c r="AM107" s="1937"/>
      <c r="AN107" s="1459"/>
      <c r="AO107" s="1058"/>
      <c r="AP107" s="1058"/>
      <c r="AQ107" s="1058"/>
      <c r="AR107" s="438"/>
      <c r="AS107" s="1058"/>
    </row>
    <row r="108" spans="1:45" ht="13.8">
      <c r="A108" s="363"/>
      <c r="B108" s="2100" t="s">
        <v>726</v>
      </c>
      <c r="C108" s="2101"/>
      <c r="D108" s="2101"/>
      <c r="E108" s="2101"/>
      <c r="F108" s="2101"/>
      <c r="G108" s="2101"/>
      <c r="H108" s="2101"/>
      <c r="I108" s="2101"/>
      <c r="J108" s="2101"/>
      <c r="K108" s="2101"/>
      <c r="L108" s="2101"/>
      <c r="M108" s="2101"/>
      <c r="N108" s="2101"/>
      <c r="O108" s="2101"/>
      <c r="P108" s="2101"/>
      <c r="Q108" s="2101"/>
      <c r="R108" s="2101"/>
      <c r="S108" s="2101"/>
      <c r="T108" s="2101"/>
      <c r="U108" s="2101"/>
      <c r="V108" s="2101"/>
      <c r="W108" s="2101"/>
      <c r="X108" s="2101"/>
      <c r="Y108" s="2101"/>
      <c r="Z108" s="2101"/>
      <c r="AA108" s="2101"/>
      <c r="AB108" s="2101"/>
      <c r="AC108" s="2101"/>
      <c r="AD108" s="2101"/>
      <c r="AE108" s="2101"/>
      <c r="AF108" s="2101"/>
      <c r="AG108" s="2101"/>
      <c r="AH108" s="2101"/>
      <c r="AI108" s="2101"/>
      <c r="AJ108" s="2101"/>
      <c r="AK108" s="2102"/>
      <c r="AL108" s="1911" t="s">
        <v>664</v>
      </c>
      <c r="AM108" s="1912"/>
      <c r="AN108" s="1459"/>
      <c r="AO108" s="1058"/>
      <c r="AP108" s="1058"/>
      <c r="AQ108" s="1058"/>
      <c r="AR108" s="438"/>
      <c r="AS108" s="1058"/>
    </row>
    <row r="109" spans="1:45" ht="13.8">
      <c r="A109" s="363"/>
      <c r="B109" s="2351" t="s">
        <v>727</v>
      </c>
      <c r="C109" s="2352"/>
      <c r="D109" s="2352"/>
      <c r="E109" s="2352"/>
      <c r="F109" s="2352"/>
      <c r="G109" s="2352"/>
      <c r="H109" s="2352"/>
      <c r="I109" s="2352"/>
      <c r="J109" s="2352"/>
      <c r="K109" s="2352"/>
      <c r="L109" s="2352"/>
      <c r="M109" s="2352"/>
      <c r="N109" s="2352"/>
      <c r="O109" s="2352"/>
      <c r="P109" s="2352"/>
      <c r="Q109" s="2352"/>
      <c r="R109" s="2352"/>
      <c r="S109" s="2352"/>
      <c r="T109" s="2352"/>
      <c r="U109" s="2352"/>
      <c r="V109" s="2352"/>
      <c r="W109" s="2352"/>
      <c r="X109" s="2352"/>
      <c r="Y109" s="2352"/>
      <c r="Z109" s="2352"/>
      <c r="AA109" s="2352"/>
      <c r="AB109" s="2352"/>
      <c r="AC109" s="2352"/>
      <c r="AD109" s="2352"/>
      <c r="AE109" s="2352"/>
      <c r="AF109" s="2352"/>
      <c r="AG109" s="2352"/>
      <c r="AH109" s="2352"/>
      <c r="AI109" s="2352"/>
      <c r="AJ109" s="2352"/>
      <c r="AK109" s="2352"/>
      <c r="AL109" s="2352"/>
      <c r="AM109" s="2353"/>
      <c r="AN109" s="1459"/>
      <c r="AO109" s="1058"/>
      <c r="AP109" s="1058"/>
      <c r="AQ109" s="1058"/>
      <c r="AR109" s="438"/>
      <c r="AS109" s="1058"/>
    </row>
    <row r="110" spans="1:45" ht="13.8">
      <c r="A110" s="363"/>
      <c r="B110" s="2354" t="s">
        <v>4153</v>
      </c>
      <c r="C110" s="2355"/>
      <c r="D110" s="2355"/>
      <c r="E110" s="2355"/>
      <c r="F110" s="2355"/>
      <c r="G110" s="2355"/>
      <c r="H110" s="2355"/>
      <c r="I110" s="2355"/>
      <c r="J110" s="2355"/>
      <c r="K110" s="2355"/>
      <c r="L110" s="2355"/>
      <c r="M110" s="2355"/>
      <c r="N110" s="2355"/>
      <c r="O110" s="2355"/>
      <c r="P110" s="2355"/>
      <c r="Q110" s="2355"/>
      <c r="R110" s="2355"/>
      <c r="S110" s="2355"/>
      <c r="T110" s="2355"/>
      <c r="U110" s="2355"/>
      <c r="V110" s="2355"/>
      <c r="W110" s="2355"/>
      <c r="X110" s="2355"/>
      <c r="Y110" s="2355"/>
      <c r="Z110" s="2355"/>
      <c r="AA110" s="2355"/>
      <c r="AB110" s="2355"/>
      <c r="AC110" s="2355"/>
      <c r="AD110" s="2355"/>
      <c r="AE110" s="2355"/>
      <c r="AF110" s="2355"/>
      <c r="AG110" s="2355"/>
      <c r="AH110" s="2355"/>
      <c r="AI110" s="2355"/>
      <c r="AJ110" s="2355"/>
      <c r="AK110" s="2355"/>
      <c r="AL110" s="2355"/>
      <c r="AM110" s="2356"/>
      <c r="AN110" s="1058"/>
      <c r="AO110" s="1448"/>
      <c r="AP110" s="1058"/>
      <c r="AQ110" s="1058"/>
      <c r="AR110" s="438"/>
      <c r="AS110" s="1058"/>
    </row>
    <row r="111" spans="1:45" ht="13.8">
      <c r="A111" s="363"/>
      <c r="B111" s="2122" t="s">
        <v>728</v>
      </c>
      <c r="C111" s="2123"/>
      <c r="D111" s="2123"/>
      <c r="E111" s="2123"/>
      <c r="F111" s="2123"/>
      <c r="G111" s="2123"/>
      <c r="H111" s="2123"/>
      <c r="I111" s="2123"/>
      <c r="J111" s="2123"/>
      <c r="K111" s="2123"/>
      <c r="L111" s="2123"/>
      <c r="M111" s="2123"/>
      <c r="N111" s="2123"/>
      <c r="O111" s="2124"/>
      <c r="P111" s="2122" t="s">
        <v>729</v>
      </c>
      <c r="Q111" s="2123"/>
      <c r="R111" s="2123"/>
      <c r="S111" s="2123"/>
      <c r="T111" s="2124"/>
      <c r="U111" s="2122" t="s">
        <v>730</v>
      </c>
      <c r="V111" s="2123"/>
      <c r="W111" s="2123"/>
      <c r="X111" s="2123"/>
      <c r="Y111" s="2124"/>
      <c r="Z111" s="1933" t="s">
        <v>731</v>
      </c>
      <c r="AA111" s="1934"/>
      <c r="AB111" s="1935"/>
      <c r="AC111" s="2122" t="s">
        <v>732</v>
      </c>
      <c r="AD111" s="2123"/>
      <c r="AE111" s="2123"/>
      <c r="AF111" s="2123"/>
      <c r="AG111" s="2123"/>
      <c r="AH111" s="2123"/>
      <c r="AI111" s="2123"/>
      <c r="AJ111" s="2123"/>
      <c r="AK111" s="2123"/>
      <c r="AL111" s="2123"/>
      <c r="AM111" s="2124"/>
      <c r="AN111" s="1058"/>
      <c r="AO111" s="1448"/>
      <c r="AP111" s="1058"/>
      <c r="AQ111" s="1058"/>
      <c r="AR111" s="438"/>
      <c r="AS111" s="1058"/>
    </row>
    <row r="112" spans="1:45" ht="13.8">
      <c r="B112" s="2272" t="s">
        <v>4154</v>
      </c>
      <c r="C112" s="2273"/>
      <c r="D112" s="2273"/>
      <c r="E112" s="2273"/>
      <c r="F112" s="2273"/>
      <c r="G112" s="2273"/>
      <c r="H112" s="2273"/>
      <c r="I112" s="2273"/>
      <c r="J112" s="2273"/>
      <c r="K112" s="2273"/>
      <c r="L112" s="2273"/>
      <c r="M112" s="2273"/>
      <c r="N112" s="2273"/>
      <c r="O112" s="2274"/>
      <c r="P112" s="1901">
        <v>1312</v>
      </c>
      <c r="Q112" s="1902"/>
      <c r="R112" s="1902"/>
      <c r="S112" s="1902"/>
      <c r="T112" s="1903"/>
      <c r="U112" s="1901">
        <v>342342</v>
      </c>
      <c r="V112" s="1902"/>
      <c r="W112" s="1902"/>
      <c r="X112" s="1902"/>
      <c r="Y112" s="1903"/>
      <c r="Z112" s="1927" t="s">
        <v>664</v>
      </c>
      <c r="AA112" s="1928"/>
      <c r="AB112" s="1929"/>
      <c r="AC112" s="1930">
        <v>44542</v>
      </c>
      <c r="AD112" s="1931"/>
      <c r="AE112" s="1931"/>
      <c r="AF112" s="1931"/>
      <c r="AG112" s="1931"/>
      <c r="AH112" s="1931"/>
      <c r="AI112" s="1931"/>
      <c r="AJ112" s="1931"/>
      <c r="AK112" s="1931"/>
      <c r="AL112" s="1931"/>
      <c r="AM112" s="1932"/>
      <c r="AN112" s="1058"/>
      <c r="AO112" s="1448"/>
      <c r="AP112" s="1058"/>
      <c r="AQ112" s="1058"/>
      <c r="AR112" s="438"/>
      <c r="AS112" s="1058"/>
    </row>
    <row r="113" spans="1:62" ht="13.8">
      <c r="B113" s="2272" t="s">
        <v>4155</v>
      </c>
      <c r="C113" s="2273"/>
      <c r="D113" s="2273"/>
      <c r="E113" s="2273"/>
      <c r="F113" s="2273"/>
      <c r="G113" s="2273"/>
      <c r="H113" s="2273"/>
      <c r="I113" s="2273"/>
      <c r="J113" s="2273"/>
      <c r="K113" s="2273"/>
      <c r="L113" s="2273"/>
      <c r="M113" s="2273"/>
      <c r="N113" s="2273"/>
      <c r="O113" s="2274"/>
      <c r="P113" s="1901">
        <v>1313</v>
      </c>
      <c r="Q113" s="1902"/>
      <c r="R113" s="1902"/>
      <c r="S113" s="1902"/>
      <c r="T113" s="1903"/>
      <c r="U113" s="1901">
        <v>342343</v>
      </c>
      <c r="V113" s="1902"/>
      <c r="W113" s="1902"/>
      <c r="X113" s="1902"/>
      <c r="Y113" s="1903"/>
      <c r="Z113" s="1927" t="s">
        <v>664</v>
      </c>
      <c r="AA113" s="1928"/>
      <c r="AB113" s="1929"/>
      <c r="AC113" s="1930">
        <v>44543</v>
      </c>
      <c r="AD113" s="1931"/>
      <c r="AE113" s="1931"/>
      <c r="AF113" s="1931"/>
      <c r="AG113" s="1931"/>
      <c r="AH113" s="1931"/>
      <c r="AI113" s="1931"/>
      <c r="AJ113" s="1931"/>
      <c r="AK113" s="1931"/>
      <c r="AL113" s="1931"/>
      <c r="AM113" s="1932"/>
      <c r="AN113" s="1058"/>
      <c r="AO113" s="1448"/>
      <c r="AP113" s="1058"/>
      <c r="AQ113" s="1058"/>
      <c r="AR113" s="438"/>
      <c r="AS113" s="1058"/>
      <c r="AT113" s="1058"/>
      <c r="AU113" s="1058"/>
      <c r="AV113" s="1058"/>
      <c r="AW113" s="1058"/>
      <c r="AX113" s="1058"/>
      <c r="AY113" s="1058"/>
      <c r="AZ113" s="1058"/>
      <c r="BA113" s="1058"/>
      <c r="BB113" s="1058"/>
      <c r="BC113" s="1058"/>
      <c r="BD113" s="1058"/>
      <c r="BE113" s="1058"/>
      <c r="BF113" s="1058"/>
      <c r="BG113" s="1058"/>
      <c r="BH113" s="1058"/>
      <c r="BI113" s="1058"/>
      <c r="BJ113" s="1058"/>
    </row>
    <row r="114" spans="1:62" ht="13.8">
      <c r="B114" s="2272" t="s">
        <v>4156</v>
      </c>
      <c r="C114" s="2273"/>
      <c r="D114" s="2273"/>
      <c r="E114" s="2273"/>
      <c r="F114" s="2273"/>
      <c r="G114" s="2273"/>
      <c r="H114" s="2273"/>
      <c r="I114" s="2273"/>
      <c r="J114" s="2273"/>
      <c r="K114" s="2273"/>
      <c r="L114" s="2273"/>
      <c r="M114" s="2273"/>
      <c r="N114" s="2273"/>
      <c r="O114" s="2274"/>
      <c r="P114" s="1901">
        <v>1314</v>
      </c>
      <c r="Q114" s="1902"/>
      <c r="R114" s="1902"/>
      <c r="S114" s="1902"/>
      <c r="T114" s="1903"/>
      <c r="U114" s="1901">
        <v>342344</v>
      </c>
      <c r="V114" s="1902"/>
      <c r="W114" s="1902"/>
      <c r="X114" s="1902"/>
      <c r="Y114" s="1903"/>
      <c r="Z114" s="1927" t="s">
        <v>664</v>
      </c>
      <c r="AA114" s="1928"/>
      <c r="AB114" s="1929"/>
      <c r="AC114" s="1930">
        <v>44544</v>
      </c>
      <c r="AD114" s="1931"/>
      <c r="AE114" s="1931"/>
      <c r="AF114" s="1931"/>
      <c r="AG114" s="1931"/>
      <c r="AH114" s="1931"/>
      <c r="AI114" s="1931"/>
      <c r="AJ114" s="1931"/>
      <c r="AK114" s="1931"/>
      <c r="AL114" s="1931"/>
      <c r="AM114" s="1932"/>
      <c r="AN114" s="1058"/>
      <c r="AO114" s="1448"/>
      <c r="AP114" s="1058"/>
      <c r="AQ114" s="1058"/>
      <c r="AR114" s="438"/>
      <c r="AS114" s="1058"/>
      <c r="AT114" s="1058"/>
      <c r="AU114" s="1058"/>
      <c r="AV114" s="1058"/>
      <c r="AW114" s="1058"/>
      <c r="AX114" s="1058"/>
      <c r="AY114" s="1058"/>
      <c r="AZ114" s="1058"/>
      <c r="BA114" s="1058"/>
      <c r="BB114" s="1058"/>
      <c r="BC114" s="1058"/>
      <c r="BD114" s="1058"/>
      <c r="BE114" s="1058"/>
      <c r="BF114" s="1058"/>
      <c r="BG114" s="1058"/>
      <c r="BH114" s="1058"/>
      <c r="BI114" s="1058"/>
      <c r="BJ114" s="1058"/>
    </row>
    <row r="115" spans="1:62" ht="18" customHeight="1">
      <c r="B115" s="1058"/>
      <c r="C115" s="1058"/>
      <c r="D115" s="1058"/>
      <c r="E115" s="1058"/>
      <c r="F115" s="1058"/>
      <c r="G115" s="1058"/>
      <c r="H115" s="1058"/>
      <c r="I115" s="1058"/>
      <c r="J115" s="1058"/>
      <c r="K115" s="1058"/>
      <c r="L115" s="1058"/>
      <c r="M115" s="1058"/>
      <c r="N115" s="1058"/>
      <c r="O115" s="1058"/>
      <c r="P115" s="1058"/>
      <c r="Q115" s="1058"/>
      <c r="R115" s="1058"/>
      <c r="S115" s="1058"/>
      <c r="T115" s="1058"/>
      <c r="U115" s="1058"/>
      <c r="V115" s="1058"/>
      <c r="W115" s="1058"/>
      <c r="X115" s="1058"/>
      <c r="Y115" s="1058"/>
      <c r="Z115" s="1058"/>
      <c r="AA115" s="1058"/>
      <c r="AB115" s="1058"/>
      <c r="AC115" s="1058"/>
      <c r="AD115" s="1058"/>
      <c r="AE115" s="1058"/>
      <c r="AF115" s="1058"/>
      <c r="AG115" s="1058"/>
      <c r="AH115" s="1058"/>
      <c r="AI115" s="1058"/>
      <c r="AJ115" s="1058"/>
      <c r="AK115" s="1058"/>
      <c r="AL115" s="1058"/>
      <c r="AM115" s="1058"/>
      <c r="AN115" s="1058"/>
      <c r="AO115" s="1448"/>
      <c r="AP115" s="1058"/>
      <c r="AQ115" s="1058"/>
      <c r="AR115" s="438"/>
      <c r="AS115" s="1058"/>
      <c r="AT115" s="1058"/>
      <c r="AU115" s="1058"/>
      <c r="AV115" s="1058"/>
      <c r="AW115" s="1058"/>
      <c r="AX115" s="1058"/>
      <c r="AY115" s="1058"/>
      <c r="AZ115" s="1058"/>
      <c r="BA115" s="1058"/>
      <c r="BB115" s="1058"/>
      <c r="BC115" s="1058"/>
      <c r="BD115" s="1058"/>
      <c r="BE115" s="1058"/>
      <c r="BF115" s="1058"/>
      <c r="BG115" s="1058"/>
      <c r="BH115" s="1058"/>
      <c r="BI115" s="1058"/>
      <c r="BJ115" s="1058"/>
    </row>
    <row r="116" spans="1:62" ht="13.8">
      <c r="B116" s="2342" t="s">
        <v>733</v>
      </c>
      <c r="C116" s="2343"/>
      <c r="D116" s="2343"/>
      <c r="E116" s="2343"/>
      <c r="F116" s="2343"/>
      <c r="G116" s="2344"/>
      <c r="H116" s="2345">
        <v>0.04</v>
      </c>
      <c r="I116" s="2346"/>
      <c r="J116" s="1058"/>
      <c r="K116" s="1058"/>
      <c r="L116" s="1058"/>
      <c r="M116" s="1058"/>
      <c r="N116" s="1058"/>
      <c r="O116" s="1058"/>
      <c r="P116" s="1058"/>
      <c r="Q116" s="1058"/>
      <c r="R116" s="1058"/>
      <c r="S116" s="1058"/>
      <c r="T116" s="1058"/>
      <c r="U116" s="1058"/>
      <c r="V116" s="1058"/>
      <c r="W116" s="1058"/>
      <c r="X116" s="1058"/>
      <c r="Y116" s="1058"/>
      <c r="Z116" s="1058"/>
      <c r="AA116" s="1058"/>
      <c r="AB116" s="1058"/>
      <c r="AC116" s="1058"/>
      <c r="AD116" s="1058"/>
      <c r="AE116" s="1058"/>
      <c r="AF116" s="1058"/>
      <c r="AG116" s="1058"/>
      <c r="AH116" s="1058"/>
      <c r="AI116" s="1058"/>
      <c r="AJ116" s="1058"/>
      <c r="AK116" s="1058"/>
      <c r="AL116" s="1058"/>
      <c r="AM116" s="1058"/>
      <c r="AN116" s="1058"/>
      <c r="AO116" s="1448"/>
      <c r="AP116" s="1058"/>
      <c r="AQ116" s="1058"/>
      <c r="AR116" s="438"/>
      <c r="AS116" s="1058"/>
      <c r="AT116" s="1058"/>
      <c r="AU116" s="1058"/>
      <c r="AV116" s="1058"/>
      <c r="AW116" s="1058"/>
      <c r="AX116" s="1058"/>
      <c r="AY116" s="1058"/>
      <c r="AZ116" s="1058"/>
      <c r="BA116" s="1058"/>
      <c r="BB116" s="1058"/>
      <c r="BC116" s="1058"/>
      <c r="BD116" s="1058"/>
      <c r="BE116" s="1058"/>
      <c r="BF116" s="1058"/>
      <c r="BG116" s="1058"/>
      <c r="BH116" s="1058"/>
      <c r="BI116" s="1058"/>
      <c r="BJ116" s="1058"/>
    </row>
    <row r="117" spans="1:62" ht="13.8">
      <c r="B117" s="2247" t="s">
        <v>734</v>
      </c>
      <c r="C117" s="2248"/>
      <c r="D117" s="2248"/>
      <c r="E117" s="2248"/>
      <c r="F117" s="2248"/>
      <c r="G117" s="2249"/>
      <c r="H117" s="2250"/>
      <c r="I117" s="2370">
        <v>23</v>
      </c>
      <c r="J117" s="2371"/>
      <c r="K117" s="2125" t="s">
        <v>735</v>
      </c>
      <c r="L117" s="2126"/>
      <c r="M117" s="2126"/>
      <c r="N117" s="2126"/>
      <c r="O117" s="2126"/>
      <c r="P117" s="2126"/>
      <c r="Q117" s="2127"/>
      <c r="R117" s="2288"/>
      <c r="S117" s="2288"/>
      <c r="T117" s="2288"/>
      <c r="U117" s="2288"/>
      <c r="V117" s="2288"/>
      <c r="W117" s="2288"/>
      <c r="X117" s="2288"/>
      <c r="Y117" s="2288"/>
      <c r="Z117" s="2288"/>
      <c r="AA117" s="2288"/>
      <c r="AB117" s="2288"/>
      <c r="AC117" s="2288"/>
      <c r="AD117" s="2288"/>
      <c r="AE117" s="2288"/>
      <c r="AF117" s="2288"/>
      <c r="AG117" s="2288"/>
      <c r="AH117" s="2288"/>
      <c r="AI117" s="2288"/>
      <c r="AJ117" s="2288"/>
      <c r="AK117" s="2288"/>
      <c r="AL117" s="2288"/>
      <c r="AM117" s="2288"/>
      <c r="AN117" s="1058"/>
      <c r="AO117" s="1448"/>
      <c r="AP117" s="1058"/>
      <c r="AQ117" s="1058"/>
      <c r="AR117" s="438"/>
      <c r="AS117" s="1058"/>
      <c r="AT117" s="1058"/>
      <c r="AU117" s="1058"/>
      <c r="AV117" s="1058"/>
      <c r="AW117" s="1058"/>
      <c r="AX117" s="1058"/>
      <c r="AY117" s="1058"/>
      <c r="AZ117" s="1058"/>
      <c r="BA117" s="1058"/>
      <c r="BB117" s="1058"/>
      <c r="BC117" s="1058"/>
      <c r="BD117" s="1058"/>
      <c r="BE117" s="1058"/>
      <c r="BF117" s="1058"/>
      <c r="BG117" s="1058"/>
      <c r="BH117" s="1058"/>
      <c r="BI117" s="1058"/>
      <c r="BJ117" s="1058"/>
    </row>
    <row r="118" spans="1:62" ht="13.8">
      <c r="B118" s="2275" t="s">
        <v>736</v>
      </c>
      <c r="C118" s="2276"/>
      <c r="D118" s="2277"/>
      <c r="E118" s="2374" t="s">
        <v>664</v>
      </c>
      <c r="F118" s="2375"/>
      <c r="G118" s="1794" t="s">
        <v>737</v>
      </c>
      <c r="H118" s="1794"/>
      <c r="I118" s="1794"/>
      <c r="J118" s="1794"/>
      <c r="K118" s="1794"/>
      <c r="L118" s="1794"/>
      <c r="M118" s="1794"/>
      <c r="N118" s="1794"/>
      <c r="O118" s="1794"/>
      <c r="P118" s="1794"/>
      <c r="Q118" s="1794"/>
      <c r="R118" s="1794"/>
      <c r="S118" s="1794"/>
      <c r="T118" s="2373">
        <v>23</v>
      </c>
      <c r="U118" s="2373"/>
      <c r="V118" s="2373"/>
      <c r="W118" s="2373"/>
      <c r="X118" s="1794" t="s">
        <v>738</v>
      </c>
      <c r="Y118" s="1794"/>
      <c r="Z118" s="1794"/>
      <c r="AA118" s="1794"/>
      <c r="AB118" s="1794"/>
      <c r="AC118" s="1794"/>
      <c r="AD118" s="1794"/>
      <c r="AE118" s="1794"/>
      <c r="AF118" s="1734">
        <v>4</v>
      </c>
      <c r="AG118" s="1734"/>
      <c r="AH118" s="1734"/>
      <c r="AI118" s="2372" t="s">
        <v>739</v>
      </c>
      <c r="AJ118" s="2372"/>
      <c r="AK118" s="2372"/>
      <c r="AL118" s="2289">
        <v>0.02</v>
      </c>
      <c r="AM118" s="2289"/>
      <c r="AN118" s="1058"/>
      <c r="AO118" s="1448"/>
      <c r="AP118" s="1058"/>
      <c r="AQ118" s="1058"/>
      <c r="AR118" s="438"/>
      <c r="AS118" s="1058"/>
      <c r="AT118" s="1058"/>
      <c r="AU118" s="1058"/>
      <c r="AV118" s="1058"/>
      <c r="AW118" s="1058"/>
      <c r="AX118" s="1058"/>
      <c r="AY118" s="1058"/>
      <c r="AZ118" s="1058"/>
      <c r="BA118" s="1058"/>
      <c r="BB118" s="1058"/>
      <c r="BC118" s="1058"/>
      <c r="BD118" s="1058"/>
      <c r="BE118" s="1058"/>
      <c r="BF118" s="1058"/>
      <c r="BG118" s="1058"/>
      <c r="BH118" s="1058"/>
      <c r="BI118" s="1058"/>
      <c r="BJ118" s="1058"/>
    </row>
    <row r="119" spans="1:62" ht="13.8">
      <c r="B119" s="2275" t="s">
        <v>740</v>
      </c>
      <c r="C119" s="2276"/>
      <c r="D119" s="2277"/>
      <c r="E119" s="2374" t="s">
        <v>664</v>
      </c>
      <c r="F119" s="2375"/>
      <c r="G119" s="1795" t="s">
        <v>737</v>
      </c>
      <c r="H119" s="1796"/>
      <c r="I119" s="1796"/>
      <c r="J119" s="1796"/>
      <c r="K119" s="1796"/>
      <c r="L119" s="1796"/>
      <c r="M119" s="1796"/>
      <c r="N119" s="1796"/>
      <c r="O119" s="1796"/>
      <c r="P119" s="1796"/>
      <c r="Q119" s="1796"/>
      <c r="R119" s="1796"/>
      <c r="S119" s="1797"/>
      <c r="T119" s="2373">
        <v>24</v>
      </c>
      <c r="U119" s="2373"/>
      <c r="V119" s="2373"/>
      <c r="W119" s="2373"/>
      <c r="X119" s="1795" t="s">
        <v>738</v>
      </c>
      <c r="Y119" s="1796"/>
      <c r="Z119" s="1796"/>
      <c r="AA119" s="1796"/>
      <c r="AB119" s="1796"/>
      <c r="AC119" s="1796"/>
      <c r="AD119" s="1796"/>
      <c r="AE119" s="1797"/>
      <c r="AF119" s="1734">
        <v>5</v>
      </c>
      <c r="AG119" s="1734"/>
      <c r="AH119" s="1734"/>
      <c r="AI119" s="2269" t="s">
        <v>739</v>
      </c>
      <c r="AJ119" s="2270"/>
      <c r="AK119" s="2271"/>
      <c r="AL119" s="2289">
        <v>0.12</v>
      </c>
      <c r="AM119" s="2289"/>
      <c r="AN119" s="1058"/>
      <c r="AO119" s="1448"/>
      <c r="AP119" s="1058"/>
      <c r="AQ119" s="1058"/>
      <c r="AR119" s="438"/>
      <c r="AS119" s="1058"/>
      <c r="AT119" s="1058"/>
      <c r="AU119" s="1058"/>
      <c r="AV119" s="1058"/>
      <c r="AW119" s="1058"/>
      <c r="AX119" s="1058"/>
      <c r="AY119" s="1058"/>
      <c r="AZ119" s="1058"/>
      <c r="BA119" s="1058"/>
      <c r="BB119" s="1058"/>
      <c r="BC119" s="1058"/>
      <c r="BD119" s="1058"/>
      <c r="BE119" s="1058"/>
      <c r="BF119" s="1058"/>
      <c r="BG119" s="1058"/>
      <c r="BH119" s="1058"/>
      <c r="BI119" s="1058"/>
      <c r="BJ119" s="1058"/>
    </row>
    <row r="120" spans="1:62" ht="13.8">
      <c r="B120" s="2275" t="s">
        <v>741</v>
      </c>
      <c r="C120" s="2276"/>
      <c r="D120" s="2276"/>
      <c r="E120" s="2276"/>
      <c r="F120" s="2276"/>
      <c r="G120" s="2276"/>
      <c r="H120" s="2276"/>
      <c r="I120" s="2276"/>
      <c r="J120" s="2276"/>
      <c r="K120" s="2276"/>
      <c r="L120" s="2277"/>
      <c r="M120" s="1795" t="s">
        <v>742</v>
      </c>
      <c r="N120" s="1796"/>
      <c r="O120" s="1796"/>
      <c r="P120" s="1796"/>
      <c r="Q120" s="1797"/>
      <c r="R120" s="2285" t="s">
        <v>4157</v>
      </c>
      <c r="S120" s="2286"/>
      <c r="T120" s="2286"/>
      <c r="U120" s="2287"/>
      <c r="V120" s="1795" t="s">
        <v>743</v>
      </c>
      <c r="W120" s="1796"/>
      <c r="X120" s="1796"/>
      <c r="Y120" s="1796"/>
      <c r="Z120" s="1797"/>
      <c r="AA120" s="2303">
        <v>2111</v>
      </c>
      <c r="AB120" s="2304"/>
      <c r="AC120" s="2330" t="s">
        <v>744</v>
      </c>
      <c r="AD120" s="2331"/>
      <c r="AE120" s="2331"/>
      <c r="AF120" s="2331"/>
      <c r="AG120" s="2331"/>
      <c r="AH120" s="2331"/>
      <c r="AI120" s="2331"/>
      <c r="AJ120" s="2332"/>
      <c r="AK120" s="2336" t="s">
        <v>711</v>
      </c>
      <c r="AL120" s="2337"/>
      <c r="AM120" s="2338"/>
      <c r="AN120" s="1058"/>
      <c r="AO120" s="1448"/>
      <c r="AP120" s="1058"/>
      <c r="AQ120" s="1058"/>
      <c r="AR120" s="438"/>
      <c r="AS120" s="1058"/>
      <c r="AT120" s="1058"/>
      <c r="AU120" s="1058"/>
      <c r="AV120" s="1058"/>
      <c r="AW120" s="1058"/>
      <c r="AX120" s="1058"/>
      <c r="AY120" s="1058"/>
      <c r="AZ120" s="1058"/>
      <c r="BA120" s="1058"/>
      <c r="BB120" s="1058"/>
      <c r="BC120" s="1058"/>
      <c r="BD120" s="1058"/>
      <c r="BE120" s="1058"/>
      <c r="BF120" s="1058"/>
      <c r="BG120" s="1058"/>
      <c r="BH120" s="1058"/>
      <c r="BI120" s="1058"/>
      <c r="BJ120" s="1058"/>
    </row>
    <row r="121" spans="1:62" ht="13.8">
      <c r="B121" s="2275" t="s">
        <v>745</v>
      </c>
      <c r="C121" s="2276"/>
      <c r="D121" s="2276"/>
      <c r="E121" s="2276"/>
      <c r="F121" s="2276"/>
      <c r="G121" s="2276"/>
      <c r="H121" s="2276"/>
      <c r="I121" s="2276"/>
      <c r="J121" s="2276"/>
      <c r="K121" s="2276"/>
      <c r="L121" s="2277"/>
      <c r="M121" s="1795" t="s">
        <v>742</v>
      </c>
      <c r="N121" s="1796"/>
      <c r="O121" s="1796"/>
      <c r="P121" s="1796"/>
      <c r="Q121" s="1797"/>
      <c r="R121" s="2285" t="s">
        <v>4158</v>
      </c>
      <c r="S121" s="2286"/>
      <c r="T121" s="2286"/>
      <c r="U121" s="2287"/>
      <c r="V121" s="1795" t="s">
        <v>743</v>
      </c>
      <c r="W121" s="1796"/>
      <c r="X121" s="1796"/>
      <c r="Y121" s="1796"/>
      <c r="Z121" s="1797"/>
      <c r="AA121" s="2303">
        <v>2112</v>
      </c>
      <c r="AB121" s="2304"/>
      <c r="AC121" s="2333"/>
      <c r="AD121" s="2334"/>
      <c r="AE121" s="2334"/>
      <c r="AF121" s="2334"/>
      <c r="AG121" s="2334"/>
      <c r="AH121" s="2334"/>
      <c r="AI121" s="2334"/>
      <c r="AJ121" s="2335"/>
      <c r="AK121" s="2339"/>
      <c r="AL121" s="2340"/>
      <c r="AM121" s="2341"/>
      <c r="AN121" s="1058"/>
      <c r="AO121" s="1448"/>
      <c r="AP121" s="1058"/>
      <c r="AQ121" s="1058"/>
      <c r="AR121" s="438"/>
      <c r="AS121" s="1058"/>
      <c r="AT121" s="1058"/>
      <c r="AU121" s="1058"/>
      <c r="AV121" s="1058"/>
      <c r="AW121" s="1058"/>
      <c r="AX121" s="1058"/>
      <c r="AY121" s="1058"/>
      <c r="AZ121" s="1058"/>
      <c r="BA121" s="1058"/>
      <c r="BB121" s="1058"/>
      <c r="BC121" s="1058"/>
      <c r="BD121" s="1058"/>
      <c r="BE121" s="1058"/>
      <c r="BF121" s="1058"/>
      <c r="BG121" s="1058"/>
      <c r="BH121" s="1058"/>
      <c r="BI121" s="1058"/>
      <c r="BJ121" s="1058"/>
    </row>
    <row r="122" spans="1:62" ht="13.8">
      <c r="B122" s="1731" t="s">
        <v>723</v>
      </c>
      <c r="C122" s="1732"/>
      <c r="D122" s="1733"/>
      <c r="E122" s="2300" t="str">
        <f>'Document Checklist'!$E$156</f>
        <v>72. Tax Credit Reservation</v>
      </c>
      <c r="F122" s="2301"/>
      <c r="G122" s="2301"/>
      <c r="H122" s="2301"/>
      <c r="I122" s="2301"/>
      <c r="J122" s="2301"/>
      <c r="K122" s="2301"/>
      <c r="L122" s="2301"/>
      <c r="M122" s="2302"/>
      <c r="N122" s="2113" t="str">
        <f>'Document Checklist'!$N$156</f>
        <v>If the Project has already received a tax credit reservation, upload documentation.</v>
      </c>
      <c r="O122" s="2114"/>
      <c r="P122" s="2114"/>
      <c r="Q122" s="2114"/>
      <c r="R122" s="2114"/>
      <c r="S122" s="2114"/>
      <c r="T122" s="2114"/>
      <c r="U122" s="2114"/>
      <c r="V122" s="2114"/>
      <c r="W122" s="2114"/>
      <c r="X122" s="2114"/>
      <c r="Y122" s="2114"/>
      <c r="Z122" s="2114"/>
      <c r="AA122" s="2114"/>
      <c r="AB122" s="2114"/>
      <c r="AC122" s="2114"/>
      <c r="AD122" s="2114"/>
      <c r="AE122" s="2114"/>
      <c r="AF122" s="2115"/>
      <c r="AG122" s="2295" t="s">
        <v>746</v>
      </c>
      <c r="AH122" s="2296"/>
      <c r="AI122" s="2296"/>
      <c r="AJ122" s="2296"/>
      <c r="AK122" s="2297"/>
      <c r="AL122" s="2298" t="s">
        <v>664</v>
      </c>
      <c r="AM122" s="2299"/>
      <c r="AN122" s="1058"/>
      <c r="AO122" s="1448"/>
      <c r="AP122" s="1058"/>
      <c r="AQ122" s="1058"/>
      <c r="AR122" s="438"/>
      <c r="AS122" s="1058"/>
      <c r="AT122" s="1058"/>
      <c r="AU122" s="1058"/>
      <c r="AV122" s="1058"/>
      <c r="AW122" s="1058"/>
      <c r="AX122" s="1058"/>
      <c r="AY122" s="1058"/>
      <c r="AZ122" s="1058"/>
      <c r="BA122" s="1058"/>
      <c r="BB122" s="1058"/>
      <c r="BC122" s="1058"/>
      <c r="BD122" s="1058"/>
      <c r="BE122" s="1058"/>
      <c r="BF122" s="1058"/>
      <c r="BG122" s="1058"/>
      <c r="BH122" s="1058"/>
      <c r="BI122" s="1058"/>
      <c r="BJ122" s="1058"/>
    </row>
    <row r="123" spans="1:62" ht="18" customHeight="1">
      <c r="B123" s="1058"/>
      <c r="C123" s="1058"/>
      <c r="D123" s="1058"/>
      <c r="E123" s="1058"/>
      <c r="F123" s="1058"/>
      <c r="G123" s="1058"/>
      <c r="H123" s="1058"/>
      <c r="I123" s="1058"/>
      <c r="J123" s="1058"/>
      <c r="K123" s="1058"/>
      <c r="L123" s="1058"/>
      <c r="M123" s="1058"/>
      <c r="N123" s="1058"/>
      <c r="O123" s="1058"/>
      <c r="P123" s="1058"/>
      <c r="Q123" s="1058"/>
      <c r="R123" s="1058"/>
      <c r="S123" s="1058"/>
      <c r="T123" s="1058"/>
      <c r="U123" s="1058"/>
      <c r="V123" s="1058"/>
      <c r="W123" s="1058"/>
      <c r="X123" s="1058"/>
      <c r="Y123" s="1058"/>
      <c r="Z123" s="1058"/>
      <c r="AA123" s="1058"/>
      <c r="AB123" s="1058"/>
      <c r="AC123" s="1058"/>
      <c r="AD123" s="1058"/>
      <c r="AE123" s="1058"/>
      <c r="AF123" s="1058"/>
      <c r="AG123" s="1058"/>
      <c r="AH123" s="1058"/>
      <c r="AI123" s="1058"/>
      <c r="AJ123" s="1058"/>
      <c r="AK123" s="1058"/>
      <c r="AL123" s="1058"/>
      <c r="AM123" s="1058"/>
      <c r="AN123" s="1058"/>
      <c r="AO123" s="1448"/>
      <c r="AP123" s="1058"/>
      <c r="AQ123" s="1058"/>
      <c r="AR123" s="438"/>
      <c r="AS123" s="1058"/>
      <c r="AT123" s="1058"/>
      <c r="AU123" s="1058"/>
      <c r="AV123" s="1058"/>
      <c r="AW123" s="1058"/>
      <c r="AX123" s="1058"/>
      <c r="AY123" s="1058"/>
      <c r="AZ123" s="1058"/>
      <c r="BA123" s="1058"/>
      <c r="BB123" s="1058"/>
      <c r="BC123" s="1058"/>
      <c r="BD123" s="1058"/>
      <c r="BE123" s="1058"/>
      <c r="BF123" s="1058"/>
      <c r="BG123" s="1058"/>
      <c r="BH123" s="1058"/>
      <c r="BI123" s="1058"/>
      <c r="BJ123" s="1058"/>
    </row>
    <row r="124" spans="1:62" s="977" customFormat="1" ht="13.8">
      <c r="A124" s="452"/>
      <c r="B124" s="2364" t="s">
        <v>747</v>
      </c>
      <c r="C124" s="2365"/>
      <c r="D124" s="2365"/>
      <c r="E124" s="2365"/>
      <c r="F124" s="2365"/>
      <c r="G124" s="2365"/>
      <c r="H124" s="2365"/>
      <c r="I124" s="2365"/>
      <c r="J124" s="2365"/>
      <c r="K124" s="2365"/>
      <c r="L124" s="2365"/>
      <c r="M124" s="2365"/>
      <c r="N124" s="2365"/>
      <c r="O124" s="2366"/>
      <c r="P124" s="1873" t="s">
        <v>664</v>
      </c>
      <c r="Q124" s="1873"/>
      <c r="R124" s="2222" t="str">
        <f>IF($P$124="Yes","# of bedrooms in demolished structures?","")</f>
        <v># of bedrooms in demolished structures?</v>
      </c>
      <c r="S124" s="2223"/>
      <c r="T124" s="2223"/>
      <c r="U124" s="2223"/>
      <c r="V124" s="2223"/>
      <c r="W124" s="2223"/>
      <c r="X124" s="2223"/>
      <c r="Y124" s="2223"/>
      <c r="Z124" s="2223"/>
      <c r="AA124" s="2224"/>
      <c r="AB124" s="1743">
        <v>12</v>
      </c>
      <c r="AC124" s="1743"/>
      <c r="AD124" s="2222" t="str">
        <f>IF(P124="Yes","# of bedrooms in new Project?","")</f>
        <v># of bedrooms in new Project?</v>
      </c>
      <c r="AE124" s="2223"/>
      <c r="AF124" s="2223"/>
      <c r="AG124" s="2223"/>
      <c r="AH124" s="2223"/>
      <c r="AI124" s="2223"/>
      <c r="AJ124" s="2223"/>
      <c r="AK124" s="2224"/>
      <c r="AL124" s="1743">
        <v>2</v>
      </c>
      <c r="AM124" s="1743"/>
      <c r="AN124" s="1058"/>
      <c r="AO124" s="1448"/>
      <c r="AP124" s="1058"/>
      <c r="AQ124" s="1058"/>
      <c r="AR124" s="1058"/>
      <c r="AS124" s="1058"/>
      <c r="AT124" s="1058"/>
      <c r="AU124" s="1058"/>
      <c r="AV124" s="1058"/>
      <c r="AW124" s="1058"/>
      <c r="AX124" s="1058"/>
      <c r="AY124" s="1058"/>
      <c r="AZ124" s="1058"/>
      <c r="BA124" s="1058"/>
      <c r="BB124" s="1058"/>
      <c r="BC124" s="1058"/>
      <c r="BD124" s="1058"/>
      <c r="BE124" s="1058"/>
      <c r="BF124" s="1058"/>
      <c r="BG124" s="1058"/>
      <c r="BH124" s="1058"/>
      <c r="BI124" s="1058"/>
      <c r="BJ124" s="1058"/>
    </row>
    <row r="125" spans="1:62" s="977" customFormat="1" ht="13.8">
      <c r="A125" s="452"/>
      <c r="B125" s="2059" t="s">
        <v>748</v>
      </c>
      <c r="C125" s="2060"/>
      <c r="D125" s="2060"/>
      <c r="E125" s="2060"/>
      <c r="F125" s="2060"/>
      <c r="G125" s="2060"/>
      <c r="H125" s="2060"/>
      <c r="I125" s="2060"/>
      <c r="J125" s="2060"/>
      <c r="K125" s="2060"/>
      <c r="L125" s="2060"/>
      <c r="M125" s="2060"/>
      <c r="N125" s="2060"/>
      <c r="O125" s="2061"/>
      <c r="P125" s="1911" t="s">
        <v>664</v>
      </c>
      <c r="Q125" s="1912"/>
      <c r="R125" s="1493"/>
      <c r="S125" s="1493"/>
      <c r="T125" s="1493"/>
      <c r="U125" s="1493"/>
      <c r="V125" s="1493"/>
      <c r="W125" s="1493"/>
      <c r="X125" s="1493"/>
      <c r="Y125" s="1493"/>
      <c r="Z125" s="1493"/>
      <c r="AA125" s="1493"/>
      <c r="AB125" s="1493"/>
      <c r="AC125" s="1493"/>
      <c r="AD125" s="1493"/>
      <c r="AE125" s="1493"/>
      <c r="AF125" s="1493"/>
      <c r="AG125" s="1493"/>
      <c r="AH125" s="1493"/>
      <c r="AI125" s="1493"/>
      <c r="AJ125" s="1493"/>
      <c r="AK125" s="1493"/>
      <c r="AL125" s="1493"/>
      <c r="AM125" s="1493"/>
      <c r="AN125" s="1058"/>
      <c r="AO125" s="1448"/>
      <c r="AP125" s="1058"/>
      <c r="AQ125" s="1058"/>
      <c r="AR125" s="1058"/>
      <c r="AS125" s="1058"/>
      <c r="AT125" s="1058"/>
      <c r="AU125" s="1058"/>
      <c r="AV125" s="1058"/>
      <c r="AW125" s="1058"/>
      <c r="AX125" s="1058"/>
      <c r="AY125" s="1058"/>
      <c r="AZ125" s="1058"/>
      <c r="BA125" s="1058"/>
      <c r="BB125" s="1058"/>
      <c r="BC125" s="1058"/>
      <c r="BD125" s="1058"/>
      <c r="BE125" s="1058"/>
      <c r="BF125" s="1058"/>
      <c r="BG125" s="1058"/>
      <c r="BH125" s="1058"/>
      <c r="BI125" s="1058"/>
      <c r="BJ125" s="1058"/>
    </row>
    <row r="126" spans="1:62" s="303" customFormat="1" ht="13.8">
      <c r="A126" s="662"/>
      <c r="B126" s="1941" t="s">
        <v>749</v>
      </c>
      <c r="C126" s="1942"/>
      <c r="D126" s="1942"/>
      <c r="E126" s="1942"/>
      <c r="F126" s="1942"/>
      <c r="G126" s="1942"/>
      <c r="H126" s="1942"/>
      <c r="I126" s="1942"/>
      <c r="J126" s="1942"/>
      <c r="K126" s="1942"/>
      <c r="L126" s="1942"/>
      <c r="M126" s="1942"/>
      <c r="N126" s="1942"/>
      <c r="O126" s="1942"/>
      <c r="P126" s="1942"/>
      <c r="Q126" s="1942"/>
      <c r="R126" s="1942"/>
      <c r="S126" s="1942"/>
      <c r="T126" s="1942"/>
      <c r="U126" s="1942"/>
      <c r="V126" s="1727" t="s">
        <v>664</v>
      </c>
      <c r="W126" s="1727"/>
    </row>
    <row r="127" spans="1:62" s="303" customFormat="1" ht="13.8">
      <c r="A127" s="662"/>
      <c r="B127" s="2363" t="s">
        <v>750</v>
      </c>
      <c r="C127" s="2363"/>
      <c r="D127" s="2363"/>
      <c r="E127" s="2363"/>
      <c r="F127" s="2363"/>
      <c r="G127" s="2363"/>
      <c r="H127" s="2363"/>
      <c r="I127" s="2363"/>
      <c r="J127" s="2363"/>
      <c r="K127" s="2363"/>
      <c r="L127" s="2363"/>
      <c r="M127" s="2363"/>
      <c r="N127" s="2363"/>
      <c r="O127" s="2363"/>
      <c r="P127" s="2363"/>
      <c r="Q127" s="2363"/>
      <c r="R127" s="2363"/>
      <c r="S127" s="2363"/>
      <c r="T127" s="2363"/>
      <c r="U127" s="2363" t="s">
        <v>750</v>
      </c>
      <c r="V127" s="2363"/>
      <c r="W127" s="2363"/>
      <c r="X127" s="2363"/>
      <c r="Y127" s="2363"/>
      <c r="Z127" s="2363"/>
      <c r="AA127" s="2363"/>
      <c r="AB127" s="2363"/>
      <c r="AC127" s="2363"/>
      <c r="AD127" s="2363"/>
      <c r="AE127" s="2363"/>
      <c r="AF127" s="2363"/>
      <c r="AG127" s="2363"/>
      <c r="AH127" s="2363"/>
      <c r="AI127" s="2363"/>
      <c r="AJ127" s="2363"/>
      <c r="AK127" s="2363"/>
      <c r="AL127" s="2363"/>
      <c r="AM127" s="2363"/>
    </row>
    <row r="128" spans="1:62" s="303" customFormat="1" ht="13.8">
      <c r="A128" s="662"/>
      <c r="B128" s="2234" t="s">
        <v>4216</v>
      </c>
      <c r="C128" s="2235"/>
      <c r="D128" s="2235"/>
      <c r="E128" s="2235"/>
      <c r="F128" s="2235"/>
      <c r="G128" s="2235"/>
      <c r="H128" s="2235"/>
      <c r="I128" s="2235"/>
      <c r="J128" s="2235"/>
      <c r="K128" s="2235"/>
      <c r="L128" s="2235"/>
      <c r="M128" s="2235"/>
      <c r="N128" s="2235"/>
      <c r="O128" s="2235"/>
      <c r="P128" s="2235"/>
      <c r="Q128" s="2235"/>
      <c r="R128" s="2235"/>
      <c r="S128" s="2235"/>
      <c r="T128" s="2235"/>
      <c r="U128" s="1783" t="s">
        <v>4218</v>
      </c>
      <c r="V128" s="1783"/>
      <c r="W128" s="1783"/>
      <c r="X128" s="1783"/>
      <c r="Y128" s="1783"/>
      <c r="Z128" s="1783"/>
      <c r="AA128" s="1783"/>
      <c r="AB128" s="1783"/>
      <c r="AC128" s="1783"/>
      <c r="AD128" s="1783"/>
      <c r="AE128" s="1783"/>
      <c r="AF128" s="1783"/>
      <c r="AG128" s="1783"/>
      <c r="AH128" s="1783"/>
      <c r="AI128" s="1783"/>
      <c r="AJ128" s="1783"/>
      <c r="AK128" s="1783"/>
      <c r="AL128" s="1783"/>
      <c r="AM128" s="1783"/>
    </row>
    <row r="129" spans="1:62" s="303" customFormat="1" ht="13.8">
      <c r="A129" s="662"/>
      <c r="B129" s="2234" t="s">
        <v>4217</v>
      </c>
      <c r="C129" s="2235"/>
      <c r="D129" s="2235"/>
      <c r="E129" s="2235"/>
      <c r="F129" s="2235"/>
      <c r="G129" s="2235"/>
      <c r="H129" s="2235"/>
      <c r="I129" s="2235"/>
      <c r="J129" s="2235"/>
      <c r="K129" s="2235"/>
      <c r="L129" s="2235"/>
      <c r="M129" s="2235"/>
      <c r="N129" s="2235"/>
      <c r="O129" s="2235"/>
      <c r="P129" s="2235"/>
      <c r="Q129" s="2235"/>
      <c r="R129" s="2235"/>
      <c r="S129" s="2235"/>
      <c r="T129" s="2235"/>
      <c r="U129" s="1783" t="s">
        <v>4219</v>
      </c>
      <c r="V129" s="1783"/>
      <c r="W129" s="1783"/>
      <c r="X129" s="1783"/>
      <c r="Y129" s="1783"/>
      <c r="Z129" s="1783"/>
      <c r="AA129" s="1783"/>
      <c r="AB129" s="1783"/>
      <c r="AC129" s="1783"/>
      <c r="AD129" s="1783"/>
      <c r="AE129" s="1783"/>
      <c r="AF129" s="1783"/>
      <c r="AG129" s="1783"/>
      <c r="AH129" s="1783"/>
      <c r="AI129" s="1783"/>
      <c r="AJ129" s="1783"/>
      <c r="AK129" s="1783"/>
      <c r="AL129" s="1783"/>
      <c r="AM129" s="1783"/>
    </row>
    <row r="130" spans="1:62" ht="32.25" customHeight="1">
      <c r="B130" s="2290" t="s">
        <v>751</v>
      </c>
      <c r="C130" s="2291"/>
      <c r="D130" s="2291"/>
      <c r="E130" s="2292"/>
      <c r="F130" s="1881" t="s">
        <v>752</v>
      </c>
      <c r="G130" s="1881"/>
      <c r="H130" s="1933" t="s">
        <v>753</v>
      </c>
      <c r="I130" s="1934"/>
      <c r="J130" s="1934"/>
      <c r="K130" s="1934"/>
      <c r="L130" s="1735" t="s">
        <v>754</v>
      </c>
      <c r="M130" s="1735"/>
      <c r="N130" s="1735"/>
      <c r="O130" s="1735"/>
      <c r="P130" s="1735"/>
      <c r="Q130" s="1735" t="s">
        <v>46</v>
      </c>
      <c r="R130" s="1735"/>
      <c r="S130" s="1735"/>
      <c r="T130" s="1735"/>
      <c r="U130" s="1735"/>
      <c r="V130" s="1881" t="s">
        <v>755</v>
      </c>
      <c r="W130" s="1735"/>
      <c r="X130" s="1735"/>
      <c r="Y130" s="1735"/>
      <c r="Z130" s="1735" t="s">
        <v>48</v>
      </c>
      <c r="AA130" s="1735"/>
      <c r="AB130" s="1735"/>
      <c r="AC130" s="1735"/>
      <c r="AD130" s="2256" t="s">
        <v>756</v>
      </c>
      <c r="AE130" s="2257"/>
      <c r="AF130" s="2264"/>
      <c r="AG130" s="2256" t="s">
        <v>757</v>
      </c>
      <c r="AH130" s="2257"/>
      <c r="AI130" s="2257"/>
      <c r="AJ130" s="2256" t="s">
        <v>758</v>
      </c>
      <c r="AK130" s="2257"/>
      <c r="AL130" s="2257"/>
      <c r="AM130" s="2264"/>
      <c r="AN130" s="443"/>
      <c r="AO130" s="1058"/>
      <c r="AP130" s="1058"/>
      <c r="AQ130" s="1058"/>
      <c r="AR130" s="1058"/>
      <c r="AS130" s="1058"/>
      <c r="AT130" s="1058"/>
      <c r="AU130" s="1058"/>
      <c r="AV130" s="1058"/>
      <c r="AW130" s="1058"/>
      <c r="AX130" s="1058"/>
      <c r="AY130" s="1058"/>
      <c r="AZ130" s="1058"/>
      <c r="BA130" s="1058"/>
      <c r="BB130" s="1058"/>
      <c r="BC130" s="1058"/>
      <c r="BD130" s="1058"/>
      <c r="BE130" s="1058"/>
      <c r="BF130" s="1058"/>
      <c r="BG130" s="1058"/>
      <c r="BH130" s="1058"/>
      <c r="BI130" s="1058"/>
      <c r="BJ130" s="1058"/>
    </row>
    <row r="131" spans="1:62" ht="18" customHeight="1">
      <c r="B131" s="2280">
        <f>'Unit Mix'!$D$8</f>
        <v>76</v>
      </c>
      <c r="C131" s="2281"/>
      <c r="D131" s="2281"/>
      <c r="E131" s="2282"/>
      <c r="F131" s="2279">
        <v>3</v>
      </c>
      <c r="G131" s="2279"/>
      <c r="H131" s="2293">
        <v>34</v>
      </c>
      <c r="I131" s="2294"/>
      <c r="J131" s="2308" t="s">
        <v>759</v>
      </c>
      <c r="K131" s="2308"/>
      <c r="L131" s="2278">
        <f>IFERROR(IF(B131&gt;0,$B$131/$H$131,""),0)</f>
        <v>2.2352941176470589</v>
      </c>
      <c r="M131" s="2278"/>
      <c r="N131" s="2283" t="s">
        <v>760</v>
      </c>
      <c r="O131" s="2207"/>
      <c r="P131" s="2284"/>
      <c r="Q131" s="1829" t="s">
        <v>4215</v>
      </c>
      <c r="R131" s="1829"/>
      <c r="S131" s="1829"/>
      <c r="T131" s="1829"/>
      <c r="U131" s="1829"/>
      <c r="V131" s="1829" t="s">
        <v>4214</v>
      </c>
      <c r="W131" s="1829"/>
      <c r="X131" s="1829"/>
      <c r="Y131" s="1829"/>
      <c r="Z131" s="1829" t="s">
        <v>4213</v>
      </c>
      <c r="AA131" s="1829"/>
      <c r="AB131" s="1829"/>
      <c r="AC131" s="1829"/>
      <c r="AD131" s="1829" t="s">
        <v>4212</v>
      </c>
      <c r="AE131" s="1829"/>
      <c r="AF131" s="1829"/>
      <c r="AG131" s="1829" t="s">
        <v>664</v>
      </c>
      <c r="AH131" s="1829"/>
      <c r="AI131" s="1829"/>
      <c r="AJ131" s="2263" t="s">
        <v>4212</v>
      </c>
      <c r="AK131" s="2263"/>
      <c r="AL131" s="2263"/>
      <c r="AM131" s="2263"/>
      <c r="AN131" s="444"/>
      <c r="AO131" s="1058"/>
      <c r="AP131" s="1058"/>
      <c r="AQ131" s="1058"/>
      <c r="AR131" s="107">
        <f>IF(H116=4%,1,IF(H116=9%,2,""))</f>
        <v>1</v>
      </c>
      <c r="AS131" s="1058"/>
      <c r="AT131" s="1058"/>
      <c r="AU131" s="1058"/>
      <c r="AV131" s="1058"/>
      <c r="AW131" s="1058"/>
      <c r="AX131" s="1058"/>
      <c r="AY131" s="1058"/>
      <c r="AZ131" s="1058"/>
      <c r="BA131" s="1058"/>
      <c r="BB131" s="1058"/>
      <c r="BC131" s="1058"/>
      <c r="BD131" s="1058"/>
      <c r="BE131" s="1058"/>
      <c r="BF131" s="1058"/>
      <c r="BG131" s="1058"/>
      <c r="BH131" s="1058"/>
      <c r="BI131" s="1058"/>
      <c r="BJ131" s="1058"/>
    </row>
    <row r="132" spans="1:62" ht="18" customHeight="1">
      <c r="B132" s="2376" t="s">
        <v>761</v>
      </c>
      <c r="C132" s="2377"/>
      <c r="D132" s="2377"/>
      <c r="E132" s="2377"/>
      <c r="F132" s="2377"/>
      <c r="G132" s="2377"/>
      <c r="H132" s="2377"/>
      <c r="I132" s="1938" t="s">
        <v>711</v>
      </c>
      <c r="J132" s="1940"/>
      <c r="K132" s="2419" t="s">
        <v>762</v>
      </c>
      <c r="L132" s="2420"/>
      <c r="M132" s="2420"/>
      <c r="N132" s="2420"/>
      <c r="O132" s="2420"/>
      <c r="P132" s="2420"/>
      <c r="Q132" s="1938" t="s">
        <v>664</v>
      </c>
      <c r="R132" s="1940"/>
      <c r="S132" s="2405" t="s">
        <v>763</v>
      </c>
      <c r="T132" s="2406"/>
      <c r="U132" s="2406"/>
      <c r="V132" s="2406"/>
      <c r="W132" s="2406"/>
      <c r="X132" s="2406"/>
      <c r="Y132" s="2406"/>
      <c r="Z132" s="2406"/>
      <c r="AA132" s="2406"/>
      <c r="AB132" s="2406"/>
      <c r="AC132" s="2407"/>
      <c r="AD132" s="1938" t="s">
        <v>664</v>
      </c>
      <c r="AE132" s="1940"/>
      <c r="AF132" s="664"/>
      <c r="AG132" s="664"/>
      <c r="AH132" s="664"/>
      <c r="AI132" s="664"/>
      <c r="AJ132" s="664"/>
      <c r="AK132" s="664"/>
      <c r="AL132" s="664"/>
      <c r="AM132" s="691"/>
      <c r="AN132" s="1058"/>
      <c r="AO132" s="1448"/>
      <c r="AP132" s="1058"/>
      <c r="AQ132" s="1058"/>
      <c r="AR132" s="1058"/>
      <c r="AS132" s="1058"/>
      <c r="AT132" s="1058"/>
      <c r="AU132" s="1058"/>
      <c r="AV132" s="1058"/>
      <c r="AW132" s="1058"/>
      <c r="AX132" s="1058"/>
      <c r="AY132" s="1058"/>
      <c r="AZ132" s="1058"/>
      <c r="BA132" s="1058"/>
      <c r="BB132" s="1058"/>
      <c r="BC132" s="1058"/>
      <c r="BD132" s="1058"/>
      <c r="BE132" s="1058"/>
      <c r="BF132" s="1058"/>
      <c r="BG132" s="1058"/>
      <c r="BH132" s="1058"/>
      <c r="BI132" s="1058"/>
      <c r="BJ132" s="1058"/>
    </row>
    <row r="133" spans="1:62" s="360" customFormat="1" ht="18" customHeight="1">
      <c r="A133" s="452"/>
      <c r="B133" s="2260" t="s">
        <v>764</v>
      </c>
      <c r="C133" s="2261"/>
      <c r="D133" s="2261"/>
      <c r="E133" s="2261"/>
      <c r="F133" s="2261"/>
      <c r="G133" s="2261"/>
      <c r="H133" s="2261"/>
      <c r="I133" s="2261"/>
      <c r="J133" s="2261"/>
      <c r="K133" s="2261"/>
      <c r="L133" s="2261"/>
      <c r="M133" s="2261"/>
      <c r="N133" s="2261"/>
      <c r="O133" s="2261"/>
      <c r="P133" s="2261"/>
      <c r="Q133" s="2261"/>
      <c r="R133" s="2261"/>
      <c r="S133" s="2261"/>
      <c r="T133" s="2261"/>
      <c r="U133" s="2261"/>
      <c r="V133" s="2261"/>
      <c r="W133" s="2261"/>
      <c r="X133" s="2261"/>
      <c r="Y133" s="2261"/>
      <c r="Z133" s="2261"/>
      <c r="AA133" s="2261"/>
      <c r="AB133" s="2261"/>
      <c r="AC133" s="2261"/>
      <c r="AD133" s="2261"/>
      <c r="AE133" s="2261"/>
      <c r="AF133" s="2261"/>
      <c r="AG133" s="2261"/>
      <c r="AH133" s="2261"/>
      <c r="AI133" s="2261"/>
      <c r="AJ133" s="2261"/>
      <c r="AK133" s="2261"/>
      <c r="AL133" s="2261"/>
      <c r="AM133" s="2262"/>
      <c r="AO133" s="1472"/>
    </row>
    <row r="134" spans="1:62" s="360" customFormat="1" ht="63" customHeight="1">
      <c r="A134" s="452"/>
      <c r="B134" s="2057" t="s">
        <v>4211</v>
      </c>
      <c r="C134" s="2057"/>
      <c r="D134" s="2057"/>
      <c r="E134" s="2057"/>
      <c r="F134" s="2057"/>
      <c r="G134" s="2057"/>
      <c r="H134" s="2057"/>
      <c r="I134" s="2057"/>
      <c r="J134" s="2057"/>
      <c r="K134" s="2057"/>
      <c r="L134" s="2057"/>
      <c r="M134" s="2057"/>
      <c r="N134" s="2057"/>
      <c r="O134" s="2057"/>
      <c r="P134" s="2057"/>
      <c r="Q134" s="2057"/>
      <c r="R134" s="2057"/>
      <c r="S134" s="2057"/>
      <c r="T134" s="2057"/>
      <c r="U134" s="2057"/>
      <c r="V134" s="2057"/>
      <c r="W134" s="2057"/>
      <c r="X134" s="2057"/>
      <c r="Y134" s="2057"/>
      <c r="Z134" s="2057"/>
      <c r="AA134" s="2057"/>
      <c r="AB134" s="2057"/>
      <c r="AC134" s="2057"/>
      <c r="AD134" s="2057"/>
      <c r="AE134" s="2057"/>
      <c r="AF134" s="2057"/>
      <c r="AG134" s="2057"/>
      <c r="AH134" s="2057"/>
      <c r="AI134" s="2057"/>
      <c r="AJ134" s="2057"/>
      <c r="AK134" s="2057"/>
      <c r="AL134" s="2057"/>
      <c r="AM134" s="2057"/>
      <c r="AO134" s="1472"/>
    </row>
    <row r="135" spans="1:62" s="360" customFormat="1" ht="13.8">
      <c r="A135" s="452"/>
      <c r="B135" s="2253" t="s">
        <v>765</v>
      </c>
      <c r="C135" s="2254"/>
      <c r="D135" s="2254"/>
      <c r="E135" s="2254"/>
      <c r="F135" s="2254"/>
      <c r="G135" s="2254"/>
      <c r="H135" s="2254"/>
      <c r="I135" s="2254"/>
      <c r="J135" s="2254"/>
      <c r="K135" s="2254"/>
      <c r="L135" s="2254"/>
      <c r="M135" s="2254"/>
      <c r="N135" s="2254"/>
      <c r="O135" s="2254"/>
      <c r="P135" s="2254"/>
      <c r="Q135" s="2254"/>
      <c r="R135" s="2254"/>
      <c r="S135" s="2254"/>
      <c r="T135" s="2254"/>
      <c r="U135" s="2254"/>
      <c r="V135" s="2254"/>
      <c r="W135" s="2254"/>
      <c r="X135" s="2254"/>
      <c r="Y135" s="2254"/>
      <c r="Z135" s="2254"/>
      <c r="AA135" s="2254"/>
      <c r="AB135" s="2255"/>
      <c r="AC135" s="2325" t="s">
        <v>766</v>
      </c>
      <c r="AD135" s="2325"/>
      <c r="AE135" s="2325"/>
      <c r="AF135" s="2325"/>
      <c r="AG135" s="2325"/>
      <c r="AH135" s="2325"/>
      <c r="AI135" s="2325"/>
      <c r="AJ135" s="2325"/>
      <c r="AK135" s="2326"/>
      <c r="AL135" s="1724" t="s">
        <v>711</v>
      </c>
      <c r="AM135" s="1725"/>
      <c r="AO135" s="920" t="str">
        <f ca="1">IFERROR(OFFSET($AO$139,1,MATCH($AL$138,$AO$139:$AP$139,0)-1,COUNTA(OFFSET($AO$139,1,MATCH($AL$138,$AO$139:$AP$139,0)-1,8,1)),1),"Do ot remove this formula")</f>
        <v>Do ot remove this formula</v>
      </c>
      <c r="AP135" s="1461"/>
      <c r="AQ135" s="1461"/>
      <c r="AR135" s="1462"/>
      <c r="AS135" s="1058"/>
      <c r="AT135" s="1058"/>
      <c r="AU135" s="1058"/>
      <c r="AV135" s="1058"/>
      <c r="AW135" s="1058"/>
      <c r="AX135" s="1058"/>
      <c r="AY135" s="1058"/>
      <c r="AZ135" s="1058"/>
      <c r="BA135" s="1058"/>
      <c r="BB135" s="1058"/>
      <c r="BC135" s="1058"/>
      <c r="BD135" s="1058"/>
      <c r="BE135" s="1058"/>
      <c r="BF135" s="1058"/>
      <c r="BG135" s="1058"/>
      <c r="BH135" s="1058"/>
      <c r="BI135" s="1058"/>
      <c r="BJ135" s="1058"/>
    </row>
    <row r="136" spans="1:62" ht="13.8" hidden="1">
      <c r="B136" s="2316" t="s">
        <v>767</v>
      </c>
      <c r="C136" s="2316"/>
      <c r="D136" s="2316"/>
      <c r="E136" s="2316"/>
      <c r="F136" s="2316"/>
      <c r="G136" s="2316"/>
      <c r="H136" s="2316"/>
      <c r="I136" s="2316"/>
      <c r="J136" s="2316"/>
      <c r="K136" s="2316"/>
      <c r="L136" s="2316"/>
      <c r="M136" s="2316"/>
      <c r="N136" s="2316"/>
      <c r="O136" s="2316"/>
      <c r="P136" s="2316"/>
      <c r="Q136" s="2316"/>
      <c r="R136" s="2316"/>
      <c r="S136" s="2316"/>
      <c r="T136" s="2316"/>
      <c r="U136" s="2316"/>
      <c r="V136" s="2316"/>
      <c r="W136" s="2316"/>
      <c r="X136" s="2316"/>
      <c r="Y136" s="2316"/>
      <c r="Z136" s="2316"/>
      <c r="AA136" s="2316"/>
      <c r="AB136" s="2108" t="s">
        <v>4210</v>
      </c>
      <c r="AC136" s="2108"/>
      <c r="AD136" s="2108"/>
      <c r="AE136" s="2108"/>
      <c r="AF136" s="2108"/>
      <c r="AG136" s="2108"/>
      <c r="AH136" s="2108"/>
      <c r="AI136" s="2108"/>
      <c r="AJ136" s="2108"/>
      <c r="AK136" s="2108"/>
      <c r="AL136" s="2108"/>
      <c r="AM136" s="2108"/>
      <c r="AN136" s="363"/>
      <c r="AO136" s="921"/>
      <c r="AP136" s="1459"/>
      <c r="AQ136" s="1459"/>
      <c r="AR136" s="1478"/>
      <c r="AS136" s="438"/>
      <c r="AT136" s="438"/>
      <c r="AU136" s="438"/>
      <c r="AV136" s="438"/>
      <c r="AW136" s="438"/>
      <c r="AX136" s="438"/>
      <c r="AY136" s="1058"/>
      <c r="AZ136" s="1058"/>
      <c r="BA136" s="1058"/>
      <c r="BB136" s="1058"/>
      <c r="BC136" s="1058"/>
      <c r="BD136" s="1058"/>
      <c r="BE136" s="1058"/>
      <c r="BF136" s="1058"/>
      <c r="BG136" s="1058"/>
      <c r="BH136" s="1058"/>
      <c r="BI136" s="1058"/>
      <c r="BJ136" s="1058"/>
    </row>
    <row r="137" spans="1:62" ht="13.8" hidden="1">
      <c r="B137" s="1731" t="s">
        <v>676</v>
      </c>
      <c r="C137" s="1732"/>
      <c r="D137" s="1733"/>
      <c r="E137" s="1831" t="str">
        <f>'Document Checklist'!$E$116</f>
        <v>35. Rural Status Determination</v>
      </c>
      <c r="F137" s="1831"/>
      <c r="G137" s="1831"/>
      <c r="H137" s="1831"/>
      <c r="I137" s="1831"/>
      <c r="J137" s="1831"/>
      <c r="K137" s="1831"/>
      <c r="L137" s="1831"/>
      <c r="M137" s="1831"/>
      <c r="N137" s="1718" t="str">
        <f>'Document Checklist'!$N$116</f>
        <v>TCAC Method for determining rural status.</v>
      </c>
      <c r="O137" s="1719"/>
      <c r="P137" s="1719"/>
      <c r="Q137" s="1719"/>
      <c r="R137" s="1719"/>
      <c r="S137" s="1719"/>
      <c r="T137" s="1719"/>
      <c r="U137" s="1719"/>
      <c r="V137" s="1719"/>
      <c r="W137" s="1719"/>
      <c r="X137" s="1719"/>
      <c r="Y137" s="1719"/>
      <c r="Z137" s="1719"/>
      <c r="AA137" s="1719"/>
      <c r="AB137" s="1719"/>
      <c r="AC137" s="1719"/>
      <c r="AD137" s="1719"/>
      <c r="AE137" s="1720"/>
      <c r="AF137" s="2186" t="s">
        <v>677</v>
      </c>
      <c r="AG137" s="2176"/>
      <c r="AH137" s="2176"/>
      <c r="AI137" s="2176"/>
      <c r="AJ137" s="2176"/>
      <c r="AK137" s="2177"/>
      <c r="AL137" s="1743" t="s">
        <v>711</v>
      </c>
      <c r="AM137" s="1743"/>
      <c r="AN137" s="363"/>
      <c r="AO137" s="921"/>
      <c r="AP137" s="1459"/>
      <c r="AQ137" s="1459"/>
      <c r="AR137" s="1478"/>
      <c r="AS137" s="438"/>
      <c r="AT137" s="438"/>
      <c r="AU137" s="438"/>
      <c r="AV137" s="438"/>
      <c r="AW137" s="438"/>
      <c r="AX137" s="438"/>
      <c r="AY137" s="1058"/>
      <c r="AZ137" s="1058"/>
      <c r="BA137" s="1058"/>
      <c r="BB137" s="1058"/>
      <c r="BC137" s="1058"/>
      <c r="BD137" s="1058"/>
      <c r="BE137" s="1058"/>
      <c r="BF137" s="1058"/>
      <c r="BG137" s="1058"/>
      <c r="BH137" s="1058"/>
      <c r="BI137" s="1058"/>
      <c r="BJ137" s="1058"/>
    </row>
    <row r="138" spans="1:62" ht="18" customHeight="1">
      <c r="B138" s="2413" t="s">
        <v>768</v>
      </c>
      <c r="C138" s="2414"/>
      <c r="D138" s="2414"/>
      <c r="E138" s="2414"/>
      <c r="F138" s="2414"/>
      <c r="G138" s="2414"/>
      <c r="H138" s="2414"/>
      <c r="I138" s="2414"/>
      <c r="J138" s="2414"/>
      <c r="K138" s="2414"/>
      <c r="L138" s="2414"/>
      <c r="M138" s="2414"/>
      <c r="N138" s="2414"/>
      <c r="O138" s="2414"/>
      <c r="P138" s="2414"/>
      <c r="Q138" s="2414"/>
      <c r="R138" s="2414"/>
      <c r="S138" s="2414"/>
      <c r="T138" s="2414"/>
      <c r="U138" s="2414"/>
      <c r="V138" s="2414"/>
      <c r="W138" s="2414"/>
      <c r="X138" s="2414"/>
      <c r="Y138" s="2414"/>
      <c r="Z138" s="2414"/>
      <c r="AA138" s="2414"/>
      <c r="AB138" s="2414"/>
      <c r="AC138" s="2414"/>
      <c r="AD138" s="2414"/>
      <c r="AE138" s="2415"/>
      <c r="AF138" s="2408" t="s">
        <v>769</v>
      </c>
      <c r="AG138" s="2409"/>
      <c r="AH138" s="2409"/>
      <c r="AI138" s="2409"/>
      <c r="AJ138" s="2409"/>
      <c r="AK138" s="2410"/>
      <c r="AL138" s="2318" t="s">
        <v>664</v>
      </c>
      <c r="AM138" s="2319"/>
      <c r="AN138" s="363"/>
      <c r="AO138" s="921"/>
      <c r="AP138" s="1459"/>
      <c r="AQ138" s="1459"/>
      <c r="AR138" s="1478"/>
      <c r="AS138" s="438"/>
      <c r="AT138" s="438"/>
      <c r="AU138" s="438"/>
      <c r="AV138" s="438"/>
      <c r="AW138" s="438"/>
      <c r="AX138" s="438"/>
      <c r="AY138" s="1058"/>
      <c r="AZ138" s="1058"/>
      <c r="BA138" s="1058"/>
      <c r="BB138" s="1058"/>
      <c r="BC138" s="1058"/>
      <c r="BD138" s="1058"/>
      <c r="BE138" s="1058"/>
      <c r="BF138" s="1058"/>
      <c r="BG138" s="1058"/>
      <c r="BH138" s="1058"/>
      <c r="BI138" s="1058"/>
      <c r="BJ138" s="1058"/>
    </row>
    <row r="139" spans="1:62" ht="18" customHeight="1">
      <c r="A139" s="1305"/>
      <c r="B139" s="2416"/>
      <c r="C139" s="2417"/>
      <c r="D139" s="2417"/>
      <c r="E139" s="2417"/>
      <c r="F139" s="2417"/>
      <c r="G139" s="2417"/>
      <c r="H139" s="2417"/>
      <c r="I139" s="2417"/>
      <c r="J139" s="2417"/>
      <c r="K139" s="2417"/>
      <c r="L139" s="2417"/>
      <c r="M139" s="2417"/>
      <c r="N139" s="2417"/>
      <c r="O139" s="2417"/>
      <c r="P139" s="2417"/>
      <c r="Q139" s="2417"/>
      <c r="R139" s="2417"/>
      <c r="S139" s="2417"/>
      <c r="T139" s="2417"/>
      <c r="U139" s="2417"/>
      <c r="V139" s="2417"/>
      <c r="W139" s="2417"/>
      <c r="X139" s="2417"/>
      <c r="Y139" s="2417"/>
      <c r="Z139" s="2417"/>
      <c r="AA139" s="2417"/>
      <c r="AB139" s="2417"/>
      <c r="AC139" s="2417"/>
      <c r="AD139" s="2417"/>
      <c r="AE139" s="2418"/>
      <c r="AF139" s="2411"/>
      <c r="AG139" s="2411"/>
      <c r="AH139" s="2411"/>
      <c r="AI139" s="2411"/>
      <c r="AJ139" s="2411"/>
      <c r="AK139" s="2412"/>
      <c r="AL139" s="2320"/>
      <c r="AM139" s="2321"/>
      <c r="AN139" s="1306"/>
      <c r="AO139" s="1307" t="s">
        <v>664</v>
      </c>
      <c r="AP139" s="1308" t="s">
        <v>711</v>
      </c>
      <c r="AQ139" s="1308"/>
      <c r="AR139" s="1309"/>
      <c r="AS139" s="50"/>
      <c r="AT139" s="50"/>
      <c r="AU139" s="50"/>
      <c r="AV139" s="50"/>
      <c r="AW139" s="50"/>
      <c r="AX139" s="50"/>
      <c r="AY139" s="1310"/>
      <c r="AZ139" s="1310"/>
      <c r="BA139" s="1310"/>
      <c r="BB139" s="1310"/>
      <c r="BC139" s="1310"/>
      <c r="BD139" s="1310"/>
      <c r="BE139" s="1310"/>
      <c r="BF139" s="1310"/>
      <c r="BG139" s="1310"/>
      <c r="BH139" s="1310"/>
      <c r="BI139" s="1310"/>
      <c r="BJ139" s="1310"/>
    </row>
    <row r="140" spans="1:62" s="446" customFormat="1" ht="18" customHeight="1">
      <c r="A140" s="1305"/>
      <c r="B140" s="1835" t="s">
        <v>770</v>
      </c>
      <c r="C140" s="1836"/>
      <c r="D140" s="1836"/>
      <c r="E140" s="1836"/>
      <c r="F140" s="1836"/>
      <c r="G140" s="1836"/>
      <c r="H140" s="1836"/>
      <c r="I140" s="1836"/>
      <c r="J140" s="1836"/>
      <c r="K140" s="1836"/>
      <c r="L140" s="1836"/>
      <c r="M140" s="1836"/>
      <c r="N140" s="1836"/>
      <c r="O140" s="1836"/>
      <c r="P140" s="1836"/>
      <c r="Q140" s="1837">
        <v>12312</v>
      </c>
      <c r="R140" s="1838"/>
      <c r="S140" s="1838"/>
      <c r="T140" s="1838"/>
      <c r="U140" s="1838"/>
      <c r="V140" s="1839"/>
      <c r="W140" s="2251" t="s">
        <v>67</v>
      </c>
      <c r="X140" s="2252"/>
      <c r="Y140" s="2252"/>
      <c r="Z140" s="2252"/>
      <c r="AA140" s="2252"/>
      <c r="AB140" s="2252"/>
      <c r="AC140" s="2252"/>
      <c r="AD140" s="2252"/>
      <c r="AE140" s="1938" t="s">
        <v>774</v>
      </c>
      <c r="AF140" s="1939"/>
      <c r="AG140" s="1939"/>
      <c r="AH140" s="1939"/>
      <c r="AI140" s="1939"/>
      <c r="AJ140" s="1939"/>
      <c r="AK140" s="1939"/>
      <c r="AL140" s="1939"/>
      <c r="AM140" s="1940"/>
      <c r="AN140" s="1306"/>
      <c r="AO140" s="1469" t="s">
        <v>772</v>
      </c>
      <c r="AP140" s="1512" t="s">
        <v>773</v>
      </c>
      <c r="AQ140" s="1308"/>
      <c r="AR140" s="1309"/>
      <c r="AS140" s="50"/>
      <c r="AT140" s="50"/>
      <c r="AU140" s="50"/>
      <c r="AV140" s="50"/>
      <c r="AW140" s="50"/>
      <c r="AX140" s="50"/>
      <c r="AY140" s="1310"/>
      <c r="AZ140" s="1310"/>
      <c r="BA140" s="1310"/>
      <c r="BB140" s="1310"/>
      <c r="BC140" s="1310"/>
      <c r="BD140" s="1310"/>
      <c r="BE140" s="1310"/>
      <c r="BF140" s="1310"/>
      <c r="BG140" s="1310"/>
      <c r="BH140" s="1310"/>
      <c r="BI140" s="1310"/>
      <c r="BJ140" s="1310"/>
    </row>
    <row r="141" spans="1:62" s="446" customFormat="1" ht="18" customHeight="1">
      <c r="A141" s="452"/>
      <c r="B141" s="1731" t="s">
        <v>676</v>
      </c>
      <c r="C141" s="1732"/>
      <c r="D141" s="1733"/>
      <c r="E141" s="1831" t="str">
        <f>'Document Checklist'!$E$112</f>
        <v xml:space="preserve">31. Opportunity Area </v>
      </c>
      <c r="F141" s="1831"/>
      <c r="G141" s="1831"/>
      <c r="H141" s="1831"/>
      <c r="I141" s="1831"/>
      <c r="J141" s="1831"/>
      <c r="K141" s="1831"/>
      <c r="L141" s="1831"/>
      <c r="M141" s="1831"/>
      <c r="N141" s="1718" t="str">
        <f>'Document Checklist'!$N$112</f>
        <v>Documentation of TCAC/HCD Opportunity Area status at time of application.</v>
      </c>
      <c r="O141" s="1719"/>
      <c r="P141" s="1719"/>
      <c r="Q141" s="1719"/>
      <c r="R141" s="1719"/>
      <c r="S141" s="1719"/>
      <c r="T141" s="1719"/>
      <c r="U141" s="1719"/>
      <c r="V141" s="1719"/>
      <c r="W141" s="1719"/>
      <c r="X141" s="1719"/>
      <c r="Y141" s="1719"/>
      <c r="Z141" s="1719"/>
      <c r="AA141" s="1719"/>
      <c r="AB141" s="1719"/>
      <c r="AC141" s="1719"/>
      <c r="AD141" s="1719"/>
      <c r="AE141" s="1720"/>
      <c r="AF141" s="2129" t="s">
        <v>677</v>
      </c>
      <c r="AG141" s="2130"/>
      <c r="AH141" s="2130"/>
      <c r="AI141" s="2130"/>
      <c r="AJ141" s="2130"/>
      <c r="AK141" s="2130"/>
      <c r="AL141" s="1743" t="s">
        <v>711</v>
      </c>
      <c r="AM141" s="1743"/>
      <c r="AN141" s="50"/>
      <c r="AO141" s="1469" t="s">
        <v>774</v>
      </c>
      <c r="AP141" s="1512" t="s">
        <v>775</v>
      </c>
      <c r="AQ141" s="1459"/>
      <c r="AR141" s="1478"/>
      <c r="AS141" s="50"/>
      <c r="AT141" s="50"/>
      <c r="AU141" s="50"/>
      <c r="AV141" s="50"/>
      <c r="AW141" s="50"/>
      <c r="AX141" s="50"/>
      <c r="AY141" s="50"/>
      <c r="AZ141" s="50"/>
      <c r="BA141" s="50"/>
      <c r="BB141" s="50"/>
      <c r="BC141" s="50"/>
      <c r="BD141" s="692"/>
      <c r="BE141" s="692"/>
      <c r="BF141" s="1058"/>
      <c r="BG141" s="1058"/>
      <c r="BH141" s="1058"/>
      <c r="BI141" s="1058"/>
      <c r="BJ141" s="1058"/>
    </row>
    <row r="142" spans="1:62" ht="18" customHeight="1">
      <c r="A142" s="1204"/>
      <c r="B142" s="1498"/>
      <c r="C142" s="1498"/>
      <c r="D142" s="1498"/>
      <c r="E142" s="294"/>
      <c r="F142" s="294"/>
      <c r="G142" s="294"/>
      <c r="H142" s="294"/>
      <c r="I142" s="294"/>
      <c r="J142" s="294"/>
      <c r="K142" s="294"/>
      <c r="L142" s="294"/>
      <c r="M142" s="294"/>
      <c r="N142" s="448"/>
      <c r="O142" s="448"/>
      <c r="P142" s="448"/>
      <c r="Q142" s="448"/>
      <c r="R142" s="448"/>
      <c r="S142" s="448"/>
      <c r="T142" s="448"/>
      <c r="U142" s="448"/>
      <c r="V142" s="448"/>
      <c r="W142" s="448"/>
      <c r="X142" s="448"/>
      <c r="Y142" s="448"/>
      <c r="Z142" s="448"/>
      <c r="AA142" s="448"/>
      <c r="AB142" s="448"/>
      <c r="AC142" s="448"/>
      <c r="AD142" s="448"/>
      <c r="AE142" s="448"/>
      <c r="AF142" s="295"/>
      <c r="AG142" s="296"/>
      <c r="AH142" s="296"/>
      <c r="AI142" s="296"/>
      <c r="AJ142" s="296"/>
      <c r="AK142" s="296"/>
      <c r="AL142" s="296"/>
      <c r="AM142" s="296"/>
      <c r="AN142" s="449"/>
      <c r="AO142" s="1021"/>
      <c r="AP142" s="1513" t="s">
        <v>776</v>
      </c>
      <c r="AQ142" s="1459"/>
      <c r="AR142" s="1478"/>
      <c r="AS142" s="50"/>
      <c r="AT142" s="50"/>
      <c r="AU142" s="50"/>
      <c r="AV142" s="50"/>
      <c r="AW142" s="50"/>
      <c r="AX142" s="50"/>
      <c r="AY142" s="50"/>
      <c r="AZ142" s="50"/>
      <c r="BA142" s="50"/>
      <c r="BB142" s="50"/>
      <c r="BC142" s="50"/>
      <c r="BD142" s="692"/>
      <c r="BE142" s="692"/>
      <c r="BF142" s="1058"/>
      <c r="BG142" s="1058"/>
      <c r="BH142" s="1058"/>
      <c r="BI142" s="1058"/>
      <c r="BJ142" s="1058"/>
    </row>
    <row r="143" spans="1:62" ht="18" customHeight="1">
      <c r="A143" s="700"/>
      <c r="B143" s="2315" t="s">
        <v>777</v>
      </c>
      <c r="C143" s="2315"/>
      <c r="D143" s="2315"/>
      <c r="E143" s="2315"/>
      <c r="F143" s="2315"/>
      <c r="G143" s="2315"/>
      <c r="H143" s="2315"/>
      <c r="I143" s="2315"/>
      <c r="J143" s="2315"/>
      <c r="K143" s="2315"/>
      <c r="L143" s="2315"/>
      <c r="M143" s="2315"/>
      <c r="N143" s="2315"/>
      <c r="O143" s="2315"/>
      <c r="P143" s="2315"/>
      <c r="Q143" s="2315"/>
      <c r="R143" s="2315"/>
      <c r="S143" s="2315"/>
      <c r="T143" s="2315"/>
      <c r="U143" s="2315"/>
      <c r="V143" s="2315"/>
      <c r="W143" s="2315"/>
      <c r="X143" s="2315"/>
      <c r="Y143" s="2315"/>
      <c r="Z143" s="2315"/>
      <c r="AA143" s="2315"/>
      <c r="AB143" s="2315"/>
      <c r="AC143" s="2315"/>
      <c r="AD143" s="2315"/>
      <c r="AE143" s="2315"/>
      <c r="AF143" s="2315"/>
      <c r="AG143" s="2315"/>
      <c r="AH143" s="2315"/>
      <c r="AI143" s="2315"/>
      <c r="AJ143" s="2315"/>
      <c r="AK143" s="2315"/>
      <c r="AL143" s="2315"/>
      <c r="AM143" s="2315"/>
      <c r="AN143" s="50"/>
      <c r="AO143" s="1021"/>
      <c r="AP143" s="1513" t="s">
        <v>771</v>
      </c>
      <c r="AQ143" s="718"/>
      <c r="AR143" s="927"/>
      <c r="AS143" s="50"/>
      <c r="AT143" s="50"/>
      <c r="AU143" s="50"/>
      <c r="AV143" s="50"/>
      <c r="AW143" s="50"/>
      <c r="AX143" s="50"/>
      <c r="AY143" s="50"/>
      <c r="AZ143" s="50"/>
      <c r="BA143" s="50"/>
      <c r="BB143" s="692"/>
      <c r="BC143" s="692"/>
      <c r="BD143" s="1058"/>
      <c r="BE143" s="1058"/>
      <c r="BF143" s="1058"/>
      <c r="BG143" s="1058"/>
      <c r="BH143" s="1058"/>
      <c r="BI143" s="1058"/>
      <c r="BJ143" s="1058"/>
    </row>
    <row r="144" spans="1:62" s="107" customFormat="1" ht="13.8">
      <c r="A144" s="700"/>
      <c r="B144" s="1915" t="s">
        <v>778</v>
      </c>
      <c r="C144" s="1916"/>
      <c r="D144" s="1916"/>
      <c r="E144" s="1916"/>
      <c r="F144" s="1916"/>
      <c r="G144" s="1916"/>
      <c r="H144" s="1916"/>
      <c r="I144" s="1916"/>
      <c r="J144" s="1916"/>
      <c r="K144" s="1916"/>
      <c r="L144" s="1916"/>
      <c r="M144" s="1916"/>
      <c r="N144" s="1916"/>
      <c r="O144" s="1916"/>
      <c r="P144" s="1916"/>
      <c r="Q144" s="1916"/>
      <c r="R144" s="1916"/>
      <c r="S144" s="1916"/>
      <c r="T144" s="1916"/>
      <c r="U144" s="1916"/>
      <c r="V144" s="1916"/>
      <c r="W144" s="1916"/>
      <c r="X144" s="1916"/>
      <c r="Y144" s="1916"/>
      <c r="Z144" s="1916"/>
      <c r="AA144" s="1916"/>
      <c r="AB144" s="1916"/>
      <c r="AC144" s="1916"/>
      <c r="AD144" s="1916"/>
      <c r="AE144" s="1916"/>
      <c r="AF144" s="1916"/>
      <c r="AG144" s="1916"/>
      <c r="AH144" s="1916"/>
      <c r="AI144" s="1916"/>
      <c r="AJ144" s="1916"/>
      <c r="AK144" s="1916"/>
      <c r="AL144" s="1916"/>
      <c r="AM144" s="1916"/>
      <c r="AN144" s="108"/>
      <c r="AO144" s="1469"/>
      <c r="AP144" s="1485" t="s">
        <v>779</v>
      </c>
      <c r="AQ144" s="1524"/>
      <c r="AR144" s="927"/>
      <c r="AS144" s="50"/>
      <c r="AT144" s="50"/>
      <c r="AU144" s="50"/>
      <c r="AV144" s="50"/>
      <c r="AW144" s="50"/>
      <c r="AX144" s="50"/>
      <c r="AY144" s="50"/>
      <c r="AZ144" s="50"/>
      <c r="BA144" s="50"/>
      <c r="BB144" s="50"/>
      <c r="BC144" s="50"/>
      <c r="BD144" s="692"/>
      <c r="BE144" s="692"/>
      <c r="BF144" s="438"/>
      <c r="BG144" s="438"/>
      <c r="BH144" s="438"/>
      <c r="BI144" s="438"/>
      <c r="BJ144" s="438"/>
    </row>
    <row r="145" spans="1:62" s="107" customFormat="1" ht="13.8">
      <c r="A145" s="700"/>
      <c r="B145" s="2317" t="s">
        <v>780</v>
      </c>
      <c r="C145" s="2317"/>
      <c r="D145" s="2317"/>
      <c r="E145" s="2317"/>
      <c r="F145" s="2317"/>
      <c r="G145" s="2317"/>
      <c r="H145" s="2317"/>
      <c r="I145" s="2317"/>
      <c r="J145" s="2317"/>
      <c r="K145" s="2317"/>
      <c r="L145" s="2317"/>
      <c r="M145" s="2317"/>
      <c r="N145" s="2317"/>
      <c r="O145" s="2317"/>
      <c r="P145" s="2317"/>
      <c r="Q145" s="2317"/>
      <c r="R145" s="2317"/>
      <c r="S145" s="2317"/>
      <c r="T145" s="2317"/>
      <c r="U145" s="2317"/>
      <c r="V145" s="2317"/>
      <c r="W145" s="2317"/>
      <c r="X145" s="2317"/>
      <c r="Y145" s="2317"/>
      <c r="Z145" s="2317"/>
      <c r="AA145" s="2317"/>
      <c r="AB145" s="2317"/>
      <c r="AC145" s="2317"/>
      <c r="AD145" s="2317"/>
      <c r="AE145" s="2317"/>
      <c r="AF145" s="2317"/>
      <c r="AG145" s="2317"/>
      <c r="AH145" s="2317"/>
      <c r="AI145" s="2317"/>
      <c r="AJ145" s="2317"/>
      <c r="AK145" s="2317"/>
      <c r="AL145" s="2317"/>
      <c r="AM145" s="2317"/>
      <c r="AN145" s="108"/>
      <c r="AO145" s="1469"/>
      <c r="AP145" s="1485" t="s">
        <v>781</v>
      </c>
      <c r="AQ145" s="1524"/>
      <c r="AR145" s="927"/>
      <c r="AS145" s="50"/>
      <c r="AT145" s="50"/>
      <c r="AU145" s="50"/>
      <c r="AV145" s="50"/>
      <c r="AW145" s="50"/>
      <c r="AX145" s="50"/>
      <c r="AY145" s="50"/>
      <c r="AZ145" s="50"/>
      <c r="BA145" s="50"/>
      <c r="BB145" s="50"/>
      <c r="BC145" s="50"/>
      <c r="BD145" s="692"/>
      <c r="BE145" s="692"/>
      <c r="BF145" s="438"/>
      <c r="BG145" s="438"/>
      <c r="BH145" s="438"/>
      <c r="BI145" s="438"/>
      <c r="BJ145" s="438"/>
    </row>
    <row r="146" spans="1:62" s="438" customFormat="1" ht="18" customHeight="1">
      <c r="A146" s="700"/>
      <c r="B146" s="2265" t="s">
        <v>782</v>
      </c>
      <c r="C146" s="2266"/>
      <c r="D146" s="2266"/>
      <c r="E146" s="2266"/>
      <c r="F146" s="2266"/>
      <c r="G146" s="2266"/>
      <c r="H146" s="2266"/>
      <c r="I146" s="1883" t="s">
        <v>783</v>
      </c>
      <c r="J146" s="1883"/>
      <c r="K146" s="1883"/>
      <c r="L146" s="1883"/>
      <c r="M146" s="1883"/>
      <c r="N146" s="1883"/>
      <c r="O146" s="1884"/>
      <c r="P146" s="2154" t="s">
        <v>4209</v>
      </c>
      <c r="Q146" s="2155"/>
      <c r="R146" s="2155"/>
      <c r="S146" s="2155"/>
      <c r="T146" s="2155"/>
      <c r="U146" s="2155"/>
      <c r="V146" s="2155"/>
      <c r="W146" s="2155"/>
      <c r="X146" s="2155"/>
      <c r="Y146" s="2155"/>
      <c r="Z146" s="2155"/>
      <c r="AA146" s="2155"/>
      <c r="AB146" s="2155"/>
      <c r="AC146" s="2155"/>
      <c r="AD146" s="2155"/>
      <c r="AE146" s="2155"/>
      <c r="AF146" s="2155"/>
      <c r="AG146" s="2155"/>
      <c r="AH146" s="2155"/>
      <c r="AI146" s="2155"/>
      <c r="AJ146" s="2155"/>
      <c r="AK146" s="2155"/>
      <c r="AL146" s="2155"/>
      <c r="AM146" s="2156"/>
      <c r="AN146" s="108"/>
      <c r="AO146" s="1487"/>
      <c r="AP146" s="928"/>
      <c r="AQ146" s="922"/>
      <c r="AR146" s="1587"/>
      <c r="AS146" s="107"/>
      <c r="AT146" s="107"/>
      <c r="AU146" s="107"/>
      <c r="AV146" s="107"/>
      <c r="AW146" s="107"/>
      <c r="AX146" s="107"/>
      <c r="AY146" s="107"/>
      <c r="AZ146" s="107"/>
      <c r="BA146" s="107"/>
      <c r="BB146" s="107"/>
      <c r="BC146" s="107"/>
      <c r="BD146" s="107"/>
      <c r="BE146" s="107"/>
      <c r="BF146" s="107"/>
      <c r="BG146" s="107"/>
      <c r="BH146" s="107"/>
      <c r="BI146" s="107"/>
      <c r="BJ146" s="107"/>
    </row>
    <row r="147" spans="1:62" s="438" customFormat="1" ht="18" customHeight="1">
      <c r="A147" s="700"/>
      <c r="B147" s="1918" t="s">
        <v>126</v>
      </c>
      <c r="C147" s="1919"/>
      <c r="D147" s="1919"/>
      <c r="E147" s="1919"/>
      <c r="F147" s="1919"/>
      <c r="G147" s="1919"/>
      <c r="H147" s="1920"/>
      <c r="I147" s="2103" t="s">
        <v>4208</v>
      </c>
      <c r="J147" s="2103"/>
      <c r="K147" s="2103"/>
      <c r="L147" s="2103"/>
      <c r="M147" s="2103"/>
      <c r="N147" s="2103"/>
      <c r="O147" s="2103"/>
      <c r="P147" s="2104"/>
      <c r="Q147" s="2104"/>
      <c r="R147" s="2104"/>
      <c r="S147" s="2104"/>
      <c r="T147" s="2104"/>
      <c r="U147" s="2104"/>
      <c r="V147" s="2104"/>
      <c r="W147" s="2104"/>
      <c r="X147" s="2104"/>
      <c r="Y147" s="2104"/>
      <c r="Z147" s="2435" t="s">
        <v>127</v>
      </c>
      <c r="AA147" s="2436"/>
      <c r="AB147" s="2436"/>
      <c r="AC147" s="2436"/>
      <c r="AD147" s="2437"/>
      <c r="AE147" s="1904" t="s">
        <v>3158</v>
      </c>
      <c r="AF147" s="1905"/>
      <c r="AG147" s="1905"/>
      <c r="AH147" s="1905"/>
      <c r="AI147" s="1905"/>
      <c r="AJ147" s="1905"/>
      <c r="AK147" s="1905"/>
      <c r="AL147" s="1905"/>
      <c r="AM147" s="1906"/>
      <c r="AN147" s="50"/>
      <c r="AO147" s="692"/>
      <c r="AQ147" s="107"/>
      <c r="AR147" s="107"/>
      <c r="AS147" s="107"/>
      <c r="AT147" s="107"/>
      <c r="AU147" s="107"/>
      <c r="AV147" s="107"/>
      <c r="AW147" s="107"/>
      <c r="AX147" s="107"/>
      <c r="AY147" s="107"/>
      <c r="AZ147" s="107"/>
      <c r="BA147" s="107"/>
      <c r="BB147" s="107"/>
      <c r="BC147" s="107"/>
      <c r="BD147" s="107"/>
      <c r="BE147" s="107"/>
      <c r="BF147" s="107"/>
      <c r="BG147" s="107"/>
      <c r="BH147" s="107"/>
      <c r="BI147" s="107"/>
      <c r="BJ147" s="107"/>
    </row>
    <row r="148" spans="1:62" s="438" customFormat="1" ht="36" customHeight="1">
      <c r="A148" s="700"/>
      <c r="B148" s="2312" t="s">
        <v>785</v>
      </c>
      <c r="C148" s="2313"/>
      <c r="D148" s="2313"/>
      <c r="E148" s="2313"/>
      <c r="F148" s="2313"/>
      <c r="G148" s="2313"/>
      <c r="H148" s="2313"/>
      <c r="I148" s="2313"/>
      <c r="J148" s="2313"/>
      <c r="K148" s="2313"/>
      <c r="L148" s="2313"/>
      <c r="M148" s="2313"/>
      <c r="N148" s="2313"/>
      <c r="O148" s="2313"/>
      <c r="P148" s="2313"/>
      <c r="Q148" s="2313"/>
      <c r="R148" s="2313"/>
      <c r="S148" s="2313"/>
      <c r="T148" s="2313"/>
      <c r="U148" s="2313"/>
      <c r="V148" s="2313"/>
      <c r="W148" s="2313"/>
      <c r="X148" s="2313"/>
      <c r="Y148" s="2313"/>
      <c r="Z148" s="2313"/>
      <c r="AA148" s="2313"/>
      <c r="AB148" s="2313"/>
      <c r="AC148" s="2313"/>
      <c r="AD148" s="2313"/>
      <c r="AE148" s="2313"/>
      <c r="AF148" s="2313"/>
      <c r="AG148" s="2313"/>
      <c r="AH148" s="2313"/>
      <c r="AI148" s="2313"/>
      <c r="AJ148" s="2313"/>
      <c r="AK148" s="2314"/>
      <c r="AL148" s="1921" t="s">
        <v>711</v>
      </c>
      <c r="AM148" s="1922"/>
      <c r="AN148" s="50"/>
      <c r="AO148" s="692"/>
      <c r="AQ148" s="107"/>
      <c r="AR148" s="107"/>
      <c r="AS148" s="107"/>
      <c r="AT148" s="107"/>
      <c r="AU148" s="107"/>
      <c r="AV148" s="107"/>
      <c r="AW148" s="107"/>
      <c r="AX148" s="107"/>
      <c r="AY148" s="107"/>
      <c r="AZ148" s="107"/>
      <c r="BA148" s="107"/>
      <c r="BB148" s="107"/>
      <c r="BC148" s="107"/>
      <c r="BD148" s="107"/>
      <c r="BE148" s="107"/>
      <c r="BF148" s="107"/>
      <c r="BG148" s="107"/>
      <c r="BH148" s="107"/>
      <c r="BI148" s="107"/>
      <c r="BJ148" s="107"/>
    </row>
    <row r="149" spans="1:62" s="438" customFormat="1" ht="18" customHeight="1">
      <c r="A149" s="700"/>
      <c r="B149" s="2119" t="s">
        <v>786</v>
      </c>
      <c r="C149" s="2120"/>
      <c r="D149" s="2120"/>
      <c r="E149" s="2120"/>
      <c r="F149" s="2120"/>
      <c r="G149" s="2120"/>
      <c r="H149" s="2120"/>
      <c r="I149" s="2120"/>
      <c r="J149" s="2120"/>
      <c r="K149" s="2120"/>
      <c r="L149" s="2120"/>
      <c r="M149" s="2120"/>
      <c r="N149" s="2120"/>
      <c r="O149" s="2120"/>
      <c r="P149" s="2120"/>
      <c r="Q149" s="2120"/>
      <c r="R149" s="2120"/>
      <c r="S149" s="2120"/>
      <c r="T149" s="2120"/>
      <c r="U149" s="2120"/>
      <c r="V149" s="2120"/>
      <c r="W149" s="2120"/>
      <c r="X149" s="2120"/>
      <c r="Y149" s="2120"/>
      <c r="Z149" s="2120"/>
      <c r="AA149" s="2120"/>
      <c r="AB149" s="2120"/>
      <c r="AC149" s="2120"/>
      <c r="AD149" s="2120"/>
      <c r="AE149" s="2120"/>
      <c r="AF149" s="2120"/>
      <c r="AG149" s="2120"/>
      <c r="AH149" s="2120"/>
      <c r="AI149" s="2120"/>
      <c r="AJ149" s="2120"/>
      <c r="AK149" s="2121"/>
      <c r="AL149" s="1921" t="s">
        <v>711</v>
      </c>
      <c r="AM149" s="1922"/>
      <c r="AN149" s="50"/>
      <c r="AO149" s="692"/>
      <c r="AQ149" s="107"/>
      <c r="AR149" s="107"/>
      <c r="AS149" s="107"/>
      <c r="AT149" s="107"/>
      <c r="AU149" s="107"/>
      <c r="AV149" s="107"/>
      <c r="AW149" s="107"/>
      <c r="AX149" s="107"/>
      <c r="AY149" s="107"/>
      <c r="AZ149" s="107"/>
      <c r="BA149" s="107"/>
      <c r="BB149" s="107"/>
      <c r="BC149" s="107"/>
      <c r="BD149" s="107"/>
      <c r="BE149" s="107"/>
      <c r="BF149" s="107"/>
      <c r="BG149" s="107"/>
      <c r="BH149" s="107"/>
      <c r="BI149" s="107"/>
      <c r="BJ149" s="107"/>
    </row>
    <row r="150" spans="1:62" s="438" customFormat="1" ht="36" customHeight="1">
      <c r="A150" s="700"/>
      <c r="B150" s="2309" t="s">
        <v>787</v>
      </c>
      <c r="C150" s="1916"/>
      <c r="D150" s="1916"/>
      <c r="E150" s="1916"/>
      <c r="F150" s="1916"/>
      <c r="G150" s="1916"/>
      <c r="H150" s="1916"/>
      <c r="I150" s="1916"/>
      <c r="J150" s="1916"/>
      <c r="K150" s="1916"/>
      <c r="L150" s="1916"/>
      <c r="M150" s="1916"/>
      <c r="N150" s="1916"/>
      <c r="O150" s="1916"/>
      <c r="P150" s="1916"/>
      <c r="Q150" s="1916"/>
      <c r="R150" s="1916"/>
      <c r="S150" s="1916"/>
      <c r="T150" s="1916"/>
      <c r="U150" s="1916"/>
      <c r="V150" s="1916"/>
      <c r="W150" s="1916"/>
      <c r="X150" s="1916"/>
      <c r="Y150" s="1916"/>
      <c r="Z150" s="1916"/>
      <c r="AA150" s="1916"/>
      <c r="AB150" s="1916"/>
      <c r="AC150" s="1916"/>
      <c r="AD150" s="1916"/>
      <c r="AE150" s="1916"/>
      <c r="AF150" s="1916"/>
      <c r="AG150" s="1916"/>
      <c r="AH150" s="1916"/>
      <c r="AI150" s="1916"/>
      <c r="AJ150" s="1916"/>
      <c r="AK150" s="2310"/>
      <c r="AL150" s="1921" t="s">
        <v>711</v>
      </c>
      <c r="AM150" s="1922"/>
      <c r="AN150" s="50"/>
      <c r="AO150" s="692"/>
      <c r="AQ150" s="107"/>
      <c r="AR150" s="107"/>
      <c r="AS150" s="107"/>
      <c r="AT150" s="107"/>
      <c r="AU150" s="107"/>
      <c r="AV150" s="107"/>
      <c r="AW150" s="107"/>
      <c r="AX150" s="107"/>
      <c r="AY150" s="107"/>
      <c r="AZ150" s="107"/>
      <c r="BA150" s="107"/>
      <c r="BB150" s="107"/>
      <c r="BC150" s="107"/>
      <c r="BD150" s="107"/>
      <c r="BE150" s="107"/>
      <c r="BF150" s="107"/>
      <c r="BG150" s="107"/>
      <c r="BH150" s="107"/>
      <c r="BI150" s="107"/>
      <c r="BJ150" s="107"/>
    </row>
    <row r="151" spans="1:62" s="438" customFormat="1" ht="18" customHeight="1">
      <c r="A151" s="700"/>
      <c r="B151" s="1749" t="s">
        <v>788</v>
      </c>
      <c r="C151" s="1750"/>
      <c r="D151" s="1750"/>
      <c r="E151" s="1750"/>
      <c r="F151" s="1750"/>
      <c r="G151" s="1750"/>
      <c r="H151" s="1750"/>
      <c r="I151" s="1750"/>
      <c r="J151" s="1750"/>
      <c r="K151" s="1750"/>
      <c r="L151" s="1750"/>
      <c r="M151" s="1750"/>
      <c r="N151" s="1750"/>
      <c r="O151" s="1750"/>
      <c r="P151" s="1750"/>
      <c r="Q151" s="1750"/>
      <c r="R151" s="1750"/>
      <c r="S151" s="1750"/>
      <c r="T151" s="1750"/>
      <c r="U151" s="1750"/>
      <c r="V151" s="1750"/>
      <c r="W151" s="1750"/>
      <c r="X151" s="1750"/>
      <c r="Y151" s="1750"/>
      <c r="Z151" s="1750"/>
      <c r="AA151" s="1750"/>
      <c r="AB151" s="1750"/>
      <c r="AC151" s="1750"/>
      <c r="AD151" s="1750"/>
      <c r="AE151" s="1750"/>
      <c r="AF151" s="1750"/>
      <c r="AG151" s="1750"/>
      <c r="AH151" s="1750"/>
      <c r="AI151" s="1750"/>
      <c r="AJ151" s="1750"/>
      <c r="AK151" s="1751"/>
      <c r="AL151" s="1921" t="s">
        <v>711</v>
      </c>
      <c r="AM151" s="1922"/>
      <c r="AN151" s="50"/>
      <c r="AO151" s="692"/>
      <c r="AQ151" s="107"/>
      <c r="AR151" s="107"/>
      <c r="AS151" s="107"/>
      <c r="AT151" s="107"/>
      <c r="AU151" s="107"/>
      <c r="AV151" s="107"/>
      <c r="AW151" s="107"/>
      <c r="AX151" s="107"/>
      <c r="AY151" s="107"/>
      <c r="AZ151" s="107"/>
      <c r="BA151" s="107"/>
      <c r="BB151" s="107"/>
      <c r="BC151" s="107"/>
      <c r="BD151" s="107"/>
      <c r="BE151" s="107"/>
      <c r="BF151" s="107"/>
      <c r="BG151" s="107"/>
      <c r="BH151" s="107"/>
      <c r="BI151" s="107"/>
      <c r="BJ151" s="107"/>
    </row>
    <row r="152" spans="1:62" s="438" customFormat="1" ht="18" customHeight="1">
      <c r="A152" s="700"/>
      <c r="B152" s="1749" t="s">
        <v>789</v>
      </c>
      <c r="C152" s="1750"/>
      <c r="D152" s="1750"/>
      <c r="E152" s="1750"/>
      <c r="F152" s="1750"/>
      <c r="G152" s="1750"/>
      <c r="H152" s="1750"/>
      <c r="I152" s="1750"/>
      <c r="J152" s="1750"/>
      <c r="K152" s="1750"/>
      <c r="L152" s="1750"/>
      <c r="M152" s="1750"/>
      <c r="N152" s="1750"/>
      <c r="O152" s="1750"/>
      <c r="P152" s="1750"/>
      <c r="Q152" s="1750"/>
      <c r="R152" s="1750"/>
      <c r="S152" s="1750"/>
      <c r="T152" s="1750"/>
      <c r="U152" s="1750"/>
      <c r="V152" s="1750"/>
      <c r="W152" s="1750"/>
      <c r="X152" s="1750"/>
      <c r="Y152" s="1750"/>
      <c r="Z152" s="1750"/>
      <c r="AA152" s="1750"/>
      <c r="AB152" s="1750"/>
      <c r="AC152" s="1750"/>
      <c r="AD152" s="1750"/>
      <c r="AE152" s="1750"/>
      <c r="AF152" s="1750"/>
      <c r="AG152" s="1750"/>
      <c r="AH152" s="1750"/>
      <c r="AI152" s="1750"/>
      <c r="AJ152" s="1750"/>
      <c r="AK152" s="1751"/>
      <c r="AL152" s="1921" t="s">
        <v>711</v>
      </c>
      <c r="AM152" s="1922"/>
      <c r="AN152" s="50"/>
      <c r="AO152" s="692"/>
      <c r="AQ152" s="107"/>
      <c r="AR152" s="107"/>
      <c r="AS152" s="107"/>
      <c r="AT152" s="107"/>
      <c r="AU152" s="107"/>
      <c r="AV152" s="107"/>
      <c r="AW152" s="107"/>
      <c r="AX152" s="107"/>
      <c r="AY152" s="107"/>
      <c r="AZ152" s="107"/>
      <c r="BA152" s="107"/>
      <c r="BB152" s="107"/>
      <c r="BC152" s="107"/>
      <c r="BD152" s="107"/>
      <c r="BE152" s="107"/>
      <c r="BF152" s="107"/>
      <c r="BG152" s="107"/>
      <c r="BH152" s="107"/>
      <c r="BI152" s="107"/>
      <c r="BJ152" s="107"/>
    </row>
    <row r="153" spans="1:62" s="438" customFormat="1" ht="18" customHeight="1">
      <c r="A153" s="700"/>
      <c r="B153" s="2305" t="s">
        <v>790</v>
      </c>
      <c r="C153" s="2306"/>
      <c r="D153" s="2306"/>
      <c r="E153" s="2306"/>
      <c r="F153" s="2306"/>
      <c r="G153" s="2306"/>
      <c r="H153" s="2306"/>
      <c r="I153" s="2306"/>
      <c r="J153" s="2306"/>
      <c r="K153" s="2306"/>
      <c r="L153" s="2306"/>
      <c r="M153" s="2306"/>
      <c r="N153" s="2306"/>
      <c r="O153" s="2306"/>
      <c r="P153" s="2306"/>
      <c r="Q153" s="2306"/>
      <c r="R153" s="2306"/>
      <c r="S153" s="2306"/>
      <c r="T153" s="2306"/>
      <c r="U153" s="2306"/>
      <c r="V153" s="2306"/>
      <c r="W153" s="2306"/>
      <c r="X153" s="2306"/>
      <c r="Y153" s="2306"/>
      <c r="Z153" s="2306"/>
      <c r="AA153" s="2306"/>
      <c r="AB153" s="2306"/>
      <c r="AC153" s="2306"/>
      <c r="AD153" s="2306"/>
      <c r="AE153" s="2306"/>
      <c r="AF153" s="2306"/>
      <c r="AG153" s="2306"/>
      <c r="AH153" s="2306"/>
      <c r="AI153" s="2306"/>
      <c r="AJ153" s="2306"/>
      <c r="AK153" s="2306"/>
      <c r="AL153" s="2306"/>
      <c r="AM153" s="2307"/>
      <c r="AN153" s="50"/>
      <c r="AO153" s="692"/>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row>
    <row r="154" spans="1:62" s="438" customFormat="1" ht="18" customHeight="1">
      <c r="A154" s="700"/>
      <c r="B154" s="2311" t="s">
        <v>791</v>
      </c>
      <c r="C154" s="1923"/>
      <c r="D154" s="1923"/>
      <c r="E154" s="1923"/>
      <c r="F154" s="1923" t="s">
        <v>792</v>
      </c>
      <c r="G154" s="1923"/>
      <c r="H154" s="1923"/>
      <c r="I154" s="1923"/>
      <c r="J154" s="1923"/>
      <c r="K154" s="1923"/>
      <c r="L154" s="1923"/>
      <c r="M154" s="1923"/>
      <c r="N154" s="1923"/>
      <c r="O154" s="1923"/>
      <c r="P154" s="1923"/>
      <c r="Q154" s="1923"/>
      <c r="R154" s="1923" t="s">
        <v>793</v>
      </c>
      <c r="S154" s="1923"/>
      <c r="T154" s="1923"/>
      <c r="U154" s="1923"/>
      <c r="V154" s="1923"/>
      <c r="W154" s="1923"/>
      <c r="X154" s="1923"/>
      <c r="Y154" s="2135" t="s">
        <v>794</v>
      </c>
      <c r="Z154" s="2135"/>
      <c r="AA154" s="2135"/>
      <c r="AB154" s="2135"/>
      <c r="AC154" s="2135"/>
      <c r="AD154" s="2135"/>
      <c r="AE154" s="2135" t="s">
        <v>795</v>
      </c>
      <c r="AF154" s="2135"/>
      <c r="AG154" s="2135"/>
      <c r="AH154" s="2135"/>
      <c r="AI154" s="2135"/>
      <c r="AJ154" s="2135"/>
      <c r="AK154" s="2135"/>
      <c r="AL154" s="2135"/>
      <c r="AM154" s="2136"/>
      <c r="AN154" s="50"/>
      <c r="AO154" s="692"/>
      <c r="AQ154" s="107"/>
      <c r="AR154" s="107"/>
      <c r="AS154" s="107"/>
      <c r="AT154" s="107"/>
      <c r="AU154" s="107"/>
      <c r="AV154" s="107"/>
      <c r="AW154" s="107"/>
      <c r="AX154" s="107"/>
      <c r="AY154" s="107"/>
      <c r="AZ154" s="107"/>
      <c r="BA154" s="107"/>
      <c r="BB154" s="107"/>
      <c r="BC154" s="107"/>
      <c r="BD154" s="107"/>
      <c r="BE154" s="107"/>
      <c r="BF154" s="107"/>
      <c r="BG154" s="107"/>
      <c r="BH154" s="107"/>
      <c r="BI154" s="107"/>
      <c r="BJ154" s="107"/>
    </row>
    <row r="155" spans="1:62" s="438" customFormat="1" ht="18" customHeight="1">
      <c r="A155" s="700"/>
      <c r="B155" s="2116" t="s">
        <v>4194</v>
      </c>
      <c r="C155" s="2117"/>
      <c r="D155" s="2117"/>
      <c r="E155" s="2118"/>
      <c r="F155" s="2116" t="s">
        <v>4195</v>
      </c>
      <c r="G155" s="2117"/>
      <c r="H155" s="2117"/>
      <c r="I155" s="2117"/>
      <c r="J155" s="2117"/>
      <c r="K155" s="2117"/>
      <c r="L155" s="2117"/>
      <c r="M155" s="2117"/>
      <c r="N155" s="2117"/>
      <c r="O155" s="2117"/>
      <c r="P155" s="2117"/>
      <c r="Q155" s="2117"/>
      <c r="R155" s="2116" t="s">
        <v>4202</v>
      </c>
      <c r="S155" s="2117"/>
      <c r="T155" s="2117"/>
      <c r="U155" s="2117"/>
      <c r="V155" s="2117"/>
      <c r="W155" s="2117"/>
      <c r="X155" s="2118"/>
      <c r="Y155" s="2350" t="s">
        <v>4201</v>
      </c>
      <c r="Z155" s="2350"/>
      <c r="AA155" s="2350"/>
      <c r="AB155" s="2350"/>
      <c r="AC155" s="2350"/>
      <c r="AD155" s="2350"/>
      <c r="AE155" s="2134">
        <v>0.12</v>
      </c>
      <c r="AF155" s="2134"/>
      <c r="AG155" s="2134"/>
      <c r="AH155" s="2134"/>
      <c r="AI155" s="2134"/>
      <c r="AJ155" s="2134"/>
      <c r="AK155" s="2134"/>
      <c r="AL155" s="2134"/>
      <c r="AM155" s="2134"/>
      <c r="AN155" s="50"/>
      <c r="AO155" s="692"/>
      <c r="AQ155" s="107"/>
      <c r="AR155" s="107"/>
      <c r="AS155" s="107"/>
      <c r="AT155" s="107"/>
      <c r="AU155" s="107"/>
      <c r="AV155" s="107"/>
      <c r="AW155" s="107"/>
      <c r="AX155" s="107"/>
      <c r="AY155" s="107"/>
      <c r="AZ155" s="107"/>
      <c r="BA155" s="107"/>
      <c r="BB155" s="107"/>
      <c r="BC155" s="107"/>
      <c r="BD155" s="107"/>
      <c r="BE155" s="107"/>
      <c r="BF155" s="107"/>
      <c r="BG155" s="107"/>
      <c r="BH155" s="107"/>
      <c r="BI155" s="107"/>
      <c r="BJ155" s="107"/>
    </row>
    <row r="156" spans="1:62" s="438" customFormat="1" ht="18" customHeight="1">
      <c r="A156" s="700"/>
      <c r="B156" s="2116" t="s">
        <v>4194</v>
      </c>
      <c r="C156" s="2117"/>
      <c r="D156" s="2117"/>
      <c r="E156" s="2118"/>
      <c r="F156" s="2116" t="s">
        <v>4196</v>
      </c>
      <c r="G156" s="2117"/>
      <c r="H156" s="2117"/>
      <c r="I156" s="2117"/>
      <c r="J156" s="2117"/>
      <c r="K156" s="2117"/>
      <c r="L156" s="2117"/>
      <c r="M156" s="2117"/>
      <c r="N156" s="2117"/>
      <c r="O156" s="2117"/>
      <c r="P156" s="2117"/>
      <c r="Q156" s="2117"/>
      <c r="R156" s="2116" t="s">
        <v>4203</v>
      </c>
      <c r="S156" s="2117"/>
      <c r="T156" s="2117"/>
      <c r="U156" s="2117"/>
      <c r="V156" s="2117"/>
      <c r="W156" s="2117"/>
      <c r="X156" s="2118"/>
      <c r="Y156" s="2350" t="s">
        <v>4201</v>
      </c>
      <c r="Z156" s="2350"/>
      <c r="AA156" s="2350"/>
      <c r="AB156" s="2350"/>
      <c r="AC156" s="2350"/>
      <c r="AD156" s="2350"/>
      <c r="AE156" s="2134">
        <v>0.112</v>
      </c>
      <c r="AF156" s="2134"/>
      <c r="AG156" s="2134"/>
      <c r="AH156" s="2134"/>
      <c r="AI156" s="2134"/>
      <c r="AJ156" s="2134"/>
      <c r="AK156" s="2134"/>
      <c r="AL156" s="2134"/>
      <c r="AM156" s="2134"/>
      <c r="AN156" s="50"/>
      <c r="AO156" s="692"/>
      <c r="AQ156" s="107"/>
      <c r="AR156" s="107"/>
      <c r="AS156" s="107"/>
      <c r="AT156" s="107"/>
      <c r="AU156" s="107"/>
      <c r="AV156" s="107"/>
      <c r="AW156" s="107"/>
      <c r="AX156" s="107"/>
      <c r="AY156" s="107"/>
      <c r="AZ156" s="107"/>
      <c r="BA156" s="107"/>
      <c r="BB156" s="107"/>
      <c r="BC156" s="107"/>
      <c r="BD156" s="107"/>
      <c r="BE156" s="107"/>
      <c r="BF156" s="107"/>
      <c r="BG156" s="107"/>
      <c r="BH156" s="107"/>
      <c r="BI156" s="107"/>
      <c r="BJ156" s="107"/>
    </row>
    <row r="157" spans="1:62" s="438" customFormat="1" ht="18" customHeight="1">
      <c r="A157" s="700"/>
      <c r="B157" s="2116" t="s">
        <v>4194</v>
      </c>
      <c r="C157" s="2117"/>
      <c r="D157" s="2117"/>
      <c r="E157" s="2118"/>
      <c r="F157" s="2116" t="s">
        <v>4197</v>
      </c>
      <c r="G157" s="2117"/>
      <c r="H157" s="2117"/>
      <c r="I157" s="2117"/>
      <c r="J157" s="2117"/>
      <c r="K157" s="2117"/>
      <c r="L157" s="2117"/>
      <c r="M157" s="2117"/>
      <c r="N157" s="2117"/>
      <c r="O157" s="2117"/>
      <c r="P157" s="2117"/>
      <c r="Q157" s="2117"/>
      <c r="R157" s="2116" t="s">
        <v>4204</v>
      </c>
      <c r="S157" s="2117"/>
      <c r="T157" s="2117"/>
      <c r="U157" s="2117"/>
      <c r="V157" s="2117"/>
      <c r="W157" s="2117"/>
      <c r="X157" s="2118"/>
      <c r="Y157" s="2350" t="s">
        <v>4201</v>
      </c>
      <c r="Z157" s="2350"/>
      <c r="AA157" s="2350"/>
      <c r="AB157" s="2350"/>
      <c r="AC157" s="2350"/>
      <c r="AD157" s="2350"/>
      <c r="AE157" s="2134">
        <v>0.21199999999999999</v>
      </c>
      <c r="AF157" s="2134"/>
      <c r="AG157" s="2134"/>
      <c r="AH157" s="2134"/>
      <c r="AI157" s="2134"/>
      <c r="AJ157" s="2134"/>
      <c r="AK157" s="2134"/>
      <c r="AL157" s="2134"/>
      <c r="AM157" s="2134"/>
      <c r="AN157" s="50"/>
      <c r="AO157" s="692"/>
      <c r="AQ157" s="107"/>
      <c r="AR157" s="107"/>
      <c r="AS157" s="107"/>
      <c r="AT157" s="107"/>
      <c r="AU157" s="107"/>
      <c r="AV157" s="107"/>
      <c r="AW157" s="107"/>
      <c r="AX157" s="107"/>
      <c r="AY157" s="107"/>
      <c r="AZ157" s="107"/>
      <c r="BA157" s="107"/>
      <c r="BB157" s="107"/>
      <c r="BC157" s="107"/>
      <c r="BD157" s="107"/>
      <c r="BE157" s="107"/>
      <c r="BF157" s="107"/>
      <c r="BG157" s="107"/>
      <c r="BH157" s="107"/>
      <c r="BI157" s="107"/>
      <c r="BJ157" s="107"/>
    </row>
    <row r="158" spans="1:62" s="438" customFormat="1" ht="18" customHeight="1">
      <c r="A158" s="700"/>
      <c r="B158" s="2116" t="s">
        <v>4194</v>
      </c>
      <c r="C158" s="2117"/>
      <c r="D158" s="2117"/>
      <c r="E158" s="2118"/>
      <c r="F158" s="2116" t="s">
        <v>4198</v>
      </c>
      <c r="G158" s="2117"/>
      <c r="H158" s="2117"/>
      <c r="I158" s="2117"/>
      <c r="J158" s="2117"/>
      <c r="K158" s="2117"/>
      <c r="L158" s="2117"/>
      <c r="M158" s="2117"/>
      <c r="N158" s="2117"/>
      <c r="O158" s="2117"/>
      <c r="P158" s="2117"/>
      <c r="Q158" s="2117"/>
      <c r="R158" s="2116" t="s">
        <v>4205</v>
      </c>
      <c r="S158" s="2117"/>
      <c r="T158" s="2117"/>
      <c r="U158" s="2117"/>
      <c r="V158" s="2117"/>
      <c r="W158" s="2117"/>
      <c r="X158" s="2118"/>
      <c r="Y158" s="2350" t="s">
        <v>4201</v>
      </c>
      <c r="Z158" s="2350"/>
      <c r="AA158" s="2350"/>
      <c r="AB158" s="2350"/>
      <c r="AC158" s="2350"/>
      <c r="AD158" s="2350"/>
      <c r="AE158" s="2134">
        <v>0.122</v>
      </c>
      <c r="AF158" s="2134"/>
      <c r="AG158" s="2134"/>
      <c r="AH158" s="2134"/>
      <c r="AI158" s="2134"/>
      <c r="AJ158" s="2134"/>
      <c r="AK158" s="2134"/>
      <c r="AL158" s="2134"/>
      <c r="AM158" s="2134"/>
      <c r="AN158" s="50"/>
      <c r="AO158" s="692"/>
      <c r="AQ158" s="107"/>
      <c r="AR158" s="107"/>
      <c r="AS158" s="107"/>
      <c r="AT158" s="107"/>
      <c r="AU158" s="107"/>
      <c r="AV158" s="107"/>
      <c r="AW158" s="107"/>
      <c r="AX158" s="107"/>
      <c r="AY158" s="107"/>
      <c r="AZ158" s="107"/>
      <c r="BA158" s="107"/>
      <c r="BB158" s="107"/>
      <c r="BC158" s="107"/>
      <c r="BD158" s="107"/>
      <c r="BE158" s="107"/>
      <c r="BF158" s="107"/>
      <c r="BG158" s="107"/>
      <c r="BH158" s="107"/>
      <c r="BI158" s="107"/>
      <c r="BJ158" s="107"/>
    </row>
    <row r="159" spans="1:62" s="438" customFormat="1" ht="18" customHeight="1">
      <c r="A159" s="700"/>
      <c r="B159" s="2116" t="s">
        <v>4194</v>
      </c>
      <c r="C159" s="2117"/>
      <c r="D159" s="2117"/>
      <c r="E159" s="2118"/>
      <c r="F159" s="2116" t="s">
        <v>4199</v>
      </c>
      <c r="G159" s="2117"/>
      <c r="H159" s="2117"/>
      <c r="I159" s="2117"/>
      <c r="J159" s="2117"/>
      <c r="K159" s="2117"/>
      <c r="L159" s="2117"/>
      <c r="M159" s="2117"/>
      <c r="N159" s="2117"/>
      <c r="O159" s="2117"/>
      <c r="P159" s="2117"/>
      <c r="Q159" s="2117"/>
      <c r="R159" s="2116" t="s">
        <v>4206</v>
      </c>
      <c r="S159" s="2117"/>
      <c r="T159" s="2117"/>
      <c r="U159" s="2117"/>
      <c r="V159" s="2117"/>
      <c r="W159" s="2117"/>
      <c r="X159" s="2118"/>
      <c r="Y159" s="2350" t="s">
        <v>4201</v>
      </c>
      <c r="Z159" s="2350"/>
      <c r="AA159" s="2350"/>
      <c r="AB159" s="2350"/>
      <c r="AC159" s="2350"/>
      <c r="AD159" s="2350"/>
      <c r="AE159" s="2134">
        <v>0.21199999999999999</v>
      </c>
      <c r="AF159" s="2134"/>
      <c r="AG159" s="2134"/>
      <c r="AH159" s="2134"/>
      <c r="AI159" s="2134"/>
      <c r="AJ159" s="2134"/>
      <c r="AK159" s="2134"/>
      <c r="AL159" s="2134"/>
      <c r="AM159" s="2134"/>
      <c r="AN159" s="50"/>
      <c r="AO159" s="692"/>
      <c r="AQ159" s="107"/>
      <c r="AR159" s="107"/>
      <c r="AS159" s="107"/>
      <c r="AT159" s="107"/>
      <c r="AU159" s="107"/>
      <c r="AV159" s="107"/>
      <c r="AW159" s="107"/>
      <c r="AX159" s="107"/>
      <c r="AY159" s="107"/>
      <c r="AZ159" s="107"/>
      <c r="BA159" s="107"/>
      <c r="BB159" s="107"/>
      <c r="BC159" s="107"/>
      <c r="BD159" s="107"/>
      <c r="BE159" s="107"/>
      <c r="BF159" s="107"/>
      <c r="BG159" s="107"/>
      <c r="BH159" s="107"/>
      <c r="BI159" s="107"/>
      <c r="BJ159" s="107"/>
    </row>
    <row r="160" spans="1:62" s="438" customFormat="1" ht="18" customHeight="1">
      <c r="A160" s="700"/>
      <c r="B160" s="2116" t="s">
        <v>4194</v>
      </c>
      <c r="C160" s="2117"/>
      <c r="D160" s="2117"/>
      <c r="E160" s="2118"/>
      <c r="F160" s="2116" t="s">
        <v>4200</v>
      </c>
      <c r="G160" s="2117"/>
      <c r="H160" s="2117"/>
      <c r="I160" s="2117"/>
      <c r="J160" s="2117"/>
      <c r="K160" s="2117"/>
      <c r="L160" s="2117"/>
      <c r="M160" s="2117"/>
      <c r="N160" s="2117"/>
      <c r="O160" s="2117"/>
      <c r="P160" s="2117"/>
      <c r="Q160" s="2117"/>
      <c r="R160" s="2116" t="s">
        <v>4207</v>
      </c>
      <c r="S160" s="2117"/>
      <c r="T160" s="2117"/>
      <c r="U160" s="2117"/>
      <c r="V160" s="2117"/>
      <c r="W160" s="2117"/>
      <c r="X160" s="2118"/>
      <c r="Y160" s="2350" t="s">
        <v>4201</v>
      </c>
      <c r="Z160" s="2350"/>
      <c r="AA160" s="2350"/>
      <c r="AB160" s="2350"/>
      <c r="AC160" s="2350"/>
      <c r="AD160" s="2350"/>
      <c r="AE160" s="2134">
        <v>0.312</v>
      </c>
      <c r="AF160" s="2134"/>
      <c r="AG160" s="2134"/>
      <c r="AH160" s="2134"/>
      <c r="AI160" s="2134"/>
      <c r="AJ160" s="2134"/>
      <c r="AK160" s="2134"/>
      <c r="AL160" s="2134"/>
      <c r="AM160" s="2134"/>
      <c r="AN160" s="50"/>
      <c r="AO160" s="692"/>
      <c r="AQ160" s="107"/>
      <c r="AR160" s="107"/>
      <c r="AS160" s="107"/>
      <c r="AT160" s="107"/>
      <c r="AU160" s="107"/>
      <c r="AV160" s="107"/>
      <c r="AW160" s="107"/>
      <c r="AX160" s="107"/>
      <c r="AY160" s="107"/>
      <c r="AZ160" s="107"/>
      <c r="BA160" s="107"/>
      <c r="BB160" s="107"/>
      <c r="BC160" s="107"/>
      <c r="BD160" s="107"/>
      <c r="BE160" s="107"/>
      <c r="BF160" s="107"/>
      <c r="BG160" s="107"/>
      <c r="BH160" s="107"/>
      <c r="BI160" s="107"/>
      <c r="BJ160" s="107"/>
    </row>
    <row r="161" spans="1:62" s="438" customFormat="1" ht="18" customHeight="1">
      <c r="A161" s="700"/>
      <c r="B161" s="1870" t="s">
        <v>676</v>
      </c>
      <c r="C161" s="1871"/>
      <c r="D161" s="1872"/>
      <c r="E161" s="1740" t="str">
        <f>'Document Checklist'!$E$12</f>
        <v>4a. Spon1 Cert &amp; Legal Disclosure</v>
      </c>
      <c r="F161" s="1741"/>
      <c r="G161" s="1741"/>
      <c r="H161" s="1741"/>
      <c r="I161" s="1741"/>
      <c r="J161" s="1741"/>
      <c r="K161" s="1741"/>
      <c r="L161" s="1741"/>
      <c r="M161" s="1788"/>
      <c r="N161" s="1801" t="str">
        <f>'Document Checklist'!$N$12</f>
        <v>Reference Sponsor Certification Worksheet.</v>
      </c>
      <c r="O161" s="1802"/>
      <c r="P161" s="1802"/>
      <c r="Q161" s="1802"/>
      <c r="R161" s="1802"/>
      <c r="S161" s="1802"/>
      <c r="T161" s="1802"/>
      <c r="U161" s="1802"/>
      <c r="V161" s="1802"/>
      <c r="W161" s="1802"/>
      <c r="X161" s="1802"/>
      <c r="Y161" s="1802"/>
      <c r="Z161" s="1802"/>
      <c r="AA161" s="1802"/>
      <c r="AB161" s="1802"/>
      <c r="AC161" s="1802"/>
      <c r="AD161" s="1802"/>
      <c r="AE161" s="1803"/>
      <c r="AF161" s="1804" t="s">
        <v>677</v>
      </c>
      <c r="AG161" s="1805"/>
      <c r="AH161" s="1805"/>
      <c r="AI161" s="1805"/>
      <c r="AJ161" s="1805"/>
      <c r="AK161" s="1806"/>
      <c r="AL161" s="1765" t="s">
        <v>664</v>
      </c>
      <c r="AM161" s="1765"/>
      <c r="AO161" s="692"/>
      <c r="AQ161" s="107"/>
      <c r="AR161" s="107"/>
      <c r="AS161" s="107"/>
      <c r="AT161" s="107"/>
      <c r="AU161" s="107"/>
      <c r="AV161" s="107"/>
      <c r="AW161" s="107"/>
      <c r="AX161" s="107"/>
      <c r="AY161" s="107"/>
      <c r="AZ161" s="107"/>
      <c r="BA161" s="107"/>
      <c r="BB161" s="107"/>
      <c r="BC161" s="107"/>
      <c r="BD161" s="107"/>
      <c r="BE161" s="107"/>
      <c r="BF161" s="107"/>
      <c r="BG161" s="107"/>
      <c r="BH161" s="107"/>
      <c r="BI161" s="107"/>
      <c r="BJ161" s="107"/>
    </row>
    <row r="162" spans="1:62" s="438" customFormat="1" ht="18" customHeight="1">
      <c r="A162" s="452"/>
      <c r="B162" s="1870" t="s">
        <v>676</v>
      </c>
      <c r="C162" s="1871"/>
      <c r="D162" s="1872"/>
      <c r="E162" s="1740" t="str">
        <f>'Document Checklist'!$E$13</f>
        <v>4b. Spon1 Authorizing Resolution</v>
      </c>
      <c r="F162" s="1741"/>
      <c r="G162" s="1741"/>
      <c r="H162" s="1741"/>
      <c r="I162" s="1741"/>
      <c r="J162" s="1741"/>
      <c r="K162" s="1741"/>
      <c r="L162" s="1741"/>
      <c r="M162" s="1788"/>
      <c r="N162" s="1801" t="str">
        <f>'Document Checklist'!$N$13</f>
        <v xml:space="preserve">Reference: AB434 webpage for Sponsor Authorizing Resolution Document. </v>
      </c>
      <c r="O162" s="1802"/>
      <c r="P162" s="1802"/>
      <c r="Q162" s="1802"/>
      <c r="R162" s="1802"/>
      <c r="S162" s="1802"/>
      <c r="T162" s="1802"/>
      <c r="U162" s="1802"/>
      <c r="V162" s="1802"/>
      <c r="W162" s="1802"/>
      <c r="X162" s="1802"/>
      <c r="Y162" s="1802"/>
      <c r="Z162" s="1802"/>
      <c r="AA162" s="1802"/>
      <c r="AB162" s="1802"/>
      <c r="AC162" s="1802"/>
      <c r="AD162" s="1802"/>
      <c r="AE162" s="1803"/>
      <c r="AF162" s="1804" t="s">
        <v>677</v>
      </c>
      <c r="AG162" s="1805"/>
      <c r="AH162" s="1805"/>
      <c r="AI162" s="1805"/>
      <c r="AJ162" s="1805"/>
      <c r="AK162" s="1806"/>
      <c r="AL162" s="1765" t="s">
        <v>664</v>
      </c>
      <c r="AM162" s="1765"/>
      <c r="AN162" s="1459"/>
      <c r="AO162" s="1032"/>
      <c r="AP162" s="438" t="s">
        <v>796</v>
      </c>
      <c r="AQ162" s="107"/>
      <c r="AR162" s="107"/>
      <c r="AS162" s="107"/>
      <c r="AT162" s="107"/>
      <c r="AU162" s="107"/>
      <c r="AV162" s="107"/>
      <c r="AW162" s="107"/>
      <c r="AX162" s="107"/>
      <c r="AY162" s="107"/>
      <c r="AZ162" s="107"/>
      <c r="BA162" s="107"/>
      <c r="BB162" s="107"/>
      <c r="BC162" s="107"/>
      <c r="BD162" s="107"/>
      <c r="BE162" s="107"/>
      <c r="BF162" s="107"/>
      <c r="BG162" s="107"/>
      <c r="BH162" s="107"/>
      <c r="BI162" s="107"/>
      <c r="BJ162" s="107"/>
    </row>
    <row r="163" spans="1:62" s="438" customFormat="1" ht="18" customHeight="1">
      <c r="A163" s="452"/>
      <c r="B163" s="1870" t="s">
        <v>676</v>
      </c>
      <c r="C163" s="1871"/>
      <c r="D163" s="1872"/>
      <c r="E163" s="1740" t="str">
        <f>'Document Checklist'!$E$14</f>
        <v>4c. Spon1 OrgDoc1, OrgDoc2, etc.</v>
      </c>
      <c r="F163" s="1741"/>
      <c r="G163" s="1741"/>
      <c r="H163" s="1741"/>
      <c r="I163" s="1741"/>
      <c r="J163" s="1741"/>
      <c r="K163" s="1741"/>
      <c r="L163" s="1741"/>
      <c r="M163" s="1788"/>
      <c r="N163" s="1801" t="str">
        <f>'Document Checklist'!$N$14</f>
        <v>Reference Entity Org Docs worksheet.</v>
      </c>
      <c r="O163" s="1802"/>
      <c r="P163" s="1802"/>
      <c r="Q163" s="1802"/>
      <c r="R163" s="1802"/>
      <c r="S163" s="1802"/>
      <c r="T163" s="1802"/>
      <c r="U163" s="1802"/>
      <c r="V163" s="1802"/>
      <c r="W163" s="1802"/>
      <c r="X163" s="1802"/>
      <c r="Y163" s="1802"/>
      <c r="Z163" s="1802"/>
      <c r="AA163" s="1802"/>
      <c r="AB163" s="1802"/>
      <c r="AC163" s="1802"/>
      <c r="AD163" s="1802"/>
      <c r="AE163" s="1803"/>
      <c r="AF163" s="1804" t="s">
        <v>677</v>
      </c>
      <c r="AG163" s="1805"/>
      <c r="AH163" s="1805"/>
      <c r="AI163" s="1805"/>
      <c r="AJ163" s="1805"/>
      <c r="AK163" s="1806"/>
      <c r="AL163" s="1765" t="s">
        <v>664</v>
      </c>
      <c r="AM163" s="1765"/>
      <c r="AN163" s="363"/>
      <c r="AO163" s="692"/>
      <c r="AQ163" s="107"/>
      <c r="AR163" s="107"/>
      <c r="AS163" s="107"/>
      <c r="AT163" s="107"/>
      <c r="AU163" s="107"/>
      <c r="AV163" s="107"/>
      <c r="AW163" s="107"/>
      <c r="AX163" s="107"/>
      <c r="AY163" s="107"/>
      <c r="AZ163" s="107"/>
      <c r="BA163" s="107"/>
      <c r="BB163" s="107"/>
      <c r="BC163" s="107"/>
      <c r="BD163" s="107"/>
      <c r="BE163" s="107"/>
      <c r="BF163" s="107"/>
      <c r="BG163" s="107"/>
      <c r="BH163" s="107"/>
      <c r="BI163" s="107"/>
      <c r="BJ163" s="107"/>
    </row>
    <row r="164" spans="1:62" s="438" customFormat="1" ht="18" customHeight="1">
      <c r="A164" s="452"/>
      <c r="B164" s="1870" t="s">
        <v>676</v>
      </c>
      <c r="C164" s="1871"/>
      <c r="D164" s="1872"/>
      <c r="E164" s="1740" t="str">
        <f>'Document Checklist'!$E$15</f>
        <v>4d. Spon1 OrgChart</v>
      </c>
      <c r="F164" s="1741"/>
      <c r="G164" s="1741"/>
      <c r="H164" s="1741"/>
      <c r="I164" s="1741"/>
      <c r="J164" s="1741"/>
      <c r="K164" s="1741"/>
      <c r="L164" s="1741"/>
      <c r="M164" s="1788"/>
      <c r="N164" s="1862" t="str">
        <f>'Document Checklist'!$N$15</f>
        <v>Sponsor Organization Chart.</v>
      </c>
      <c r="O164" s="1863"/>
      <c r="P164" s="1863"/>
      <c r="Q164" s="1863"/>
      <c r="R164" s="1863"/>
      <c r="S164" s="1863"/>
      <c r="T164" s="1863"/>
      <c r="U164" s="1863"/>
      <c r="V164" s="1863"/>
      <c r="W164" s="1863"/>
      <c r="X164" s="1863"/>
      <c r="Y164" s="1863"/>
      <c r="Z164" s="1863"/>
      <c r="AA164" s="1863"/>
      <c r="AB164" s="1863"/>
      <c r="AC164" s="1863"/>
      <c r="AD164" s="1863"/>
      <c r="AE164" s="1864"/>
      <c r="AF164" s="1804" t="s">
        <v>677</v>
      </c>
      <c r="AG164" s="1805"/>
      <c r="AH164" s="1805"/>
      <c r="AI164" s="1805"/>
      <c r="AJ164" s="1805"/>
      <c r="AK164" s="1806"/>
      <c r="AL164" s="1765" t="s">
        <v>664</v>
      </c>
      <c r="AM164" s="1765"/>
      <c r="AN164" s="363"/>
      <c r="AO164" s="692"/>
      <c r="AQ164" s="107"/>
      <c r="AR164" s="107"/>
      <c r="AS164" s="107"/>
      <c r="AT164" s="107"/>
      <c r="AU164" s="107"/>
      <c r="AV164" s="107"/>
      <c r="AW164" s="107"/>
      <c r="AX164" s="107"/>
      <c r="AY164" s="107"/>
      <c r="AZ164" s="107"/>
      <c r="BA164" s="107"/>
      <c r="BB164" s="107"/>
      <c r="BC164" s="107"/>
      <c r="BD164" s="107"/>
      <c r="BE164" s="107"/>
      <c r="BF164" s="107"/>
      <c r="BG164" s="107"/>
      <c r="BH164" s="107"/>
      <c r="BI164" s="107"/>
      <c r="BJ164" s="107"/>
    </row>
    <row r="165" spans="1:62" s="438" customFormat="1" ht="18" customHeight="1">
      <c r="A165" s="452"/>
      <c r="B165" s="1870" t="s">
        <v>676</v>
      </c>
      <c r="C165" s="1871"/>
      <c r="D165" s="1872"/>
      <c r="E165" s="1740" t="str">
        <f>'Document Checklist'!$E$16</f>
        <v>4e. Spon1 Signature Block</v>
      </c>
      <c r="F165" s="1741"/>
      <c r="G165" s="1741"/>
      <c r="H165" s="1741"/>
      <c r="I165" s="1741"/>
      <c r="J165" s="1741"/>
      <c r="K165" s="1741"/>
      <c r="L165" s="1741"/>
      <c r="M165" s="1788"/>
      <c r="N165" s="1862" t="str">
        <f>'Document Checklist'!$N$16</f>
        <v>Signature Block - upload in Microsoft Word Document.</v>
      </c>
      <c r="O165" s="1863"/>
      <c r="P165" s="1863"/>
      <c r="Q165" s="1863"/>
      <c r="R165" s="1863"/>
      <c r="S165" s="1863"/>
      <c r="T165" s="1863"/>
      <c r="U165" s="1863"/>
      <c r="V165" s="1863"/>
      <c r="W165" s="1863"/>
      <c r="X165" s="1863"/>
      <c r="Y165" s="1863"/>
      <c r="Z165" s="1863"/>
      <c r="AA165" s="1863"/>
      <c r="AB165" s="1863"/>
      <c r="AC165" s="1863"/>
      <c r="AD165" s="1863"/>
      <c r="AE165" s="1864"/>
      <c r="AF165" s="1804" t="s">
        <v>677</v>
      </c>
      <c r="AG165" s="1805"/>
      <c r="AH165" s="1805"/>
      <c r="AI165" s="1805"/>
      <c r="AJ165" s="1805"/>
      <c r="AK165" s="1806"/>
      <c r="AL165" s="1765" t="s">
        <v>664</v>
      </c>
      <c r="AM165" s="1765"/>
      <c r="AN165" s="363"/>
      <c r="AO165" s="692"/>
      <c r="AQ165" s="107"/>
      <c r="AR165" s="107"/>
      <c r="AS165" s="107"/>
      <c r="AT165" s="107"/>
      <c r="AU165" s="107"/>
      <c r="AV165" s="107"/>
      <c r="AW165" s="107"/>
      <c r="AX165" s="107"/>
      <c r="AY165" s="107"/>
      <c r="AZ165" s="107"/>
      <c r="BA165" s="107"/>
      <c r="BB165" s="107"/>
      <c r="BC165" s="107"/>
      <c r="BD165" s="107"/>
      <c r="BE165" s="107"/>
      <c r="BF165" s="107"/>
      <c r="BG165" s="107"/>
      <c r="BH165" s="107"/>
      <c r="BI165" s="107"/>
      <c r="BJ165" s="107"/>
    </row>
    <row r="166" spans="1:62" s="438" customFormat="1" ht="36" customHeight="1">
      <c r="A166" s="452"/>
      <c r="B166" s="1870" t="s">
        <v>676</v>
      </c>
      <c r="C166" s="1871"/>
      <c r="D166" s="1872"/>
      <c r="E166" s="1740" t="str">
        <f>'Document Checklist'!$E$17</f>
        <v xml:space="preserve">4f. Spon1 Cert of Good Standing </v>
      </c>
      <c r="F166" s="1741"/>
      <c r="G166" s="1741"/>
      <c r="H166" s="1741"/>
      <c r="I166" s="1741"/>
      <c r="J166" s="1741"/>
      <c r="K166" s="1741"/>
      <c r="L166" s="1741"/>
      <c r="M166" s="1788"/>
      <c r="N166" s="1862" t="str">
        <f>'Document Checklist'!$N$36</f>
        <v>Certificate of Good Standing must be dated 30 days or less from the application due date.</v>
      </c>
      <c r="O166" s="1863"/>
      <c r="P166" s="1863"/>
      <c r="Q166" s="1863"/>
      <c r="R166" s="1863"/>
      <c r="S166" s="1863"/>
      <c r="T166" s="1863"/>
      <c r="U166" s="1863"/>
      <c r="V166" s="1863"/>
      <c r="W166" s="1863"/>
      <c r="X166" s="1863"/>
      <c r="Y166" s="1863"/>
      <c r="Z166" s="1863"/>
      <c r="AA166" s="1863"/>
      <c r="AB166" s="1863"/>
      <c r="AC166" s="1863"/>
      <c r="AD166" s="1863"/>
      <c r="AE166" s="1864"/>
      <c r="AF166" s="1804" t="s">
        <v>677</v>
      </c>
      <c r="AG166" s="1805"/>
      <c r="AH166" s="1805"/>
      <c r="AI166" s="1805"/>
      <c r="AJ166" s="1805"/>
      <c r="AK166" s="1806"/>
      <c r="AL166" s="1765" t="s">
        <v>664</v>
      </c>
      <c r="AM166" s="1765"/>
      <c r="AN166" s="451"/>
      <c r="AO166" s="692"/>
      <c r="AQ166" s="107"/>
      <c r="AR166" s="107"/>
      <c r="AS166" s="107"/>
      <c r="AT166" s="107"/>
      <c r="AU166" s="107"/>
      <c r="AV166" s="107"/>
      <c r="AW166" s="107"/>
      <c r="AX166" s="107"/>
      <c r="AY166" s="107"/>
      <c r="AZ166" s="107"/>
      <c r="BA166" s="107"/>
      <c r="BB166" s="107"/>
      <c r="BC166" s="107"/>
      <c r="BD166" s="107"/>
      <c r="BE166" s="107"/>
      <c r="BF166" s="107"/>
      <c r="BG166" s="107"/>
      <c r="BH166" s="107"/>
      <c r="BI166" s="107"/>
      <c r="BJ166" s="107"/>
    </row>
    <row r="167" spans="1:62" s="107" customFormat="1" ht="36" customHeight="1">
      <c r="A167" s="452"/>
      <c r="B167" s="1870" t="s">
        <v>676</v>
      </c>
      <c r="C167" s="1871"/>
      <c r="D167" s="1872"/>
      <c r="E167" s="1740" t="str">
        <f>'Document Checklist'!$E$18</f>
        <v>4g. Spon1 Tax-Exempt Status</v>
      </c>
      <c r="F167" s="1741"/>
      <c r="G167" s="1741"/>
      <c r="H167" s="1741"/>
      <c r="I167" s="1741"/>
      <c r="J167" s="1741"/>
      <c r="K167" s="1741"/>
      <c r="L167" s="1741"/>
      <c r="M167" s="1788"/>
      <c r="N167" s="1862" t="str">
        <f>'Document Checklist'!$N$18</f>
        <v>Evidence of tax-exempt status from IRS and FTB for Corporations. (Non-Profits Only)</v>
      </c>
      <c r="O167" s="1863"/>
      <c r="P167" s="1863"/>
      <c r="Q167" s="1863"/>
      <c r="R167" s="1863"/>
      <c r="S167" s="1863"/>
      <c r="T167" s="1863"/>
      <c r="U167" s="1863"/>
      <c r="V167" s="1863"/>
      <c r="W167" s="1863"/>
      <c r="X167" s="1863"/>
      <c r="Y167" s="1863"/>
      <c r="Z167" s="1863"/>
      <c r="AA167" s="1863"/>
      <c r="AB167" s="1863"/>
      <c r="AC167" s="1863"/>
      <c r="AD167" s="1863"/>
      <c r="AE167" s="1864"/>
      <c r="AF167" s="1804" t="s">
        <v>677</v>
      </c>
      <c r="AG167" s="1805"/>
      <c r="AH167" s="1805"/>
      <c r="AI167" s="1805"/>
      <c r="AJ167" s="1805"/>
      <c r="AK167" s="1806"/>
      <c r="AL167" s="1765" t="s">
        <v>664</v>
      </c>
      <c r="AM167" s="1765"/>
      <c r="AN167" s="1058"/>
      <c r="AO167" s="692"/>
      <c r="AP167" s="438"/>
    </row>
    <row r="168" spans="1:62" ht="18" customHeight="1">
      <c r="B168" s="664"/>
      <c r="C168" s="664"/>
      <c r="D168" s="664"/>
      <c r="E168" s="664"/>
      <c r="F168" s="664"/>
      <c r="G168" s="664"/>
      <c r="H168" s="664"/>
      <c r="I168" s="664"/>
      <c r="J168" s="664"/>
      <c r="K168" s="664"/>
      <c r="L168" s="664"/>
      <c r="M168" s="664"/>
      <c r="N168" s="664"/>
      <c r="O168" s="664"/>
      <c r="P168" s="664"/>
      <c r="Q168" s="664"/>
      <c r="R168" s="664"/>
      <c r="S168" s="664"/>
      <c r="T168" s="664"/>
      <c r="U168" s="664"/>
      <c r="V168" s="664"/>
      <c r="W168" s="664"/>
      <c r="X168" s="664"/>
      <c r="Y168" s="664"/>
      <c r="Z168" s="664"/>
      <c r="AA168" s="664"/>
      <c r="AB168" s="664"/>
      <c r="AC168" s="664"/>
      <c r="AD168" s="664"/>
      <c r="AE168" s="664"/>
      <c r="AF168" s="664"/>
      <c r="AG168" s="664"/>
      <c r="AH168" s="664"/>
      <c r="AI168" s="664"/>
      <c r="AJ168" s="664"/>
      <c r="AK168" s="664"/>
      <c r="AL168" s="664"/>
      <c r="AM168" s="664"/>
      <c r="AN168" s="1459"/>
      <c r="AO168" s="692"/>
      <c r="AP168" s="438"/>
      <c r="AQ168" s="1058"/>
      <c r="AR168" s="1058"/>
      <c r="AS168" s="1058"/>
      <c r="AT168" s="1058"/>
      <c r="AU168" s="1058"/>
      <c r="AV168" s="1058"/>
      <c r="AW168" s="1058"/>
      <c r="AX168" s="1058"/>
      <c r="AY168" s="1058"/>
      <c r="AZ168" s="1058"/>
      <c r="BA168" s="1058"/>
      <c r="BB168" s="1058"/>
      <c r="BC168" s="1058"/>
      <c r="BD168" s="1058"/>
      <c r="BE168" s="1058"/>
      <c r="BF168" s="1058"/>
      <c r="BG168" s="1058"/>
      <c r="BH168" s="1058"/>
      <c r="BI168" s="1058"/>
      <c r="BJ168" s="1058"/>
    </row>
    <row r="169" spans="1:62" ht="18" customHeight="1">
      <c r="B169" s="2267" t="s">
        <v>797</v>
      </c>
      <c r="C169" s="2268"/>
      <c r="D169" s="2268"/>
      <c r="E169" s="2268"/>
      <c r="F169" s="2268"/>
      <c r="G169" s="2268"/>
      <c r="H169" s="2268"/>
      <c r="I169" s="1461"/>
      <c r="J169" s="942"/>
      <c r="K169" s="942"/>
      <c r="L169" s="1917" t="s">
        <v>783</v>
      </c>
      <c r="M169" s="1917"/>
      <c r="N169" s="1917"/>
      <c r="O169" s="1917"/>
      <c r="P169" s="1896" t="s">
        <v>4193</v>
      </c>
      <c r="Q169" s="1897"/>
      <c r="R169" s="1897"/>
      <c r="S169" s="1897"/>
      <c r="T169" s="1897"/>
      <c r="U169" s="1897"/>
      <c r="V169" s="1897"/>
      <c r="W169" s="1897"/>
      <c r="X169" s="1897"/>
      <c r="Y169" s="1897"/>
      <c r="Z169" s="1897"/>
      <c r="AA169" s="1897"/>
      <c r="AB169" s="1897"/>
      <c r="AC169" s="1897"/>
      <c r="AD169" s="1897"/>
      <c r="AE169" s="1897"/>
      <c r="AF169" s="1897"/>
      <c r="AG169" s="1897"/>
      <c r="AH169" s="1897"/>
      <c r="AI169" s="1897"/>
      <c r="AJ169" s="1897"/>
      <c r="AK169" s="1897"/>
      <c r="AL169" s="1897"/>
      <c r="AM169" s="1898"/>
      <c r="AN169" s="1058"/>
      <c r="AO169" s="692"/>
      <c r="AP169" s="438"/>
      <c r="AQ169" s="1058"/>
      <c r="AR169" s="1058"/>
      <c r="AS169" s="1058"/>
      <c r="AT169" s="1058"/>
      <c r="AU169" s="1058"/>
      <c r="AV169" s="1058"/>
      <c r="AW169" s="1058"/>
      <c r="AX169" s="1058"/>
      <c r="AY169" s="1058"/>
      <c r="AZ169" s="1058"/>
      <c r="BA169" s="1058"/>
      <c r="BB169" s="1058"/>
      <c r="BC169" s="1058"/>
      <c r="BD169" s="1058"/>
      <c r="BE169" s="1058"/>
      <c r="BF169" s="1058"/>
      <c r="BG169" s="1058"/>
      <c r="BH169" s="1058"/>
      <c r="BI169" s="1058"/>
      <c r="BJ169" s="1058"/>
    </row>
    <row r="170" spans="1:62" ht="18" customHeight="1">
      <c r="B170" s="2088" t="s">
        <v>798</v>
      </c>
      <c r="C170" s="2089"/>
      <c r="D170" s="2089"/>
      <c r="E170" s="2089"/>
      <c r="F170" s="2089"/>
      <c r="G170" s="2089"/>
      <c r="H170" s="2089"/>
      <c r="I170" s="1904" t="s">
        <v>3140</v>
      </c>
      <c r="J170" s="1905"/>
      <c r="K170" s="1905"/>
      <c r="L170" s="1905"/>
      <c r="M170" s="1905"/>
      <c r="N170" s="1905"/>
      <c r="O170" s="1905"/>
      <c r="P170" s="1905"/>
      <c r="Q170" s="1905"/>
      <c r="R170" s="1905"/>
      <c r="S170" s="1905"/>
      <c r="T170" s="1905"/>
      <c r="U170" s="1905"/>
      <c r="V170" s="1905"/>
      <c r="W170" s="1905"/>
      <c r="X170" s="1905"/>
      <c r="Y170" s="1906"/>
      <c r="Z170" s="1907" t="s">
        <v>799</v>
      </c>
      <c r="AA170" s="1883"/>
      <c r="AB170" s="1883"/>
      <c r="AC170" s="1883"/>
      <c r="AD170" s="1883"/>
      <c r="AE170" s="1884"/>
      <c r="AF170" s="2322" t="s">
        <v>3163</v>
      </c>
      <c r="AG170" s="2323"/>
      <c r="AH170" s="2323"/>
      <c r="AI170" s="2323"/>
      <c r="AJ170" s="2323"/>
      <c r="AK170" s="2323"/>
      <c r="AL170" s="2323"/>
      <c r="AM170" s="2324"/>
      <c r="AN170" s="1058"/>
      <c r="AO170" s="1448"/>
      <c r="AP170" s="1058"/>
      <c r="AQ170" s="1058"/>
      <c r="AR170" s="1058"/>
      <c r="AS170" s="1058"/>
      <c r="AT170" s="1058"/>
      <c r="AU170" s="1058"/>
      <c r="AV170" s="1058"/>
      <c r="AW170" s="1058"/>
      <c r="AX170" s="1058"/>
      <c r="AY170" s="1058"/>
      <c r="AZ170" s="1058"/>
      <c r="BA170" s="1058"/>
      <c r="BB170" s="1058"/>
      <c r="BC170" s="1058"/>
      <c r="BD170" s="1058"/>
      <c r="BE170" s="1058"/>
      <c r="BF170" s="1058"/>
      <c r="BG170" s="1058"/>
      <c r="BH170" s="1058"/>
      <c r="BI170" s="1058"/>
      <c r="BJ170" s="1058"/>
    </row>
    <row r="171" spans="1:62" ht="18" customHeight="1">
      <c r="B171" s="2105" t="s">
        <v>676</v>
      </c>
      <c r="C171" s="2106"/>
      <c r="D171" s="2107"/>
      <c r="E171" s="2071" t="str">
        <f>'Document Checklist'!$E$21</f>
        <v>5a. Spon2 Cert &amp; Legal Disclosure</v>
      </c>
      <c r="F171" s="2072"/>
      <c r="G171" s="2072"/>
      <c r="H171" s="2072"/>
      <c r="I171" s="1741"/>
      <c r="J171" s="1741"/>
      <c r="K171" s="1741"/>
      <c r="L171" s="1741"/>
      <c r="M171" s="1788"/>
      <c r="N171" s="1801" t="str">
        <f>'Document Checklist'!$N$12</f>
        <v>Reference Sponsor Certification Worksheet.</v>
      </c>
      <c r="O171" s="1802"/>
      <c r="P171" s="1802"/>
      <c r="Q171" s="1802"/>
      <c r="R171" s="1802"/>
      <c r="S171" s="1802"/>
      <c r="T171" s="1802"/>
      <c r="U171" s="1802"/>
      <c r="V171" s="1802"/>
      <c r="W171" s="1802"/>
      <c r="X171" s="1802"/>
      <c r="Y171" s="1802"/>
      <c r="Z171" s="1802"/>
      <c r="AA171" s="1802"/>
      <c r="AB171" s="1802"/>
      <c r="AC171" s="1802"/>
      <c r="AD171" s="1802"/>
      <c r="AE171" s="1803"/>
      <c r="AF171" s="1960" t="s">
        <v>677</v>
      </c>
      <c r="AG171" s="1961"/>
      <c r="AH171" s="1961"/>
      <c r="AI171" s="1961"/>
      <c r="AJ171" s="1961"/>
      <c r="AK171" s="1961"/>
      <c r="AL171" s="1765" t="s">
        <v>711</v>
      </c>
      <c r="AM171" s="1765"/>
      <c r="AN171" s="1058"/>
      <c r="AO171" s="1448"/>
      <c r="AP171" s="1058"/>
      <c r="AQ171" s="1058"/>
      <c r="AR171" s="1058"/>
      <c r="AS171" s="1058"/>
      <c r="AT171" s="1058"/>
      <c r="AU171" s="1058"/>
      <c r="AV171" s="1058"/>
      <c r="AW171" s="1058"/>
      <c r="AX171" s="1058"/>
      <c r="AY171" s="1058"/>
      <c r="AZ171" s="1058"/>
      <c r="BA171" s="1058"/>
      <c r="BB171" s="1058"/>
      <c r="BC171" s="1058"/>
      <c r="BD171" s="1058"/>
      <c r="BE171" s="1058"/>
      <c r="BF171" s="1058"/>
      <c r="BG171" s="1058"/>
      <c r="BH171" s="1058"/>
      <c r="BI171" s="1058"/>
      <c r="BJ171" s="1058"/>
    </row>
    <row r="172" spans="1:62" ht="18" customHeight="1">
      <c r="B172" s="1870" t="s">
        <v>676</v>
      </c>
      <c r="C172" s="1871"/>
      <c r="D172" s="1872"/>
      <c r="E172" s="1740" t="str">
        <f>'Document Checklist'!$E$22</f>
        <v>5b. Spon2 Authorizing  Resolution</v>
      </c>
      <c r="F172" s="1741"/>
      <c r="G172" s="1741"/>
      <c r="H172" s="1741"/>
      <c r="I172" s="1741"/>
      <c r="J172" s="1741"/>
      <c r="K172" s="1741"/>
      <c r="L172" s="1741"/>
      <c r="M172" s="1788"/>
      <c r="N172" s="1801" t="str">
        <f>'Document Checklist'!$N$22</f>
        <v xml:space="preserve">Reference: AB434 webpage for Sponsor Authorizing Resolution Document. </v>
      </c>
      <c r="O172" s="1802"/>
      <c r="P172" s="1802"/>
      <c r="Q172" s="1802"/>
      <c r="R172" s="1802"/>
      <c r="S172" s="1802"/>
      <c r="T172" s="1802"/>
      <c r="U172" s="1802"/>
      <c r="V172" s="1802"/>
      <c r="W172" s="1802"/>
      <c r="X172" s="1802"/>
      <c r="Y172" s="1802"/>
      <c r="Z172" s="1802"/>
      <c r="AA172" s="1802"/>
      <c r="AB172" s="1802"/>
      <c r="AC172" s="1802"/>
      <c r="AD172" s="1802"/>
      <c r="AE172" s="1803"/>
      <c r="AF172" s="1960" t="s">
        <v>677</v>
      </c>
      <c r="AG172" s="1961"/>
      <c r="AH172" s="1961"/>
      <c r="AI172" s="1961"/>
      <c r="AJ172" s="1961"/>
      <c r="AK172" s="1961"/>
      <c r="AL172" s="1765" t="s">
        <v>711</v>
      </c>
      <c r="AM172" s="1765"/>
      <c r="AN172" s="1058"/>
      <c r="AO172" s="1032"/>
      <c r="AP172" s="438" t="s">
        <v>796</v>
      </c>
      <c r="AQ172" s="1058"/>
      <c r="AR172" s="1058"/>
      <c r="AS172" s="1058"/>
      <c r="AT172" s="1058"/>
      <c r="AU172" s="1058"/>
      <c r="AV172" s="1058"/>
      <c r="AW172" s="1058"/>
      <c r="AX172" s="1058"/>
      <c r="AY172" s="1058"/>
      <c r="AZ172" s="1058"/>
      <c r="BA172" s="1058"/>
      <c r="BB172" s="1058"/>
      <c r="BC172" s="1058"/>
      <c r="BD172" s="1058"/>
      <c r="BE172" s="1058"/>
      <c r="BF172" s="1058"/>
      <c r="BG172" s="1058"/>
      <c r="BH172" s="1058"/>
      <c r="BI172" s="1058"/>
      <c r="BJ172" s="1058"/>
    </row>
    <row r="173" spans="1:62" ht="18" customHeight="1">
      <c r="B173" s="1870" t="s">
        <v>676</v>
      </c>
      <c r="C173" s="1871"/>
      <c r="D173" s="1872"/>
      <c r="E173" s="1740" t="str">
        <f>'Document Checklist'!$E$23</f>
        <v>5c. Spon2 OrgDoc1, OrgDoc2, etc.</v>
      </c>
      <c r="F173" s="1741"/>
      <c r="G173" s="1741"/>
      <c r="H173" s="1741"/>
      <c r="I173" s="1741"/>
      <c r="J173" s="1741"/>
      <c r="K173" s="1741"/>
      <c r="L173" s="1741"/>
      <c r="M173" s="1788"/>
      <c r="N173" s="1801" t="str">
        <f>'Document Checklist'!$N$14</f>
        <v>Reference Entity Org Docs worksheet.</v>
      </c>
      <c r="O173" s="1802"/>
      <c r="P173" s="1802"/>
      <c r="Q173" s="1802"/>
      <c r="R173" s="1802"/>
      <c r="S173" s="1802"/>
      <c r="T173" s="1802"/>
      <c r="U173" s="1802"/>
      <c r="V173" s="1802"/>
      <c r="W173" s="1802"/>
      <c r="X173" s="1802"/>
      <c r="Y173" s="1802"/>
      <c r="Z173" s="1802"/>
      <c r="AA173" s="1802"/>
      <c r="AB173" s="1802"/>
      <c r="AC173" s="1802"/>
      <c r="AD173" s="1802"/>
      <c r="AE173" s="1803"/>
      <c r="AF173" s="1960" t="s">
        <v>677</v>
      </c>
      <c r="AG173" s="1961"/>
      <c r="AH173" s="1961"/>
      <c r="AI173" s="1961"/>
      <c r="AJ173" s="1961"/>
      <c r="AK173" s="1961"/>
      <c r="AL173" s="1765" t="s">
        <v>711</v>
      </c>
      <c r="AM173" s="1765"/>
      <c r="AN173" s="363"/>
      <c r="AO173" s="1448"/>
      <c r="AP173" s="1058"/>
      <c r="AQ173" s="1058"/>
      <c r="AR173" s="1058"/>
      <c r="AS173" s="1058"/>
      <c r="AT173" s="1058"/>
      <c r="AU173" s="1058"/>
      <c r="AV173" s="1058"/>
      <c r="AW173" s="1058"/>
      <c r="AX173" s="1058"/>
      <c r="AY173" s="1058"/>
      <c r="AZ173" s="1058"/>
      <c r="BA173" s="1058"/>
      <c r="BB173" s="1058"/>
      <c r="BC173" s="1058"/>
      <c r="BD173" s="1058"/>
      <c r="BE173" s="1058"/>
      <c r="BF173" s="1058"/>
      <c r="BG173" s="1058"/>
      <c r="BH173" s="1058"/>
      <c r="BI173" s="1058"/>
      <c r="BJ173" s="1058"/>
    </row>
    <row r="174" spans="1:62" ht="18" customHeight="1">
      <c r="B174" s="1870" t="s">
        <v>676</v>
      </c>
      <c r="C174" s="1871"/>
      <c r="D174" s="1872"/>
      <c r="E174" s="1740" t="str">
        <f>'Document Checklist'!$E$24</f>
        <v>5d. Spon2 OrgChart</v>
      </c>
      <c r="F174" s="1741"/>
      <c r="G174" s="1741"/>
      <c r="H174" s="1741"/>
      <c r="I174" s="1741"/>
      <c r="J174" s="1741"/>
      <c r="K174" s="1741"/>
      <c r="L174" s="1741"/>
      <c r="M174" s="1788"/>
      <c r="N174" s="1862" t="str">
        <f>'Document Checklist'!$N$24</f>
        <v>Sponsor Organization Chart.</v>
      </c>
      <c r="O174" s="1863"/>
      <c r="P174" s="1863"/>
      <c r="Q174" s="1863"/>
      <c r="R174" s="1863"/>
      <c r="S174" s="1863"/>
      <c r="T174" s="1863"/>
      <c r="U174" s="1863"/>
      <c r="V174" s="1863"/>
      <c r="W174" s="1863"/>
      <c r="X174" s="1863"/>
      <c r="Y174" s="1863"/>
      <c r="Z174" s="1863"/>
      <c r="AA174" s="1863"/>
      <c r="AB174" s="1863"/>
      <c r="AC174" s="1863"/>
      <c r="AD174" s="1863"/>
      <c r="AE174" s="1864"/>
      <c r="AF174" s="1960" t="s">
        <v>677</v>
      </c>
      <c r="AG174" s="1961"/>
      <c r="AH174" s="1961"/>
      <c r="AI174" s="1961"/>
      <c r="AJ174" s="1961"/>
      <c r="AK174" s="1961"/>
      <c r="AL174" s="1765" t="s">
        <v>711</v>
      </c>
      <c r="AM174" s="1765"/>
      <c r="AN174" s="1058"/>
      <c r="AO174" s="692"/>
      <c r="AP174" s="50"/>
      <c r="AQ174" s="50"/>
      <c r="AR174" s="1058"/>
      <c r="AS174" s="1058"/>
      <c r="AT174" s="1058"/>
      <c r="AU174" s="1058"/>
      <c r="AV174" s="1058"/>
      <c r="AW174" s="1058"/>
      <c r="AX174" s="1058"/>
      <c r="AY174" s="1058"/>
      <c r="AZ174" s="1058"/>
      <c r="BA174" s="1058"/>
      <c r="BB174" s="1058"/>
      <c r="BC174" s="1058"/>
      <c r="BD174" s="1058"/>
      <c r="BE174" s="1058"/>
      <c r="BF174" s="1058"/>
      <c r="BG174" s="1058"/>
      <c r="BH174" s="1058"/>
      <c r="BI174" s="1058"/>
      <c r="BJ174" s="1058"/>
    </row>
    <row r="175" spans="1:62" ht="18" customHeight="1">
      <c r="B175" s="1870" t="s">
        <v>676</v>
      </c>
      <c r="C175" s="1871"/>
      <c r="D175" s="1872"/>
      <c r="E175" s="1740" t="str">
        <f>'Document Checklist'!$E$25</f>
        <v>5e. Spon2 Signature Block</v>
      </c>
      <c r="F175" s="1741"/>
      <c r="G175" s="1741"/>
      <c r="H175" s="1741"/>
      <c r="I175" s="1741"/>
      <c r="J175" s="1741"/>
      <c r="K175" s="1741"/>
      <c r="L175" s="1741"/>
      <c r="M175" s="1788"/>
      <c r="N175" s="1862" t="str">
        <f>'Document Checklist'!$N$25</f>
        <v>Signature Block - upload in Microsoft Word Document.</v>
      </c>
      <c r="O175" s="1863"/>
      <c r="P175" s="1863"/>
      <c r="Q175" s="1863"/>
      <c r="R175" s="1863"/>
      <c r="S175" s="1863"/>
      <c r="T175" s="1863"/>
      <c r="U175" s="1863"/>
      <c r="V175" s="1863"/>
      <c r="W175" s="1863"/>
      <c r="X175" s="1863"/>
      <c r="Y175" s="1863"/>
      <c r="Z175" s="1863"/>
      <c r="AA175" s="1863"/>
      <c r="AB175" s="1863"/>
      <c r="AC175" s="1863"/>
      <c r="AD175" s="1863"/>
      <c r="AE175" s="1864"/>
      <c r="AF175" s="1960" t="s">
        <v>677</v>
      </c>
      <c r="AG175" s="1961"/>
      <c r="AH175" s="1961"/>
      <c r="AI175" s="1961"/>
      <c r="AJ175" s="1961"/>
      <c r="AK175" s="1961"/>
      <c r="AL175" s="1765" t="s">
        <v>711</v>
      </c>
      <c r="AM175" s="1765"/>
      <c r="AN175" s="1058"/>
      <c r="AO175" s="49"/>
      <c r="AP175" s="365"/>
      <c r="AQ175" s="365"/>
      <c r="AR175" s="365"/>
      <c r="AS175" s="365"/>
      <c r="AT175" s="365"/>
      <c r="AU175" s="365"/>
      <c r="AV175" s="365"/>
      <c r="AW175" s="365"/>
      <c r="AX175" s="365"/>
      <c r="AY175" s="365"/>
      <c r="AZ175" s="365"/>
      <c r="BA175" s="365"/>
      <c r="BB175" s="365"/>
      <c r="BC175" s="365"/>
      <c r="BD175" s="365"/>
      <c r="BE175" s="365"/>
      <c r="BF175" s="365"/>
      <c r="BG175" s="365"/>
      <c r="BH175" s="365"/>
      <c r="BI175" s="365"/>
      <c r="BJ175" s="365"/>
    </row>
    <row r="176" spans="1:62" s="365" customFormat="1" ht="36.75" customHeight="1">
      <c r="A176" s="452"/>
      <c r="B176" s="1870" t="s">
        <v>676</v>
      </c>
      <c r="C176" s="1871"/>
      <c r="D176" s="1872"/>
      <c r="E176" s="1740" t="str">
        <f>'Document Checklist'!$E$26</f>
        <v xml:space="preserve">5f. Spon2 Cert of Good Standing </v>
      </c>
      <c r="F176" s="1741"/>
      <c r="G176" s="1741"/>
      <c r="H176" s="1741"/>
      <c r="I176" s="1741"/>
      <c r="J176" s="1741"/>
      <c r="K176" s="1741"/>
      <c r="L176" s="1741"/>
      <c r="M176" s="1788"/>
      <c r="N176" s="1862" t="str">
        <f>'Document Checklist'!$N$26</f>
        <v>Certificate of Good Standing must be dated 30 days or less from the application due date.</v>
      </c>
      <c r="O176" s="1863"/>
      <c r="P176" s="1863"/>
      <c r="Q176" s="1863"/>
      <c r="R176" s="1863"/>
      <c r="S176" s="1863"/>
      <c r="T176" s="1863"/>
      <c r="U176" s="1863"/>
      <c r="V176" s="1863"/>
      <c r="W176" s="1863"/>
      <c r="X176" s="1863"/>
      <c r="Y176" s="1863"/>
      <c r="Z176" s="1863"/>
      <c r="AA176" s="1863"/>
      <c r="AB176" s="1863"/>
      <c r="AC176" s="1863"/>
      <c r="AD176" s="1863"/>
      <c r="AE176" s="1864"/>
      <c r="AF176" s="1960" t="s">
        <v>677</v>
      </c>
      <c r="AG176" s="1961"/>
      <c r="AH176" s="1961"/>
      <c r="AI176" s="1961"/>
      <c r="AJ176" s="1961"/>
      <c r="AK176" s="1961"/>
      <c r="AL176" s="1765" t="s">
        <v>711</v>
      </c>
      <c r="AM176" s="1765"/>
      <c r="AN176" s="360"/>
      <c r="AO176" s="1448"/>
      <c r="AP176" s="1058"/>
      <c r="AQ176" s="1058"/>
      <c r="AR176" s="1310"/>
      <c r="AS176" s="1310"/>
      <c r="AU176" s="1310"/>
      <c r="AV176" s="1310"/>
      <c r="AW176" s="1310"/>
      <c r="AX176" s="1310"/>
      <c r="AY176" s="1310"/>
      <c r="AZ176" s="1310"/>
      <c r="BA176" s="1310"/>
      <c r="BB176" s="1310"/>
      <c r="BC176" s="1310"/>
      <c r="BD176" s="1310"/>
      <c r="BE176" s="1310"/>
      <c r="BF176" s="1310"/>
      <c r="BG176" s="1310"/>
      <c r="BH176" s="1310"/>
      <c r="BI176" s="1310"/>
      <c r="BJ176" s="1310"/>
    </row>
    <row r="177" spans="1:62" s="446" customFormat="1" ht="14.4">
      <c r="A177" s="452"/>
      <c r="B177" s="1870" t="s">
        <v>676</v>
      </c>
      <c r="C177" s="1871"/>
      <c r="D177" s="1872"/>
      <c r="E177" s="1740" t="str">
        <f>'Document Checklist'!$E$27</f>
        <v>5g. Spon2 Tax-Exempt Status</v>
      </c>
      <c r="F177" s="1741"/>
      <c r="G177" s="1741"/>
      <c r="H177" s="1741"/>
      <c r="I177" s="1741"/>
      <c r="J177" s="1741"/>
      <c r="K177" s="1741"/>
      <c r="L177" s="1741"/>
      <c r="M177" s="1788"/>
      <c r="N177" s="1862" t="str">
        <f>'Document Checklist'!$N$27</f>
        <v>Evidence of tax-exempt status from IRS and FTB for Corporations. (Non-Profits Only)</v>
      </c>
      <c r="O177" s="1863"/>
      <c r="P177" s="1863"/>
      <c r="Q177" s="1863"/>
      <c r="R177" s="1863"/>
      <c r="S177" s="1863"/>
      <c r="T177" s="1863"/>
      <c r="U177" s="1863"/>
      <c r="V177" s="1863"/>
      <c r="W177" s="1863"/>
      <c r="X177" s="1863"/>
      <c r="Y177" s="1863"/>
      <c r="Z177" s="1863"/>
      <c r="AA177" s="1863"/>
      <c r="AB177" s="1863"/>
      <c r="AC177" s="1863"/>
      <c r="AD177" s="1863"/>
      <c r="AE177" s="1864"/>
      <c r="AF177" s="1960" t="s">
        <v>677</v>
      </c>
      <c r="AG177" s="1961"/>
      <c r="AH177" s="1961"/>
      <c r="AI177" s="1961"/>
      <c r="AJ177" s="1961"/>
      <c r="AK177" s="1961"/>
      <c r="AL177" s="1765" t="s">
        <v>711</v>
      </c>
      <c r="AM177" s="1765"/>
      <c r="AN177" s="360"/>
      <c r="AO177" s="692"/>
      <c r="AP177" s="50"/>
      <c r="AQ177" s="50"/>
      <c r="AR177" s="365"/>
      <c r="AS177" s="365"/>
      <c r="AT177" s="365"/>
      <c r="AU177" s="365"/>
      <c r="AV177" s="365"/>
      <c r="AW177" s="365"/>
      <c r="AX177" s="365"/>
      <c r="AY177" s="365"/>
      <c r="AZ177" s="365"/>
      <c r="BA177" s="365"/>
      <c r="BB177" s="365"/>
      <c r="BC177" s="365"/>
      <c r="BD177" s="365"/>
      <c r="BE177" s="365"/>
      <c r="BF177" s="365"/>
      <c r="BG177" s="365"/>
      <c r="BH177" s="365"/>
      <c r="BI177" s="365"/>
      <c r="BJ177" s="365"/>
    </row>
    <row r="178" spans="1:62" s="365" customFormat="1" ht="13.8" hidden="1">
      <c r="A178" s="2258"/>
      <c r="B178" s="2258"/>
      <c r="C178" s="2258"/>
      <c r="D178" s="2258"/>
      <c r="E178" s="2258"/>
      <c r="F178" s="2258"/>
      <c r="G178" s="2258"/>
      <c r="H178" s="2258"/>
      <c r="I178" s="2258"/>
      <c r="J178" s="2258"/>
      <c r="K178" s="2258"/>
      <c r="L178" s="2258"/>
      <c r="M178" s="2258"/>
      <c r="N178" s="2258"/>
      <c r="O178" s="2258"/>
      <c r="P178" s="2258"/>
      <c r="Q178" s="2258"/>
      <c r="R178" s="2258"/>
      <c r="S178" s="2258"/>
      <c r="T178" s="2258"/>
      <c r="U178" s="2258"/>
      <c r="V178" s="2258"/>
      <c r="W178" s="2258"/>
      <c r="X178" s="2258"/>
      <c r="Y178" s="2258"/>
      <c r="Z178" s="2258"/>
      <c r="AA178" s="2258"/>
      <c r="AB178" s="2258"/>
      <c r="AC178" s="2258"/>
      <c r="AD178" s="2258"/>
      <c r="AE178" s="2258"/>
      <c r="AF178" s="2258"/>
      <c r="AG178" s="2258"/>
      <c r="AH178" s="2258"/>
      <c r="AI178" s="2258"/>
      <c r="AJ178" s="2258"/>
      <c r="AK178" s="2258"/>
      <c r="AL178" s="2258"/>
      <c r="AM178" s="2259"/>
      <c r="AN178" s="1456"/>
      <c r="AO178" s="692"/>
      <c r="AP178" s="50"/>
      <c r="AQ178" s="50"/>
    </row>
    <row r="179" spans="1:62" s="365" customFormat="1" ht="13.8" hidden="1">
      <c r="A179" s="1203"/>
      <c r="B179" s="1915" t="s">
        <v>800</v>
      </c>
      <c r="C179" s="2093"/>
      <c r="D179" s="2093"/>
      <c r="E179" s="2093"/>
      <c r="F179" s="2093"/>
      <c r="G179" s="2093"/>
      <c r="H179" s="2093"/>
      <c r="I179" s="2093"/>
      <c r="J179" s="2093"/>
      <c r="K179" s="2093"/>
      <c r="L179" s="2093"/>
      <c r="M179" s="2093"/>
      <c r="N179" s="2093"/>
      <c r="O179" s="2093"/>
      <c r="P179" s="2093"/>
      <c r="Q179" s="2093"/>
      <c r="R179" s="2093"/>
      <c r="S179" s="2093"/>
      <c r="T179" s="2093"/>
      <c r="U179" s="2093"/>
      <c r="V179" s="2093"/>
      <c r="W179" s="2093"/>
      <c r="X179" s="2093"/>
      <c r="Y179" s="2093"/>
      <c r="Z179" s="2093"/>
      <c r="AA179" s="2093"/>
      <c r="AB179" s="2093"/>
      <c r="AC179" s="2093"/>
      <c r="AD179" s="2093"/>
      <c r="AE179" s="2093"/>
      <c r="AF179" s="2093"/>
      <c r="AG179" s="2093"/>
      <c r="AH179" s="2093"/>
      <c r="AI179" s="2093"/>
      <c r="AJ179" s="2093"/>
      <c r="AK179" s="2093"/>
      <c r="AL179" s="2093"/>
      <c r="AM179" s="2093"/>
      <c r="AN179" s="360"/>
      <c r="AO179" s="1032"/>
      <c r="AP179" s="442" t="s">
        <v>801</v>
      </c>
      <c r="AQ179" s="442"/>
      <c r="AR179" s="449"/>
      <c r="AS179" s="449"/>
      <c r="AT179" s="449"/>
      <c r="AU179" s="449"/>
      <c r="AV179" s="449"/>
      <c r="AW179" s="449"/>
      <c r="AX179" s="449"/>
      <c r="AY179" s="449"/>
      <c r="AZ179" s="449"/>
      <c r="BA179" s="449"/>
      <c r="BB179" s="449"/>
      <c r="BC179" s="449"/>
      <c r="BD179" s="449"/>
      <c r="BE179" s="449"/>
      <c r="BF179" s="449"/>
      <c r="BG179" s="449"/>
      <c r="BH179" s="449"/>
      <c r="BI179" s="449"/>
      <c r="BJ179" s="449"/>
    </row>
    <row r="180" spans="1:62" s="449" customFormat="1" ht="13.8" hidden="1">
      <c r="A180" s="452"/>
      <c r="B180" s="1962" t="s">
        <v>802</v>
      </c>
      <c r="C180" s="1962"/>
      <c r="D180" s="1962"/>
      <c r="E180" s="1962"/>
      <c r="F180" s="1962"/>
      <c r="G180" s="1962"/>
      <c r="H180" s="1962"/>
      <c r="I180" s="1963" t="s">
        <v>803</v>
      </c>
      <c r="J180" s="1963"/>
      <c r="K180" s="1963"/>
      <c r="L180" s="1963"/>
      <c r="M180" s="1963"/>
      <c r="N180" s="1963"/>
      <c r="O180" s="1964"/>
      <c r="P180" s="2154" t="s">
        <v>4192</v>
      </c>
      <c r="Q180" s="2155"/>
      <c r="R180" s="2155"/>
      <c r="S180" s="2155"/>
      <c r="T180" s="2155"/>
      <c r="U180" s="2155"/>
      <c r="V180" s="2155"/>
      <c r="W180" s="2155"/>
      <c r="X180" s="2155"/>
      <c r="Y180" s="2155"/>
      <c r="Z180" s="2155"/>
      <c r="AA180" s="2155"/>
      <c r="AB180" s="2155"/>
      <c r="AC180" s="2155"/>
      <c r="AD180" s="2155"/>
      <c r="AE180" s="2155"/>
      <c r="AF180" s="2155"/>
      <c r="AG180" s="2155"/>
      <c r="AH180" s="2155"/>
      <c r="AI180" s="2155"/>
      <c r="AJ180" s="2155"/>
      <c r="AK180" s="2155"/>
      <c r="AL180" s="2155"/>
      <c r="AM180" s="2156"/>
      <c r="AN180" s="360"/>
      <c r="AO180" s="692"/>
      <c r="AP180" s="50"/>
      <c r="AQ180" s="50"/>
      <c r="AR180" s="50"/>
      <c r="AS180" s="50"/>
      <c r="AT180" s="50"/>
      <c r="AU180" s="50"/>
      <c r="AV180" s="50"/>
      <c r="AW180" s="50"/>
      <c r="AX180" s="50"/>
      <c r="AY180" s="50"/>
      <c r="AZ180" s="50"/>
      <c r="BA180" s="50"/>
      <c r="BB180" s="50"/>
      <c r="BC180" s="50"/>
      <c r="BD180" s="50"/>
      <c r="BE180" s="50"/>
      <c r="BF180" s="50"/>
      <c r="BG180" s="50"/>
      <c r="BH180" s="50"/>
      <c r="BI180" s="50"/>
      <c r="BJ180" s="50"/>
    </row>
    <row r="181" spans="1:62" s="50" customFormat="1" ht="13.8" hidden="1">
      <c r="A181" s="452"/>
      <c r="B181" s="2105" t="s">
        <v>676</v>
      </c>
      <c r="C181" s="2106"/>
      <c r="D181" s="2107"/>
      <c r="E181" s="2071" t="str">
        <f>'Document Checklist'!$E$30</f>
        <v>6a. Joint Venture Agreement</v>
      </c>
      <c r="F181" s="2072"/>
      <c r="G181" s="2072"/>
      <c r="H181" s="2072"/>
      <c r="I181" s="1741"/>
      <c r="J181" s="1741"/>
      <c r="K181" s="1741"/>
      <c r="L181" s="1741"/>
      <c r="M181" s="1788"/>
      <c r="N181" s="1862" t="str">
        <f>'Document Checklist'!$N$30</f>
        <v>Provide an executed copy stating the terms of your joint venture agreement.</v>
      </c>
      <c r="O181" s="1863"/>
      <c r="P181" s="1863"/>
      <c r="Q181" s="1863"/>
      <c r="R181" s="1863"/>
      <c r="S181" s="1863"/>
      <c r="T181" s="1863"/>
      <c r="U181" s="1863"/>
      <c r="V181" s="1863"/>
      <c r="W181" s="1863"/>
      <c r="X181" s="1863"/>
      <c r="Y181" s="1863"/>
      <c r="Z181" s="1863"/>
      <c r="AA181" s="1863"/>
      <c r="AB181" s="1863"/>
      <c r="AC181" s="1863"/>
      <c r="AD181" s="1863"/>
      <c r="AE181" s="1864"/>
      <c r="AF181" s="1804" t="s">
        <v>677</v>
      </c>
      <c r="AG181" s="1805"/>
      <c r="AH181" s="1805"/>
      <c r="AI181" s="1805"/>
      <c r="AJ181" s="1805"/>
      <c r="AK181" s="1806"/>
      <c r="AL181" s="1765" t="s">
        <v>1475</v>
      </c>
      <c r="AM181" s="1765"/>
      <c r="AN181" s="360"/>
      <c r="AO181" s="692"/>
    </row>
    <row r="182" spans="1:62" s="50" customFormat="1" ht="13.8" hidden="1">
      <c r="A182" s="452"/>
      <c r="B182" s="1870" t="s">
        <v>676</v>
      </c>
      <c r="C182" s="1871"/>
      <c r="D182" s="1872"/>
      <c r="E182" s="1740" t="str">
        <f>'Document Checklist'!$E$31</f>
        <v>6b. JV1 Cert &amp; Legal Disclosure</v>
      </c>
      <c r="F182" s="1741"/>
      <c r="G182" s="1741"/>
      <c r="H182" s="1741"/>
      <c r="I182" s="1741"/>
      <c r="J182" s="1741"/>
      <c r="K182" s="1741"/>
      <c r="L182" s="1741"/>
      <c r="M182" s="1788"/>
      <c r="N182" s="1801" t="str">
        <f>'Document Checklist'!$N$12</f>
        <v>Reference Sponsor Certification Worksheet.</v>
      </c>
      <c r="O182" s="1802"/>
      <c r="P182" s="1802"/>
      <c r="Q182" s="1802"/>
      <c r="R182" s="1802"/>
      <c r="S182" s="1802"/>
      <c r="T182" s="1802"/>
      <c r="U182" s="1802"/>
      <c r="V182" s="1802"/>
      <c r="W182" s="1802"/>
      <c r="X182" s="1802"/>
      <c r="Y182" s="1802"/>
      <c r="Z182" s="1802"/>
      <c r="AA182" s="1802"/>
      <c r="AB182" s="1802"/>
      <c r="AC182" s="1802"/>
      <c r="AD182" s="1802"/>
      <c r="AE182" s="1803"/>
      <c r="AF182" s="1804" t="s">
        <v>677</v>
      </c>
      <c r="AG182" s="1805"/>
      <c r="AH182" s="1805"/>
      <c r="AI182" s="1805"/>
      <c r="AJ182" s="1805"/>
      <c r="AK182" s="1806"/>
      <c r="AL182" s="1765" t="s">
        <v>1475</v>
      </c>
      <c r="AM182" s="1765"/>
      <c r="AN182" s="360"/>
      <c r="AO182" s="692"/>
    </row>
    <row r="183" spans="1:62" s="50" customFormat="1" ht="14.4" hidden="1">
      <c r="A183" s="452"/>
      <c r="B183" s="1870" t="s">
        <v>676</v>
      </c>
      <c r="C183" s="1871"/>
      <c r="D183" s="1872"/>
      <c r="E183" s="1740" t="str">
        <f>'Document Checklist'!$E$32</f>
        <v>6c. JV1 Authorizing Resolution</v>
      </c>
      <c r="F183" s="1741"/>
      <c r="G183" s="1741"/>
      <c r="H183" s="1741"/>
      <c r="I183" s="1741"/>
      <c r="J183" s="1741"/>
      <c r="K183" s="1741"/>
      <c r="L183" s="1741"/>
      <c r="M183" s="1788"/>
      <c r="N183" s="1801" t="str">
        <f>'Document Checklist'!$N$32</f>
        <v xml:space="preserve">Reference: AB434 webpage for Sponsor Authorizing Resolution Document. </v>
      </c>
      <c r="O183" s="1802"/>
      <c r="P183" s="1802"/>
      <c r="Q183" s="1802"/>
      <c r="R183" s="1802"/>
      <c r="S183" s="1802"/>
      <c r="T183" s="1802"/>
      <c r="U183" s="1802"/>
      <c r="V183" s="1802"/>
      <c r="W183" s="1802"/>
      <c r="X183" s="1802"/>
      <c r="Y183" s="1802"/>
      <c r="Z183" s="1802"/>
      <c r="AA183" s="1802"/>
      <c r="AB183" s="1802"/>
      <c r="AC183" s="1802"/>
      <c r="AD183" s="1802"/>
      <c r="AE183" s="1803"/>
      <c r="AF183" s="1804" t="s">
        <v>677</v>
      </c>
      <c r="AG183" s="1805"/>
      <c r="AH183" s="1805"/>
      <c r="AI183" s="1805"/>
      <c r="AJ183" s="1805"/>
      <c r="AK183" s="1806"/>
      <c r="AL183" s="1765" t="s">
        <v>1475</v>
      </c>
      <c r="AM183" s="1765"/>
      <c r="AN183" s="360"/>
      <c r="AO183" s="1032"/>
      <c r="AP183" s="438" t="s">
        <v>796</v>
      </c>
      <c r="AQ183" s="1310"/>
    </row>
    <row r="184" spans="1:62" s="50" customFormat="1" ht="13.8" hidden="1">
      <c r="A184" s="452"/>
      <c r="B184" s="1870" t="s">
        <v>676</v>
      </c>
      <c r="C184" s="1871"/>
      <c r="D184" s="1872"/>
      <c r="E184" s="1740" t="str">
        <f>'Document Checklist'!$E$33</f>
        <v>6d. JV1 OrgDoc1, OrgDoc2, etc.</v>
      </c>
      <c r="F184" s="1741"/>
      <c r="G184" s="1741"/>
      <c r="H184" s="1741"/>
      <c r="I184" s="1741"/>
      <c r="J184" s="1741"/>
      <c r="K184" s="1741"/>
      <c r="L184" s="1741"/>
      <c r="M184" s="1788"/>
      <c r="N184" s="1801" t="str">
        <f>'Document Checklist'!$N$14</f>
        <v>Reference Entity Org Docs worksheet.</v>
      </c>
      <c r="O184" s="1802"/>
      <c r="P184" s="1802"/>
      <c r="Q184" s="1802"/>
      <c r="R184" s="1802"/>
      <c r="S184" s="1802"/>
      <c r="T184" s="1802"/>
      <c r="U184" s="1802"/>
      <c r="V184" s="1802"/>
      <c r="W184" s="1802"/>
      <c r="X184" s="1802"/>
      <c r="Y184" s="1802"/>
      <c r="Z184" s="1802"/>
      <c r="AA184" s="1802"/>
      <c r="AB184" s="1802"/>
      <c r="AC184" s="1802"/>
      <c r="AD184" s="1802"/>
      <c r="AE184" s="1803"/>
      <c r="AF184" s="1804" t="s">
        <v>677</v>
      </c>
      <c r="AG184" s="1805"/>
      <c r="AH184" s="1805"/>
      <c r="AI184" s="1805"/>
      <c r="AJ184" s="1805"/>
      <c r="AK184" s="1806"/>
      <c r="AL184" s="1765" t="s">
        <v>1475</v>
      </c>
      <c r="AM184" s="1765"/>
      <c r="AN184" s="363"/>
      <c r="AO184" s="1448"/>
      <c r="AP184" s="1058"/>
      <c r="AQ184" s="1058"/>
      <c r="AR184" s="438"/>
      <c r="AS184" s="450"/>
      <c r="AT184" s="438"/>
      <c r="AU184" s="438"/>
      <c r="AV184" s="438"/>
      <c r="AW184" s="438"/>
      <c r="AX184" s="438"/>
      <c r="AY184" s="438"/>
      <c r="AZ184" s="438"/>
      <c r="BA184" s="438"/>
      <c r="BB184" s="438"/>
      <c r="BC184" s="438"/>
      <c r="BD184" s="438"/>
      <c r="BE184" s="438"/>
      <c r="BF184" s="438"/>
      <c r="BG184" s="438"/>
      <c r="BH184" s="438"/>
      <c r="BI184" s="438"/>
      <c r="BJ184" s="438"/>
    </row>
    <row r="185" spans="1:62" s="438" customFormat="1" ht="13.8" hidden="1">
      <c r="A185" s="452"/>
      <c r="B185" s="1870" t="s">
        <v>676</v>
      </c>
      <c r="C185" s="1871"/>
      <c r="D185" s="1872"/>
      <c r="E185" s="1740" t="str">
        <f>'Document Checklist'!$E$34</f>
        <v>6e. JV1 OrgChart</v>
      </c>
      <c r="F185" s="1741"/>
      <c r="G185" s="1741"/>
      <c r="H185" s="1741"/>
      <c r="I185" s="1741"/>
      <c r="J185" s="1741"/>
      <c r="K185" s="1741"/>
      <c r="L185" s="1741"/>
      <c r="M185" s="1788"/>
      <c r="N185" s="1862" t="str">
        <f>'Document Checklist'!$N$34</f>
        <v>Sponsor Organization Chart.</v>
      </c>
      <c r="O185" s="1863"/>
      <c r="P185" s="1863"/>
      <c r="Q185" s="1863"/>
      <c r="R185" s="1863"/>
      <c r="S185" s="1863"/>
      <c r="T185" s="1863"/>
      <c r="U185" s="1863"/>
      <c r="V185" s="1863"/>
      <c r="W185" s="1863"/>
      <c r="X185" s="1863"/>
      <c r="Y185" s="1863"/>
      <c r="Z185" s="1863"/>
      <c r="AA185" s="1863"/>
      <c r="AB185" s="1863"/>
      <c r="AC185" s="1863"/>
      <c r="AD185" s="1863"/>
      <c r="AE185" s="1864"/>
      <c r="AF185" s="1804" t="s">
        <v>677</v>
      </c>
      <c r="AG185" s="1805"/>
      <c r="AH185" s="1805"/>
      <c r="AI185" s="1805"/>
      <c r="AJ185" s="1805"/>
      <c r="AK185" s="1806"/>
      <c r="AL185" s="1765" t="s">
        <v>1475</v>
      </c>
      <c r="AM185" s="1765"/>
      <c r="AN185" s="360"/>
      <c r="AO185" s="1448"/>
      <c r="AP185" s="363"/>
      <c r="AR185" s="1058"/>
      <c r="AS185" s="1058"/>
      <c r="AT185" s="1058"/>
      <c r="AU185" s="1058"/>
      <c r="AV185" s="1058"/>
      <c r="AW185" s="1058"/>
      <c r="AX185" s="1058"/>
      <c r="AY185" s="1058"/>
      <c r="AZ185" s="1058"/>
      <c r="BA185" s="1058"/>
      <c r="BB185" s="1058"/>
      <c r="BC185" s="1058"/>
      <c r="BD185" s="1058"/>
      <c r="BE185" s="1058"/>
      <c r="BF185" s="1058"/>
      <c r="BG185" s="1058"/>
      <c r="BH185" s="1058"/>
      <c r="BI185" s="1058"/>
      <c r="BJ185" s="1058"/>
    </row>
    <row r="186" spans="1:62" ht="13.8" hidden="1">
      <c r="B186" s="1870" t="s">
        <v>676</v>
      </c>
      <c r="C186" s="1871"/>
      <c r="D186" s="1872"/>
      <c r="E186" s="1740" t="str">
        <f>'Document Checklist'!$E$35</f>
        <v>6f. JV1 Signature Block</v>
      </c>
      <c r="F186" s="1741"/>
      <c r="G186" s="1741"/>
      <c r="H186" s="1741"/>
      <c r="I186" s="1741"/>
      <c r="J186" s="1741"/>
      <c r="K186" s="1741"/>
      <c r="L186" s="1741"/>
      <c r="M186" s="1788"/>
      <c r="N186" s="1862" t="str">
        <f>'Document Checklist'!$N$35</f>
        <v>Signature Block - upload in Microsoft Word Document.</v>
      </c>
      <c r="O186" s="1863"/>
      <c r="P186" s="1863"/>
      <c r="Q186" s="1863"/>
      <c r="R186" s="1863"/>
      <c r="S186" s="1863"/>
      <c r="T186" s="1863"/>
      <c r="U186" s="1863"/>
      <c r="V186" s="1863"/>
      <c r="W186" s="1863"/>
      <c r="X186" s="1863"/>
      <c r="Y186" s="1863"/>
      <c r="Z186" s="1863"/>
      <c r="AA186" s="1863"/>
      <c r="AB186" s="1863"/>
      <c r="AC186" s="1863"/>
      <c r="AD186" s="1863"/>
      <c r="AE186" s="1864"/>
      <c r="AF186" s="1804" t="s">
        <v>677</v>
      </c>
      <c r="AG186" s="1805"/>
      <c r="AH186" s="1805"/>
      <c r="AI186" s="1805"/>
      <c r="AJ186" s="1805"/>
      <c r="AK186" s="1806"/>
      <c r="AL186" s="1765" t="s">
        <v>1475</v>
      </c>
      <c r="AM186" s="1765"/>
      <c r="AN186" s="360"/>
      <c r="AO186" s="1448"/>
      <c r="AP186" s="1058"/>
      <c r="AQ186" s="1058"/>
      <c r="AR186" s="1058"/>
      <c r="AS186" s="1058"/>
      <c r="AT186" s="1058"/>
      <c r="AU186" s="1058"/>
      <c r="AV186" s="1058"/>
      <c r="AW186" s="1058"/>
      <c r="AX186" s="1058"/>
      <c r="AY186" s="1058"/>
      <c r="AZ186" s="1058"/>
      <c r="BA186" s="1058"/>
      <c r="BB186" s="1058"/>
      <c r="BC186" s="1058"/>
      <c r="BD186" s="1058"/>
      <c r="BE186" s="1058"/>
      <c r="BF186" s="1058"/>
      <c r="BG186" s="1058"/>
      <c r="BH186" s="1058"/>
      <c r="BI186" s="1058"/>
      <c r="BJ186" s="1058"/>
    </row>
    <row r="187" spans="1:62" ht="13.8" hidden="1">
      <c r="B187" s="1870" t="s">
        <v>676</v>
      </c>
      <c r="C187" s="1871"/>
      <c r="D187" s="1872"/>
      <c r="E187" s="1740" t="str">
        <f>'Document Checklist'!$E$36</f>
        <v xml:space="preserve">6g. JV1 Cert of Good Standing </v>
      </c>
      <c r="F187" s="1741"/>
      <c r="G187" s="1741"/>
      <c r="H187" s="1741"/>
      <c r="I187" s="1741"/>
      <c r="J187" s="1741"/>
      <c r="K187" s="1741"/>
      <c r="L187" s="1741"/>
      <c r="M187" s="1788"/>
      <c r="N187" s="1862" t="str">
        <f>'Document Checklist'!$N$36</f>
        <v>Certificate of Good Standing must be dated 30 days or less from the application due date.</v>
      </c>
      <c r="O187" s="1863"/>
      <c r="P187" s="1863"/>
      <c r="Q187" s="1863"/>
      <c r="R187" s="1863"/>
      <c r="S187" s="1863"/>
      <c r="T187" s="1863"/>
      <c r="U187" s="1863"/>
      <c r="V187" s="1863"/>
      <c r="W187" s="1863"/>
      <c r="X187" s="1863"/>
      <c r="Y187" s="1863"/>
      <c r="Z187" s="1863"/>
      <c r="AA187" s="1863"/>
      <c r="AB187" s="1863"/>
      <c r="AC187" s="1863"/>
      <c r="AD187" s="1863"/>
      <c r="AE187" s="1864"/>
      <c r="AF187" s="1804" t="s">
        <v>677</v>
      </c>
      <c r="AG187" s="1805"/>
      <c r="AH187" s="1805"/>
      <c r="AI187" s="1805"/>
      <c r="AJ187" s="1805"/>
      <c r="AK187" s="1806"/>
      <c r="AL187" s="1765" t="s">
        <v>1475</v>
      </c>
      <c r="AM187" s="1765"/>
      <c r="AN187" s="360"/>
      <c r="AO187" s="1448"/>
      <c r="AP187" s="1058"/>
      <c r="AQ187" s="1058"/>
      <c r="AR187" s="1058"/>
      <c r="AS187" s="1058"/>
      <c r="AT187" s="1058"/>
      <c r="AU187" s="1058"/>
      <c r="AV187" s="1058"/>
      <c r="AW187" s="1058"/>
      <c r="AX187" s="1058"/>
      <c r="AY187" s="1058"/>
      <c r="AZ187" s="1058"/>
      <c r="BA187" s="1058"/>
      <c r="BB187" s="1058"/>
      <c r="BC187" s="1058"/>
      <c r="BD187" s="1058"/>
      <c r="BE187" s="1058"/>
      <c r="BF187" s="1058"/>
      <c r="BG187" s="1058"/>
      <c r="BH187" s="1058"/>
      <c r="BI187" s="1058"/>
      <c r="BJ187" s="1058"/>
    </row>
    <row r="188" spans="1:62" ht="13.8" hidden="1">
      <c r="B188" s="1870" t="s">
        <v>676</v>
      </c>
      <c r="C188" s="1871"/>
      <c r="D188" s="1872"/>
      <c r="E188" s="1740" t="str">
        <f>'Document Checklist'!$E$37</f>
        <v>6h. JV1 Tax-Exempt Status</v>
      </c>
      <c r="F188" s="1741"/>
      <c r="G188" s="1741"/>
      <c r="H188" s="1741"/>
      <c r="I188" s="1741"/>
      <c r="J188" s="1741"/>
      <c r="K188" s="1741"/>
      <c r="L188" s="1741"/>
      <c r="M188" s="1788"/>
      <c r="N188" s="1862" t="str">
        <f>'Document Checklist'!$N$37</f>
        <v>Evidence of tax-exempt status from IRS and FTB for Corporations. (Non-Profits Only)</v>
      </c>
      <c r="O188" s="1863"/>
      <c r="P188" s="1863"/>
      <c r="Q188" s="1863"/>
      <c r="R188" s="1863"/>
      <c r="S188" s="1863"/>
      <c r="T188" s="1863"/>
      <c r="U188" s="1863"/>
      <c r="V188" s="1863"/>
      <c r="W188" s="1863"/>
      <c r="X188" s="1863"/>
      <c r="Y188" s="1863"/>
      <c r="Z188" s="1863"/>
      <c r="AA188" s="1863"/>
      <c r="AB188" s="1863"/>
      <c r="AC188" s="1863"/>
      <c r="AD188" s="1863"/>
      <c r="AE188" s="1864"/>
      <c r="AF188" s="1804" t="s">
        <v>677</v>
      </c>
      <c r="AG188" s="1805"/>
      <c r="AH188" s="1805"/>
      <c r="AI188" s="1805"/>
      <c r="AJ188" s="1805"/>
      <c r="AK188" s="1806"/>
      <c r="AL188" s="1765" t="s">
        <v>1475</v>
      </c>
      <c r="AM188" s="1765"/>
      <c r="AN188" s="360"/>
      <c r="AO188" s="1448"/>
      <c r="AP188" s="1058"/>
      <c r="AQ188" s="1058"/>
      <c r="AR188" s="1058"/>
      <c r="AS188" s="1058"/>
      <c r="AT188" s="1058"/>
      <c r="AU188" s="1058"/>
      <c r="AV188" s="1058"/>
      <c r="AW188" s="1058"/>
      <c r="AX188" s="1058"/>
      <c r="AY188" s="1058"/>
      <c r="AZ188" s="1058"/>
      <c r="BA188" s="1058"/>
      <c r="BB188" s="1058"/>
      <c r="BC188" s="1058"/>
      <c r="BD188" s="1058"/>
      <c r="BE188" s="1058"/>
      <c r="BF188" s="1058"/>
      <c r="BG188" s="1058"/>
      <c r="BH188" s="1058"/>
      <c r="BI188" s="1058"/>
      <c r="BJ188" s="1058"/>
    </row>
    <row r="189" spans="1:62" ht="13.8" hidden="1">
      <c r="B189" s="2111" t="s">
        <v>804</v>
      </c>
      <c r="C189" s="2111"/>
      <c r="D189" s="2111"/>
      <c r="E189" s="2111"/>
      <c r="F189" s="2111"/>
      <c r="G189" s="2111"/>
      <c r="H189" s="2111"/>
      <c r="I189" s="2111"/>
      <c r="J189" s="2111"/>
      <c r="K189" s="2111"/>
      <c r="L189" s="2111"/>
      <c r="M189" s="2111"/>
      <c r="N189" s="2111"/>
      <c r="O189" s="2111"/>
      <c r="P189" s="2111"/>
      <c r="Q189" s="2111"/>
      <c r="R189" s="2111"/>
      <c r="S189" s="2111"/>
      <c r="T189" s="2111"/>
      <c r="U189" s="2111"/>
      <c r="V189" s="2111"/>
      <c r="W189" s="2111"/>
      <c r="X189" s="2111"/>
      <c r="Y189" s="2111"/>
      <c r="Z189" s="2111"/>
      <c r="AA189" s="2111"/>
      <c r="AB189" s="2111"/>
      <c r="AC189" s="2111"/>
      <c r="AD189" s="2111"/>
      <c r="AE189" s="2111"/>
      <c r="AF189" s="2111"/>
      <c r="AG189" s="2111"/>
      <c r="AH189" s="2111"/>
      <c r="AI189" s="2111"/>
      <c r="AJ189" s="2111"/>
      <c r="AK189" s="2112"/>
      <c r="AL189" s="1765" t="s">
        <v>1475</v>
      </c>
      <c r="AM189" s="1765"/>
      <c r="AN189" s="360"/>
      <c r="AO189" s="452"/>
      <c r="AP189" s="1058"/>
      <c r="AQ189" s="1058"/>
      <c r="AR189" s="1058"/>
      <c r="AS189" s="1058"/>
      <c r="AT189" s="1058"/>
      <c r="AU189" s="1058"/>
      <c r="AV189" s="1058"/>
      <c r="AW189" s="1058"/>
      <c r="AX189" s="1058"/>
      <c r="AY189" s="1058"/>
      <c r="AZ189" s="1058"/>
      <c r="BA189" s="1058"/>
      <c r="BB189" s="1058"/>
      <c r="BC189" s="1058"/>
      <c r="BD189" s="1058"/>
      <c r="BE189" s="1058"/>
      <c r="BF189" s="1058"/>
      <c r="BG189" s="1058"/>
      <c r="BH189" s="1058"/>
      <c r="BI189" s="1058"/>
      <c r="BJ189" s="1058"/>
    </row>
    <row r="190" spans="1:62" s="1058" customFormat="1" ht="13.8" hidden="1">
      <c r="A190" s="452"/>
      <c r="B190" s="2241" t="s">
        <v>805</v>
      </c>
      <c r="C190" s="2241"/>
      <c r="D190" s="2241"/>
      <c r="E190" s="2241"/>
      <c r="F190" s="2241"/>
      <c r="G190" s="2241"/>
      <c r="H190" s="2241"/>
      <c r="I190" s="2241"/>
      <c r="J190" s="2241"/>
      <c r="K190" s="2241"/>
      <c r="L190" s="2241"/>
      <c r="M190" s="2241"/>
      <c r="N190" s="2241"/>
      <c r="O190" s="2241"/>
      <c r="P190" s="2241"/>
      <c r="Q190" s="2241"/>
      <c r="R190" s="2241"/>
      <c r="S190" s="2241"/>
      <c r="T190" s="2241"/>
      <c r="U190" s="2241"/>
      <c r="V190" s="2241"/>
      <c r="W190" s="2241"/>
      <c r="X190" s="2241"/>
      <c r="Y190" s="2241"/>
      <c r="Z190" s="2241"/>
      <c r="AA190" s="2241"/>
      <c r="AB190" s="2241"/>
      <c r="AC190" s="2241"/>
      <c r="AD190" s="2241"/>
      <c r="AE190" s="2241"/>
      <c r="AF190" s="2241"/>
      <c r="AG190" s="2241"/>
      <c r="AH190" s="2241"/>
      <c r="AI190" s="2241"/>
      <c r="AJ190" s="2241"/>
      <c r="AK190" s="2242"/>
      <c r="AL190" s="1765" t="s">
        <v>1475</v>
      </c>
      <c r="AM190" s="1765"/>
      <c r="AN190" s="360"/>
      <c r="AO190" s="452"/>
    </row>
    <row r="191" spans="1:62" s="1058" customFormat="1" ht="13.8" hidden="1">
      <c r="A191" s="452"/>
      <c r="B191" s="2241" t="s">
        <v>806</v>
      </c>
      <c r="C191" s="2241"/>
      <c r="D191" s="2241"/>
      <c r="E191" s="2241"/>
      <c r="F191" s="2241"/>
      <c r="G191" s="2241"/>
      <c r="H191" s="2241"/>
      <c r="I191" s="2241"/>
      <c r="J191" s="2241"/>
      <c r="K191" s="2241"/>
      <c r="L191" s="2241"/>
      <c r="M191" s="2241"/>
      <c r="N191" s="2241"/>
      <c r="O191" s="2241"/>
      <c r="P191" s="2241"/>
      <c r="Q191" s="2241"/>
      <c r="R191" s="2241"/>
      <c r="S191" s="2241"/>
      <c r="T191" s="2241"/>
      <c r="U191" s="2241"/>
      <c r="V191" s="2241"/>
      <c r="W191" s="2241"/>
      <c r="X191" s="2241"/>
      <c r="Y191" s="2241"/>
      <c r="Z191" s="2241"/>
      <c r="AA191" s="2241"/>
      <c r="AB191" s="2241"/>
      <c r="AC191" s="2241"/>
      <c r="AD191" s="2241"/>
      <c r="AE191" s="2241"/>
      <c r="AF191" s="2241"/>
      <c r="AG191" s="2241"/>
      <c r="AH191" s="2241"/>
      <c r="AI191" s="2241"/>
      <c r="AJ191" s="2241"/>
      <c r="AK191" s="2242"/>
      <c r="AL191" s="1765" t="s">
        <v>1475</v>
      </c>
      <c r="AM191" s="1765"/>
      <c r="AN191" s="360"/>
      <c r="AO191" s="452"/>
    </row>
    <row r="192" spans="1:62" s="1058" customFormat="1" ht="13.8" hidden="1">
      <c r="A192" s="452"/>
      <c r="B192" s="2241" t="s">
        <v>807</v>
      </c>
      <c r="C192" s="2241"/>
      <c r="D192" s="2241"/>
      <c r="E192" s="2241"/>
      <c r="F192" s="2241"/>
      <c r="G192" s="2241"/>
      <c r="H192" s="2241"/>
      <c r="I192" s="2241"/>
      <c r="J192" s="2241"/>
      <c r="K192" s="2241"/>
      <c r="L192" s="2241"/>
      <c r="M192" s="2241"/>
      <c r="N192" s="2241"/>
      <c r="O192" s="2241"/>
      <c r="P192" s="2241"/>
      <c r="Q192" s="2241"/>
      <c r="R192" s="2241"/>
      <c r="S192" s="2241"/>
      <c r="T192" s="2241"/>
      <c r="U192" s="2241"/>
      <c r="V192" s="2241"/>
      <c r="W192" s="2241"/>
      <c r="X192" s="2241"/>
      <c r="Y192" s="2241"/>
      <c r="Z192" s="2241"/>
      <c r="AA192" s="2241"/>
      <c r="AB192" s="2241"/>
      <c r="AC192" s="2241"/>
      <c r="AD192" s="2241"/>
      <c r="AE192" s="2241"/>
      <c r="AF192" s="2241"/>
      <c r="AG192" s="2241"/>
      <c r="AH192" s="2241"/>
      <c r="AI192" s="2241"/>
      <c r="AJ192" s="2241"/>
      <c r="AK192" s="2241"/>
      <c r="AL192" s="1765" t="s">
        <v>1475</v>
      </c>
      <c r="AM192" s="1765"/>
      <c r="AN192" s="360"/>
      <c r="AO192" s="452"/>
      <c r="AQ192" s="1448"/>
    </row>
    <row r="193" spans="1:46" s="1058" customFormat="1" ht="13.8" hidden="1">
      <c r="A193" s="452"/>
      <c r="B193" s="1209" t="s">
        <v>808</v>
      </c>
      <c r="C193" s="2243" t="s">
        <v>809</v>
      </c>
      <c r="D193" s="2243"/>
      <c r="E193" s="2243"/>
      <c r="F193" s="2243"/>
      <c r="G193" s="2243"/>
      <c r="H193" s="2243"/>
      <c r="I193" s="2243"/>
      <c r="J193" s="2243"/>
      <c r="K193" s="2243"/>
      <c r="L193" s="2243"/>
      <c r="M193" s="2243"/>
      <c r="N193" s="2243"/>
      <c r="O193" s="2243"/>
      <c r="P193" s="2243"/>
      <c r="Q193" s="2243"/>
      <c r="R193" s="2243"/>
      <c r="S193" s="2243"/>
      <c r="T193" s="2243"/>
      <c r="U193" s="2243"/>
      <c r="V193" s="2243"/>
      <c r="W193" s="2243"/>
      <c r="X193" s="2243"/>
      <c r="Y193" s="2243"/>
      <c r="Z193" s="2243"/>
      <c r="AA193" s="2243"/>
      <c r="AB193" s="2243"/>
      <c r="AC193" s="2243"/>
      <c r="AD193" s="2243"/>
      <c r="AE193" s="2243"/>
      <c r="AF193" s="2243"/>
      <c r="AG193" s="2243"/>
      <c r="AH193" s="2243"/>
      <c r="AI193" s="2243"/>
      <c r="AJ193" s="2243"/>
      <c r="AK193" s="2243"/>
      <c r="AL193" s="360"/>
      <c r="AM193" s="452"/>
      <c r="AN193" s="360"/>
      <c r="AO193" s="452"/>
    </row>
    <row r="194" spans="1:46" s="1058" customFormat="1" ht="13.8" hidden="1">
      <c r="A194" s="452"/>
      <c r="B194" s="1209" t="s">
        <v>810</v>
      </c>
      <c r="C194" s="1486" t="s">
        <v>811</v>
      </c>
      <c r="D194" s="1198"/>
      <c r="E194" s="1198"/>
      <c r="F194" s="1198"/>
      <c r="G194" s="1198"/>
      <c r="H194" s="1198"/>
      <c r="I194" s="1198"/>
      <c r="J194" s="1198"/>
      <c r="K194" s="1198"/>
      <c r="L194" s="1198"/>
      <c r="M194" s="1474"/>
      <c r="N194" s="1474"/>
      <c r="O194" s="1474"/>
      <c r="P194" s="1474"/>
      <c r="Q194" s="1474"/>
      <c r="R194" s="1474"/>
      <c r="S194" s="1474"/>
      <c r="T194" s="1474"/>
      <c r="U194" s="1474"/>
      <c r="V194" s="1474"/>
      <c r="W194" s="1474"/>
      <c r="X194" s="1474"/>
      <c r="Y194" s="1474"/>
      <c r="Z194" s="1474"/>
      <c r="AA194" s="1474"/>
      <c r="AB194" s="1474"/>
      <c r="AC194" s="1474"/>
      <c r="AD194" s="1474"/>
      <c r="AE194" s="1474"/>
      <c r="AF194" s="1474"/>
      <c r="AG194" s="1474"/>
      <c r="AH194" s="1474"/>
      <c r="AI194" s="1474"/>
      <c r="AJ194" s="1474"/>
      <c r="AK194" s="1474"/>
      <c r="AL194" s="360"/>
      <c r="AM194" s="452"/>
      <c r="AN194" s="360"/>
      <c r="AO194" s="452"/>
    </row>
    <row r="195" spans="1:46" s="1058" customFormat="1" ht="13.8" hidden="1">
      <c r="A195" s="452"/>
      <c r="B195" s="1209" t="s">
        <v>812</v>
      </c>
      <c r="C195" s="1486" t="s">
        <v>813</v>
      </c>
      <c r="D195" s="1198"/>
      <c r="E195" s="1198"/>
      <c r="F195" s="1198"/>
      <c r="G195" s="1198"/>
      <c r="H195" s="1198"/>
      <c r="I195" s="1198"/>
      <c r="J195" s="1198"/>
      <c r="K195" s="1198"/>
      <c r="L195" s="1198"/>
      <c r="M195" s="1474"/>
      <c r="N195" s="1474"/>
      <c r="O195" s="1474"/>
      <c r="P195" s="1474"/>
      <c r="Q195" s="1474"/>
      <c r="R195" s="1474"/>
      <c r="S195" s="1474"/>
      <c r="T195" s="1474"/>
      <c r="U195" s="1474"/>
      <c r="V195" s="1474"/>
      <c r="W195" s="1474"/>
      <c r="X195" s="1474"/>
      <c r="Y195" s="1474"/>
      <c r="Z195" s="1474"/>
      <c r="AA195" s="1474"/>
      <c r="AB195" s="1474"/>
      <c r="AC195" s="1474"/>
      <c r="AD195" s="1474"/>
      <c r="AE195" s="1474"/>
      <c r="AF195" s="1474"/>
      <c r="AG195" s="1474"/>
      <c r="AH195" s="1474"/>
      <c r="AI195" s="1474"/>
      <c r="AJ195" s="1474"/>
      <c r="AK195" s="1474"/>
      <c r="AL195" s="360"/>
      <c r="AM195" s="452"/>
      <c r="AN195" s="360"/>
      <c r="AO195" s="452"/>
    </row>
    <row r="196" spans="1:46" s="946" customFormat="1" ht="13.8" hidden="1">
      <c r="A196" s="662"/>
    </row>
    <row r="197" spans="1:46" ht="13.8" hidden="1">
      <c r="B197" s="1962" t="s">
        <v>814</v>
      </c>
      <c r="C197" s="1962"/>
      <c r="D197" s="1962"/>
      <c r="E197" s="1962"/>
      <c r="F197" s="1962"/>
      <c r="G197" s="1962"/>
      <c r="H197" s="1962"/>
      <c r="I197" s="1963" t="s">
        <v>803</v>
      </c>
      <c r="J197" s="1963"/>
      <c r="K197" s="1963"/>
      <c r="L197" s="1963"/>
      <c r="M197" s="1963"/>
      <c r="N197" s="1963"/>
      <c r="O197" s="1964"/>
      <c r="P197" s="2154" t="s">
        <v>4191</v>
      </c>
      <c r="Q197" s="2155"/>
      <c r="R197" s="2155"/>
      <c r="S197" s="2155"/>
      <c r="T197" s="2155"/>
      <c r="U197" s="2155"/>
      <c r="V197" s="2155"/>
      <c r="W197" s="2155"/>
      <c r="X197" s="2155"/>
      <c r="Y197" s="2155"/>
      <c r="Z197" s="2155"/>
      <c r="AA197" s="2155"/>
      <c r="AB197" s="2155"/>
      <c r="AC197" s="2155"/>
      <c r="AD197" s="2155"/>
      <c r="AE197" s="2155"/>
      <c r="AF197" s="2155"/>
      <c r="AG197" s="2155"/>
      <c r="AH197" s="2155"/>
      <c r="AI197" s="2155"/>
      <c r="AJ197" s="2155"/>
      <c r="AK197" s="2155"/>
      <c r="AL197" s="2155"/>
      <c r="AM197" s="2156"/>
      <c r="AN197" s="360"/>
      <c r="AO197" s="1448"/>
      <c r="AP197" s="1058"/>
      <c r="AQ197" s="1058"/>
      <c r="AR197" s="1058"/>
      <c r="AS197" s="1058"/>
      <c r="AT197" s="1058"/>
    </row>
    <row r="198" spans="1:46" ht="13.8" hidden="1">
      <c r="B198" s="2105" t="s">
        <v>676</v>
      </c>
      <c r="C198" s="2106"/>
      <c r="D198" s="2107"/>
      <c r="E198" s="2071" t="str">
        <f>'Document Checklist'!$E$40</f>
        <v>7a. JV2 Cert &amp; Legal Disclosure</v>
      </c>
      <c r="F198" s="2072"/>
      <c r="G198" s="2072"/>
      <c r="H198" s="2072"/>
      <c r="I198" s="1741"/>
      <c r="J198" s="1741"/>
      <c r="K198" s="1741"/>
      <c r="L198" s="1741"/>
      <c r="M198" s="1788"/>
      <c r="N198" s="1862" t="str">
        <f>'Document Checklist'!$N$12</f>
        <v>Reference Sponsor Certification Worksheet.</v>
      </c>
      <c r="O198" s="1863"/>
      <c r="P198" s="1863"/>
      <c r="Q198" s="1863"/>
      <c r="R198" s="1863"/>
      <c r="S198" s="1863"/>
      <c r="T198" s="1863"/>
      <c r="U198" s="1863"/>
      <c r="V198" s="1863"/>
      <c r="W198" s="1863"/>
      <c r="X198" s="1863"/>
      <c r="Y198" s="1863"/>
      <c r="Z198" s="1863"/>
      <c r="AA198" s="1863"/>
      <c r="AB198" s="1863"/>
      <c r="AC198" s="1863"/>
      <c r="AD198" s="1863"/>
      <c r="AE198" s="1864"/>
      <c r="AF198" s="1804" t="s">
        <v>677</v>
      </c>
      <c r="AG198" s="1805"/>
      <c r="AH198" s="1805"/>
      <c r="AI198" s="1805"/>
      <c r="AJ198" s="1805"/>
      <c r="AK198" s="1806"/>
      <c r="AL198" s="1765" t="s">
        <v>664</v>
      </c>
      <c r="AM198" s="1765"/>
      <c r="AN198" s="363"/>
      <c r="AO198" s="1448"/>
      <c r="AP198" s="1058"/>
      <c r="AQ198" s="1058"/>
      <c r="AR198" s="1058"/>
      <c r="AS198" s="1058"/>
      <c r="AT198" s="1058"/>
    </row>
    <row r="199" spans="1:46" ht="13.8" hidden="1">
      <c r="B199" s="1870" t="s">
        <v>676</v>
      </c>
      <c r="C199" s="1871"/>
      <c r="D199" s="1872"/>
      <c r="E199" s="1740" t="str">
        <f>'Document Checklist'!$E$41</f>
        <v xml:space="preserve">7b. JV2 Authorizing Resolution </v>
      </c>
      <c r="F199" s="1741"/>
      <c r="G199" s="1741"/>
      <c r="H199" s="1741"/>
      <c r="I199" s="1741"/>
      <c r="J199" s="1741"/>
      <c r="K199" s="1741"/>
      <c r="L199" s="1741"/>
      <c r="M199" s="1788"/>
      <c r="N199" s="1801" t="str">
        <f>'Document Checklist'!$N$41</f>
        <v xml:space="preserve">Reference: AB434 webpage for Sponsor Authorizing Resolution Document. </v>
      </c>
      <c r="O199" s="1802"/>
      <c r="P199" s="1802"/>
      <c r="Q199" s="1802"/>
      <c r="R199" s="1802"/>
      <c r="S199" s="1802"/>
      <c r="T199" s="1802"/>
      <c r="U199" s="1802"/>
      <c r="V199" s="1802"/>
      <c r="W199" s="1802"/>
      <c r="X199" s="1802"/>
      <c r="Y199" s="1802"/>
      <c r="Z199" s="1802"/>
      <c r="AA199" s="1802"/>
      <c r="AB199" s="1802"/>
      <c r="AC199" s="1802"/>
      <c r="AD199" s="1802"/>
      <c r="AE199" s="1803"/>
      <c r="AF199" s="1804" t="s">
        <v>677</v>
      </c>
      <c r="AG199" s="1805"/>
      <c r="AH199" s="1805"/>
      <c r="AI199" s="1805"/>
      <c r="AJ199" s="1805"/>
      <c r="AK199" s="1806"/>
      <c r="AL199" s="1765" t="s">
        <v>664</v>
      </c>
      <c r="AM199" s="1765"/>
      <c r="AN199" s="1058"/>
      <c r="AO199" s="1032"/>
      <c r="AP199" s="438" t="s">
        <v>796</v>
      </c>
      <c r="AQ199" s="1058"/>
      <c r="AR199" s="1058"/>
      <c r="AS199" s="1058"/>
      <c r="AT199" s="1058"/>
    </row>
    <row r="200" spans="1:46" ht="13.8" hidden="1">
      <c r="B200" s="1870" t="s">
        <v>676</v>
      </c>
      <c r="C200" s="1871"/>
      <c r="D200" s="1872"/>
      <c r="E200" s="1740" t="str">
        <f>'Document Checklist'!$E$42</f>
        <v>7c. JV2 OrgDoc1, OrgDoc2, etc.</v>
      </c>
      <c r="F200" s="1741"/>
      <c r="G200" s="1741"/>
      <c r="H200" s="1741"/>
      <c r="I200" s="1741"/>
      <c r="J200" s="1741"/>
      <c r="K200" s="1741"/>
      <c r="L200" s="1741"/>
      <c r="M200" s="1788"/>
      <c r="N200" s="1801" t="str">
        <f>'Document Checklist'!$N$14</f>
        <v>Reference Entity Org Docs worksheet.</v>
      </c>
      <c r="O200" s="1802"/>
      <c r="P200" s="1802"/>
      <c r="Q200" s="1802"/>
      <c r="R200" s="1802"/>
      <c r="S200" s="1802"/>
      <c r="T200" s="1802"/>
      <c r="U200" s="1802"/>
      <c r="V200" s="1802"/>
      <c r="W200" s="1802"/>
      <c r="X200" s="1802"/>
      <c r="Y200" s="1802"/>
      <c r="Z200" s="1802"/>
      <c r="AA200" s="1802"/>
      <c r="AB200" s="1802"/>
      <c r="AC200" s="1802"/>
      <c r="AD200" s="1802"/>
      <c r="AE200" s="1803"/>
      <c r="AF200" s="1804" t="s">
        <v>677</v>
      </c>
      <c r="AG200" s="1805"/>
      <c r="AH200" s="1805"/>
      <c r="AI200" s="1805"/>
      <c r="AJ200" s="1805"/>
      <c r="AK200" s="1806"/>
      <c r="AL200" s="1765" t="s">
        <v>664</v>
      </c>
      <c r="AM200" s="1765"/>
      <c r="AN200" s="363"/>
      <c r="AO200" s="1448"/>
      <c r="AP200" s="1058"/>
      <c r="AQ200" s="1058"/>
      <c r="AR200" s="1058"/>
      <c r="AS200" s="1058"/>
      <c r="AT200" s="1058"/>
    </row>
    <row r="201" spans="1:46" ht="13.8" hidden="1">
      <c r="B201" s="1870" t="s">
        <v>676</v>
      </c>
      <c r="C201" s="1871"/>
      <c r="D201" s="1872"/>
      <c r="E201" s="1740" t="str">
        <f>'Document Checklist'!$E$43</f>
        <v>7d. JV2 OrgChart</v>
      </c>
      <c r="F201" s="1741"/>
      <c r="G201" s="1741"/>
      <c r="H201" s="1741"/>
      <c r="I201" s="1741"/>
      <c r="J201" s="1741"/>
      <c r="K201" s="1741"/>
      <c r="L201" s="1741"/>
      <c r="M201" s="1788"/>
      <c r="N201" s="1801" t="str">
        <f>'Document Checklist'!$N$43</f>
        <v>Sponsor Organization Chart.</v>
      </c>
      <c r="O201" s="1802"/>
      <c r="P201" s="1802"/>
      <c r="Q201" s="1802"/>
      <c r="R201" s="1802"/>
      <c r="S201" s="1802"/>
      <c r="T201" s="1802"/>
      <c r="U201" s="1802"/>
      <c r="V201" s="1802"/>
      <c r="W201" s="1802"/>
      <c r="X201" s="1802"/>
      <c r="Y201" s="1802"/>
      <c r="Z201" s="1802"/>
      <c r="AA201" s="1802"/>
      <c r="AB201" s="1802"/>
      <c r="AC201" s="1802"/>
      <c r="AD201" s="1802"/>
      <c r="AE201" s="1803"/>
      <c r="AF201" s="1804" t="s">
        <v>677</v>
      </c>
      <c r="AG201" s="1805"/>
      <c r="AH201" s="1805"/>
      <c r="AI201" s="1805"/>
      <c r="AJ201" s="1805"/>
      <c r="AK201" s="1806"/>
      <c r="AL201" s="1765" t="s">
        <v>664</v>
      </c>
      <c r="AM201" s="1765"/>
      <c r="AN201" s="1058"/>
      <c r="AO201" s="1448"/>
      <c r="AP201" s="1058"/>
      <c r="AQ201" s="1058"/>
      <c r="AR201" s="1058"/>
      <c r="AS201" s="360"/>
      <c r="AT201" s="1058"/>
    </row>
    <row r="202" spans="1:46" ht="13.8" hidden="1">
      <c r="B202" s="1870" t="s">
        <v>676</v>
      </c>
      <c r="C202" s="1871"/>
      <c r="D202" s="1872"/>
      <c r="E202" s="1740" t="str">
        <f>'Document Checklist'!$E$44</f>
        <v>7e. JV2 Signature Block</v>
      </c>
      <c r="F202" s="1741"/>
      <c r="G202" s="1741"/>
      <c r="H202" s="1741"/>
      <c r="I202" s="1741"/>
      <c r="J202" s="1741"/>
      <c r="K202" s="1741"/>
      <c r="L202" s="1741"/>
      <c r="M202" s="1788"/>
      <c r="N202" s="1862" t="str">
        <f>'Document Checklist'!$N$44</f>
        <v>Signature Block - upload in Microsoft Word Document.</v>
      </c>
      <c r="O202" s="1863"/>
      <c r="P202" s="1863"/>
      <c r="Q202" s="1863"/>
      <c r="R202" s="1863"/>
      <c r="S202" s="1863"/>
      <c r="T202" s="1863"/>
      <c r="U202" s="1863"/>
      <c r="V202" s="1863"/>
      <c r="W202" s="1863"/>
      <c r="X202" s="1863"/>
      <c r="Y202" s="1863"/>
      <c r="Z202" s="1863"/>
      <c r="AA202" s="1863"/>
      <c r="AB202" s="1863"/>
      <c r="AC202" s="1863"/>
      <c r="AD202" s="1863"/>
      <c r="AE202" s="1864"/>
      <c r="AF202" s="1804" t="s">
        <v>677</v>
      </c>
      <c r="AG202" s="1805"/>
      <c r="AH202" s="1805"/>
      <c r="AI202" s="1805"/>
      <c r="AJ202" s="1805"/>
      <c r="AK202" s="1806"/>
      <c r="AL202" s="1765" t="s">
        <v>664</v>
      </c>
      <c r="AM202" s="1765"/>
      <c r="AN202" s="363"/>
      <c r="AO202" s="1448"/>
      <c r="AP202" s="1058"/>
      <c r="AQ202" s="1058"/>
      <c r="AR202" s="1058"/>
      <c r="AS202" s="1058"/>
      <c r="AT202" s="1058"/>
    </row>
    <row r="203" spans="1:46" ht="13.8" hidden="1">
      <c r="B203" s="1870" t="s">
        <v>676</v>
      </c>
      <c r="C203" s="1871"/>
      <c r="D203" s="1872"/>
      <c r="E203" s="1740" t="str">
        <f>'Document Checklist'!$E$45</f>
        <v xml:space="preserve">7f. JV2 Cert of Good Standing </v>
      </c>
      <c r="F203" s="1741"/>
      <c r="G203" s="1741"/>
      <c r="H203" s="1741"/>
      <c r="I203" s="1741"/>
      <c r="J203" s="1741"/>
      <c r="K203" s="1741"/>
      <c r="L203" s="1741"/>
      <c r="M203" s="1788"/>
      <c r="N203" s="1862" t="str">
        <f>'Document Checklist'!$N$45</f>
        <v>Certificate of Good Standing must be dated 30 days or less from the application due date.</v>
      </c>
      <c r="O203" s="1863"/>
      <c r="P203" s="1863"/>
      <c r="Q203" s="1863"/>
      <c r="R203" s="1863"/>
      <c r="S203" s="1863"/>
      <c r="T203" s="1863"/>
      <c r="U203" s="1863"/>
      <c r="V203" s="1863"/>
      <c r="W203" s="1863"/>
      <c r="X203" s="1863"/>
      <c r="Y203" s="1863"/>
      <c r="Z203" s="1863"/>
      <c r="AA203" s="1863"/>
      <c r="AB203" s="1863"/>
      <c r="AC203" s="1863"/>
      <c r="AD203" s="1863"/>
      <c r="AE203" s="1864"/>
      <c r="AF203" s="1804" t="s">
        <v>677</v>
      </c>
      <c r="AG203" s="1805"/>
      <c r="AH203" s="1805"/>
      <c r="AI203" s="1805"/>
      <c r="AJ203" s="1805"/>
      <c r="AK203" s="1806"/>
      <c r="AL203" s="1765" t="s">
        <v>664</v>
      </c>
      <c r="AM203" s="1765"/>
      <c r="AN203" s="1058"/>
      <c r="AO203" s="1448"/>
      <c r="AP203" s="1058"/>
      <c r="AQ203" s="1058"/>
      <c r="AR203" s="1058"/>
      <c r="AS203" s="1058"/>
      <c r="AT203" s="1058"/>
    </row>
    <row r="204" spans="1:46" ht="13.8" hidden="1">
      <c r="B204" s="1870" t="s">
        <v>676</v>
      </c>
      <c r="C204" s="1871"/>
      <c r="D204" s="1872"/>
      <c r="E204" s="1740" t="str">
        <f>'Document Checklist'!$E$46</f>
        <v>7g. JV2 Tax-Exempt Status</v>
      </c>
      <c r="F204" s="1741"/>
      <c r="G204" s="1741"/>
      <c r="H204" s="1741"/>
      <c r="I204" s="1741"/>
      <c r="J204" s="1741"/>
      <c r="K204" s="1741"/>
      <c r="L204" s="1741"/>
      <c r="M204" s="1788"/>
      <c r="N204" s="1862" t="str">
        <f>'Document Checklist'!$N$46</f>
        <v>Evidence of tax-exempt status from IRS and FTB for Corporations. (Non-Profits Only)</v>
      </c>
      <c r="O204" s="1863"/>
      <c r="P204" s="1863"/>
      <c r="Q204" s="1863"/>
      <c r="R204" s="1863"/>
      <c r="S204" s="1863"/>
      <c r="T204" s="1863"/>
      <c r="U204" s="1863"/>
      <c r="V204" s="1863"/>
      <c r="W204" s="1863"/>
      <c r="X204" s="1863"/>
      <c r="Y204" s="1863"/>
      <c r="Z204" s="1863"/>
      <c r="AA204" s="1863"/>
      <c r="AB204" s="1863"/>
      <c r="AC204" s="1863"/>
      <c r="AD204" s="1863"/>
      <c r="AE204" s="1864"/>
      <c r="AF204" s="1804" t="s">
        <v>677</v>
      </c>
      <c r="AG204" s="1805"/>
      <c r="AH204" s="1805"/>
      <c r="AI204" s="1805"/>
      <c r="AJ204" s="1805"/>
      <c r="AK204" s="1806"/>
      <c r="AL204" s="1765" t="s">
        <v>664</v>
      </c>
      <c r="AM204" s="1765"/>
      <c r="AN204" s="363"/>
      <c r="AO204" s="1448"/>
      <c r="AP204" s="1058"/>
      <c r="AQ204" s="1058"/>
      <c r="AR204" s="1058"/>
      <c r="AS204" s="1058"/>
      <c r="AT204" s="1058"/>
    </row>
    <row r="205" spans="1:46" s="1058" customFormat="1" ht="18" customHeight="1">
      <c r="A205" s="452"/>
      <c r="B205" s="1197"/>
      <c r="C205" s="1197"/>
      <c r="D205" s="1197"/>
      <c r="E205" s="1197"/>
      <c r="F205" s="1197"/>
      <c r="G205" s="1197"/>
      <c r="H205" s="1197"/>
      <c r="I205" s="1197"/>
      <c r="J205" s="1197"/>
      <c r="K205" s="1197"/>
      <c r="L205" s="1197"/>
      <c r="M205" s="1197"/>
      <c r="N205" s="1197"/>
      <c r="O205" s="1197"/>
      <c r="P205" s="1197"/>
      <c r="Q205" s="1197"/>
      <c r="R205" s="1197"/>
      <c r="S205" s="1197"/>
      <c r="T205" s="1197"/>
      <c r="U205" s="1197"/>
      <c r="V205" s="1197"/>
      <c r="W205" s="1197"/>
      <c r="X205" s="1197"/>
      <c r="Y205" s="1197"/>
      <c r="Z205" s="1197"/>
      <c r="AA205" s="1197"/>
      <c r="AB205" s="1197"/>
      <c r="AC205" s="1197"/>
      <c r="AD205" s="1197"/>
      <c r="AE205" s="1197"/>
      <c r="AF205" s="1197"/>
      <c r="AG205" s="1197"/>
      <c r="AH205" s="1197"/>
      <c r="AI205" s="1197"/>
      <c r="AJ205" s="1197"/>
      <c r="AK205" s="1197"/>
      <c r="AL205" s="1197"/>
      <c r="AM205" s="1197"/>
      <c r="AO205" s="1448"/>
      <c r="AT205" s="2052"/>
    </row>
    <row r="206" spans="1:46" ht="18" customHeight="1">
      <c r="A206" s="463"/>
      <c r="B206" s="2053" t="s">
        <v>815</v>
      </c>
      <c r="C206" s="2053"/>
      <c r="D206" s="2053"/>
      <c r="E206" s="2053"/>
      <c r="F206" s="2053"/>
      <c r="G206" s="2053"/>
      <c r="H206" s="2053"/>
      <c r="I206" s="2053"/>
      <c r="J206" s="2053"/>
      <c r="K206" s="2053"/>
      <c r="L206" s="2053"/>
      <c r="M206" s="2053"/>
      <c r="N206" s="2053"/>
      <c r="O206" s="2053"/>
      <c r="P206" s="2053"/>
      <c r="Q206" s="2053"/>
      <c r="R206" s="2053"/>
      <c r="S206" s="2053"/>
      <c r="T206" s="2053"/>
      <c r="U206" s="2053"/>
      <c r="V206" s="2053"/>
      <c r="W206" s="2053"/>
      <c r="X206" s="2053"/>
      <c r="Y206" s="2053"/>
      <c r="Z206" s="2053"/>
      <c r="AA206" s="2053"/>
      <c r="AB206" s="2053"/>
      <c r="AC206" s="2053"/>
      <c r="AD206" s="2053"/>
      <c r="AE206" s="2053"/>
      <c r="AF206" s="2053"/>
      <c r="AG206" s="2053"/>
      <c r="AH206" s="2053"/>
      <c r="AI206" s="2053"/>
      <c r="AJ206" s="2053"/>
      <c r="AK206" s="2053"/>
      <c r="AL206" s="2053"/>
      <c r="AM206" s="2053"/>
      <c r="AN206" s="1459"/>
      <c r="AO206" s="1448"/>
      <c r="AP206" s="1058"/>
      <c r="AQ206" s="1058"/>
      <c r="AR206" s="1058"/>
      <c r="AS206" s="1058"/>
      <c r="AT206" s="2052"/>
    </row>
    <row r="207" spans="1:46" ht="18" customHeight="1">
      <c r="B207" s="1853" t="s">
        <v>816</v>
      </c>
      <c r="C207" s="1854"/>
      <c r="D207" s="1854"/>
      <c r="E207" s="1854"/>
      <c r="F207" s="1855"/>
      <c r="G207" s="2094" t="s">
        <v>4190</v>
      </c>
      <c r="H207" s="2095"/>
      <c r="I207" s="2095"/>
      <c r="J207" s="2095"/>
      <c r="K207" s="2095"/>
      <c r="L207" s="2095"/>
      <c r="M207" s="2095"/>
      <c r="N207" s="2095"/>
      <c r="O207" s="2095"/>
      <c r="P207" s="2095"/>
      <c r="Q207" s="2095"/>
      <c r="R207" s="2095"/>
      <c r="S207" s="2095"/>
      <c r="T207" s="2095"/>
      <c r="U207" s="2095"/>
      <c r="V207" s="2095"/>
      <c r="W207" s="2095"/>
      <c r="X207" s="2095"/>
      <c r="Y207" s="2095"/>
      <c r="Z207" s="2095"/>
      <c r="AA207" s="2095"/>
      <c r="AB207" s="2095"/>
      <c r="AC207" s="2095"/>
      <c r="AD207" s="2095"/>
      <c r="AE207" s="2095"/>
      <c r="AF207" s="2095"/>
      <c r="AG207" s="2095"/>
      <c r="AH207" s="2095"/>
      <c r="AI207" s="2095"/>
      <c r="AJ207" s="2095"/>
      <c r="AK207" s="2095"/>
      <c r="AL207" s="2095"/>
      <c r="AM207" s="2096"/>
      <c r="AN207" s="37"/>
      <c r="AO207" s="1448"/>
      <c r="AP207" s="1058"/>
      <c r="AQ207" s="1058"/>
      <c r="AR207" s="1058"/>
      <c r="AS207" s="1058"/>
      <c r="AT207" s="2052"/>
    </row>
    <row r="208" spans="1:46" ht="18" customHeight="1">
      <c r="A208" s="705"/>
      <c r="B208" s="1866" t="s">
        <v>676</v>
      </c>
      <c r="C208" s="1866"/>
      <c r="D208" s="1866"/>
      <c r="E208" s="1859" t="str">
        <f>'Document Checklist'!$E$53</f>
        <v>9a. Bwr Cert &amp; Legal Disclosure</v>
      </c>
      <c r="F208" s="1859"/>
      <c r="G208" s="1859"/>
      <c r="H208" s="1859"/>
      <c r="I208" s="1859"/>
      <c r="J208" s="1859"/>
      <c r="K208" s="1859"/>
      <c r="L208" s="1859"/>
      <c r="M208" s="1859"/>
      <c r="N208" s="1882" t="str">
        <f>'Document Checklist'!$N$12</f>
        <v>Reference Sponsor Certification Worksheet.</v>
      </c>
      <c r="O208" s="1882"/>
      <c r="P208" s="1882"/>
      <c r="Q208" s="1882"/>
      <c r="R208" s="1882"/>
      <c r="S208" s="1882"/>
      <c r="T208" s="1882"/>
      <c r="U208" s="1882"/>
      <c r="V208" s="1882"/>
      <c r="W208" s="1882"/>
      <c r="X208" s="1882"/>
      <c r="Y208" s="1882"/>
      <c r="Z208" s="1882"/>
      <c r="AA208" s="1882"/>
      <c r="AB208" s="1882"/>
      <c r="AC208" s="1882"/>
      <c r="AD208" s="1882"/>
      <c r="AE208" s="1882"/>
      <c r="AF208" s="1960" t="s">
        <v>677</v>
      </c>
      <c r="AG208" s="1961"/>
      <c r="AH208" s="1961"/>
      <c r="AI208" s="1961"/>
      <c r="AJ208" s="1961"/>
      <c r="AK208" s="1961"/>
      <c r="AL208" s="1765" t="s">
        <v>1475</v>
      </c>
      <c r="AM208" s="1765"/>
      <c r="AN208" s="38"/>
      <c r="AO208" s="1448"/>
      <c r="AP208" s="1058"/>
      <c r="AQ208" s="1058"/>
      <c r="AR208" s="1058"/>
      <c r="AS208" s="1058"/>
      <c r="AT208" s="2052"/>
    </row>
    <row r="209" spans="1:62" ht="18" customHeight="1">
      <c r="A209" s="705"/>
      <c r="B209" s="1866" t="s">
        <v>676</v>
      </c>
      <c r="C209" s="1866"/>
      <c r="D209" s="1866"/>
      <c r="E209" s="1859" t="str">
        <f>'Document Checklist'!$E$54</f>
        <v>9b. Bwr OrgDoc1, OrgDoc2, etc.</v>
      </c>
      <c r="F209" s="1859"/>
      <c r="G209" s="1859"/>
      <c r="H209" s="1859"/>
      <c r="I209" s="1859"/>
      <c r="J209" s="1859"/>
      <c r="K209" s="1859"/>
      <c r="L209" s="1859"/>
      <c r="M209" s="1859"/>
      <c r="N209" s="1882" t="str">
        <f>'Document Checklist'!$N$14</f>
        <v>Reference Entity Org Docs worksheet.</v>
      </c>
      <c r="O209" s="1882"/>
      <c r="P209" s="1882"/>
      <c r="Q209" s="1882"/>
      <c r="R209" s="1882"/>
      <c r="S209" s="1882"/>
      <c r="T209" s="1882"/>
      <c r="U209" s="1882"/>
      <c r="V209" s="1882"/>
      <c r="W209" s="1882"/>
      <c r="X209" s="1882"/>
      <c r="Y209" s="1882"/>
      <c r="Z209" s="1882"/>
      <c r="AA209" s="1882"/>
      <c r="AB209" s="1882"/>
      <c r="AC209" s="1882"/>
      <c r="AD209" s="1882"/>
      <c r="AE209" s="1882"/>
      <c r="AF209" s="1960" t="s">
        <v>677</v>
      </c>
      <c r="AG209" s="1961"/>
      <c r="AH209" s="1961"/>
      <c r="AI209" s="1961"/>
      <c r="AJ209" s="1961"/>
      <c r="AK209" s="1961"/>
      <c r="AL209" s="1765" t="s">
        <v>1475</v>
      </c>
      <c r="AM209" s="1765"/>
      <c r="AN209" s="38"/>
      <c r="AO209" s="1448"/>
      <c r="AP209" s="1058"/>
      <c r="AQ209" s="1058"/>
      <c r="AR209" s="1058"/>
      <c r="AS209" s="1058"/>
      <c r="AT209" s="2052"/>
      <c r="AU209" s="1058"/>
      <c r="AV209" s="1058"/>
      <c r="AW209" s="1058"/>
      <c r="AX209" s="1058"/>
      <c r="AY209" s="1058"/>
      <c r="AZ209" s="1058"/>
      <c r="BA209" s="1058"/>
      <c r="BB209" s="1058"/>
      <c r="BC209" s="1058"/>
      <c r="BD209" s="1058"/>
      <c r="BE209" s="1058"/>
      <c r="BF209" s="1058"/>
      <c r="BG209" s="1058"/>
      <c r="BH209" s="1058"/>
      <c r="BI209" s="1058"/>
      <c r="BJ209" s="1058"/>
    </row>
    <row r="210" spans="1:62" ht="36" customHeight="1">
      <c r="A210" s="705"/>
      <c r="B210" s="1866" t="s">
        <v>676</v>
      </c>
      <c r="C210" s="1866"/>
      <c r="D210" s="1866"/>
      <c r="E210" s="1859" t="str">
        <f>'Document Checklist'!$E$55</f>
        <v>9c. Bwr OrgChart</v>
      </c>
      <c r="F210" s="1859"/>
      <c r="G210" s="1859"/>
      <c r="H210" s="1859"/>
      <c r="I210" s="1859"/>
      <c r="J210" s="1859"/>
      <c r="K210" s="1859"/>
      <c r="L210" s="1859"/>
      <c r="M210" s="1859"/>
      <c r="N210" s="1754" t="str">
        <f>'Document Checklist'!$N$55</f>
        <v>Must demonstrate Sponsor control of the Borrower consistent with UMR §8313.2.</v>
      </c>
      <c r="O210" s="1754"/>
      <c r="P210" s="1754"/>
      <c r="Q210" s="1754"/>
      <c r="R210" s="1754"/>
      <c r="S210" s="1754"/>
      <c r="T210" s="1754"/>
      <c r="U210" s="1754"/>
      <c r="V210" s="1754"/>
      <c r="W210" s="1754"/>
      <c r="X210" s="1754"/>
      <c r="Y210" s="1754"/>
      <c r="Z210" s="1754"/>
      <c r="AA210" s="1754"/>
      <c r="AB210" s="1754"/>
      <c r="AC210" s="1754"/>
      <c r="AD210" s="1754"/>
      <c r="AE210" s="1754"/>
      <c r="AF210" s="1960" t="s">
        <v>677</v>
      </c>
      <c r="AG210" s="1961"/>
      <c r="AH210" s="1961"/>
      <c r="AI210" s="1961"/>
      <c r="AJ210" s="1961"/>
      <c r="AK210" s="1961"/>
      <c r="AL210" s="1765" t="s">
        <v>1475</v>
      </c>
      <c r="AM210" s="1765"/>
      <c r="AN210" s="37"/>
      <c r="AO210" s="452"/>
      <c r="AP210" s="363"/>
      <c r="AQ210" s="363"/>
      <c r="AR210" s="363"/>
      <c r="AS210" s="363"/>
      <c r="AT210" s="453"/>
      <c r="AU210" s="363"/>
      <c r="AV210" s="363"/>
      <c r="AW210" s="363"/>
      <c r="AX210" s="363"/>
      <c r="AY210" s="363"/>
      <c r="AZ210" s="363"/>
      <c r="BA210" s="363"/>
      <c r="BB210" s="363"/>
      <c r="BC210" s="363"/>
      <c r="BD210" s="363"/>
      <c r="BE210" s="363"/>
      <c r="BF210" s="363"/>
      <c r="BG210" s="363"/>
      <c r="BH210" s="363"/>
      <c r="BI210" s="363"/>
      <c r="BJ210" s="363"/>
    </row>
    <row r="211" spans="1:62" s="363" customFormat="1" ht="18" customHeight="1">
      <c r="A211" s="705"/>
      <c r="B211" s="1866" t="s">
        <v>676</v>
      </c>
      <c r="C211" s="1866"/>
      <c r="D211" s="1866"/>
      <c r="E211" s="1859" t="str">
        <f>'Document Checklist'!$E$56</f>
        <v>9d. Bwr Signature Block</v>
      </c>
      <c r="F211" s="1859"/>
      <c r="G211" s="1859"/>
      <c r="H211" s="1859"/>
      <c r="I211" s="1859"/>
      <c r="J211" s="1859"/>
      <c r="K211" s="1859"/>
      <c r="L211" s="1859"/>
      <c r="M211" s="1859"/>
      <c r="N211" s="1754" t="str">
        <f>'Document Checklist'!$N$56</f>
        <v>Signature Block - upload in Microsoft Word Document.</v>
      </c>
      <c r="O211" s="1754"/>
      <c r="P211" s="1754"/>
      <c r="Q211" s="1754"/>
      <c r="R211" s="1754"/>
      <c r="S211" s="1754"/>
      <c r="T211" s="1754"/>
      <c r="U211" s="1754"/>
      <c r="V211" s="1754"/>
      <c r="W211" s="1754"/>
      <c r="X211" s="1754"/>
      <c r="Y211" s="1754"/>
      <c r="Z211" s="1754"/>
      <c r="AA211" s="1754"/>
      <c r="AB211" s="1754"/>
      <c r="AC211" s="1754"/>
      <c r="AD211" s="1754"/>
      <c r="AE211" s="1754"/>
      <c r="AF211" s="1960" t="s">
        <v>677</v>
      </c>
      <c r="AG211" s="1961"/>
      <c r="AH211" s="1961"/>
      <c r="AI211" s="1961"/>
      <c r="AJ211" s="1961"/>
      <c r="AK211" s="1961"/>
      <c r="AL211" s="1765" t="s">
        <v>1475</v>
      </c>
      <c r="AM211" s="1765"/>
      <c r="AN211" s="37"/>
      <c r="AO211" s="49"/>
      <c r="AP211" s="365"/>
      <c r="AQ211" s="365"/>
      <c r="AR211" s="1058"/>
      <c r="AS211" s="360"/>
      <c r="AT211" s="1058"/>
      <c r="AU211" s="1058"/>
      <c r="AV211" s="1058"/>
      <c r="AW211" s="1058"/>
      <c r="AX211" s="1058"/>
      <c r="AY211" s="1058"/>
      <c r="AZ211" s="1058"/>
      <c r="BA211" s="1058"/>
      <c r="BB211" s="1058"/>
      <c r="BC211" s="1058"/>
      <c r="BD211" s="1058"/>
      <c r="BE211" s="1058"/>
      <c r="BF211" s="1058"/>
      <c r="BG211" s="1058"/>
      <c r="BH211" s="1058"/>
      <c r="BI211" s="1058"/>
      <c r="BJ211" s="1058"/>
    </row>
    <row r="212" spans="1:62" ht="36" customHeight="1">
      <c r="A212" s="705"/>
      <c r="B212" s="1866" t="s">
        <v>676</v>
      </c>
      <c r="C212" s="1866"/>
      <c r="D212" s="1866"/>
      <c r="E212" s="1859" t="str">
        <f>'Document Checklist'!$E$57</f>
        <v>9e. Bwr STD 204 Payee Data
      Record</v>
      </c>
      <c r="F212" s="1859"/>
      <c r="G212" s="1859"/>
      <c r="H212" s="1859"/>
      <c r="I212" s="1859"/>
      <c r="J212" s="1859"/>
      <c r="K212" s="1859"/>
      <c r="L212" s="1859"/>
      <c r="M212" s="1859"/>
      <c r="N212" s="1882" t="str">
        <f>'Document Checklist'!$N$57</f>
        <v>Reference Payee Data Record STD-204 on the AB434 webpage.</v>
      </c>
      <c r="O212" s="1882"/>
      <c r="P212" s="1882"/>
      <c r="Q212" s="1882"/>
      <c r="R212" s="1882"/>
      <c r="S212" s="1882"/>
      <c r="T212" s="1882"/>
      <c r="U212" s="1882"/>
      <c r="V212" s="1882"/>
      <c r="W212" s="1882"/>
      <c r="X212" s="1882"/>
      <c r="Y212" s="1882"/>
      <c r="Z212" s="1882"/>
      <c r="AA212" s="1882"/>
      <c r="AB212" s="1882"/>
      <c r="AC212" s="1882"/>
      <c r="AD212" s="1882"/>
      <c r="AE212" s="1882"/>
      <c r="AF212" s="1960" t="s">
        <v>677</v>
      </c>
      <c r="AG212" s="1961"/>
      <c r="AH212" s="1961"/>
      <c r="AI212" s="1961"/>
      <c r="AJ212" s="1961"/>
      <c r="AK212" s="1961"/>
      <c r="AL212" s="1765" t="s">
        <v>1475</v>
      </c>
      <c r="AM212" s="1765"/>
      <c r="AN212" s="449"/>
      <c r="AO212" s="35"/>
      <c r="AP212" s="1476"/>
      <c r="AQ212" s="1476"/>
      <c r="AR212" s="1456"/>
      <c r="AS212" s="1456"/>
      <c r="AT212" s="1456"/>
      <c r="AU212" s="1456"/>
      <c r="AV212" s="1456"/>
      <c r="AW212" s="1456"/>
      <c r="AX212" s="1456"/>
      <c r="AY212" s="1456"/>
      <c r="AZ212" s="1456"/>
      <c r="BA212" s="1456"/>
      <c r="BB212" s="1456"/>
      <c r="BC212" s="1456"/>
      <c r="BD212" s="1456"/>
      <c r="BE212" s="1456"/>
      <c r="BF212" s="1456"/>
      <c r="BG212" s="1456"/>
      <c r="BH212" s="1456"/>
      <c r="BI212" s="1456"/>
      <c r="BJ212" s="1456"/>
    </row>
    <row r="213" spans="1:62" s="974" customFormat="1" ht="29.25" customHeight="1">
      <c r="A213" s="705"/>
      <c r="B213" s="1866" t="s">
        <v>676</v>
      </c>
      <c r="C213" s="1866"/>
      <c r="D213" s="1866"/>
      <c r="E213" s="1859" t="str">
        <f>'Document Checklist'!$E$58</f>
        <v>9f. Bwr Fi$CAL TIN Form</v>
      </c>
      <c r="F213" s="1859"/>
      <c r="G213" s="1859"/>
      <c r="H213" s="1859"/>
      <c r="I213" s="1859"/>
      <c r="J213" s="1859"/>
      <c r="K213" s="1859"/>
      <c r="L213" s="1859"/>
      <c r="M213" s="1859"/>
      <c r="N213" s="1882" t="str">
        <f>'Document Checklist'!$N$58</f>
        <v>Reference Taxpayer Identification Number (TIN) (public entities ONLY) on the AB434 webpage.</v>
      </c>
      <c r="O213" s="1882"/>
      <c r="P213" s="1882"/>
      <c r="Q213" s="1882"/>
      <c r="R213" s="1882"/>
      <c r="S213" s="1882"/>
      <c r="T213" s="1882"/>
      <c r="U213" s="1882"/>
      <c r="V213" s="1882"/>
      <c r="W213" s="1882"/>
      <c r="X213" s="1882"/>
      <c r="Y213" s="1882"/>
      <c r="Z213" s="1882"/>
      <c r="AA213" s="1882"/>
      <c r="AB213" s="1882"/>
      <c r="AC213" s="1882"/>
      <c r="AD213" s="1882"/>
      <c r="AE213" s="1882"/>
      <c r="AF213" s="1960" t="s">
        <v>677</v>
      </c>
      <c r="AG213" s="1961"/>
      <c r="AH213" s="1961"/>
      <c r="AI213" s="1961"/>
      <c r="AJ213" s="1961"/>
      <c r="AK213" s="1961"/>
      <c r="AL213" s="1765" t="s">
        <v>1475</v>
      </c>
      <c r="AM213" s="1765"/>
      <c r="AN213" s="449"/>
      <c r="AO213" s="1032"/>
      <c r="AP213" s="438" t="s">
        <v>796</v>
      </c>
      <c r="AQ213" s="365"/>
      <c r="AR213" s="1058"/>
      <c r="AS213" s="360"/>
      <c r="AT213" s="1058"/>
      <c r="AU213" s="1058"/>
      <c r="AV213" s="1058"/>
      <c r="AW213" s="1058"/>
      <c r="AX213" s="1058"/>
      <c r="AY213" s="1058"/>
      <c r="AZ213" s="1058"/>
      <c r="BA213" s="1058"/>
      <c r="BB213" s="1058"/>
      <c r="BC213" s="1058"/>
      <c r="BD213" s="1058"/>
      <c r="BE213" s="1058"/>
      <c r="BF213" s="1058"/>
      <c r="BG213" s="1058"/>
      <c r="BH213" s="1058"/>
      <c r="BI213" s="1058"/>
      <c r="BJ213" s="1058"/>
    </row>
    <row r="214" spans="1:62" ht="18" customHeight="1">
      <c r="A214" s="705"/>
      <c r="B214" s="1866" t="s">
        <v>676</v>
      </c>
      <c r="C214" s="1866"/>
      <c r="D214" s="1866"/>
      <c r="E214" s="1859" t="str">
        <f>'Document Checklist'!$E$59</f>
        <v>9g. EIN Verification</v>
      </c>
      <c r="F214" s="1859"/>
      <c r="G214" s="1859"/>
      <c r="H214" s="1859"/>
      <c r="I214" s="1859"/>
      <c r="J214" s="1859"/>
      <c r="K214" s="1859"/>
      <c r="L214" s="1859"/>
      <c r="M214" s="1859"/>
      <c r="N214" s="1754" t="str">
        <f>'Document Checklist'!$N$59</f>
        <v>IRS Form SS4.</v>
      </c>
      <c r="O214" s="1754"/>
      <c r="P214" s="1754"/>
      <c r="Q214" s="1754"/>
      <c r="R214" s="1754"/>
      <c r="S214" s="1754"/>
      <c r="T214" s="1754"/>
      <c r="U214" s="1754"/>
      <c r="V214" s="1754"/>
      <c r="W214" s="1754"/>
      <c r="X214" s="1754"/>
      <c r="Y214" s="1754"/>
      <c r="Z214" s="1754"/>
      <c r="AA214" s="1754"/>
      <c r="AB214" s="1754"/>
      <c r="AC214" s="1754"/>
      <c r="AD214" s="1754"/>
      <c r="AE214" s="1754"/>
      <c r="AF214" s="1960" t="s">
        <v>677</v>
      </c>
      <c r="AG214" s="1961"/>
      <c r="AH214" s="1961"/>
      <c r="AI214" s="1961"/>
      <c r="AJ214" s="1961"/>
      <c r="AK214" s="1961"/>
      <c r="AL214" s="1765" t="s">
        <v>1475</v>
      </c>
      <c r="AM214" s="1765"/>
      <c r="AN214" s="449"/>
      <c r="AO214" s="1523"/>
      <c r="AP214" s="365"/>
      <c r="AQ214" s="365"/>
      <c r="AR214" s="1058"/>
      <c r="AS214" s="360"/>
      <c r="AT214" s="1058"/>
      <c r="AU214" s="1058"/>
      <c r="AV214" s="1058"/>
      <c r="AW214" s="1058"/>
      <c r="AX214" s="1058"/>
      <c r="AY214" s="1058"/>
      <c r="AZ214" s="1058"/>
      <c r="BA214" s="1058"/>
      <c r="BB214" s="1058"/>
      <c r="BC214" s="1058"/>
      <c r="BD214" s="1058"/>
      <c r="BE214" s="1058"/>
      <c r="BF214" s="1058"/>
      <c r="BG214" s="1058"/>
      <c r="BH214" s="1058"/>
      <c r="BI214" s="1058"/>
      <c r="BJ214" s="1058"/>
    </row>
    <row r="215" spans="1:62" ht="36" customHeight="1">
      <c r="A215" s="705"/>
      <c r="B215" s="1866" t="s">
        <v>676</v>
      </c>
      <c r="C215" s="1866"/>
      <c r="D215" s="1866"/>
      <c r="E215" s="1859" t="str">
        <f>'Document Checklist'!$E$60</f>
        <v xml:space="preserve">9h. Bwr Cert of Good Standing </v>
      </c>
      <c r="F215" s="1859"/>
      <c r="G215" s="1859"/>
      <c r="H215" s="1859"/>
      <c r="I215" s="1859"/>
      <c r="J215" s="1859"/>
      <c r="K215" s="1859"/>
      <c r="L215" s="1859"/>
      <c r="M215" s="1859"/>
      <c r="N215" s="1754" t="str">
        <f>'Document Checklist'!$N$60</f>
        <v>Certificate of Good Standing must be dated 30 days or less from the application due date.</v>
      </c>
      <c r="O215" s="1754"/>
      <c r="P215" s="1754"/>
      <c r="Q215" s="1754"/>
      <c r="R215" s="1754"/>
      <c r="S215" s="1754"/>
      <c r="T215" s="1754"/>
      <c r="U215" s="1754"/>
      <c r="V215" s="1754"/>
      <c r="W215" s="1754"/>
      <c r="X215" s="1754"/>
      <c r="Y215" s="1754"/>
      <c r="Z215" s="1754"/>
      <c r="AA215" s="1754"/>
      <c r="AB215" s="1754"/>
      <c r="AC215" s="1754"/>
      <c r="AD215" s="1754"/>
      <c r="AE215" s="1754"/>
      <c r="AF215" s="1960" t="s">
        <v>677</v>
      </c>
      <c r="AG215" s="1961"/>
      <c r="AH215" s="1961"/>
      <c r="AI215" s="1961"/>
      <c r="AJ215" s="1961"/>
      <c r="AK215" s="1961"/>
      <c r="AL215" s="1765" t="s">
        <v>1475</v>
      </c>
      <c r="AM215" s="1765"/>
      <c r="AN215" s="449"/>
      <c r="AO215" s="49"/>
      <c r="AP215" s="365"/>
      <c r="AQ215" s="365"/>
      <c r="AR215" s="1058"/>
      <c r="AS215" s="360"/>
      <c r="AT215" s="1058"/>
      <c r="AU215" s="1058"/>
      <c r="AV215" s="1058"/>
      <c r="AW215" s="1058"/>
      <c r="AX215" s="1058"/>
      <c r="AY215" s="1058"/>
      <c r="AZ215" s="1058"/>
      <c r="BA215" s="1058"/>
      <c r="BB215" s="1058"/>
      <c r="BC215" s="1058"/>
      <c r="BD215" s="1058"/>
      <c r="BE215" s="1058"/>
      <c r="BF215" s="1058"/>
      <c r="BG215" s="1058"/>
      <c r="BH215" s="1058"/>
      <c r="BI215" s="1058"/>
      <c r="BJ215" s="1058"/>
    </row>
    <row r="216" spans="1:62" ht="36" customHeight="1">
      <c r="A216" s="705"/>
      <c r="B216" s="1866" t="s">
        <v>676</v>
      </c>
      <c r="C216" s="1866"/>
      <c r="D216" s="1866"/>
      <c r="E216" s="1859" t="str">
        <f>'Document Checklist'!$E$61</f>
        <v>9i. Bwr Tax-Exempt Status</v>
      </c>
      <c r="F216" s="1859"/>
      <c r="G216" s="1859"/>
      <c r="H216" s="1859"/>
      <c r="I216" s="1859"/>
      <c r="J216" s="1859"/>
      <c r="K216" s="1859"/>
      <c r="L216" s="1859"/>
      <c r="M216" s="1859"/>
      <c r="N216" s="1754" t="str">
        <f>'Document Checklist'!$N$61</f>
        <v>Evidence of tax-exempt status from IRS and evidence of tax-exempt status from FTB for Corporations. (if applicable)</v>
      </c>
      <c r="O216" s="1754"/>
      <c r="P216" s="1754"/>
      <c r="Q216" s="1754"/>
      <c r="R216" s="1754"/>
      <c r="S216" s="1754"/>
      <c r="T216" s="1754"/>
      <c r="U216" s="1754"/>
      <c r="V216" s="1754"/>
      <c r="W216" s="1754"/>
      <c r="X216" s="1754"/>
      <c r="Y216" s="1754"/>
      <c r="Z216" s="1754"/>
      <c r="AA216" s="1754"/>
      <c r="AB216" s="1754"/>
      <c r="AC216" s="1754"/>
      <c r="AD216" s="1754"/>
      <c r="AE216" s="1754"/>
      <c r="AF216" s="1960" t="s">
        <v>677</v>
      </c>
      <c r="AG216" s="1961"/>
      <c r="AH216" s="1961"/>
      <c r="AI216" s="1961"/>
      <c r="AJ216" s="1961"/>
      <c r="AK216" s="1961"/>
      <c r="AL216" s="1765" t="s">
        <v>1475</v>
      </c>
      <c r="AM216" s="1765"/>
      <c r="AN216" s="449"/>
      <c r="AO216" s="49"/>
      <c r="AP216" s="365"/>
      <c r="AQ216" s="365"/>
      <c r="AR216" s="1058"/>
      <c r="AS216" s="360"/>
      <c r="AT216" s="1058"/>
      <c r="AU216" s="1058"/>
      <c r="AV216" s="1058"/>
      <c r="AW216" s="1058"/>
      <c r="AX216" s="1058"/>
      <c r="AY216" s="1058"/>
      <c r="AZ216" s="1058"/>
      <c r="BA216" s="1058"/>
      <c r="BB216" s="1058"/>
      <c r="BC216" s="1058"/>
      <c r="BD216" s="1058"/>
      <c r="BE216" s="1058"/>
      <c r="BF216" s="1058"/>
      <c r="BG216" s="1058"/>
      <c r="BH216" s="1058"/>
      <c r="BI216" s="1058"/>
      <c r="BJ216" s="1058"/>
    </row>
    <row r="217" spans="1:62" ht="19.5" customHeight="1">
      <c r="A217" s="1204"/>
      <c r="B217" s="1476"/>
      <c r="C217" s="1476"/>
      <c r="D217" s="1476"/>
      <c r="E217" s="1476"/>
      <c r="F217" s="1476"/>
      <c r="G217" s="1476"/>
      <c r="H217" s="1476"/>
      <c r="I217" s="1476"/>
      <c r="J217" s="1476"/>
      <c r="K217" s="1476"/>
      <c r="L217" s="1476"/>
      <c r="M217" s="1476"/>
      <c r="N217" s="1476"/>
      <c r="O217" s="1476"/>
      <c r="P217" s="1476"/>
      <c r="Q217" s="1476"/>
      <c r="R217" s="1476"/>
      <c r="S217" s="1476"/>
      <c r="T217" s="1476"/>
      <c r="U217" s="1476"/>
      <c r="V217" s="1476"/>
      <c r="W217" s="1476"/>
      <c r="X217" s="1476"/>
      <c r="Y217" s="1476"/>
      <c r="Z217" s="1476"/>
      <c r="AA217" s="1476"/>
      <c r="AB217" s="1476"/>
      <c r="AC217" s="1476"/>
      <c r="AD217" s="1476"/>
      <c r="AE217" s="1476"/>
      <c r="AF217" s="1476"/>
      <c r="AG217" s="1476"/>
      <c r="AH217" s="1476"/>
      <c r="AI217" s="1476"/>
      <c r="AJ217" s="1476"/>
      <c r="AK217" s="1476"/>
      <c r="AL217" s="1476"/>
      <c r="AM217" s="1476"/>
      <c r="AN217" s="1476"/>
      <c r="AO217" s="49"/>
      <c r="AP217" s="365"/>
      <c r="AQ217" s="365"/>
      <c r="AR217" s="1058"/>
      <c r="AS217" s="1058"/>
      <c r="AT217" s="1058"/>
      <c r="AU217" s="1058"/>
      <c r="AV217" s="1058"/>
      <c r="AW217" s="1058"/>
      <c r="AX217" s="1058"/>
      <c r="AY217" s="1058"/>
      <c r="AZ217" s="1058"/>
      <c r="BA217" s="1058"/>
      <c r="BB217" s="1058"/>
      <c r="BC217" s="1058"/>
      <c r="BD217" s="1058"/>
      <c r="BE217" s="1058"/>
      <c r="BF217" s="1058"/>
      <c r="BG217" s="1058"/>
      <c r="BH217" s="1058"/>
      <c r="BI217" s="1058"/>
      <c r="BJ217" s="1058"/>
    </row>
    <row r="218" spans="1:62" ht="18" customHeight="1">
      <c r="A218" s="1204"/>
      <c r="B218" s="2053" t="s">
        <v>817</v>
      </c>
      <c r="C218" s="2053"/>
      <c r="D218" s="2053"/>
      <c r="E218" s="2053"/>
      <c r="F218" s="2053"/>
      <c r="G218" s="2053"/>
      <c r="H218" s="2053"/>
      <c r="I218" s="2053"/>
      <c r="J218" s="2053"/>
      <c r="K218" s="2053"/>
      <c r="L218" s="2053"/>
      <c r="M218" s="2053"/>
      <c r="N218" s="2053"/>
      <c r="O218" s="2053"/>
      <c r="P218" s="2053"/>
      <c r="Q218" s="2053"/>
      <c r="R218" s="2053"/>
      <c r="S218" s="2053"/>
      <c r="T218" s="2053"/>
      <c r="U218" s="2053"/>
      <c r="V218" s="2053"/>
      <c r="W218" s="2053"/>
      <c r="X218" s="2053"/>
      <c r="Y218" s="2053"/>
      <c r="Z218" s="2053"/>
      <c r="AA218" s="2053"/>
      <c r="AB218" s="2053"/>
      <c r="AC218" s="2053"/>
      <c r="AD218" s="2053"/>
      <c r="AE218" s="2053"/>
      <c r="AF218" s="2053"/>
      <c r="AG218" s="2053"/>
      <c r="AH218" s="2053"/>
      <c r="AI218" s="2053"/>
      <c r="AJ218" s="2053"/>
      <c r="AK218" s="2053"/>
      <c r="AL218" s="2053"/>
      <c r="AM218" s="2053"/>
      <c r="AN218" s="455"/>
      <c r="AO218" s="49"/>
      <c r="AP218" s="365"/>
      <c r="AQ218" s="365"/>
      <c r="AR218" s="1058"/>
      <c r="AS218" s="1058"/>
      <c r="AT218" s="1058"/>
      <c r="AU218" s="1058"/>
      <c r="AV218" s="1058"/>
      <c r="AW218" s="1058"/>
      <c r="AX218" s="1058"/>
      <c r="AY218" s="1058"/>
      <c r="AZ218" s="1058"/>
      <c r="BA218" s="1058"/>
      <c r="BB218" s="1058"/>
      <c r="BC218" s="1058"/>
      <c r="BD218" s="1058"/>
      <c r="BE218" s="1058"/>
      <c r="BF218" s="1058"/>
      <c r="BG218" s="1058"/>
      <c r="BH218" s="1058"/>
      <c r="BI218" s="1058"/>
      <c r="BJ218" s="1058"/>
    </row>
    <row r="219" spans="1:62" ht="18" customHeight="1">
      <c r="B219" s="1853" t="s">
        <v>816</v>
      </c>
      <c r="C219" s="1854"/>
      <c r="D219" s="1854"/>
      <c r="E219" s="1854"/>
      <c r="F219" s="1855"/>
      <c r="G219" s="2094" t="s">
        <v>4189</v>
      </c>
      <c r="H219" s="2095"/>
      <c r="I219" s="2095"/>
      <c r="J219" s="2095"/>
      <c r="K219" s="2095"/>
      <c r="L219" s="2095"/>
      <c r="M219" s="2095"/>
      <c r="N219" s="2095"/>
      <c r="O219" s="2095"/>
      <c r="P219" s="2095"/>
      <c r="Q219" s="2095"/>
      <c r="R219" s="2095"/>
      <c r="S219" s="2095"/>
      <c r="T219" s="2095"/>
      <c r="U219" s="2095"/>
      <c r="V219" s="2095"/>
      <c r="W219" s="2095"/>
      <c r="X219" s="2095"/>
      <c r="Y219" s="2095"/>
      <c r="Z219" s="2095"/>
      <c r="AA219" s="2095"/>
      <c r="AB219" s="2095"/>
      <c r="AC219" s="2095"/>
      <c r="AD219" s="2095"/>
      <c r="AE219" s="2095"/>
      <c r="AF219" s="2095"/>
      <c r="AG219" s="2095"/>
      <c r="AH219" s="2095"/>
      <c r="AI219" s="2095"/>
      <c r="AJ219" s="2095"/>
      <c r="AK219" s="2095"/>
      <c r="AL219" s="2095"/>
      <c r="AM219" s="2096"/>
      <c r="AN219" s="1058"/>
      <c r="AO219" s="49"/>
      <c r="AP219" s="365"/>
      <c r="AQ219" s="365"/>
      <c r="AR219" s="1058"/>
      <c r="AS219" s="1058"/>
      <c r="AT219" s="1058"/>
      <c r="AU219" s="1058"/>
      <c r="AV219" s="1058"/>
      <c r="AW219" s="1058"/>
      <c r="AX219" s="1058"/>
      <c r="AY219" s="1058"/>
      <c r="AZ219" s="1058"/>
      <c r="BA219" s="1058"/>
      <c r="BB219" s="1058"/>
      <c r="BC219" s="1058"/>
      <c r="BD219" s="1058"/>
      <c r="BE219" s="1058"/>
      <c r="BF219" s="1058"/>
      <c r="BG219" s="1058"/>
      <c r="BH219" s="1058"/>
      <c r="BI219" s="1058"/>
      <c r="BJ219" s="1058"/>
    </row>
    <row r="220" spans="1:62" ht="18" customHeight="1">
      <c r="B220" s="1866" t="s">
        <v>676</v>
      </c>
      <c r="C220" s="1866"/>
      <c r="D220" s="1866"/>
      <c r="E220" s="1859" t="str">
        <f>'Document Checklist'!$E$64</f>
        <v>10a. MGP Cert &amp; Legal Disclosure</v>
      </c>
      <c r="F220" s="1859"/>
      <c r="G220" s="1859"/>
      <c r="H220" s="1859"/>
      <c r="I220" s="1859"/>
      <c r="J220" s="1859"/>
      <c r="K220" s="1859"/>
      <c r="L220" s="1859"/>
      <c r="M220" s="1859"/>
      <c r="N220" s="1882" t="str">
        <f>'Document Checklist'!$N$12</f>
        <v>Reference Sponsor Certification Worksheet.</v>
      </c>
      <c r="O220" s="1882"/>
      <c r="P220" s="1882"/>
      <c r="Q220" s="1882"/>
      <c r="R220" s="1882"/>
      <c r="S220" s="1882"/>
      <c r="T220" s="1882"/>
      <c r="U220" s="1882"/>
      <c r="V220" s="1882"/>
      <c r="W220" s="1882"/>
      <c r="X220" s="1882"/>
      <c r="Y220" s="1882"/>
      <c r="Z220" s="1882"/>
      <c r="AA220" s="1882"/>
      <c r="AB220" s="1882"/>
      <c r="AC220" s="1882"/>
      <c r="AD220" s="1882"/>
      <c r="AE220" s="1882"/>
      <c r="AF220" s="1960" t="s">
        <v>677</v>
      </c>
      <c r="AG220" s="1961"/>
      <c r="AH220" s="1961"/>
      <c r="AI220" s="1961"/>
      <c r="AJ220" s="1961"/>
      <c r="AK220" s="1961"/>
      <c r="AL220" s="1765" t="s">
        <v>664</v>
      </c>
      <c r="AM220" s="1765"/>
      <c r="AN220" s="1058"/>
      <c r="AO220" s="365"/>
      <c r="AP220" s="365"/>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row>
    <row r="221" spans="1:62" ht="18" customHeight="1">
      <c r="B221" s="1866" t="s">
        <v>676</v>
      </c>
      <c r="C221" s="1866"/>
      <c r="D221" s="1866"/>
      <c r="E221" s="1859" t="str">
        <f>'Document Checklist'!$E$65</f>
        <v>10b. MGP OrgDoc1, OrgDoc2, etc.</v>
      </c>
      <c r="F221" s="1859"/>
      <c r="G221" s="1859"/>
      <c r="H221" s="1859"/>
      <c r="I221" s="1859"/>
      <c r="J221" s="1859"/>
      <c r="K221" s="1859"/>
      <c r="L221" s="1859"/>
      <c r="M221" s="1859"/>
      <c r="N221" s="1882" t="str">
        <f>'Document Checklist'!$N$14</f>
        <v>Reference Entity Org Docs worksheet.</v>
      </c>
      <c r="O221" s="1882"/>
      <c r="P221" s="1882"/>
      <c r="Q221" s="1882"/>
      <c r="R221" s="1882"/>
      <c r="S221" s="1882"/>
      <c r="T221" s="1882"/>
      <c r="U221" s="1882"/>
      <c r="V221" s="1882"/>
      <c r="W221" s="1882"/>
      <c r="X221" s="1882"/>
      <c r="Y221" s="1882"/>
      <c r="Z221" s="1882"/>
      <c r="AA221" s="1882"/>
      <c r="AB221" s="1882"/>
      <c r="AC221" s="1882"/>
      <c r="AD221" s="1882"/>
      <c r="AE221" s="1882"/>
      <c r="AF221" s="1960" t="s">
        <v>677</v>
      </c>
      <c r="AG221" s="1961"/>
      <c r="AH221" s="1961"/>
      <c r="AI221" s="1961"/>
      <c r="AJ221" s="1961"/>
      <c r="AK221" s="1961"/>
      <c r="AL221" s="1765" t="s">
        <v>664</v>
      </c>
      <c r="AM221" s="1765"/>
      <c r="AN221" s="1058"/>
      <c r="AO221" s="365"/>
      <c r="AP221" s="365"/>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row>
    <row r="222" spans="1:62" ht="18" customHeight="1">
      <c r="B222" s="1866" t="s">
        <v>676</v>
      </c>
      <c r="C222" s="1866"/>
      <c r="D222" s="1866"/>
      <c r="E222" s="1859" t="str">
        <f>'Document Checklist'!$E$66</f>
        <v>10c. MGP OrgChart</v>
      </c>
      <c r="F222" s="1859"/>
      <c r="G222" s="1859"/>
      <c r="H222" s="1859"/>
      <c r="I222" s="1859"/>
      <c r="J222" s="1859"/>
      <c r="K222" s="1859"/>
      <c r="L222" s="1859"/>
      <c r="M222" s="1859"/>
      <c r="N222" s="1754" t="str">
        <f>'Document Checklist'!$N$66</f>
        <v>MGP Organization Chart.</v>
      </c>
      <c r="O222" s="1754"/>
      <c r="P222" s="1754"/>
      <c r="Q222" s="1754"/>
      <c r="R222" s="1754"/>
      <c r="S222" s="1754"/>
      <c r="T222" s="1754"/>
      <c r="U222" s="1754"/>
      <c r="V222" s="1754"/>
      <c r="W222" s="1754"/>
      <c r="X222" s="1754"/>
      <c r="Y222" s="1754"/>
      <c r="Z222" s="1754"/>
      <c r="AA222" s="1754"/>
      <c r="AB222" s="1754"/>
      <c r="AC222" s="1754"/>
      <c r="AD222" s="1754"/>
      <c r="AE222" s="1754"/>
      <c r="AF222" s="1960" t="s">
        <v>677</v>
      </c>
      <c r="AG222" s="1961"/>
      <c r="AH222" s="1961"/>
      <c r="AI222" s="1961"/>
      <c r="AJ222" s="1961"/>
      <c r="AK222" s="1961"/>
      <c r="AL222" s="1765" t="s">
        <v>664</v>
      </c>
      <c r="AM222" s="1765"/>
      <c r="AN222" s="1058"/>
      <c r="AO222" s="365"/>
      <c r="AP222" s="365"/>
      <c r="AQ222" s="1058"/>
      <c r="AR222" s="1058"/>
      <c r="AS222" s="1058"/>
      <c r="AT222" s="1058"/>
      <c r="AU222" s="1058"/>
      <c r="AV222" s="1058"/>
      <c r="AW222" s="1058"/>
      <c r="AX222" s="1058"/>
      <c r="AY222" s="1058"/>
      <c r="AZ222" s="1058"/>
      <c r="BA222" s="1058"/>
      <c r="BB222" s="1058"/>
      <c r="BC222" s="1058"/>
      <c r="BD222" s="1058"/>
      <c r="BE222" s="1058"/>
      <c r="BF222" s="1058"/>
      <c r="BG222" s="1058"/>
      <c r="BH222" s="1058"/>
      <c r="BI222" s="1058"/>
      <c r="BJ222" s="1058"/>
    </row>
    <row r="223" spans="1:62" ht="18" customHeight="1">
      <c r="B223" s="1866" t="s">
        <v>676</v>
      </c>
      <c r="C223" s="1866"/>
      <c r="D223" s="1866"/>
      <c r="E223" s="1859" t="str">
        <f>'Document Checklist'!$E$67</f>
        <v>10d. MGP Signature Block</v>
      </c>
      <c r="F223" s="1859"/>
      <c r="G223" s="1859"/>
      <c r="H223" s="1859"/>
      <c r="I223" s="1859"/>
      <c r="J223" s="1859"/>
      <c r="K223" s="1859"/>
      <c r="L223" s="1859"/>
      <c r="M223" s="1859"/>
      <c r="N223" s="1754" t="str">
        <f>'Document Checklist'!$N$67</f>
        <v>Signature Block - upload in Microsoft Word Document.</v>
      </c>
      <c r="O223" s="1754"/>
      <c r="P223" s="1754"/>
      <c r="Q223" s="1754"/>
      <c r="R223" s="1754"/>
      <c r="S223" s="1754"/>
      <c r="T223" s="1754"/>
      <c r="U223" s="1754"/>
      <c r="V223" s="1754"/>
      <c r="W223" s="1754"/>
      <c r="X223" s="1754"/>
      <c r="Y223" s="1754"/>
      <c r="Z223" s="1754"/>
      <c r="AA223" s="1754"/>
      <c r="AB223" s="1754"/>
      <c r="AC223" s="1754"/>
      <c r="AD223" s="1754"/>
      <c r="AE223" s="1754"/>
      <c r="AF223" s="1960" t="s">
        <v>677</v>
      </c>
      <c r="AG223" s="1961"/>
      <c r="AH223" s="1961"/>
      <c r="AI223" s="1961"/>
      <c r="AJ223" s="1961"/>
      <c r="AK223" s="1961"/>
      <c r="AL223" s="1765" t="s">
        <v>664</v>
      </c>
      <c r="AM223" s="1765"/>
      <c r="AN223" s="1058"/>
      <c r="AO223" s="365"/>
      <c r="AP223" s="365"/>
      <c r="AQ223" s="1058"/>
      <c r="AR223" s="1058"/>
      <c r="AS223" s="1058"/>
      <c r="AT223" s="1058"/>
      <c r="AU223" s="1058"/>
      <c r="AV223" s="1058"/>
      <c r="AW223" s="1058"/>
      <c r="AX223" s="1058"/>
      <c r="AY223" s="1058"/>
      <c r="AZ223" s="1058"/>
      <c r="BA223" s="1058"/>
      <c r="BB223" s="1058"/>
      <c r="BC223" s="1058"/>
      <c r="BD223" s="1058"/>
      <c r="BE223" s="1058"/>
      <c r="BF223" s="1058"/>
      <c r="BG223" s="1058"/>
      <c r="BH223" s="1058"/>
      <c r="BI223" s="1058"/>
      <c r="BJ223" s="1058"/>
    </row>
    <row r="224" spans="1:62" ht="36" customHeight="1">
      <c r="B224" s="1866" t="s">
        <v>676</v>
      </c>
      <c r="C224" s="1866"/>
      <c r="D224" s="1866"/>
      <c r="E224" s="1859" t="str">
        <f>'Document Checklist'!$E$68</f>
        <v xml:space="preserve">10e. MGP Cert of Good Standing </v>
      </c>
      <c r="F224" s="1859"/>
      <c r="G224" s="1859"/>
      <c r="H224" s="1859"/>
      <c r="I224" s="1859"/>
      <c r="J224" s="1859"/>
      <c r="K224" s="1859"/>
      <c r="L224" s="1859"/>
      <c r="M224" s="1859"/>
      <c r="N224" s="1754" t="str">
        <f>'Document Checklist'!$N$68</f>
        <v>Certificate of Good Standing must be dated 30 days or less from the application due date.</v>
      </c>
      <c r="O224" s="1754"/>
      <c r="P224" s="1754"/>
      <c r="Q224" s="1754"/>
      <c r="R224" s="1754"/>
      <c r="S224" s="1754"/>
      <c r="T224" s="1754"/>
      <c r="U224" s="1754"/>
      <c r="V224" s="1754"/>
      <c r="W224" s="1754"/>
      <c r="X224" s="1754"/>
      <c r="Y224" s="1754"/>
      <c r="Z224" s="1754"/>
      <c r="AA224" s="1754"/>
      <c r="AB224" s="1754"/>
      <c r="AC224" s="1754"/>
      <c r="AD224" s="1754"/>
      <c r="AE224" s="1754"/>
      <c r="AF224" s="1960" t="s">
        <v>677</v>
      </c>
      <c r="AG224" s="1961"/>
      <c r="AH224" s="1961"/>
      <c r="AI224" s="1961"/>
      <c r="AJ224" s="1961"/>
      <c r="AK224" s="1961"/>
      <c r="AL224" s="1765" t="s">
        <v>664</v>
      </c>
      <c r="AM224" s="1765"/>
      <c r="AN224" s="1058"/>
      <c r="AO224" s="365"/>
      <c r="AP224" s="365"/>
      <c r="AQ224" s="1058"/>
      <c r="AR224" s="1058"/>
      <c r="AS224" s="1058"/>
      <c r="AT224" s="1058"/>
      <c r="AU224" s="1058"/>
      <c r="AV224" s="1058"/>
      <c r="AW224" s="1058"/>
      <c r="AX224" s="1058"/>
      <c r="AY224" s="1058"/>
      <c r="AZ224" s="1058"/>
      <c r="BA224" s="1058"/>
      <c r="BB224" s="1058"/>
      <c r="BC224" s="1058"/>
      <c r="BD224" s="1058"/>
      <c r="BE224" s="1058"/>
      <c r="BF224" s="1058"/>
      <c r="BG224" s="1058"/>
      <c r="BH224" s="1058"/>
      <c r="BI224" s="1058"/>
      <c r="BJ224" s="1058"/>
    </row>
    <row r="225" spans="1:62" ht="36" customHeight="1">
      <c r="B225" s="1866" t="s">
        <v>676</v>
      </c>
      <c r="C225" s="1866"/>
      <c r="D225" s="1866"/>
      <c r="E225" s="1859" t="str">
        <f>'Document Checklist'!$E$69</f>
        <v>10f. MGP Tax-Exempt Status</v>
      </c>
      <c r="F225" s="1859"/>
      <c r="G225" s="1859"/>
      <c r="H225" s="1859"/>
      <c r="I225" s="1859"/>
      <c r="J225" s="1859"/>
      <c r="K225" s="1859"/>
      <c r="L225" s="1859"/>
      <c r="M225" s="1859"/>
      <c r="N225" s="1754" t="str">
        <f>'Document Checklist'!$N$69</f>
        <v>Evidence of tax-exempt status from IRS and evidence of tax-exempt status from FTB for Corporations. (if applicable)</v>
      </c>
      <c r="O225" s="1754"/>
      <c r="P225" s="1754"/>
      <c r="Q225" s="1754"/>
      <c r="R225" s="1754"/>
      <c r="S225" s="1754"/>
      <c r="T225" s="1754"/>
      <c r="U225" s="1754"/>
      <c r="V225" s="1754"/>
      <c r="W225" s="1754"/>
      <c r="X225" s="1754"/>
      <c r="Y225" s="1754"/>
      <c r="Z225" s="1754"/>
      <c r="AA225" s="1754"/>
      <c r="AB225" s="1754"/>
      <c r="AC225" s="1754"/>
      <c r="AD225" s="1754"/>
      <c r="AE225" s="1754"/>
      <c r="AF225" s="1960" t="s">
        <v>677</v>
      </c>
      <c r="AG225" s="1961"/>
      <c r="AH225" s="1961"/>
      <c r="AI225" s="1961"/>
      <c r="AJ225" s="1961"/>
      <c r="AK225" s="1961"/>
      <c r="AL225" s="1765" t="s">
        <v>664</v>
      </c>
      <c r="AM225" s="1765"/>
      <c r="AN225" s="1058"/>
      <c r="AO225" s="365"/>
      <c r="AP225" s="365"/>
      <c r="AQ225" s="1058"/>
      <c r="AR225" s="1058"/>
      <c r="AS225" s="1058"/>
      <c r="AT225" s="1058"/>
      <c r="AU225" s="1058"/>
      <c r="AV225" s="1058"/>
      <c r="AW225" s="1058"/>
      <c r="AX225" s="1058"/>
      <c r="AY225" s="1058"/>
      <c r="AZ225" s="1058"/>
      <c r="BA225" s="1058"/>
      <c r="BB225" s="1058"/>
      <c r="BC225" s="1058"/>
      <c r="BD225" s="1058"/>
      <c r="BE225" s="1058"/>
      <c r="BF225" s="1058"/>
      <c r="BG225" s="1058"/>
      <c r="BH225" s="1058"/>
      <c r="BI225" s="1058"/>
      <c r="BJ225" s="1058"/>
    </row>
    <row r="226" spans="1:62" ht="18" customHeight="1">
      <c r="B226" s="303"/>
      <c r="C226" s="303"/>
      <c r="D226" s="303"/>
      <c r="E226" s="303"/>
      <c r="F226" s="303"/>
      <c r="G226" s="303"/>
      <c r="H226" s="303"/>
      <c r="I226" s="303"/>
      <c r="J226" s="303"/>
      <c r="K226" s="303"/>
      <c r="L226" s="303"/>
      <c r="M226" s="303"/>
      <c r="N226" s="303"/>
      <c r="O226" s="303"/>
      <c r="P226" s="303"/>
      <c r="Q226" s="303"/>
      <c r="R226" s="303"/>
      <c r="S226" s="303"/>
      <c r="T226" s="303"/>
      <c r="U226" s="303"/>
      <c r="V226" s="303"/>
      <c r="W226" s="303"/>
      <c r="X226" s="303"/>
      <c r="Y226" s="303"/>
      <c r="Z226" s="303"/>
      <c r="AA226" s="303"/>
      <c r="AB226" s="303"/>
      <c r="AC226" s="303"/>
      <c r="AD226" s="303"/>
      <c r="AE226" s="303"/>
      <c r="AF226" s="303"/>
      <c r="AG226" s="303"/>
      <c r="AH226" s="303"/>
      <c r="AI226" s="303"/>
      <c r="AJ226" s="303"/>
      <c r="AK226" s="303"/>
      <c r="AL226" s="303"/>
      <c r="AM226" s="303"/>
      <c r="AN226" s="303"/>
      <c r="AO226" s="365"/>
      <c r="AP226" s="365"/>
      <c r="AQ226" s="1058"/>
      <c r="AR226" s="1058"/>
      <c r="AS226" s="1058"/>
      <c r="AT226" s="1058"/>
      <c r="AU226" s="1058"/>
      <c r="AV226" s="1058"/>
      <c r="AW226" s="1058"/>
      <c r="AX226" s="1058"/>
      <c r="AY226" s="1058"/>
      <c r="AZ226" s="1058"/>
      <c r="BA226" s="1058"/>
      <c r="BB226" s="1058"/>
      <c r="BC226" s="1058"/>
      <c r="BD226" s="1058"/>
      <c r="BE226" s="1058"/>
      <c r="BF226" s="1058"/>
      <c r="BG226" s="1058"/>
      <c r="BH226" s="1058"/>
      <c r="BI226" s="1058"/>
      <c r="BJ226" s="1058"/>
    </row>
    <row r="227" spans="1:62" ht="18" customHeight="1">
      <c r="B227" s="2053" t="s">
        <v>818</v>
      </c>
      <c r="C227" s="2053"/>
      <c r="D227" s="2053"/>
      <c r="E227" s="2053"/>
      <c r="F227" s="2053"/>
      <c r="G227" s="2053"/>
      <c r="H227" s="2053"/>
      <c r="I227" s="2053"/>
      <c r="J227" s="2053"/>
      <c r="K227" s="2053"/>
      <c r="L227" s="2053"/>
      <c r="M227" s="2053"/>
      <c r="N227" s="2053"/>
      <c r="O227" s="2053"/>
      <c r="P227" s="2053"/>
      <c r="Q227" s="2053"/>
      <c r="R227" s="2053"/>
      <c r="S227" s="2053"/>
      <c r="T227" s="2053"/>
      <c r="U227" s="2053"/>
      <c r="V227" s="2053"/>
      <c r="W227" s="2053"/>
      <c r="X227" s="2053"/>
      <c r="Y227" s="2053"/>
      <c r="Z227" s="2053"/>
      <c r="AA227" s="2053"/>
      <c r="AB227" s="2053"/>
      <c r="AC227" s="2053"/>
      <c r="AD227" s="2053"/>
      <c r="AE227" s="2053"/>
      <c r="AF227" s="2053"/>
      <c r="AG227" s="2053"/>
      <c r="AH227" s="2053"/>
      <c r="AI227" s="2053"/>
      <c r="AJ227" s="2053"/>
      <c r="AK227" s="2053"/>
      <c r="AL227" s="2053"/>
      <c r="AM227" s="2053"/>
      <c r="AN227" s="1058"/>
      <c r="AO227" s="35"/>
      <c r="AP227" s="1476"/>
      <c r="AQ227" s="1476"/>
      <c r="AR227" s="1456"/>
      <c r="AS227" s="1456"/>
      <c r="AT227" s="1456"/>
      <c r="AU227" s="1456"/>
      <c r="AV227" s="1456"/>
      <c r="AW227" s="1456"/>
      <c r="AX227" s="1456"/>
      <c r="AY227" s="1456"/>
      <c r="AZ227" s="1456"/>
      <c r="BA227" s="1456"/>
      <c r="BB227" s="1456"/>
      <c r="BC227" s="1456"/>
      <c r="BD227" s="1456"/>
      <c r="BE227" s="1456"/>
      <c r="BF227" s="1456"/>
      <c r="BG227" s="1456"/>
      <c r="BH227" s="1456"/>
      <c r="BI227" s="1456"/>
      <c r="BJ227" s="1456"/>
    </row>
    <row r="228" spans="1:62" s="974" customFormat="1" ht="18" customHeight="1">
      <c r="A228" s="452"/>
      <c r="B228" s="1853" t="s">
        <v>816</v>
      </c>
      <c r="C228" s="1854"/>
      <c r="D228" s="1854"/>
      <c r="E228" s="1854"/>
      <c r="F228" s="1855"/>
      <c r="G228" s="2094" t="s">
        <v>4189</v>
      </c>
      <c r="H228" s="2095"/>
      <c r="I228" s="2095"/>
      <c r="J228" s="2095"/>
      <c r="K228" s="2095"/>
      <c r="L228" s="2095"/>
      <c r="M228" s="2095"/>
      <c r="N228" s="2095"/>
      <c r="O228" s="2095"/>
      <c r="P228" s="2095"/>
      <c r="Q228" s="2095"/>
      <c r="R228" s="2095"/>
      <c r="S228" s="2095"/>
      <c r="T228" s="2095"/>
      <c r="U228" s="2095"/>
      <c r="V228" s="2095"/>
      <c r="W228" s="2095"/>
      <c r="X228" s="2095"/>
      <c r="Y228" s="2095"/>
      <c r="Z228" s="2095"/>
      <c r="AA228" s="2095"/>
      <c r="AB228" s="2095"/>
      <c r="AC228" s="2095"/>
      <c r="AD228" s="2095"/>
      <c r="AE228" s="2095"/>
      <c r="AF228" s="2095"/>
      <c r="AG228" s="2095"/>
      <c r="AH228" s="2095"/>
      <c r="AI228" s="2095"/>
      <c r="AJ228" s="2095"/>
      <c r="AK228" s="2095"/>
      <c r="AL228" s="2095"/>
      <c r="AM228" s="2096"/>
      <c r="AN228" s="1058"/>
      <c r="AO228" s="49"/>
      <c r="AP228" s="365"/>
      <c r="AQ228" s="365"/>
      <c r="AR228" s="1058"/>
      <c r="AS228" s="1058"/>
      <c r="AT228" s="1058"/>
      <c r="AU228" s="1058"/>
      <c r="AV228" s="1058"/>
      <c r="AW228" s="1058"/>
      <c r="AX228" s="1058"/>
      <c r="AY228" s="1058"/>
      <c r="AZ228" s="1058"/>
      <c r="BA228" s="1058"/>
      <c r="BB228" s="1058"/>
      <c r="BC228" s="1058"/>
      <c r="BD228" s="1058"/>
      <c r="BE228" s="1058"/>
      <c r="BF228" s="1058"/>
      <c r="BG228" s="1058"/>
      <c r="BH228" s="1058"/>
      <c r="BI228" s="1058"/>
      <c r="BJ228" s="1058"/>
    </row>
    <row r="229" spans="1:62" ht="18" customHeight="1">
      <c r="B229" s="1866" t="s">
        <v>676</v>
      </c>
      <c r="C229" s="1866"/>
      <c r="D229" s="1866"/>
      <c r="E229" s="1859" t="str">
        <f>'Document Checklist'!$E$72</f>
        <v>11a. AGP1 Cert &amp; Legal Disclosure</v>
      </c>
      <c r="F229" s="1859"/>
      <c r="G229" s="1859"/>
      <c r="H229" s="1859"/>
      <c r="I229" s="1859"/>
      <c r="J229" s="1859"/>
      <c r="K229" s="1859"/>
      <c r="L229" s="1859"/>
      <c r="M229" s="1859"/>
      <c r="N229" s="1882" t="str">
        <f>'Document Checklist'!$N$12</f>
        <v>Reference Sponsor Certification Worksheet.</v>
      </c>
      <c r="O229" s="1882"/>
      <c r="P229" s="1882"/>
      <c r="Q229" s="1882"/>
      <c r="R229" s="1882"/>
      <c r="S229" s="1882"/>
      <c r="T229" s="1882"/>
      <c r="U229" s="1882"/>
      <c r="V229" s="1882"/>
      <c r="W229" s="1882"/>
      <c r="X229" s="1882"/>
      <c r="Y229" s="1882"/>
      <c r="Z229" s="1882"/>
      <c r="AA229" s="1882"/>
      <c r="AB229" s="1882"/>
      <c r="AC229" s="1882"/>
      <c r="AD229" s="1882"/>
      <c r="AE229" s="1882"/>
      <c r="AF229" s="1804" t="s">
        <v>677</v>
      </c>
      <c r="AG229" s="2054"/>
      <c r="AH229" s="2054"/>
      <c r="AI229" s="2054"/>
      <c r="AJ229" s="2054"/>
      <c r="AK229" s="2055"/>
      <c r="AL229" s="1765" t="s">
        <v>711</v>
      </c>
      <c r="AM229" s="1765"/>
      <c r="AN229" s="363"/>
      <c r="AO229" s="49"/>
      <c r="AP229" s="365"/>
      <c r="AQ229" s="365"/>
      <c r="AR229" s="1058"/>
      <c r="AS229" s="1058"/>
      <c r="AT229" s="1058"/>
      <c r="AU229" s="1058"/>
      <c r="AV229" s="1058"/>
      <c r="AW229" s="1058"/>
      <c r="AX229" s="1058"/>
      <c r="AY229" s="1058"/>
      <c r="AZ229" s="1058"/>
      <c r="BA229" s="1058"/>
      <c r="BB229" s="1058"/>
      <c r="BC229" s="1058"/>
      <c r="BD229" s="1058"/>
      <c r="BE229" s="1058"/>
      <c r="BF229" s="1058"/>
      <c r="BG229" s="1058"/>
      <c r="BH229" s="1058"/>
      <c r="BI229" s="1058"/>
      <c r="BJ229" s="1058"/>
    </row>
    <row r="230" spans="1:62" ht="18" customHeight="1">
      <c r="B230" s="1866" t="s">
        <v>676</v>
      </c>
      <c r="C230" s="1866"/>
      <c r="D230" s="1866"/>
      <c r="E230" s="1859" t="str">
        <f>'Document Checklist'!$E$73</f>
        <v>11b. AGP1 OrgDoc1, OrgDoc2, etc.</v>
      </c>
      <c r="F230" s="1859"/>
      <c r="G230" s="1859"/>
      <c r="H230" s="1859"/>
      <c r="I230" s="1859"/>
      <c r="J230" s="1859"/>
      <c r="K230" s="1859"/>
      <c r="L230" s="1859"/>
      <c r="M230" s="1859"/>
      <c r="N230" s="1882" t="str">
        <f>'Document Checklist'!$N$14</f>
        <v>Reference Entity Org Docs worksheet.</v>
      </c>
      <c r="O230" s="1882"/>
      <c r="P230" s="1882"/>
      <c r="Q230" s="1882"/>
      <c r="R230" s="1882"/>
      <c r="S230" s="1882"/>
      <c r="T230" s="1882"/>
      <c r="U230" s="1882"/>
      <c r="V230" s="1882"/>
      <c r="W230" s="1882"/>
      <c r="X230" s="1882"/>
      <c r="Y230" s="1882"/>
      <c r="Z230" s="1882"/>
      <c r="AA230" s="1882"/>
      <c r="AB230" s="1882"/>
      <c r="AC230" s="1882"/>
      <c r="AD230" s="1882"/>
      <c r="AE230" s="1882"/>
      <c r="AF230" s="1804" t="s">
        <v>677</v>
      </c>
      <c r="AG230" s="2054"/>
      <c r="AH230" s="2054"/>
      <c r="AI230" s="2054"/>
      <c r="AJ230" s="2054"/>
      <c r="AK230" s="2055"/>
      <c r="AL230" s="1765" t="s">
        <v>711</v>
      </c>
      <c r="AM230" s="1765"/>
      <c r="AN230" s="1058"/>
      <c r="AO230" s="49"/>
      <c r="AP230" s="365"/>
      <c r="AQ230" s="365"/>
      <c r="AR230" s="1058"/>
      <c r="AS230" s="1058"/>
      <c r="AT230" s="1058"/>
      <c r="AU230" s="1058"/>
      <c r="AV230" s="1058"/>
      <c r="AW230" s="1058"/>
      <c r="AX230" s="1058"/>
      <c r="AY230" s="1058"/>
      <c r="AZ230" s="1058"/>
      <c r="BA230" s="1058"/>
      <c r="BB230" s="1058"/>
      <c r="BC230" s="1058"/>
      <c r="BD230" s="1058"/>
      <c r="BE230" s="1058"/>
      <c r="BF230" s="1058"/>
      <c r="BG230" s="1058"/>
      <c r="BH230" s="1058"/>
      <c r="BI230" s="1058"/>
      <c r="BJ230" s="1058"/>
    </row>
    <row r="231" spans="1:62" ht="18" customHeight="1">
      <c r="B231" s="1866" t="s">
        <v>676</v>
      </c>
      <c r="C231" s="1866"/>
      <c r="D231" s="1866"/>
      <c r="E231" s="1859" t="str">
        <f>'Document Checklist'!$E$74</f>
        <v>11c. AGP1 OrgChart</v>
      </c>
      <c r="F231" s="1859"/>
      <c r="G231" s="1859"/>
      <c r="H231" s="1859"/>
      <c r="I231" s="1859"/>
      <c r="J231" s="1859"/>
      <c r="K231" s="1859"/>
      <c r="L231" s="1859"/>
      <c r="M231" s="1859"/>
      <c r="N231" s="1754" t="str">
        <f>'Document Checklist'!$N$74</f>
        <v>AGP Organization Chart.</v>
      </c>
      <c r="O231" s="1754"/>
      <c r="P231" s="1754"/>
      <c r="Q231" s="1754"/>
      <c r="R231" s="1754"/>
      <c r="S231" s="1754"/>
      <c r="T231" s="1754"/>
      <c r="U231" s="1754"/>
      <c r="V231" s="1754"/>
      <c r="W231" s="1754"/>
      <c r="X231" s="1754"/>
      <c r="Y231" s="1754"/>
      <c r="Z231" s="1754"/>
      <c r="AA231" s="1754"/>
      <c r="AB231" s="1754"/>
      <c r="AC231" s="1754"/>
      <c r="AD231" s="1754"/>
      <c r="AE231" s="1754"/>
      <c r="AF231" s="1804" t="s">
        <v>677</v>
      </c>
      <c r="AG231" s="2054"/>
      <c r="AH231" s="2054"/>
      <c r="AI231" s="2054"/>
      <c r="AJ231" s="2054"/>
      <c r="AK231" s="2055"/>
      <c r="AL231" s="1765" t="s">
        <v>711</v>
      </c>
      <c r="AM231" s="1765"/>
      <c r="AN231" s="1058"/>
      <c r="AO231" s="49"/>
      <c r="AP231" s="365"/>
      <c r="AQ231" s="365"/>
      <c r="AR231" s="365"/>
      <c r="AS231" s="365"/>
      <c r="AT231" s="365"/>
      <c r="AU231" s="365"/>
      <c r="AV231" s="365"/>
      <c r="AW231" s="365"/>
      <c r="AX231" s="365"/>
      <c r="AY231" s="365"/>
      <c r="AZ231" s="365"/>
      <c r="BA231" s="365"/>
      <c r="BB231" s="365"/>
      <c r="BC231" s="365"/>
      <c r="BD231" s="365"/>
      <c r="BE231" s="365"/>
      <c r="BF231" s="365"/>
      <c r="BG231" s="365"/>
      <c r="BH231" s="365"/>
      <c r="BI231" s="365"/>
      <c r="BJ231" s="365"/>
    </row>
    <row r="232" spans="1:62" s="365" customFormat="1" ht="18" customHeight="1">
      <c r="A232" s="452"/>
      <c r="B232" s="1866" t="s">
        <v>676</v>
      </c>
      <c r="C232" s="1866"/>
      <c r="D232" s="1866"/>
      <c r="E232" s="1859" t="str">
        <f>'Document Checklist'!$E$75</f>
        <v>11d. AGP1 Signature Block</v>
      </c>
      <c r="F232" s="1859"/>
      <c r="G232" s="1859"/>
      <c r="H232" s="1859"/>
      <c r="I232" s="1859"/>
      <c r="J232" s="1859"/>
      <c r="K232" s="1859"/>
      <c r="L232" s="1859"/>
      <c r="M232" s="1859"/>
      <c r="N232" s="1754" t="str">
        <f>'Document Checklist'!$N$75</f>
        <v>Signature Block - upload in Microsoft Word Document.</v>
      </c>
      <c r="O232" s="1754"/>
      <c r="P232" s="1754"/>
      <c r="Q232" s="1754"/>
      <c r="R232" s="1754"/>
      <c r="S232" s="1754"/>
      <c r="T232" s="1754"/>
      <c r="U232" s="1754"/>
      <c r="V232" s="1754"/>
      <c r="W232" s="1754"/>
      <c r="X232" s="1754"/>
      <c r="Y232" s="1754"/>
      <c r="Z232" s="1754"/>
      <c r="AA232" s="1754"/>
      <c r="AB232" s="1754"/>
      <c r="AC232" s="1754"/>
      <c r="AD232" s="1754"/>
      <c r="AE232" s="1754"/>
      <c r="AF232" s="1960" t="s">
        <v>677</v>
      </c>
      <c r="AG232" s="1961"/>
      <c r="AH232" s="1961"/>
      <c r="AI232" s="1961"/>
      <c r="AJ232" s="1961"/>
      <c r="AK232" s="1961"/>
      <c r="AL232" s="1765" t="s">
        <v>711</v>
      </c>
      <c r="AM232" s="1765"/>
      <c r="AN232" s="1058"/>
      <c r="AO232" s="49"/>
    </row>
    <row r="233" spans="1:62" s="365" customFormat="1" ht="28.5" customHeight="1">
      <c r="A233" s="452"/>
      <c r="B233" s="1866" t="s">
        <v>676</v>
      </c>
      <c r="C233" s="1866"/>
      <c r="D233" s="1866"/>
      <c r="E233" s="1859" t="str">
        <f>'Document Checklist'!$E$76</f>
        <v xml:space="preserve">11e. AGP1 Cert of Good Standing </v>
      </c>
      <c r="F233" s="1859"/>
      <c r="G233" s="1859"/>
      <c r="H233" s="1859"/>
      <c r="I233" s="1859"/>
      <c r="J233" s="1859"/>
      <c r="K233" s="1859"/>
      <c r="L233" s="1859"/>
      <c r="M233" s="1859"/>
      <c r="N233" s="1754" t="str">
        <f>'Document Checklist'!$N$76</f>
        <v>Certificate of Good Standing must be dated 30 days or less from the application due date.</v>
      </c>
      <c r="O233" s="1754"/>
      <c r="P233" s="1754"/>
      <c r="Q233" s="1754"/>
      <c r="R233" s="1754"/>
      <c r="S233" s="1754"/>
      <c r="T233" s="1754"/>
      <c r="U233" s="1754"/>
      <c r="V233" s="1754"/>
      <c r="W233" s="1754"/>
      <c r="X233" s="1754"/>
      <c r="Y233" s="1754"/>
      <c r="Z233" s="1754"/>
      <c r="AA233" s="1754"/>
      <c r="AB233" s="1754"/>
      <c r="AC233" s="1754"/>
      <c r="AD233" s="1754"/>
      <c r="AE233" s="1754"/>
      <c r="AF233" s="1960" t="s">
        <v>677</v>
      </c>
      <c r="AG233" s="1961"/>
      <c r="AH233" s="1961"/>
      <c r="AI233" s="1961"/>
      <c r="AJ233" s="1961"/>
      <c r="AK233" s="1961"/>
      <c r="AL233" s="1765" t="s">
        <v>711</v>
      </c>
      <c r="AM233" s="1765"/>
      <c r="AN233" s="1058"/>
      <c r="AO233" s="49"/>
    </row>
    <row r="234" spans="1:62" s="365" customFormat="1" ht="36" customHeight="1">
      <c r="A234" s="452"/>
      <c r="B234" s="1866" t="s">
        <v>676</v>
      </c>
      <c r="C234" s="1866"/>
      <c r="D234" s="1866"/>
      <c r="E234" s="1859" t="str">
        <f>'Document Checklist'!$E$77</f>
        <v>11f. AGP1 Tax-Exempt Status</v>
      </c>
      <c r="F234" s="1859"/>
      <c r="G234" s="1859"/>
      <c r="H234" s="1859"/>
      <c r="I234" s="1859"/>
      <c r="J234" s="1859"/>
      <c r="K234" s="1859"/>
      <c r="L234" s="1859"/>
      <c r="M234" s="1859"/>
      <c r="N234" s="1754" t="str">
        <f>'Document Checklist'!$N$77</f>
        <v>Evidence of tax-exempt status from IRS and evidence of tax-exempt status from FTB for Corporations. (if applicable)</v>
      </c>
      <c r="O234" s="1754"/>
      <c r="P234" s="1754"/>
      <c r="Q234" s="1754"/>
      <c r="R234" s="1754"/>
      <c r="S234" s="1754"/>
      <c r="T234" s="1754"/>
      <c r="U234" s="1754"/>
      <c r="V234" s="1754"/>
      <c r="W234" s="1754"/>
      <c r="X234" s="1754"/>
      <c r="Y234" s="1754"/>
      <c r="Z234" s="1754"/>
      <c r="AA234" s="1754"/>
      <c r="AB234" s="1754"/>
      <c r="AC234" s="1754"/>
      <c r="AD234" s="1754"/>
      <c r="AE234" s="1754"/>
      <c r="AF234" s="1960" t="s">
        <v>677</v>
      </c>
      <c r="AG234" s="1961"/>
      <c r="AH234" s="1961"/>
      <c r="AI234" s="1961"/>
      <c r="AJ234" s="1961"/>
      <c r="AK234" s="1961"/>
      <c r="AL234" s="1765" t="s">
        <v>711</v>
      </c>
      <c r="AM234" s="1765"/>
      <c r="AN234" s="1058"/>
      <c r="AO234" s="454"/>
      <c r="AP234" s="449"/>
      <c r="AQ234" s="449"/>
    </row>
    <row r="235" spans="1:62" s="365" customFormat="1" ht="18" customHeight="1">
      <c r="A235" s="452"/>
      <c r="B235" s="303"/>
      <c r="C235" s="303"/>
      <c r="D235" s="303"/>
      <c r="E235" s="303"/>
      <c r="F235" s="303"/>
      <c r="G235" s="303"/>
      <c r="H235" s="303"/>
      <c r="I235" s="303"/>
      <c r="J235" s="303"/>
      <c r="K235" s="303"/>
      <c r="L235" s="303"/>
      <c r="M235" s="303"/>
      <c r="N235" s="303"/>
      <c r="O235" s="303"/>
      <c r="P235" s="303"/>
      <c r="Q235" s="303"/>
      <c r="R235" s="303"/>
      <c r="S235" s="303"/>
      <c r="T235" s="303"/>
      <c r="U235" s="303"/>
      <c r="V235" s="303"/>
      <c r="W235" s="303"/>
      <c r="X235" s="303"/>
      <c r="Y235" s="303"/>
      <c r="Z235" s="303"/>
      <c r="AA235" s="303"/>
      <c r="AB235" s="303"/>
      <c r="AC235" s="303"/>
      <c r="AD235" s="303"/>
      <c r="AE235" s="303"/>
      <c r="AF235" s="303"/>
      <c r="AG235" s="303"/>
      <c r="AH235" s="303"/>
      <c r="AI235" s="303"/>
      <c r="AJ235" s="303"/>
      <c r="AK235" s="303"/>
      <c r="AL235" s="303"/>
      <c r="AM235" s="303"/>
      <c r="AN235" s="303"/>
      <c r="AO235" s="49"/>
      <c r="AR235" s="449"/>
      <c r="AS235" s="449"/>
      <c r="AT235" s="449"/>
      <c r="AU235" s="449"/>
      <c r="AV235" s="449"/>
      <c r="AW235" s="449"/>
      <c r="AX235" s="449"/>
      <c r="AY235" s="449"/>
      <c r="AZ235" s="449"/>
      <c r="BA235" s="449"/>
      <c r="BB235" s="449"/>
      <c r="BC235" s="449"/>
      <c r="BD235" s="449"/>
      <c r="BE235" s="449"/>
      <c r="BF235" s="449"/>
      <c r="BG235" s="449"/>
      <c r="BH235" s="449"/>
      <c r="BI235" s="449"/>
      <c r="BJ235" s="449"/>
    </row>
    <row r="236" spans="1:62" s="449" customFormat="1" ht="18" customHeight="1">
      <c r="A236" s="452"/>
      <c r="B236" s="2053" t="s">
        <v>819</v>
      </c>
      <c r="C236" s="2053"/>
      <c r="D236" s="2053"/>
      <c r="E236" s="2053"/>
      <c r="F236" s="2053"/>
      <c r="G236" s="2053"/>
      <c r="H236" s="2053"/>
      <c r="I236" s="2053"/>
      <c r="J236" s="2053"/>
      <c r="K236" s="2053"/>
      <c r="L236" s="2053"/>
      <c r="M236" s="2053"/>
      <c r="N236" s="2053"/>
      <c r="O236" s="2053"/>
      <c r="P236" s="2053"/>
      <c r="Q236" s="2053"/>
      <c r="R236" s="2053"/>
      <c r="S236" s="2053"/>
      <c r="T236" s="2053"/>
      <c r="U236" s="2053"/>
      <c r="V236" s="2053"/>
      <c r="W236" s="2053"/>
      <c r="X236" s="2053"/>
      <c r="Y236" s="2053"/>
      <c r="Z236" s="2053"/>
      <c r="AA236" s="2053"/>
      <c r="AB236" s="2053"/>
      <c r="AC236" s="2053"/>
      <c r="AD236" s="2053"/>
      <c r="AE236" s="2053"/>
      <c r="AF236" s="2053"/>
      <c r="AG236" s="2053"/>
      <c r="AH236" s="2053"/>
      <c r="AI236" s="2053"/>
      <c r="AJ236" s="2053"/>
      <c r="AK236" s="2053"/>
      <c r="AL236" s="2053"/>
      <c r="AM236" s="2053"/>
      <c r="AN236" s="1058"/>
      <c r="AO236" s="49"/>
      <c r="AP236" s="365"/>
      <c r="AQ236" s="365"/>
    </row>
    <row r="237" spans="1:62" s="449" customFormat="1" ht="18" customHeight="1">
      <c r="A237" s="452"/>
      <c r="B237" s="2097" t="s">
        <v>816</v>
      </c>
      <c r="C237" s="2098"/>
      <c r="D237" s="2098"/>
      <c r="E237" s="2098"/>
      <c r="F237" s="2099"/>
      <c r="G237" s="1856" t="s">
        <v>4189</v>
      </c>
      <c r="H237" s="1857"/>
      <c r="I237" s="1857"/>
      <c r="J237" s="1857"/>
      <c r="K237" s="1857"/>
      <c r="L237" s="1857"/>
      <c r="M237" s="1857"/>
      <c r="N237" s="1857"/>
      <c r="O237" s="1857"/>
      <c r="P237" s="1857"/>
      <c r="Q237" s="1857"/>
      <c r="R237" s="1857"/>
      <c r="S237" s="1857"/>
      <c r="T237" s="1857"/>
      <c r="U237" s="1857"/>
      <c r="V237" s="1857"/>
      <c r="W237" s="1857"/>
      <c r="X237" s="1857"/>
      <c r="Y237" s="1857"/>
      <c r="Z237" s="1857"/>
      <c r="AA237" s="1857"/>
      <c r="AB237" s="1857"/>
      <c r="AC237" s="1857"/>
      <c r="AD237" s="1857"/>
      <c r="AE237" s="1857"/>
      <c r="AF237" s="1857"/>
      <c r="AG237" s="1857"/>
      <c r="AH237" s="1857"/>
      <c r="AI237" s="1857"/>
      <c r="AJ237" s="1857"/>
      <c r="AK237" s="1857"/>
      <c r="AL237" s="1857"/>
      <c r="AM237" s="1858"/>
      <c r="AN237" s="1058"/>
      <c r="AO237" s="49"/>
      <c r="AP237" s="365"/>
      <c r="AQ237" s="365"/>
    </row>
    <row r="238" spans="1:62" s="449" customFormat="1" ht="18" customHeight="1">
      <c r="A238" s="452"/>
      <c r="B238" s="1866" t="s">
        <v>676</v>
      </c>
      <c r="C238" s="1866"/>
      <c r="D238" s="1866"/>
      <c r="E238" s="1859" t="str">
        <f>'Document Checklist'!$E$80</f>
        <v>12a. AGP2 Cert &amp; Legal Disclosure</v>
      </c>
      <c r="F238" s="1859"/>
      <c r="G238" s="1859"/>
      <c r="H238" s="1859"/>
      <c r="I238" s="1859"/>
      <c r="J238" s="1859"/>
      <c r="K238" s="1859"/>
      <c r="L238" s="1859"/>
      <c r="M238" s="1859"/>
      <c r="N238" s="1882" t="str">
        <f>'Document Checklist'!$N$12</f>
        <v>Reference Sponsor Certification Worksheet.</v>
      </c>
      <c r="O238" s="1882"/>
      <c r="P238" s="1882"/>
      <c r="Q238" s="1882"/>
      <c r="R238" s="1882"/>
      <c r="S238" s="1882"/>
      <c r="T238" s="1882"/>
      <c r="U238" s="1882"/>
      <c r="V238" s="1882"/>
      <c r="W238" s="1882"/>
      <c r="X238" s="1882"/>
      <c r="Y238" s="1882"/>
      <c r="Z238" s="1882"/>
      <c r="AA238" s="1882"/>
      <c r="AB238" s="1882"/>
      <c r="AC238" s="1882"/>
      <c r="AD238" s="1882"/>
      <c r="AE238" s="1882"/>
      <c r="AF238" s="1804" t="s">
        <v>677</v>
      </c>
      <c r="AG238" s="2054"/>
      <c r="AH238" s="2054"/>
      <c r="AI238" s="2054"/>
      <c r="AJ238" s="2054"/>
      <c r="AK238" s="2054"/>
      <c r="AL238" s="1765" t="s">
        <v>664</v>
      </c>
      <c r="AM238" s="1765"/>
      <c r="AN238" s="1058"/>
      <c r="AO238" s="49"/>
      <c r="AP238" s="365"/>
      <c r="AQ238" s="365"/>
    </row>
    <row r="239" spans="1:62" s="449" customFormat="1" ht="18" customHeight="1">
      <c r="A239" s="452"/>
      <c r="B239" s="1866" t="s">
        <v>676</v>
      </c>
      <c r="C239" s="1866"/>
      <c r="D239" s="1866"/>
      <c r="E239" s="1859" t="str">
        <f>'Document Checklist'!$E$81</f>
        <v>12b. AGP2 OrgDoc1, OrgDoc2, etc.</v>
      </c>
      <c r="F239" s="1859"/>
      <c r="G239" s="1859"/>
      <c r="H239" s="1859"/>
      <c r="I239" s="1859"/>
      <c r="J239" s="1859"/>
      <c r="K239" s="1859"/>
      <c r="L239" s="1859"/>
      <c r="M239" s="1859"/>
      <c r="N239" s="1882" t="str">
        <f>'Document Checklist'!$N$14</f>
        <v>Reference Entity Org Docs worksheet.</v>
      </c>
      <c r="O239" s="1882"/>
      <c r="P239" s="1882"/>
      <c r="Q239" s="1882"/>
      <c r="R239" s="1882"/>
      <c r="S239" s="1882"/>
      <c r="T239" s="1882"/>
      <c r="U239" s="1882"/>
      <c r="V239" s="1882"/>
      <c r="W239" s="1882"/>
      <c r="X239" s="1882"/>
      <c r="Y239" s="1882"/>
      <c r="Z239" s="1882"/>
      <c r="AA239" s="1882"/>
      <c r="AB239" s="1882"/>
      <c r="AC239" s="1882"/>
      <c r="AD239" s="1882"/>
      <c r="AE239" s="1882"/>
      <c r="AF239" s="1804" t="s">
        <v>677</v>
      </c>
      <c r="AG239" s="2054"/>
      <c r="AH239" s="2054"/>
      <c r="AI239" s="2054"/>
      <c r="AJ239" s="2054"/>
      <c r="AK239" s="2055"/>
      <c r="AL239" s="1765" t="s">
        <v>664</v>
      </c>
      <c r="AM239" s="1765"/>
      <c r="AN239" s="1058"/>
      <c r="AO239" s="49"/>
      <c r="AP239" s="365"/>
      <c r="AQ239" s="365"/>
    </row>
    <row r="240" spans="1:62" s="449" customFormat="1" ht="18" customHeight="1">
      <c r="A240" s="452"/>
      <c r="B240" s="1866" t="s">
        <v>676</v>
      </c>
      <c r="C240" s="1866"/>
      <c r="D240" s="1866"/>
      <c r="E240" s="1859" t="str">
        <f>'Document Checklist'!$E$82</f>
        <v>12c. AGP2 OrgChart</v>
      </c>
      <c r="F240" s="1859"/>
      <c r="G240" s="1859"/>
      <c r="H240" s="1859"/>
      <c r="I240" s="1859"/>
      <c r="J240" s="1859"/>
      <c r="K240" s="1859"/>
      <c r="L240" s="1859"/>
      <c r="M240" s="1859"/>
      <c r="N240" s="1754" t="str">
        <f>'Document Checklist'!$N$82</f>
        <v>AGP Organization Chart.</v>
      </c>
      <c r="O240" s="1754"/>
      <c r="P240" s="1754"/>
      <c r="Q240" s="1754"/>
      <c r="R240" s="1754"/>
      <c r="S240" s="1754"/>
      <c r="T240" s="1754"/>
      <c r="U240" s="1754"/>
      <c r="V240" s="1754"/>
      <c r="W240" s="1754"/>
      <c r="X240" s="1754"/>
      <c r="Y240" s="1754"/>
      <c r="Z240" s="1754"/>
      <c r="AA240" s="1754"/>
      <c r="AB240" s="1754"/>
      <c r="AC240" s="1754"/>
      <c r="AD240" s="1754"/>
      <c r="AE240" s="1754"/>
      <c r="AF240" s="1804" t="s">
        <v>677</v>
      </c>
      <c r="AG240" s="2054"/>
      <c r="AH240" s="2054"/>
      <c r="AI240" s="2054"/>
      <c r="AJ240" s="2054"/>
      <c r="AK240" s="2055"/>
      <c r="AL240" s="1765" t="s">
        <v>664</v>
      </c>
      <c r="AM240" s="1765"/>
      <c r="AN240" s="1058"/>
      <c r="AO240" s="1476"/>
      <c r="AP240" s="1476"/>
      <c r="AQ240" s="1476"/>
      <c r="AR240" s="1476"/>
      <c r="AS240" s="1476"/>
      <c r="AT240" s="1476"/>
      <c r="AU240" s="1476"/>
      <c r="AV240" s="1476"/>
      <c r="AW240" s="1476"/>
      <c r="AX240" s="1476"/>
      <c r="AY240" s="1476"/>
      <c r="AZ240" s="1476"/>
      <c r="BA240" s="1476"/>
      <c r="BB240" s="1476"/>
      <c r="BC240" s="1476"/>
      <c r="BD240" s="1476"/>
      <c r="BE240" s="1476"/>
      <c r="BF240" s="1476"/>
      <c r="BG240" s="1476"/>
      <c r="BH240" s="1476"/>
      <c r="BI240" s="1476"/>
      <c r="BJ240" s="1476"/>
    </row>
    <row r="241" spans="1:62" s="976" customFormat="1" ht="18" customHeight="1">
      <c r="A241" s="452"/>
      <c r="B241" s="1866" t="s">
        <v>676</v>
      </c>
      <c r="C241" s="1866"/>
      <c r="D241" s="1866"/>
      <c r="E241" s="1859" t="str">
        <f>'Document Checklist'!$E$83</f>
        <v>12d. AGP2 Signature Block</v>
      </c>
      <c r="F241" s="1859"/>
      <c r="G241" s="1859"/>
      <c r="H241" s="1859"/>
      <c r="I241" s="1859"/>
      <c r="J241" s="1859"/>
      <c r="K241" s="1859"/>
      <c r="L241" s="1859"/>
      <c r="M241" s="1859"/>
      <c r="N241" s="1754" t="str">
        <f>'Document Checklist'!$N$83</f>
        <v>Signature Block - upload in Microsoft Word Document.</v>
      </c>
      <c r="O241" s="1754"/>
      <c r="P241" s="1754"/>
      <c r="Q241" s="1754"/>
      <c r="R241" s="1754"/>
      <c r="S241" s="1754"/>
      <c r="T241" s="1754"/>
      <c r="U241" s="1754"/>
      <c r="V241" s="1754"/>
      <c r="W241" s="1754"/>
      <c r="X241" s="1754"/>
      <c r="Y241" s="1754"/>
      <c r="Z241" s="1754"/>
      <c r="AA241" s="1754"/>
      <c r="AB241" s="1754"/>
      <c r="AC241" s="1754"/>
      <c r="AD241" s="1754"/>
      <c r="AE241" s="1754"/>
      <c r="AF241" s="1804" t="s">
        <v>677</v>
      </c>
      <c r="AG241" s="2054"/>
      <c r="AH241" s="2054"/>
      <c r="AI241" s="2054"/>
      <c r="AJ241" s="2054"/>
      <c r="AK241" s="2055"/>
      <c r="AL241" s="1765" t="s">
        <v>664</v>
      </c>
      <c r="AM241" s="1765"/>
      <c r="AN241" s="1058"/>
      <c r="AO241" s="692"/>
      <c r="AP241" s="438"/>
      <c r="AQ241" s="438"/>
      <c r="AR241" s="365"/>
      <c r="AS241" s="365"/>
      <c r="AT241" s="365"/>
      <c r="AU241" s="365"/>
      <c r="AV241" s="365"/>
      <c r="AW241" s="365"/>
      <c r="AX241" s="365"/>
      <c r="AY241" s="365"/>
      <c r="AZ241" s="365"/>
      <c r="BA241" s="365"/>
      <c r="BB241" s="365"/>
      <c r="BC241" s="365"/>
      <c r="BD241" s="365"/>
      <c r="BE241" s="365"/>
      <c r="BF241" s="365"/>
      <c r="BG241" s="365"/>
      <c r="BH241" s="365"/>
      <c r="BI241" s="365"/>
      <c r="BJ241" s="365"/>
    </row>
    <row r="242" spans="1:62" s="365" customFormat="1" ht="35.25" customHeight="1">
      <c r="A242" s="452"/>
      <c r="B242" s="1866" t="s">
        <v>676</v>
      </c>
      <c r="C242" s="1866"/>
      <c r="D242" s="1866"/>
      <c r="E242" s="1859" t="str">
        <f>'Document Checklist'!$E$84</f>
        <v xml:space="preserve">12e. AGP2 Cert of Good Standing </v>
      </c>
      <c r="F242" s="1859"/>
      <c r="G242" s="1859"/>
      <c r="H242" s="1859"/>
      <c r="I242" s="1859"/>
      <c r="J242" s="1859"/>
      <c r="K242" s="1859"/>
      <c r="L242" s="1859"/>
      <c r="M242" s="1859"/>
      <c r="N242" s="1754" t="str">
        <f>'Document Checklist'!$N$84</f>
        <v>Certificate of Good Standing must be dated 30 days or less from the application due date.</v>
      </c>
      <c r="O242" s="1754"/>
      <c r="P242" s="1754"/>
      <c r="Q242" s="1754"/>
      <c r="R242" s="1754"/>
      <c r="S242" s="1754"/>
      <c r="T242" s="1754"/>
      <c r="U242" s="1754"/>
      <c r="V242" s="1754"/>
      <c r="W242" s="1754"/>
      <c r="X242" s="1754"/>
      <c r="Y242" s="1754"/>
      <c r="Z242" s="1754"/>
      <c r="AA242" s="1754"/>
      <c r="AB242" s="1754"/>
      <c r="AC242" s="1754"/>
      <c r="AD242" s="1754"/>
      <c r="AE242" s="1754"/>
      <c r="AF242" s="1804" t="s">
        <v>677</v>
      </c>
      <c r="AG242" s="2054"/>
      <c r="AH242" s="2054"/>
      <c r="AI242" s="2054"/>
      <c r="AJ242" s="2054"/>
      <c r="AK242" s="2055"/>
      <c r="AL242" s="1765" t="s">
        <v>664</v>
      </c>
      <c r="AM242" s="1765"/>
      <c r="AN242" s="1058"/>
      <c r="AO242" s="1448"/>
      <c r="AP242" s="1058"/>
      <c r="AQ242" s="1058"/>
      <c r="AR242" s="1058"/>
      <c r="AS242" s="1058"/>
      <c r="AT242" s="1058"/>
      <c r="AU242" s="363"/>
      <c r="AV242" s="1058"/>
      <c r="AW242" s="1058"/>
      <c r="AX242" s="1058"/>
      <c r="AY242" s="1058"/>
      <c r="AZ242" s="1058"/>
      <c r="BA242" s="1058"/>
      <c r="BB242" s="1058"/>
      <c r="BC242" s="1058"/>
      <c r="BD242" s="1058"/>
      <c r="BE242" s="1058"/>
      <c r="BF242" s="1058"/>
      <c r="BG242" s="1058"/>
      <c r="BH242" s="1058"/>
      <c r="BI242" s="1058"/>
      <c r="BJ242" s="1058"/>
    </row>
    <row r="243" spans="1:62" ht="35.25" customHeight="1">
      <c r="B243" s="1866" t="s">
        <v>676</v>
      </c>
      <c r="C243" s="1866"/>
      <c r="D243" s="1866"/>
      <c r="E243" s="1859" t="str">
        <f>'Document Checklist'!$E$85</f>
        <v>12f. AGP2 Tax-Exempt Status</v>
      </c>
      <c r="F243" s="1859"/>
      <c r="G243" s="1859"/>
      <c r="H243" s="1859"/>
      <c r="I243" s="1859"/>
      <c r="J243" s="1859"/>
      <c r="K243" s="1859"/>
      <c r="L243" s="1859"/>
      <c r="M243" s="1859"/>
      <c r="N243" s="1754" t="str">
        <f>'Document Checklist'!$N$85</f>
        <v>Evidence of tax-exempt status from IRS and evidence of tax-exempt status from FTB for Corporations. (if applicable)</v>
      </c>
      <c r="O243" s="1754"/>
      <c r="P243" s="1754"/>
      <c r="Q243" s="1754"/>
      <c r="R243" s="1754"/>
      <c r="S243" s="1754"/>
      <c r="T243" s="1754"/>
      <c r="U243" s="1754"/>
      <c r="V243" s="1754"/>
      <c r="W243" s="1754"/>
      <c r="X243" s="1754"/>
      <c r="Y243" s="1754"/>
      <c r="Z243" s="1754"/>
      <c r="AA243" s="1754"/>
      <c r="AB243" s="1754"/>
      <c r="AC243" s="1754"/>
      <c r="AD243" s="1754"/>
      <c r="AE243" s="1754"/>
      <c r="AF243" s="1960" t="s">
        <v>677</v>
      </c>
      <c r="AG243" s="1961"/>
      <c r="AH243" s="1961"/>
      <c r="AI243" s="1961"/>
      <c r="AJ243" s="1961"/>
      <c r="AK243" s="1961"/>
      <c r="AL243" s="1765" t="s">
        <v>664</v>
      </c>
      <c r="AM243" s="1765"/>
      <c r="AN243" s="1058"/>
      <c r="AO243" s="1448"/>
      <c r="AP243" s="1058"/>
      <c r="AQ243" s="1058"/>
      <c r="AR243" s="1058"/>
      <c r="AS243" s="1058"/>
      <c r="AT243" s="1058"/>
      <c r="AU243" s="360"/>
      <c r="AV243" s="1058"/>
      <c r="AW243" s="1058"/>
      <c r="AX243" s="1058"/>
      <c r="AY243" s="1058"/>
      <c r="AZ243" s="1058"/>
      <c r="BA243" s="1058"/>
      <c r="BB243" s="1058"/>
      <c r="BC243" s="1058"/>
      <c r="BD243" s="1058"/>
      <c r="BE243" s="1058"/>
      <c r="BF243" s="1058"/>
      <c r="BG243" s="1058"/>
      <c r="BH243" s="1058"/>
      <c r="BI243" s="1058"/>
      <c r="BJ243" s="1058"/>
    </row>
    <row r="244" spans="1:62" ht="18" customHeight="1">
      <c r="A244" s="463"/>
      <c r="B244" s="281"/>
      <c r="C244" s="281"/>
      <c r="D244" s="281"/>
      <c r="E244" s="33"/>
      <c r="F244" s="33"/>
      <c r="G244" s="33"/>
      <c r="H244" s="33"/>
      <c r="I244" s="33"/>
      <c r="J244" s="33"/>
      <c r="K244" s="33"/>
      <c r="L244" s="33"/>
      <c r="M244" s="33"/>
      <c r="N244" s="456"/>
      <c r="O244" s="456"/>
      <c r="P244" s="456"/>
      <c r="Q244" s="456"/>
      <c r="R244" s="456"/>
      <c r="S244" s="456"/>
      <c r="T244" s="456"/>
      <c r="U244" s="456"/>
      <c r="V244" s="456"/>
      <c r="W244" s="456"/>
      <c r="X244" s="456"/>
      <c r="Y244" s="456"/>
      <c r="Z244" s="456"/>
      <c r="AA244" s="456"/>
      <c r="AB244" s="456"/>
      <c r="AC244" s="456"/>
      <c r="AD244" s="456"/>
      <c r="AE244" s="456"/>
      <c r="AF244" s="297"/>
      <c r="AG244" s="457"/>
      <c r="AH244" s="457"/>
      <c r="AI244" s="457"/>
      <c r="AJ244" s="457"/>
      <c r="AK244" s="457"/>
      <c r="AL244" s="1022"/>
      <c r="AM244" s="1022"/>
      <c r="AN244" s="1456"/>
      <c r="AO244" s="1448"/>
      <c r="AP244" s="1058"/>
      <c r="AQ244" s="1058"/>
      <c r="AR244" s="1058"/>
      <c r="AS244" s="1058"/>
      <c r="AT244" s="1058"/>
      <c r="AU244" s="363"/>
      <c r="AV244" s="1058"/>
      <c r="AW244" s="1058"/>
      <c r="AX244" s="1058"/>
      <c r="AY244" s="1058"/>
      <c r="AZ244" s="1058"/>
      <c r="BA244" s="1058"/>
      <c r="BB244" s="1058"/>
      <c r="BC244" s="1058"/>
      <c r="BD244" s="1058"/>
      <c r="BE244" s="1058"/>
      <c r="BF244" s="1058"/>
      <c r="BG244" s="1058"/>
      <c r="BH244" s="1058"/>
      <c r="BI244" s="1058"/>
      <c r="BJ244" s="1058"/>
    </row>
    <row r="245" spans="1:62" ht="13.8">
      <c r="B245" s="1816" t="s">
        <v>820</v>
      </c>
      <c r="C245" s="1816"/>
      <c r="D245" s="1816"/>
      <c r="E245" s="1816"/>
      <c r="F245" s="1816"/>
      <c r="G245" s="1816"/>
      <c r="H245" s="1816"/>
      <c r="I245" s="1458"/>
      <c r="J245" s="1458"/>
      <c r="K245" s="1458"/>
      <c r="L245" s="1458"/>
      <c r="M245" s="1458"/>
      <c r="N245" s="1458"/>
      <c r="O245" s="1458"/>
      <c r="P245" s="1458"/>
      <c r="Q245" s="1458"/>
      <c r="R245" s="1458"/>
      <c r="S245" s="1458"/>
      <c r="T245" s="1458"/>
      <c r="U245" s="1458"/>
      <c r="V245" s="1458"/>
      <c r="W245" s="1458"/>
      <c r="X245" s="1458"/>
      <c r="Y245" s="1458"/>
      <c r="Z245" s="1458"/>
      <c r="AA245" s="1458"/>
      <c r="AB245" s="1458"/>
      <c r="AC245" s="1458"/>
      <c r="AD245" s="1458"/>
      <c r="AE245" s="1458"/>
      <c r="AF245" s="1458"/>
      <c r="AG245" s="1458"/>
      <c r="AH245" s="1458"/>
      <c r="AI245" s="1458"/>
      <c r="AJ245" s="1458"/>
      <c r="AK245" s="1458"/>
      <c r="AL245" s="1458"/>
      <c r="AM245" s="1458"/>
      <c r="AN245" s="1058"/>
      <c r="AO245" s="1448"/>
      <c r="AP245" s="1058"/>
      <c r="AQ245" s="1058"/>
      <c r="AR245" s="1058"/>
      <c r="AS245" s="1058"/>
      <c r="AT245" s="1058"/>
      <c r="AU245" s="363"/>
      <c r="AV245" s="1058"/>
      <c r="AW245" s="1058"/>
      <c r="AX245" s="1058"/>
      <c r="AY245" s="1058"/>
      <c r="AZ245" s="1058"/>
      <c r="BA245" s="1058"/>
      <c r="BB245" s="1058"/>
      <c r="BC245" s="1058"/>
      <c r="BD245" s="1058"/>
      <c r="BE245" s="1058"/>
      <c r="BF245" s="1058"/>
      <c r="BG245" s="1058"/>
      <c r="BH245" s="1058"/>
      <c r="BI245" s="1058"/>
      <c r="BJ245" s="1058"/>
    </row>
    <row r="246" spans="1:62" s="303" customFormat="1" ht="13.8">
      <c r="A246" s="662"/>
      <c r="B246" s="2219" t="s">
        <v>821</v>
      </c>
      <c r="C246" s="2220"/>
      <c r="D246" s="2220"/>
      <c r="E246" s="2220"/>
      <c r="F246" s="2220"/>
      <c r="G246" s="2220"/>
      <c r="H246" s="2220"/>
      <c r="I246" s="2220"/>
      <c r="J246" s="2220"/>
      <c r="K246" s="2220"/>
      <c r="L246" s="2220"/>
      <c r="M246" s="2220"/>
      <c r="N246" s="2220"/>
      <c r="O246" s="2220"/>
      <c r="P246" s="2220"/>
      <c r="Q246" s="2220"/>
      <c r="R246" s="2220"/>
      <c r="S246" s="2220"/>
      <c r="T246" s="2220"/>
      <c r="U246" s="2220"/>
      <c r="V246" s="2220"/>
      <c r="W246" s="2220"/>
      <c r="X246" s="2220"/>
      <c r="Y246" s="2220"/>
      <c r="Z246" s="2220"/>
      <c r="AA246" s="2220"/>
      <c r="AB246" s="2220"/>
      <c r="AC246" s="2220"/>
      <c r="AD246" s="2220"/>
      <c r="AE246" s="2220"/>
      <c r="AF246" s="2220"/>
      <c r="AG246" s="2220"/>
      <c r="AH246" s="2220"/>
      <c r="AI246" s="2220"/>
      <c r="AJ246" s="2220"/>
      <c r="AK246" s="2220"/>
      <c r="AL246" s="2220"/>
      <c r="AM246" s="2221"/>
    </row>
    <row r="247" spans="1:62" s="303" customFormat="1" ht="13.8">
      <c r="A247" s="662"/>
      <c r="B247" s="2214" t="s">
        <v>822</v>
      </c>
      <c r="C247" s="1850"/>
      <c r="D247" s="1850"/>
      <c r="E247" s="1850"/>
      <c r="F247" s="1850"/>
      <c r="G247" s="1850"/>
      <c r="H247" s="1850"/>
      <c r="I247" s="1850"/>
      <c r="J247" s="1850"/>
      <c r="K247" s="1850"/>
      <c r="L247" s="1850"/>
      <c r="M247" s="1850"/>
      <c r="N247" s="1850"/>
      <c r="O247" s="1850"/>
      <c r="P247" s="1850"/>
      <c r="Q247" s="1850"/>
      <c r="R247" s="1850"/>
      <c r="S247" s="1850"/>
      <c r="T247" s="1850"/>
      <c r="U247" s="1850"/>
      <c r="V247" s="1850"/>
      <c r="W247" s="1850"/>
      <c r="X247" s="1850"/>
      <c r="Y247" s="1850"/>
      <c r="Z247" s="1850"/>
      <c r="AA247" s="1850"/>
      <c r="AB247" s="1850"/>
      <c r="AC247" s="1850"/>
      <c r="AD247" s="1850"/>
      <c r="AE247" s="1850"/>
      <c r="AF247" s="1850"/>
      <c r="AG247" s="1850"/>
      <c r="AH247" s="1850"/>
      <c r="AI247" s="1850"/>
      <c r="AJ247" s="1850"/>
      <c r="AK247" s="1850"/>
      <c r="AL247" s="1850"/>
      <c r="AM247" s="2215"/>
    </row>
    <row r="248" spans="1:62" s="303" customFormat="1" ht="13.8">
      <c r="A248" s="662"/>
      <c r="B248" s="2216" t="s">
        <v>823</v>
      </c>
      <c r="C248" s="2217"/>
      <c r="D248" s="2217"/>
      <c r="E248" s="2217"/>
      <c r="F248" s="2217"/>
      <c r="G248" s="2217"/>
      <c r="H248" s="2217"/>
      <c r="I248" s="2217"/>
      <c r="J248" s="2217"/>
      <c r="K248" s="2217"/>
      <c r="L248" s="2217"/>
      <c r="M248" s="2217"/>
      <c r="N248" s="2217"/>
      <c r="O248" s="2217"/>
      <c r="P248" s="2217"/>
      <c r="Q248" s="2217"/>
      <c r="R248" s="2217"/>
      <c r="S248" s="2217"/>
      <c r="T248" s="2217"/>
      <c r="U248" s="2217"/>
      <c r="V248" s="2217"/>
      <c r="W248" s="2217"/>
      <c r="X248" s="2217"/>
      <c r="Y248" s="2217"/>
      <c r="Z248" s="2217"/>
      <c r="AA248" s="2217"/>
      <c r="AB248" s="2217"/>
      <c r="AC248" s="2217"/>
      <c r="AD248" s="2217"/>
      <c r="AE248" s="2217"/>
      <c r="AF248" s="2217"/>
      <c r="AG248" s="2217"/>
      <c r="AH248" s="2217"/>
      <c r="AI248" s="2217"/>
      <c r="AJ248" s="2217"/>
      <c r="AK248" s="2217"/>
      <c r="AL248" s="2217"/>
      <c r="AM248" s="2218"/>
    </row>
    <row r="249" spans="1:62" ht="18" customHeight="1">
      <c r="B249" s="1874" t="s">
        <v>824</v>
      </c>
      <c r="C249" s="1875"/>
      <c r="D249" s="1875"/>
      <c r="E249" s="1875"/>
      <c r="F249" s="1875"/>
      <c r="G249" s="1875"/>
      <c r="H249" s="1875"/>
      <c r="I249" s="1875"/>
      <c r="J249" s="1875"/>
      <c r="K249" s="1875"/>
      <c r="L249" s="1875"/>
      <c r="M249" s="1875"/>
      <c r="N249" s="1875"/>
      <c r="O249" s="1875"/>
      <c r="P249" s="1875"/>
      <c r="Q249" s="1875"/>
      <c r="R249" s="1875"/>
      <c r="S249" s="1875"/>
      <c r="T249" s="1875"/>
      <c r="U249" s="1875"/>
      <c r="V249" s="1875"/>
      <c r="W249" s="1875"/>
      <c r="X249" s="1875"/>
      <c r="Y249" s="1875"/>
      <c r="Z249" s="1875"/>
      <c r="AA249" s="1875"/>
      <c r="AB249" s="1875"/>
      <c r="AC249" s="1875"/>
      <c r="AD249" s="1875"/>
      <c r="AE249" s="1875"/>
      <c r="AF249" s="1875"/>
      <c r="AG249" s="1875"/>
      <c r="AH249" s="1875"/>
      <c r="AI249" s="1875"/>
      <c r="AJ249" s="1875"/>
      <c r="AK249" s="1876"/>
      <c r="AL249" s="1873" t="s">
        <v>664</v>
      </c>
      <c r="AM249" s="1873"/>
      <c r="AN249" s="1058"/>
      <c r="AO249" s="1448"/>
      <c r="AP249" s="1058"/>
      <c r="AQ249" s="1058"/>
      <c r="AR249" s="1058"/>
      <c r="AS249" s="1058"/>
      <c r="AT249" s="1058"/>
      <c r="AU249" s="363"/>
      <c r="AV249" s="1058"/>
      <c r="AW249" s="1058"/>
      <c r="AX249" s="1058"/>
      <c r="AY249" s="1058"/>
      <c r="AZ249" s="1058"/>
      <c r="BA249" s="1058"/>
      <c r="BB249" s="1058"/>
      <c r="BC249" s="1058"/>
      <c r="BD249" s="1058"/>
      <c r="BE249" s="1058"/>
      <c r="BF249" s="1058"/>
      <c r="BG249" s="1058"/>
      <c r="BH249" s="1058"/>
      <c r="BI249" s="1058"/>
      <c r="BJ249" s="1058"/>
    </row>
    <row r="250" spans="1:62" ht="18" customHeight="1">
      <c r="B250" s="1941" t="s">
        <v>825</v>
      </c>
      <c r="C250" s="1942"/>
      <c r="D250" s="1942"/>
      <c r="E250" s="1942"/>
      <c r="F250" s="1942"/>
      <c r="G250" s="1942"/>
      <c r="H250" s="1942"/>
      <c r="I250" s="1942"/>
      <c r="J250" s="1942"/>
      <c r="K250" s="1942"/>
      <c r="L250" s="1942"/>
      <c r="M250" s="1942"/>
      <c r="N250" s="1942"/>
      <c r="O250" s="1942"/>
      <c r="P250" s="1943"/>
      <c r="Q250" s="1735" t="s">
        <v>826</v>
      </c>
      <c r="R250" s="1735"/>
      <c r="S250" s="1735"/>
      <c r="T250" s="1735" t="s">
        <v>827</v>
      </c>
      <c r="U250" s="1735"/>
      <c r="V250" s="1735"/>
      <c r="W250" s="2222" t="s">
        <v>828</v>
      </c>
      <c r="X250" s="2223"/>
      <c r="Y250" s="2223"/>
      <c r="Z250" s="2223"/>
      <c r="AA250" s="2223"/>
      <c r="AB250" s="2223"/>
      <c r="AC250" s="2224"/>
      <c r="AD250" s="1785" t="s">
        <v>829</v>
      </c>
      <c r="AE250" s="1786"/>
      <c r="AF250" s="1786"/>
      <c r="AG250" s="1786"/>
      <c r="AH250" s="1787"/>
      <c r="AI250" s="1785" t="s">
        <v>830</v>
      </c>
      <c r="AJ250" s="1786"/>
      <c r="AK250" s="1786"/>
      <c r="AL250" s="1786"/>
      <c r="AM250" s="1787"/>
      <c r="AN250" s="363"/>
      <c r="AO250" s="1448"/>
      <c r="AP250" s="1058"/>
      <c r="AQ250" s="1058"/>
      <c r="AR250" s="1058"/>
      <c r="AS250" s="1058"/>
      <c r="AT250" s="1058"/>
      <c r="AU250" s="363"/>
      <c r="AV250" s="1058"/>
      <c r="AW250" s="1058"/>
      <c r="AX250" s="1058"/>
      <c r="AY250" s="1058"/>
      <c r="AZ250" s="1058"/>
      <c r="BA250" s="1058"/>
      <c r="BB250" s="1058"/>
      <c r="BC250" s="1058"/>
      <c r="BD250" s="1058"/>
      <c r="BE250" s="1058"/>
      <c r="BF250" s="1058"/>
      <c r="BG250" s="1058"/>
      <c r="BH250" s="1058"/>
      <c r="BI250" s="1058"/>
      <c r="BJ250" s="1058"/>
    </row>
    <row r="251" spans="1:62" ht="18" customHeight="1">
      <c r="B251" s="2234" t="s">
        <v>4185</v>
      </c>
      <c r="C251" s="2235"/>
      <c r="D251" s="2235"/>
      <c r="E251" s="2235"/>
      <c r="F251" s="2235"/>
      <c r="G251" s="2235"/>
      <c r="H251" s="2235"/>
      <c r="I251" s="2235"/>
      <c r="J251" s="2235"/>
      <c r="K251" s="2235"/>
      <c r="L251" s="2235"/>
      <c r="M251" s="2235"/>
      <c r="N251" s="2235"/>
      <c r="O251" s="2235"/>
      <c r="P251" s="2236"/>
      <c r="Q251" s="1784">
        <v>44542</v>
      </c>
      <c r="R251" s="1784"/>
      <c r="S251" s="1784"/>
      <c r="T251" s="1784">
        <v>44541</v>
      </c>
      <c r="U251" s="1784"/>
      <c r="V251" s="1784"/>
      <c r="W251" s="1938" t="s">
        <v>4186</v>
      </c>
      <c r="X251" s="1939"/>
      <c r="Y251" s="1939"/>
      <c r="Z251" s="1939"/>
      <c r="AA251" s="1939"/>
      <c r="AB251" s="1939"/>
      <c r="AC251" s="1940"/>
      <c r="AD251" s="2157">
        <v>343</v>
      </c>
      <c r="AE251" s="2158"/>
      <c r="AF251" s="2158"/>
      <c r="AG251" s="2158"/>
      <c r="AH251" s="2159"/>
      <c r="AI251" s="2237">
        <f>$H$131</f>
        <v>34</v>
      </c>
      <c r="AJ251" s="1961"/>
      <c r="AK251" s="1961"/>
      <c r="AL251" s="2090" t="s">
        <v>831</v>
      </c>
      <c r="AM251" s="2090"/>
      <c r="AN251" s="1058"/>
      <c r="AO251" s="303"/>
      <c r="AP251" s="303"/>
      <c r="AQ251" s="303"/>
      <c r="AR251" s="303"/>
      <c r="AS251" s="303"/>
      <c r="AT251" s="303"/>
      <c r="AU251" s="303"/>
      <c r="AV251" s="303"/>
      <c r="AW251" s="303"/>
      <c r="AX251" s="303"/>
      <c r="AY251" s="303"/>
      <c r="AZ251" s="303"/>
      <c r="BA251" s="303"/>
      <c r="BB251" s="303"/>
      <c r="BC251" s="303"/>
      <c r="BD251" s="303"/>
      <c r="BE251" s="303"/>
      <c r="BF251" s="303"/>
      <c r="BG251" s="303"/>
      <c r="BH251" s="303"/>
      <c r="BI251" s="303"/>
      <c r="BJ251" s="303"/>
    </row>
    <row r="252" spans="1:62" s="303" customFormat="1" ht="18" customHeight="1">
      <c r="A252" s="452"/>
      <c r="B252" s="1742" t="s">
        <v>832</v>
      </c>
      <c r="C252" s="1742"/>
      <c r="D252" s="1742"/>
      <c r="E252" s="1742"/>
      <c r="F252" s="1742"/>
      <c r="G252" s="1742"/>
      <c r="H252" s="1742"/>
      <c r="I252" s="1742"/>
      <c r="J252" s="1742"/>
      <c r="K252" s="1742"/>
      <c r="L252" s="1742"/>
      <c r="M252" s="1742"/>
      <c r="N252" s="1742"/>
      <c r="O252" s="1742"/>
      <c r="P252" s="1742"/>
      <c r="Q252" s="2160" t="s">
        <v>833</v>
      </c>
      <c r="R252" s="2160"/>
      <c r="S252" s="2160"/>
      <c r="T252" s="2160"/>
      <c r="U252" s="2160"/>
      <c r="V252" s="2160"/>
      <c r="W252" s="2160"/>
      <c r="X252" s="2160"/>
      <c r="Y252" s="2160"/>
      <c r="Z252" s="2160"/>
      <c r="AA252" s="2160"/>
      <c r="AB252" s="2160" t="s">
        <v>834</v>
      </c>
      <c r="AC252" s="2160"/>
      <c r="AD252" s="2160"/>
      <c r="AE252" s="2160"/>
      <c r="AF252" s="2160"/>
      <c r="AG252" s="2160"/>
      <c r="AH252" s="1785" t="s">
        <v>740</v>
      </c>
      <c r="AI252" s="1786"/>
      <c r="AJ252" s="1787"/>
      <c r="AK252" s="1785" t="s">
        <v>835</v>
      </c>
      <c r="AL252" s="1786"/>
      <c r="AM252" s="1787"/>
      <c r="AN252" s="1058"/>
      <c r="AO252" s="1448"/>
      <c r="AP252" s="1058"/>
      <c r="AQ252" s="1058"/>
      <c r="AR252" s="1058"/>
      <c r="AS252" s="1058"/>
      <c r="AT252" s="1058"/>
      <c r="AU252" s="363"/>
      <c r="AV252" s="1058"/>
      <c r="AW252" s="1058"/>
      <c r="AX252" s="1058"/>
      <c r="AY252" s="1058"/>
      <c r="AZ252" s="1058"/>
      <c r="BA252" s="1058"/>
      <c r="BB252" s="1058"/>
      <c r="BC252" s="1058"/>
      <c r="BD252" s="1058"/>
      <c r="BE252" s="1058"/>
      <c r="BF252" s="1058"/>
      <c r="BG252" s="1058"/>
      <c r="BH252" s="1058"/>
      <c r="BI252" s="1058"/>
      <c r="BJ252" s="1058"/>
    </row>
    <row r="253" spans="1:62" ht="18" customHeight="1">
      <c r="B253" s="1783" t="s">
        <v>4184</v>
      </c>
      <c r="C253" s="1783"/>
      <c r="D253" s="1783"/>
      <c r="E253" s="1783"/>
      <c r="F253" s="1783"/>
      <c r="G253" s="1783"/>
      <c r="H253" s="1783"/>
      <c r="I253" s="1783"/>
      <c r="J253" s="1783"/>
      <c r="K253" s="1783"/>
      <c r="L253" s="1783"/>
      <c r="M253" s="1783"/>
      <c r="N253" s="1783"/>
      <c r="O253" s="1783"/>
      <c r="P253" s="1783"/>
      <c r="Q253" s="1743" t="s">
        <v>4151</v>
      </c>
      <c r="R253" s="1743"/>
      <c r="S253" s="1743"/>
      <c r="T253" s="1743"/>
      <c r="U253" s="1743"/>
      <c r="V253" s="1743"/>
      <c r="W253" s="1743"/>
      <c r="X253" s="1743"/>
      <c r="Y253" s="1743"/>
      <c r="Z253" s="1743"/>
      <c r="AA253" s="1743"/>
      <c r="AB253" s="1743" t="s">
        <v>4187</v>
      </c>
      <c r="AC253" s="1743"/>
      <c r="AD253" s="1743"/>
      <c r="AE253" s="1743"/>
      <c r="AF253" s="1743"/>
      <c r="AG253" s="1743"/>
      <c r="AH253" s="1743" t="s">
        <v>4188</v>
      </c>
      <c r="AI253" s="1743"/>
      <c r="AJ253" s="1743"/>
      <c r="AK253" s="1743">
        <v>490006</v>
      </c>
      <c r="AL253" s="1743"/>
      <c r="AM253" s="1743"/>
      <c r="AN253" s="1058"/>
      <c r="AO253" s="1448"/>
      <c r="AP253" s="1058"/>
      <c r="AQ253" s="1058"/>
      <c r="AR253" s="1058"/>
      <c r="AS253" s="1058"/>
      <c r="AT253" s="1058"/>
      <c r="AU253" s="363"/>
      <c r="AV253" s="1058"/>
      <c r="AW253" s="1058"/>
      <c r="AX253" s="1058"/>
      <c r="AY253" s="1058"/>
      <c r="AZ253" s="1058"/>
      <c r="BA253" s="1058"/>
      <c r="BB253" s="1058"/>
      <c r="BC253" s="1058"/>
      <c r="BD253" s="1058"/>
      <c r="BE253" s="1058"/>
      <c r="BF253" s="1058"/>
      <c r="BG253" s="1058"/>
      <c r="BH253" s="1058"/>
      <c r="BI253" s="1058"/>
      <c r="BJ253" s="1058"/>
    </row>
    <row r="254" spans="1:62" ht="18" customHeight="1">
      <c r="B254" s="2244" t="s">
        <v>836</v>
      </c>
      <c r="C254" s="2245"/>
      <c r="D254" s="2245"/>
      <c r="E254" s="2245"/>
      <c r="F254" s="2245"/>
      <c r="G254" s="2245"/>
      <c r="H254" s="2245"/>
      <c r="I254" s="2245"/>
      <c r="J254" s="2245"/>
      <c r="K254" s="2245"/>
      <c r="L254" s="2245"/>
      <c r="M254" s="2245"/>
      <c r="N254" s="2245"/>
      <c r="O254" s="2245"/>
      <c r="P254" s="2245"/>
      <c r="Q254" s="2245"/>
      <c r="R254" s="2245"/>
      <c r="S254" s="2245"/>
      <c r="T254" s="2245"/>
      <c r="U254" s="2245"/>
      <c r="V254" s="2245"/>
      <c r="W254" s="2245"/>
      <c r="X254" s="2245"/>
      <c r="Y254" s="2245"/>
      <c r="Z254" s="2245"/>
      <c r="AA254" s="2245"/>
      <c r="AB254" s="2245"/>
      <c r="AC254" s="2245"/>
      <c r="AD254" s="2245"/>
      <c r="AE254" s="2245"/>
      <c r="AF254" s="2245"/>
      <c r="AG254" s="2245"/>
      <c r="AH254" s="2245"/>
      <c r="AI254" s="2245"/>
      <c r="AJ254" s="2245"/>
      <c r="AK254" s="2245"/>
      <c r="AL254" s="2245"/>
      <c r="AM254" s="2246"/>
      <c r="AN254" s="1058"/>
      <c r="AO254" s="1448"/>
      <c r="AP254" s="1058"/>
      <c r="AQ254" s="1058"/>
      <c r="AR254" s="1058"/>
      <c r="AS254" s="1058"/>
      <c r="AT254" s="1058"/>
      <c r="AU254" s="363"/>
      <c r="AV254" s="1058"/>
      <c r="AW254" s="1058"/>
      <c r="AX254" s="1058"/>
      <c r="AY254" s="1058"/>
      <c r="AZ254" s="1058"/>
      <c r="BA254" s="1058"/>
      <c r="BB254" s="1058"/>
      <c r="BC254" s="1058"/>
      <c r="BD254" s="1058"/>
      <c r="BE254" s="1058"/>
      <c r="BF254" s="1058"/>
      <c r="BG254" s="1058"/>
      <c r="BH254" s="1058"/>
      <c r="BI254" s="1058"/>
      <c r="BJ254" s="1058"/>
    </row>
    <row r="255" spans="1:62" ht="36" customHeight="1">
      <c r="B255" s="2057" t="s">
        <v>4183</v>
      </c>
      <c r="C255" s="2057"/>
      <c r="D255" s="2057"/>
      <c r="E255" s="2057"/>
      <c r="F255" s="2057"/>
      <c r="G255" s="2057"/>
      <c r="H255" s="2057"/>
      <c r="I255" s="2057"/>
      <c r="J255" s="2057"/>
      <c r="K255" s="2057"/>
      <c r="L255" s="2057"/>
      <c r="M255" s="2057"/>
      <c r="N255" s="2057"/>
      <c r="O255" s="2057"/>
      <c r="P255" s="2057"/>
      <c r="Q255" s="2057"/>
      <c r="R255" s="2057"/>
      <c r="S255" s="2057"/>
      <c r="T255" s="2057"/>
      <c r="U255" s="2057"/>
      <c r="V255" s="2057"/>
      <c r="W255" s="2057"/>
      <c r="X255" s="2057"/>
      <c r="Y255" s="2057"/>
      <c r="Z255" s="2057"/>
      <c r="AA255" s="2057"/>
      <c r="AB255" s="2057"/>
      <c r="AC255" s="2057"/>
      <c r="AD255" s="2057"/>
      <c r="AE255" s="2057"/>
      <c r="AF255" s="2057"/>
      <c r="AG255" s="2057"/>
      <c r="AH255" s="2057"/>
      <c r="AI255" s="2057"/>
      <c r="AJ255" s="2057"/>
      <c r="AK255" s="2057"/>
      <c r="AL255" s="2057"/>
      <c r="AM255" s="2057"/>
      <c r="AN255" s="1058"/>
      <c r="AO255" s="1448"/>
      <c r="AP255" s="1058"/>
      <c r="AQ255" s="1058"/>
      <c r="AR255" s="1058"/>
      <c r="AS255" s="1058"/>
      <c r="AT255" s="1058"/>
      <c r="AU255" s="363"/>
      <c r="AV255" s="1058"/>
      <c r="AW255" s="1058"/>
      <c r="AX255" s="1058"/>
      <c r="AY255" s="1058"/>
      <c r="AZ255" s="1058"/>
      <c r="BA255" s="1058"/>
      <c r="BB255" s="1058"/>
      <c r="BC255" s="1058"/>
      <c r="BD255" s="1058"/>
      <c r="BE255" s="1058"/>
      <c r="BF255" s="1058"/>
      <c r="BG255" s="1058"/>
      <c r="BH255" s="1058"/>
      <c r="BI255" s="1058"/>
      <c r="BJ255" s="1058"/>
    </row>
    <row r="256" spans="1:62" ht="13.8">
      <c r="B256" s="1792" t="s">
        <v>837</v>
      </c>
      <c r="C256" s="1793"/>
      <c r="D256" s="1793"/>
      <c r="E256" s="1793"/>
      <c r="F256" s="1793"/>
      <c r="G256" s="1793"/>
      <c r="H256" s="1793"/>
      <c r="I256" s="1793"/>
      <c r="J256" s="1793"/>
      <c r="K256" s="1793"/>
      <c r="L256" s="1793"/>
      <c r="M256" s="2161" t="s">
        <v>838</v>
      </c>
      <c r="N256" s="2161"/>
      <c r="O256" s="2161"/>
      <c r="P256" s="2161"/>
      <c r="Q256" s="2161"/>
      <c r="R256" s="2161"/>
      <c r="S256" s="2161"/>
      <c r="T256" s="2161"/>
      <c r="U256" s="2161"/>
      <c r="V256" s="2161"/>
      <c r="W256" s="2161"/>
      <c r="X256" s="2161"/>
      <c r="Y256" s="2161"/>
      <c r="Z256" s="2161"/>
      <c r="AA256" s="2161"/>
      <c r="AB256" s="2161"/>
      <c r="AC256" s="2161"/>
      <c r="AD256" s="2161"/>
      <c r="AE256" s="2161"/>
      <c r="AF256" s="2161"/>
      <c r="AG256" s="2161"/>
      <c r="AH256" s="2161"/>
      <c r="AI256" s="2161"/>
      <c r="AJ256" s="2161"/>
      <c r="AK256" s="2161"/>
      <c r="AL256" s="2091" t="s">
        <v>664</v>
      </c>
      <c r="AM256" s="2092"/>
      <c r="AN256" s="1058"/>
      <c r="AO256" s="1448"/>
      <c r="AP256" s="1058"/>
      <c r="AQ256" s="1058"/>
      <c r="AR256" s="1058"/>
      <c r="AS256" s="1058"/>
      <c r="AT256" s="1058"/>
      <c r="AU256" s="363"/>
      <c r="AV256" s="1058"/>
      <c r="AW256" s="1058"/>
      <c r="AX256" s="1058"/>
      <c r="AY256" s="1058"/>
      <c r="AZ256" s="1058"/>
      <c r="BA256" s="1058"/>
      <c r="BB256" s="1058"/>
      <c r="BC256" s="1058"/>
      <c r="BD256" s="1058"/>
      <c r="BE256" s="1058"/>
      <c r="BF256" s="1058"/>
      <c r="BG256" s="1058"/>
      <c r="BH256" s="1058"/>
      <c r="BI256" s="1058"/>
      <c r="BJ256" s="1058"/>
    </row>
    <row r="257" spans="1:62" ht="13.8">
      <c r="B257" s="2090" t="s">
        <v>839</v>
      </c>
      <c r="C257" s="2090"/>
      <c r="D257" s="2090"/>
      <c r="E257" s="2090"/>
      <c r="F257" s="2090"/>
      <c r="G257" s="2090"/>
      <c r="H257" s="2090"/>
      <c r="I257" s="2090"/>
      <c r="J257" s="2090"/>
      <c r="K257" s="2090"/>
      <c r="L257" s="2090"/>
      <c r="M257" s="2090"/>
      <c r="N257" s="2090"/>
      <c r="O257" s="2090"/>
      <c r="P257" s="2090"/>
      <c r="Q257" s="2090"/>
      <c r="R257" s="2090"/>
      <c r="S257" s="2090"/>
      <c r="T257" s="2090"/>
      <c r="U257" s="2090" t="s">
        <v>840</v>
      </c>
      <c r="V257" s="2090"/>
      <c r="W257" s="2090"/>
      <c r="X257" s="2090"/>
      <c r="Y257" s="2090"/>
      <c r="Z257" s="2090"/>
      <c r="AA257" s="2090"/>
      <c r="AB257" s="2090"/>
      <c r="AC257" s="2090"/>
      <c r="AD257" s="2090"/>
      <c r="AE257" s="2090"/>
      <c r="AF257" s="2090"/>
      <c r="AG257" s="2090"/>
      <c r="AH257" s="2090"/>
      <c r="AI257" s="2222" t="s">
        <v>841</v>
      </c>
      <c r="AJ257" s="2223"/>
      <c r="AK257" s="2223"/>
      <c r="AL257" s="2223"/>
      <c r="AM257" s="2224"/>
      <c r="AN257" s="1058"/>
      <c r="AO257" s="1448"/>
      <c r="AP257" s="1058"/>
      <c r="AQ257" s="1058"/>
      <c r="AR257" s="1058"/>
      <c r="AS257" s="1058"/>
      <c r="AT257" s="1058"/>
      <c r="AU257" s="363"/>
      <c r="AV257" s="1058"/>
      <c r="AW257" s="1058"/>
      <c r="AX257" s="1058"/>
      <c r="AY257" s="1058"/>
      <c r="AZ257" s="1058"/>
      <c r="BA257" s="1058"/>
      <c r="BB257" s="1058"/>
      <c r="BC257" s="1058"/>
      <c r="BD257" s="1058"/>
      <c r="BE257" s="1058"/>
      <c r="BF257" s="1058"/>
      <c r="BG257" s="1058"/>
      <c r="BH257" s="1058"/>
      <c r="BI257" s="1058"/>
      <c r="BJ257" s="1058"/>
    </row>
    <row r="258" spans="1:62" ht="13.8">
      <c r="B258" s="1743" t="s">
        <v>4181</v>
      </c>
      <c r="C258" s="1743"/>
      <c r="D258" s="1743"/>
      <c r="E258" s="1743"/>
      <c r="F258" s="1743"/>
      <c r="G258" s="1743"/>
      <c r="H258" s="1743"/>
      <c r="I258" s="1743"/>
      <c r="J258" s="1743"/>
      <c r="K258" s="1743"/>
      <c r="L258" s="1743"/>
      <c r="M258" s="1743"/>
      <c r="N258" s="1743"/>
      <c r="O258" s="1743"/>
      <c r="P258" s="1743"/>
      <c r="Q258" s="1743"/>
      <c r="R258" s="1743"/>
      <c r="S258" s="1743"/>
      <c r="T258" s="1743"/>
      <c r="U258" s="2225" t="s">
        <v>840</v>
      </c>
      <c r="V258" s="2225"/>
      <c r="W258" s="2225"/>
      <c r="X258" s="2225"/>
      <c r="Y258" s="2225"/>
      <c r="Z258" s="2225"/>
      <c r="AA258" s="2225"/>
      <c r="AB258" s="2225"/>
      <c r="AC258" s="2225"/>
      <c r="AD258" s="2225"/>
      <c r="AE258" s="2225"/>
      <c r="AF258" s="2225"/>
      <c r="AG258" s="2225"/>
      <c r="AH258" s="2225"/>
      <c r="AI258" s="2157" t="s">
        <v>4182</v>
      </c>
      <c r="AJ258" s="2158"/>
      <c r="AK258" s="2158"/>
      <c r="AL258" s="2158"/>
      <c r="AM258" s="2159"/>
      <c r="AN258" s="1058"/>
      <c r="AO258" s="1448"/>
      <c r="AP258" s="1058"/>
      <c r="AQ258" s="1058"/>
      <c r="AR258" s="1058"/>
      <c r="AS258" s="1058"/>
      <c r="AT258" s="1058"/>
      <c r="AU258" s="363"/>
      <c r="AV258" s="1058"/>
      <c r="AW258" s="1058"/>
      <c r="AX258" s="1058"/>
      <c r="AY258" s="1058"/>
      <c r="AZ258" s="1058"/>
      <c r="BA258" s="1058"/>
      <c r="BB258" s="1058"/>
      <c r="BC258" s="1058"/>
      <c r="BD258" s="1058"/>
      <c r="BE258" s="1058"/>
      <c r="BF258" s="1058"/>
      <c r="BG258" s="1058"/>
      <c r="BH258" s="1058"/>
      <c r="BI258" s="1058"/>
      <c r="BJ258" s="1058"/>
    </row>
    <row r="259" spans="1:62" ht="18" customHeight="1">
      <c r="B259" s="1792" t="s">
        <v>842</v>
      </c>
      <c r="C259" s="1793"/>
      <c r="D259" s="1793"/>
      <c r="E259" s="1793"/>
      <c r="F259" s="1793"/>
      <c r="G259" s="1793"/>
      <c r="H259" s="1793"/>
      <c r="I259" s="1793"/>
      <c r="J259" s="1793"/>
      <c r="K259" s="1793"/>
      <c r="L259" s="1793"/>
      <c r="M259" s="1793"/>
      <c r="N259" s="1793"/>
      <c r="O259" s="1793"/>
      <c r="P259" s="1793"/>
      <c r="Q259" s="1793"/>
      <c r="R259" s="1793"/>
      <c r="S259" s="1793"/>
      <c r="T259" s="1793"/>
      <c r="U259" s="1793"/>
      <c r="V259" s="1793"/>
      <c r="W259" s="1793"/>
      <c r="X259" s="1793"/>
      <c r="Y259" s="1793"/>
      <c r="Z259" s="1793"/>
      <c r="AA259" s="1793"/>
      <c r="AB259" s="1793"/>
      <c r="AC259" s="1793"/>
      <c r="AD259" s="1793"/>
      <c r="AE259" s="1793"/>
      <c r="AF259" s="1793"/>
      <c r="AG259" s="1793"/>
      <c r="AH259" s="1793"/>
      <c r="AI259" s="1793"/>
      <c r="AJ259" s="1793"/>
      <c r="AK259" s="1793"/>
      <c r="AL259" s="1793"/>
      <c r="AM259" s="1865"/>
      <c r="AN259" s="1058"/>
      <c r="AO259" s="1448"/>
      <c r="AP259" s="1058"/>
      <c r="AQ259" s="1058"/>
      <c r="AR259" s="1058"/>
      <c r="AS259" s="1058"/>
      <c r="AT259" s="1058"/>
      <c r="AU259" s="363"/>
      <c r="AV259" s="1058"/>
      <c r="AW259" s="1058"/>
      <c r="AX259" s="1058"/>
      <c r="AY259" s="1058"/>
      <c r="AZ259" s="1058"/>
      <c r="BA259" s="1058"/>
      <c r="BB259" s="1058"/>
      <c r="BC259" s="1058"/>
      <c r="BD259" s="1058"/>
      <c r="BE259" s="1058"/>
      <c r="BF259" s="1058"/>
      <c r="BG259" s="1058"/>
      <c r="BH259" s="1058"/>
      <c r="BI259" s="1058"/>
      <c r="BJ259" s="1058"/>
    </row>
    <row r="260" spans="1:62" ht="36" customHeight="1">
      <c r="B260" s="2057" t="s">
        <v>4180</v>
      </c>
      <c r="C260" s="2057"/>
      <c r="D260" s="2057"/>
      <c r="E260" s="2057"/>
      <c r="F260" s="2057"/>
      <c r="G260" s="2057"/>
      <c r="H260" s="2057"/>
      <c r="I260" s="2057"/>
      <c r="J260" s="2057"/>
      <c r="K260" s="2057"/>
      <c r="L260" s="2057"/>
      <c r="M260" s="2057"/>
      <c r="N260" s="2057"/>
      <c r="O260" s="2057"/>
      <c r="P260" s="2057"/>
      <c r="Q260" s="2057"/>
      <c r="R260" s="2057"/>
      <c r="S260" s="2057"/>
      <c r="T260" s="2057"/>
      <c r="U260" s="2057"/>
      <c r="V260" s="2057"/>
      <c r="W260" s="2057"/>
      <c r="X260" s="2057"/>
      <c r="Y260" s="2057"/>
      <c r="Z260" s="2057"/>
      <c r="AA260" s="2057"/>
      <c r="AB260" s="2057"/>
      <c r="AC260" s="2057"/>
      <c r="AD260" s="2057"/>
      <c r="AE260" s="2057"/>
      <c r="AF260" s="2057"/>
      <c r="AG260" s="2057"/>
      <c r="AH260" s="2057"/>
      <c r="AI260" s="2057"/>
      <c r="AJ260" s="2057"/>
      <c r="AK260" s="2057"/>
      <c r="AL260" s="2057"/>
      <c r="AM260" s="2057"/>
      <c r="AN260" s="1058"/>
      <c r="AO260" s="303"/>
      <c r="AP260" s="303"/>
      <c r="AQ260" s="303"/>
      <c r="AR260" s="303"/>
      <c r="AS260" s="303"/>
      <c r="AT260" s="303"/>
      <c r="AU260" s="303"/>
      <c r="AV260" s="303"/>
      <c r="AW260" s="303"/>
      <c r="AX260" s="303"/>
      <c r="AY260" s="303"/>
      <c r="AZ260" s="303"/>
      <c r="BA260" s="303"/>
      <c r="BB260" s="303"/>
      <c r="BC260" s="303"/>
      <c r="BD260" s="303"/>
      <c r="BE260" s="303"/>
      <c r="BF260" s="303"/>
      <c r="BG260" s="303"/>
      <c r="BH260" s="303"/>
      <c r="BI260" s="303"/>
      <c r="BJ260" s="303"/>
    </row>
    <row r="261" spans="1:62" s="303" customFormat="1" ht="18" customHeight="1">
      <c r="A261" s="452"/>
      <c r="B261" s="1731" t="s">
        <v>676</v>
      </c>
      <c r="C261" s="1732"/>
      <c r="D261" s="1732"/>
      <c r="E261" s="1740" t="str">
        <f>'Document Checklist'!$E$88</f>
        <v>13. Site Control</v>
      </c>
      <c r="F261" s="1741"/>
      <c r="G261" s="1741"/>
      <c r="H261" s="1741"/>
      <c r="I261" s="1741"/>
      <c r="J261" s="1741"/>
      <c r="K261" s="1741"/>
      <c r="L261" s="1741"/>
      <c r="M261" s="1741"/>
      <c r="N261" s="1746" t="str">
        <f>'Document Checklist'!$N$88</f>
        <v>Provide documentation of site control in accordance with UMR §8303.</v>
      </c>
      <c r="O261" s="1747"/>
      <c r="P261" s="1747"/>
      <c r="Q261" s="1747"/>
      <c r="R261" s="1747"/>
      <c r="S261" s="1747"/>
      <c r="T261" s="1747"/>
      <c r="U261" s="1747"/>
      <c r="V261" s="1747"/>
      <c r="W261" s="1747"/>
      <c r="X261" s="1747"/>
      <c r="Y261" s="1747"/>
      <c r="Z261" s="1747"/>
      <c r="AA261" s="1747"/>
      <c r="AB261" s="1747"/>
      <c r="AC261" s="1747"/>
      <c r="AD261" s="1747"/>
      <c r="AE261" s="1748"/>
      <c r="AF261" s="1789" t="s">
        <v>677</v>
      </c>
      <c r="AG261" s="1790"/>
      <c r="AH261" s="1790"/>
      <c r="AI261" s="1790"/>
      <c r="AJ261" s="1790"/>
      <c r="AK261" s="1791"/>
      <c r="AL261" s="1724" t="s">
        <v>664</v>
      </c>
      <c r="AM261" s="1725"/>
      <c r="AN261" s="1058"/>
      <c r="AO261" s="1448"/>
      <c r="AP261" s="1058"/>
      <c r="AQ261" s="1058"/>
      <c r="AR261" s="1058"/>
      <c r="AS261" s="1058"/>
      <c r="AT261" s="1058"/>
      <c r="AU261" s="363"/>
      <c r="AV261" s="1058"/>
      <c r="AW261" s="1058"/>
      <c r="AX261" s="1058"/>
      <c r="AY261" s="1058"/>
      <c r="AZ261" s="1058"/>
      <c r="BA261" s="1058"/>
      <c r="BB261" s="1058"/>
      <c r="BC261" s="1058"/>
      <c r="BD261" s="1058"/>
      <c r="BE261" s="1058"/>
      <c r="BF261" s="1058"/>
      <c r="BG261" s="1058"/>
      <c r="BH261" s="1058"/>
      <c r="BI261" s="1058"/>
      <c r="BJ261" s="1058"/>
    </row>
    <row r="262" spans="1:62" ht="18" customHeight="1">
      <c r="B262" s="1731" t="s">
        <v>676</v>
      </c>
      <c r="C262" s="1732"/>
      <c r="D262" s="1732"/>
      <c r="E262" s="1740" t="str">
        <f>'Document Checklist'!$E$89</f>
        <v>14. Preliminary Title Report</v>
      </c>
      <c r="F262" s="1741"/>
      <c r="G262" s="1741"/>
      <c r="H262" s="1741"/>
      <c r="I262" s="1741"/>
      <c r="J262" s="1741"/>
      <c r="K262" s="1741"/>
      <c r="L262" s="1741"/>
      <c r="M262" s="1741"/>
      <c r="N262" s="1740" t="str">
        <f>'Document Checklist'!$N$89</f>
        <v>Provide a preliminary report. (dated within 30 days of application due date)</v>
      </c>
      <c r="O262" s="1741"/>
      <c r="P262" s="1741"/>
      <c r="Q262" s="1741"/>
      <c r="R262" s="1741"/>
      <c r="S262" s="1741"/>
      <c r="T262" s="1741"/>
      <c r="U262" s="1741"/>
      <c r="V262" s="1741"/>
      <c r="W262" s="1741"/>
      <c r="X262" s="1741"/>
      <c r="Y262" s="1741"/>
      <c r="Z262" s="1741"/>
      <c r="AA262" s="1741"/>
      <c r="AB262" s="1741"/>
      <c r="AC262" s="1741"/>
      <c r="AD262" s="1741"/>
      <c r="AE262" s="1788"/>
      <c r="AF262" s="1789" t="s">
        <v>677</v>
      </c>
      <c r="AG262" s="1790"/>
      <c r="AH262" s="1790"/>
      <c r="AI262" s="1790"/>
      <c r="AJ262" s="1790"/>
      <c r="AK262" s="1791"/>
      <c r="AL262" s="1724" t="s">
        <v>664</v>
      </c>
      <c r="AM262" s="1725"/>
      <c r="AN262" s="1058"/>
      <c r="AO262" s="1448"/>
      <c r="AP262" s="1058"/>
      <c r="AQ262" s="1058"/>
      <c r="AR262" s="1058"/>
      <c r="AS262" s="1058"/>
      <c r="AT262" s="1058"/>
      <c r="AU262" s="1058"/>
      <c r="AV262" s="1058"/>
      <c r="AW262" s="1058"/>
      <c r="AX262" s="1058"/>
      <c r="AY262" s="1058"/>
      <c r="AZ262" s="1058"/>
      <c r="BA262" s="1058"/>
      <c r="BB262" s="1058"/>
      <c r="BC262" s="1058"/>
      <c r="BD262" s="1058"/>
      <c r="BE262" s="1058"/>
      <c r="BF262" s="1058"/>
      <c r="BG262" s="1058"/>
      <c r="BH262" s="1058"/>
      <c r="BI262" s="1058"/>
      <c r="BJ262" s="1058"/>
    </row>
    <row r="263" spans="1:62" ht="36" customHeight="1">
      <c r="B263" s="1736" t="s">
        <v>676</v>
      </c>
      <c r="C263" s="1736"/>
      <c r="D263" s="1736"/>
      <c r="E263" s="2210" t="str">
        <f>'Document Checklist'!$E$129</f>
        <v>45. Appraisal</v>
      </c>
      <c r="F263" s="2210"/>
      <c r="G263" s="2210"/>
      <c r="H263" s="2210"/>
      <c r="I263" s="2210"/>
      <c r="J263" s="2210"/>
      <c r="K263" s="2210"/>
      <c r="L263" s="2210"/>
      <c r="M263" s="2210"/>
      <c r="N263" s="2210" t="str">
        <f>'Document Checklist'!$N$129</f>
        <v xml:space="preserve">If land cost or value is included in the development budget, an appraisal report supporting the cost or value is required. </v>
      </c>
      <c r="O263" s="2210"/>
      <c r="P263" s="2210"/>
      <c r="Q263" s="2210"/>
      <c r="R263" s="2210"/>
      <c r="S263" s="2210"/>
      <c r="T263" s="2210"/>
      <c r="U263" s="2210"/>
      <c r="V263" s="2210"/>
      <c r="W263" s="2210"/>
      <c r="X263" s="2210"/>
      <c r="Y263" s="2210"/>
      <c r="Z263" s="2210"/>
      <c r="AA263" s="2210"/>
      <c r="AB263" s="2210"/>
      <c r="AC263" s="2210"/>
      <c r="AD263" s="2210"/>
      <c r="AE263" s="2210"/>
      <c r="AF263" s="2109" t="s">
        <v>843</v>
      </c>
      <c r="AG263" s="2110"/>
      <c r="AH263" s="2110"/>
      <c r="AI263" s="2110"/>
      <c r="AJ263" s="2110"/>
      <c r="AK263" s="2110"/>
      <c r="AL263" s="1724" t="s">
        <v>664</v>
      </c>
      <c r="AM263" s="1725"/>
      <c r="AN263" s="1058"/>
      <c r="AO263" s="1448"/>
      <c r="AP263" s="1058"/>
      <c r="AQ263" s="1058"/>
      <c r="AR263" s="1058"/>
      <c r="AS263" s="1058"/>
      <c r="AT263" s="1058"/>
      <c r="AU263" s="1058"/>
      <c r="AV263" s="1058"/>
      <c r="AW263" s="1058"/>
      <c r="AX263" s="1058"/>
      <c r="AY263" s="1058"/>
      <c r="AZ263" s="1058"/>
      <c r="BA263" s="1058"/>
      <c r="BB263" s="1058"/>
      <c r="BC263" s="1058"/>
      <c r="BD263" s="1058"/>
      <c r="BE263" s="1058"/>
      <c r="BF263" s="1058"/>
      <c r="BG263" s="1058"/>
      <c r="BH263" s="1058"/>
      <c r="BI263" s="1058"/>
      <c r="BJ263" s="1058"/>
    </row>
    <row r="264" spans="1:62" ht="18" customHeight="1">
      <c r="A264" s="463"/>
      <c r="B264" s="32"/>
      <c r="C264" s="32"/>
      <c r="D264" s="32"/>
      <c r="E264" s="33"/>
      <c r="F264" s="33"/>
      <c r="G264" s="33"/>
      <c r="H264" s="33"/>
      <c r="I264" s="33"/>
      <c r="J264" s="33"/>
      <c r="K264" s="33"/>
      <c r="L264" s="33"/>
      <c r="M264" s="33"/>
      <c r="N264" s="33"/>
      <c r="O264" s="33"/>
      <c r="P264" s="33"/>
      <c r="Q264" s="33"/>
      <c r="R264" s="33"/>
      <c r="S264" s="33"/>
      <c r="T264" s="33"/>
      <c r="U264" s="33"/>
      <c r="V264" s="33"/>
      <c r="W264" s="33"/>
      <c r="X264" s="33"/>
      <c r="Y264" s="33"/>
      <c r="Z264" s="33"/>
      <c r="AA264" s="33"/>
      <c r="AB264" s="33"/>
      <c r="AC264" s="33"/>
      <c r="AD264" s="33"/>
      <c r="AE264" s="33"/>
      <c r="AF264" s="298"/>
      <c r="AG264" s="299"/>
      <c r="AH264" s="299"/>
      <c r="AI264" s="299"/>
      <c r="AJ264" s="299"/>
      <c r="AK264" s="299"/>
      <c r="AL264" s="1022"/>
      <c r="AM264" s="1022"/>
      <c r="AN264" s="1456"/>
      <c r="AO264" s="1448"/>
      <c r="AP264" s="1058"/>
      <c r="AQ264" s="1058"/>
      <c r="AR264" s="1058"/>
      <c r="AS264" s="1058"/>
      <c r="AT264" s="1058"/>
      <c r="AU264" s="1058"/>
      <c r="AV264" s="1058"/>
      <c r="AW264" s="1058"/>
      <c r="AX264" s="1058"/>
      <c r="AY264" s="1058"/>
      <c r="AZ264" s="1058"/>
      <c r="BA264" s="1058"/>
      <c r="BB264" s="1058"/>
      <c r="BC264" s="1058"/>
      <c r="BD264" s="1058"/>
      <c r="BE264" s="1058"/>
      <c r="BF264" s="1058"/>
      <c r="BG264" s="1058"/>
      <c r="BH264" s="1058"/>
      <c r="BI264" s="1058"/>
      <c r="BJ264" s="1058"/>
    </row>
    <row r="265" spans="1:62" ht="18" customHeight="1">
      <c r="B265" s="1782" t="s">
        <v>844</v>
      </c>
      <c r="C265" s="1782"/>
      <c r="D265" s="1782"/>
      <c r="E265" s="1782"/>
      <c r="F265" s="1782"/>
      <c r="G265" s="1782"/>
      <c r="H265" s="1782"/>
      <c r="I265" s="1782"/>
      <c r="J265" s="1782"/>
      <c r="K265" s="1782"/>
      <c r="L265" s="1782"/>
      <c r="M265" s="1782"/>
      <c r="N265" s="1782"/>
      <c r="O265" s="1782"/>
      <c r="P265" s="1782"/>
      <c r="Q265" s="1782"/>
      <c r="R265" s="1782"/>
      <c r="S265" s="1782"/>
      <c r="T265" s="1782"/>
      <c r="U265" s="1782"/>
      <c r="V265" s="1782"/>
      <c r="W265" s="1782"/>
      <c r="X265" s="1782"/>
      <c r="Y265" s="1782"/>
      <c r="Z265" s="1782"/>
      <c r="AA265" s="1782"/>
      <c r="AB265" s="1782"/>
      <c r="AC265" s="1782"/>
      <c r="AD265" s="1782"/>
      <c r="AE265" s="1782"/>
      <c r="AF265" s="1782"/>
      <c r="AG265" s="1782"/>
      <c r="AH265" s="1782"/>
      <c r="AI265" s="1782"/>
      <c r="AJ265" s="1782"/>
      <c r="AK265" s="1782"/>
      <c r="AL265" s="1782"/>
      <c r="AM265" s="1782"/>
      <c r="AN265" s="1058"/>
      <c r="AO265" s="1448"/>
      <c r="AP265" s="1058"/>
      <c r="AQ265" s="1058"/>
      <c r="AR265" s="1058"/>
      <c r="AS265" s="1058"/>
      <c r="AT265" s="1058"/>
      <c r="AU265" s="1058"/>
      <c r="AV265" s="1058"/>
      <c r="AW265" s="1058"/>
      <c r="AX265" s="1058"/>
      <c r="AY265" s="1058"/>
      <c r="AZ265" s="1058"/>
      <c r="BA265" s="1058"/>
      <c r="BB265" s="1058"/>
      <c r="BC265" s="1058"/>
      <c r="BD265" s="1058"/>
      <c r="BE265" s="1058"/>
      <c r="BF265" s="1058"/>
      <c r="BG265" s="1058"/>
      <c r="BH265" s="1058"/>
      <c r="BI265" s="1058"/>
      <c r="BJ265" s="1058"/>
    </row>
    <row r="266" spans="1:62" ht="18" customHeight="1">
      <c r="B266" s="1745" t="s">
        <v>845</v>
      </c>
      <c r="C266" s="1745"/>
      <c r="D266" s="1745"/>
      <c r="E266" s="1745"/>
      <c r="F266" s="1745"/>
      <c r="G266" s="1745"/>
      <c r="H266" s="1745"/>
      <c r="I266" s="1745"/>
      <c r="J266" s="1745"/>
      <c r="K266" s="1745"/>
      <c r="L266" s="1745"/>
      <c r="M266" s="1745"/>
      <c r="N266" s="1745" t="s">
        <v>846</v>
      </c>
      <c r="O266" s="1745"/>
      <c r="P266" s="1745"/>
      <c r="Q266" s="1745"/>
      <c r="R266" s="1745"/>
      <c r="S266" s="1745"/>
      <c r="T266" s="1745"/>
      <c r="U266" s="1745"/>
      <c r="V266" s="1745"/>
      <c r="W266" s="1745"/>
      <c r="X266" s="1745"/>
      <c r="Y266" s="1745"/>
      <c r="Z266" s="1745"/>
      <c r="AA266" s="1745"/>
      <c r="AB266" s="2058" t="s">
        <v>847</v>
      </c>
      <c r="AC266" s="2058"/>
      <c r="AD266" s="2058"/>
      <c r="AE266" s="2058"/>
      <c r="AF266" s="2058"/>
      <c r="AG266" s="2058" t="s">
        <v>848</v>
      </c>
      <c r="AH266" s="2058"/>
      <c r="AI266" s="2058"/>
      <c r="AJ266" s="2058"/>
      <c r="AK266" s="2058"/>
      <c r="AL266" s="2058"/>
      <c r="AM266" s="2058"/>
      <c r="AN266" s="1058"/>
      <c r="AO266" s="1448"/>
      <c r="AP266" s="1058"/>
      <c r="AQ266" s="1058"/>
      <c r="AR266" s="1058"/>
      <c r="AS266" s="1058"/>
      <c r="AT266" s="1058"/>
      <c r="AU266" s="1058"/>
      <c r="AV266" s="1058"/>
      <c r="AW266" s="1058"/>
      <c r="AX266" s="1058"/>
      <c r="AY266" s="1058"/>
      <c r="AZ266" s="1058"/>
      <c r="BA266" s="1058"/>
      <c r="BB266" s="1058"/>
      <c r="BC266" s="1058"/>
      <c r="BD266" s="1058"/>
      <c r="BE266" s="1058"/>
      <c r="BF266" s="1058"/>
      <c r="BG266" s="1058"/>
      <c r="BH266" s="1058"/>
      <c r="BI266" s="1058"/>
      <c r="BJ266" s="1058"/>
    </row>
    <row r="267" spans="1:62" ht="18" customHeight="1">
      <c r="B267" s="1737" t="s">
        <v>4176</v>
      </c>
      <c r="C267" s="1737"/>
      <c r="D267" s="1737"/>
      <c r="E267" s="1737"/>
      <c r="F267" s="1737"/>
      <c r="G267" s="1737"/>
      <c r="H267" s="1737"/>
      <c r="I267" s="1737"/>
      <c r="J267" s="1737"/>
      <c r="K267" s="1737"/>
      <c r="L267" s="1737"/>
      <c r="M267" s="1737"/>
      <c r="N267" s="1949" t="s">
        <v>4179</v>
      </c>
      <c r="O267" s="2226"/>
      <c r="P267" s="2226"/>
      <c r="Q267" s="2226"/>
      <c r="R267" s="2226"/>
      <c r="S267" s="2226"/>
      <c r="T267" s="2226"/>
      <c r="U267" s="2226"/>
      <c r="V267" s="2226"/>
      <c r="W267" s="2226"/>
      <c r="X267" s="2226"/>
      <c r="Y267" s="2226"/>
      <c r="Z267" s="2226"/>
      <c r="AA267" s="1950"/>
      <c r="AB267" s="1737" t="s">
        <v>664</v>
      </c>
      <c r="AC267" s="1737"/>
      <c r="AD267" s="1737"/>
      <c r="AE267" s="1737"/>
      <c r="AF267" s="1737"/>
      <c r="AG267" s="1737">
        <v>2011</v>
      </c>
      <c r="AH267" s="1737"/>
      <c r="AI267" s="1737"/>
      <c r="AJ267" s="1737"/>
      <c r="AK267" s="1737"/>
      <c r="AL267" s="1737"/>
      <c r="AM267" s="1737"/>
      <c r="AN267" s="1058"/>
      <c r="AO267" s="1448"/>
      <c r="AP267" s="1058"/>
      <c r="AQ267" s="1058"/>
      <c r="AR267" s="1058"/>
      <c r="AS267" s="1058"/>
      <c r="AT267" s="1058"/>
      <c r="AU267" s="1058"/>
      <c r="AV267" s="1058"/>
      <c r="AW267" s="1058"/>
      <c r="AX267" s="1058"/>
      <c r="AY267" s="1058"/>
      <c r="AZ267" s="1058"/>
      <c r="BA267" s="1058"/>
      <c r="BB267" s="1058"/>
      <c r="BC267" s="1058"/>
      <c r="BD267" s="1058"/>
      <c r="BE267" s="1058"/>
      <c r="BF267" s="1058"/>
      <c r="BG267" s="1058"/>
      <c r="BH267" s="1058"/>
      <c r="BI267" s="1058"/>
      <c r="BJ267" s="1058"/>
    </row>
    <row r="268" spans="1:62" ht="18" customHeight="1">
      <c r="B268" s="1745" t="s">
        <v>849</v>
      </c>
      <c r="C268" s="1745"/>
      <c r="D268" s="1745"/>
      <c r="E268" s="1745"/>
      <c r="F268" s="1745" t="s">
        <v>850</v>
      </c>
      <c r="G268" s="1745"/>
      <c r="H268" s="1745"/>
      <c r="I268" s="1745"/>
      <c r="J268" s="1745"/>
      <c r="K268" s="1745"/>
      <c r="L268" s="1745"/>
      <c r="M268" s="2227" t="s">
        <v>851</v>
      </c>
      <c r="N268" s="2228"/>
      <c r="O268" s="2229"/>
      <c r="P268" s="2146" t="s">
        <v>4178</v>
      </c>
      <c r="Q268" s="2147"/>
      <c r="R268" s="2147"/>
      <c r="S268" s="2147"/>
      <c r="T268" s="2147"/>
      <c r="U268" s="2147"/>
      <c r="V268" s="2147"/>
      <c r="W268" s="2147"/>
      <c r="X268" s="2147"/>
      <c r="Y268" s="2147"/>
      <c r="Z268" s="2147"/>
      <c r="AA268" s="2147"/>
      <c r="AB268" s="2147"/>
      <c r="AC268" s="2147"/>
      <c r="AD268" s="2147"/>
      <c r="AE268" s="2147"/>
      <c r="AF268" s="2147"/>
      <c r="AG268" s="2147"/>
      <c r="AH268" s="2147"/>
      <c r="AI268" s="2147"/>
      <c r="AJ268" s="2147"/>
      <c r="AK268" s="2147"/>
      <c r="AL268" s="2147"/>
      <c r="AM268" s="2148"/>
      <c r="AN268" s="1058"/>
      <c r="AO268" s="1448"/>
      <c r="AP268" s="1058"/>
      <c r="AQ268" s="1058"/>
      <c r="AR268" s="1058"/>
      <c r="AS268" s="1058"/>
      <c r="AT268" s="1058"/>
      <c r="AU268" s="1058"/>
      <c r="AV268" s="1058"/>
      <c r="AW268" s="1058"/>
      <c r="AX268" s="1058"/>
      <c r="AY268" s="1058"/>
      <c r="AZ268" s="1058"/>
      <c r="BA268" s="1058"/>
      <c r="BB268" s="1058"/>
      <c r="BC268" s="1058"/>
      <c r="BD268" s="1058"/>
      <c r="BE268" s="1058"/>
      <c r="BF268" s="1058"/>
      <c r="BG268" s="1058"/>
      <c r="BH268" s="1058"/>
      <c r="BI268" s="1058"/>
      <c r="BJ268" s="1058"/>
    </row>
    <row r="269" spans="1:62" ht="18" customHeight="1">
      <c r="B269" s="2128" t="s">
        <v>664</v>
      </c>
      <c r="C269" s="2128"/>
      <c r="D269" s="2128"/>
      <c r="E269" s="2128"/>
      <c r="F269" s="2128" t="s">
        <v>4177</v>
      </c>
      <c r="G269" s="2128"/>
      <c r="H269" s="2128"/>
      <c r="I269" s="2128"/>
      <c r="J269" s="2128"/>
      <c r="K269" s="2128"/>
      <c r="L269" s="2128"/>
      <c r="M269" s="2230"/>
      <c r="N269" s="2231"/>
      <c r="O269" s="2232"/>
      <c r="P269" s="2149"/>
      <c r="Q269" s="2150"/>
      <c r="R269" s="2150"/>
      <c r="S269" s="2150"/>
      <c r="T269" s="2150"/>
      <c r="U269" s="2150"/>
      <c r="V269" s="2150"/>
      <c r="W269" s="2150"/>
      <c r="X269" s="2150"/>
      <c r="Y269" s="2150"/>
      <c r="Z269" s="2150"/>
      <c r="AA269" s="2150"/>
      <c r="AB269" s="2150"/>
      <c r="AC269" s="2150"/>
      <c r="AD269" s="2150"/>
      <c r="AE269" s="2150"/>
      <c r="AF269" s="2150"/>
      <c r="AG269" s="2150"/>
      <c r="AH269" s="2150"/>
      <c r="AI269" s="2150"/>
      <c r="AJ269" s="2150"/>
      <c r="AK269" s="2150"/>
      <c r="AL269" s="2150"/>
      <c r="AM269" s="2151"/>
      <c r="AN269" s="1058"/>
      <c r="AO269" s="1448"/>
      <c r="AP269" s="1058"/>
      <c r="AQ269" s="1058"/>
      <c r="AR269" s="1058"/>
      <c r="AS269" s="1058"/>
      <c r="AT269" s="1058"/>
      <c r="AU269" s="1058"/>
      <c r="AV269" s="1058"/>
      <c r="AW269" s="1058"/>
      <c r="AX269" s="1058"/>
      <c r="AY269" s="1058"/>
      <c r="AZ269" s="1058"/>
      <c r="BA269" s="1058"/>
      <c r="BB269" s="1058"/>
      <c r="BC269" s="1058"/>
      <c r="BD269" s="1058"/>
      <c r="BE269" s="1058"/>
      <c r="BF269" s="1058"/>
      <c r="BG269" s="1058"/>
      <c r="BH269" s="1058"/>
      <c r="BI269" s="1058"/>
      <c r="BJ269" s="1058"/>
    </row>
    <row r="270" spans="1:62" ht="18" customHeight="1">
      <c r="B270" s="1860" t="s">
        <v>852</v>
      </c>
      <c r="C270" s="1860"/>
      <c r="D270" s="1861"/>
      <c r="E270" s="1861"/>
      <c r="F270" s="1861"/>
      <c r="G270" s="1861"/>
      <c r="H270" s="1861"/>
      <c r="I270" s="1861"/>
      <c r="J270" s="1861"/>
      <c r="K270" s="1860"/>
      <c r="L270" s="1860"/>
      <c r="M270" s="1861"/>
      <c r="N270" s="1861"/>
      <c r="O270" s="1861"/>
      <c r="P270" s="1861"/>
      <c r="Q270" s="1861"/>
      <c r="R270" s="1861"/>
      <c r="S270" s="1861"/>
      <c r="T270" s="1860"/>
      <c r="U270" s="1860"/>
      <c r="V270" s="1861"/>
      <c r="W270" s="1861"/>
      <c r="X270" s="1861"/>
      <c r="Y270" s="1861"/>
      <c r="Z270" s="1861"/>
      <c r="AA270" s="1861"/>
      <c r="AB270" s="1861"/>
      <c r="AC270" s="1860"/>
      <c r="AD270" s="1860"/>
      <c r="AE270" s="1861"/>
      <c r="AF270" s="1861"/>
      <c r="AG270" s="1861"/>
      <c r="AH270" s="1861"/>
      <c r="AI270" s="1861"/>
      <c r="AJ270" s="1861"/>
      <c r="AK270" s="1861"/>
      <c r="AL270" s="1861"/>
      <c r="AM270" s="1861"/>
      <c r="AN270" s="1058"/>
      <c r="AO270" s="1473"/>
      <c r="AP270" s="1456"/>
      <c r="AQ270" s="1456"/>
      <c r="AR270" s="1456"/>
      <c r="AS270" s="1456"/>
      <c r="AT270" s="1456"/>
      <c r="AU270" s="1456"/>
      <c r="AV270" s="1456"/>
      <c r="AW270" s="1456"/>
      <c r="AX270" s="1456"/>
      <c r="AY270" s="1456"/>
      <c r="AZ270" s="1456"/>
      <c r="BA270" s="1456"/>
      <c r="BB270" s="1456"/>
      <c r="BC270" s="1456"/>
      <c r="BD270" s="1456"/>
      <c r="BE270" s="1456"/>
      <c r="BF270" s="1456"/>
      <c r="BG270" s="1456"/>
      <c r="BH270" s="1456"/>
      <c r="BI270" s="1456"/>
      <c r="BJ270" s="1456"/>
    </row>
    <row r="271" spans="1:62" ht="18" customHeight="1">
      <c r="B271" s="1811" t="s">
        <v>1475</v>
      </c>
      <c r="C271" s="1812"/>
      <c r="D271" s="1824" t="s">
        <v>853</v>
      </c>
      <c r="E271" s="1825"/>
      <c r="F271" s="1825"/>
      <c r="G271" s="1825"/>
      <c r="H271" s="1825"/>
      <c r="I271" s="1825"/>
      <c r="J271" s="1459"/>
      <c r="K271" s="1738" t="s">
        <v>664</v>
      </c>
      <c r="L271" s="1739"/>
      <c r="M271" s="1824" t="s">
        <v>854</v>
      </c>
      <c r="N271" s="1825"/>
      <c r="O271" s="1825"/>
      <c r="P271" s="1825"/>
      <c r="Q271" s="1825"/>
      <c r="R271" s="1825"/>
      <c r="S271" s="1459"/>
      <c r="T271" s="1738" t="s">
        <v>711</v>
      </c>
      <c r="U271" s="1739"/>
      <c r="V271" s="1824" t="s">
        <v>855</v>
      </c>
      <c r="W271" s="1825"/>
      <c r="X271" s="1825"/>
      <c r="Y271" s="1825"/>
      <c r="Z271" s="1825" t="s">
        <v>856</v>
      </c>
      <c r="AA271" s="1825"/>
      <c r="AB271" s="923"/>
      <c r="AC271" s="1738" t="s">
        <v>664</v>
      </c>
      <c r="AD271" s="1739"/>
      <c r="AE271" s="1824" t="s">
        <v>857</v>
      </c>
      <c r="AF271" s="1825"/>
      <c r="AG271" s="1825"/>
      <c r="AH271" s="1825"/>
      <c r="AI271" s="1825"/>
      <c r="AJ271" s="1825"/>
      <c r="AK271" s="1825"/>
      <c r="AL271" s="1825"/>
      <c r="AM271" s="1826"/>
      <c r="AN271" s="1058"/>
      <c r="AO271" s="1448"/>
      <c r="AP271" s="1058"/>
      <c r="AQ271" s="1058"/>
      <c r="AR271" s="1058"/>
      <c r="AS271" s="1058"/>
      <c r="AT271" s="1058"/>
      <c r="AU271" s="1058"/>
      <c r="AV271" s="1058"/>
      <c r="AW271" s="1058"/>
      <c r="AX271" s="1058"/>
      <c r="AY271" s="1058"/>
      <c r="AZ271" s="1058"/>
      <c r="BA271" s="1058"/>
      <c r="BB271" s="1058"/>
      <c r="BC271" s="1058"/>
      <c r="BD271" s="1058"/>
      <c r="BE271" s="1058"/>
      <c r="BF271" s="1058"/>
      <c r="BG271" s="1058"/>
      <c r="BH271" s="1058"/>
      <c r="BI271" s="1058"/>
      <c r="BJ271" s="1058"/>
    </row>
    <row r="272" spans="1:62" ht="18" customHeight="1">
      <c r="B272" s="1811" t="s">
        <v>1475</v>
      </c>
      <c r="C272" s="1812"/>
      <c r="D272" s="1824" t="s">
        <v>858</v>
      </c>
      <c r="E272" s="1825"/>
      <c r="F272" s="1825"/>
      <c r="G272" s="1825"/>
      <c r="H272" s="1825"/>
      <c r="I272" s="1825"/>
      <c r="J272" s="1459"/>
      <c r="K272" s="1738" t="s">
        <v>664</v>
      </c>
      <c r="L272" s="1739"/>
      <c r="M272" s="1824" t="s">
        <v>859</v>
      </c>
      <c r="N272" s="1825"/>
      <c r="O272" s="1825"/>
      <c r="P272" s="1825"/>
      <c r="Q272" s="1825"/>
      <c r="R272" s="1825"/>
      <c r="S272" s="1459"/>
      <c r="T272" s="1738" t="s">
        <v>711</v>
      </c>
      <c r="U272" s="1739"/>
      <c r="V272" s="1824" t="s">
        <v>860</v>
      </c>
      <c r="W272" s="1825"/>
      <c r="X272" s="1825"/>
      <c r="Y272" s="1825"/>
      <c r="Z272" s="1825"/>
      <c r="AA272" s="1825"/>
      <c r="AB272" s="923"/>
      <c r="AC272" s="1738" t="s">
        <v>664</v>
      </c>
      <c r="AD272" s="1739"/>
      <c r="AE272" s="1824" t="s">
        <v>861</v>
      </c>
      <c r="AF272" s="1825"/>
      <c r="AG272" s="1825"/>
      <c r="AH272" s="1825"/>
      <c r="AI272" s="1825"/>
      <c r="AJ272" s="1825"/>
      <c r="AK272" s="1825"/>
      <c r="AL272" s="1825"/>
      <c r="AM272" s="1826"/>
      <c r="AN272" s="1058"/>
      <c r="AO272" s="1448"/>
      <c r="AP272" s="1058"/>
      <c r="AQ272" s="1058"/>
      <c r="AR272" s="1058"/>
      <c r="AS272" s="1058"/>
      <c r="AT272" s="1058"/>
      <c r="AU272" s="1058"/>
      <c r="AV272" s="1058"/>
      <c r="AW272" s="1058"/>
      <c r="AX272" s="1058"/>
      <c r="AY272" s="1058"/>
      <c r="AZ272" s="1058"/>
      <c r="BA272" s="1058"/>
      <c r="BB272" s="1058"/>
      <c r="BC272" s="1058"/>
      <c r="BD272" s="1058"/>
      <c r="BE272" s="1058"/>
      <c r="BF272" s="1058"/>
      <c r="BG272" s="1058"/>
      <c r="BH272" s="1058"/>
      <c r="BI272" s="1058"/>
      <c r="BJ272" s="1058"/>
    </row>
    <row r="273" spans="1:62" ht="18" customHeight="1">
      <c r="B273" s="1811" t="s">
        <v>1475</v>
      </c>
      <c r="C273" s="1812"/>
      <c r="D273" s="1824" t="s">
        <v>862</v>
      </c>
      <c r="E273" s="1825"/>
      <c r="F273" s="1825"/>
      <c r="G273" s="1825"/>
      <c r="H273" s="1825"/>
      <c r="I273" s="1825"/>
      <c r="J273" s="1459"/>
      <c r="K273" s="1738" t="s">
        <v>664</v>
      </c>
      <c r="L273" s="1739"/>
      <c r="M273" s="1824" t="s">
        <v>863</v>
      </c>
      <c r="N273" s="1825"/>
      <c r="O273" s="1825"/>
      <c r="P273" s="1825"/>
      <c r="Q273" s="1825"/>
      <c r="R273" s="1825"/>
      <c r="S273" s="1459"/>
      <c r="T273" s="1738" t="s">
        <v>711</v>
      </c>
      <c r="U273" s="1739"/>
      <c r="V273" s="1824" t="s">
        <v>864</v>
      </c>
      <c r="W273" s="1825"/>
      <c r="X273" s="1825"/>
      <c r="Y273" s="1825"/>
      <c r="Z273" s="1825"/>
      <c r="AA273" s="1825"/>
      <c r="AB273" s="923"/>
      <c r="AC273" s="1738" t="s">
        <v>664</v>
      </c>
      <c r="AD273" s="1739"/>
      <c r="AE273" s="1824" t="s">
        <v>865</v>
      </c>
      <c r="AF273" s="1825"/>
      <c r="AG273" s="1825"/>
      <c r="AH273" s="1825"/>
      <c r="AI273" s="1825"/>
      <c r="AJ273" s="1825"/>
      <c r="AK273" s="1825"/>
      <c r="AL273" s="1825"/>
      <c r="AM273" s="1826"/>
      <c r="AN273" s="1058"/>
      <c r="AO273" s="1448"/>
      <c r="AP273" s="1058"/>
      <c r="AQ273" s="1058"/>
      <c r="AR273" s="1058"/>
      <c r="AS273" s="360"/>
      <c r="AT273" s="1058"/>
      <c r="AU273" s="1058"/>
      <c r="AV273" s="1058"/>
      <c r="AW273" s="1058"/>
      <c r="AX273" s="1058"/>
      <c r="AY273" s="1058"/>
      <c r="AZ273" s="1058"/>
      <c r="BA273" s="1058"/>
      <c r="BB273" s="1058"/>
      <c r="BC273" s="1058"/>
      <c r="BD273" s="1058"/>
      <c r="BE273" s="1058"/>
      <c r="BF273" s="1058"/>
      <c r="BG273" s="1058"/>
      <c r="BH273" s="1058"/>
      <c r="BI273" s="1058"/>
      <c r="BJ273" s="1058"/>
    </row>
    <row r="274" spans="1:62" ht="18" customHeight="1">
      <c r="B274" s="1811" t="s">
        <v>1475</v>
      </c>
      <c r="C274" s="1812"/>
      <c r="D274" s="1824" t="s">
        <v>866</v>
      </c>
      <c r="E274" s="1825"/>
      <c r="F274" s="1825"/>
      <c r="G274" s="1825"/>
      <c r="H274" s="1825"/>
      <c r="I274" s="1825"/>
      <c r="J274" s="923"/>
      <c r="K274" s="1738" t="s">
        <v>664</v>
      </c>
      <c r="L274" s="1739"/>
      <c r="M274" s="1824" t="s">
        <v>867</v>
      </c>
      <c r="N274" s="1825"/>
      <c r="O274" s="1825"/>
      <c r="P274" s="1825"/>
      <c r="Q274" s="1825"/>
      <c r="R274" s="1825"/>
      <c r="S274" s="923"/>
      <c r="T274" s="1738" t="s">
        <v>711</v>
      </c>
      <c r="U274" s="1739"/>
      <c r="V274" s="1824" t="s">
        <v>868</v>
      </c>
      <c r="W274" s="1825"/>
      <c r="X274" s="1825"/>
      <c r="Y274" s="1825"/>
      <c r="Z274" s="1825"/>
      <c r="AA274" s="1825"/>
      <c r="AB274" s="923"/>
      <c r="AC274" s="1738" t="s">
        <v>664</v>
      </c>
      <c r="AD274" s="1739"/>
      <c r="AE274" s="1824" t="s">
        <v>869</v>
      </c>
      <c r="AF274" s="1825"/>
      <c r="AG274" s="1825"/>
      <c r="AH274" s="1825"/>
      <c r="AI274" s="1825"/>
      <c r="AJ274" s="1825"/>
      <c r="AK274" s="1825"/>
      <c r="AL274" s="1825"/>
      <c r="AM274" s="1826"/>
      <c r="AN274" s="1058"/>
      <c r="AO274" s="1448"/>
      <c r="AP274" s="1058"/>
      <c r="AQ274" s="1058"/>
      <c r="AR274" s="1058"/>
      <c r="AS274" s="360"/>
      <c r="AT274" s="1058"/>
      <c r="AU274" s="1058"/>
      <c r="AV274" s="1058"/>
      <c r="AW274" s="1058"/>
      <c r="AX274" s="1058"/>
      <c r="AY274" s="1058"/>
      <c r="AZ274" s="1058"/>
      <c r="BA274" s="1058"/>
      <c r="BB274" s="1058"/>
      <c r="BC274" s="1058"/>
      <c r="BD274" s="1058"/>
      <c r="BE274" s="1058"/>
      <c r="BF274" s="1058"/>
      <c r="BG274" s="1058"/>
      <c r="BH274" s="1058"/>
      <c r="BI274" s="1058"/>
      <c r="BJ274" s="1058"/>
    </row>
    <row r="275" spans="1:62" ht="18" customHeight="1">
      <c r="B275" s="1811" t="s">
        <v>1475</v>
      </c>
      <c r="C275" s="1812"/>
      <c r="D275" s="1824" t="s">
        <v>870</v>
      </c>
      <c r="E275" s="1825"/>
      <c r="F275" s="1825"/>
      <c r="G275" s="1825"/>
      <c r="H275" s="1825"/>
      <c r="I275" s="1825"/>
      <c r="J275" s="923"/>
      <c r="K275" s="1738" t="s">
        <v>664</v>
      </c>
      <c r="L275" s="1739"/>
      <c r="M275" s="1824" t="s">
        <v>871</v>
      </c>
      <c r="N275" s="1825"/>
      <c r="O275" s="1825"/>
      <c r="P275" s="1825"/>
      <c r="Q275" s="1825"/>
      <c r="R275" s="1825"/>
      <c r="S275" s="1471"/>
      <c r="T275" s="1738" t="s">
        <v>711</v>
      </c>
      <c r="U275" s="1739"/>
      <c r="V275" s="1936" t="s">
        <v>872</v>
      </c>
      <c r="W275" s="1827"/>
      <c r="X275" s="1827"/>
      <c r="Y275" s="1827"/>
      <c r="Z275" s="1827"/>
      <c r="AA275" s="1827"/>
      <c r="AB275" s="1471"/>
      <c r="AC275" s="1738" t="s">
        <v>664</v>
      </c>
      <c r="AD275" s="1739"/>
      <c r="AE275" s="1827" t="s">
        <v>873</v>
      </c>
      <c r="AF275" s="1827"/>
      <c r="AG275" s="1827"/>
      <c r="AH275" s="1827"/>
      <c r="AI275" s="1827"/>
      <c r="AJ275" s="1827"/>
      <c r="AK275" s="1827"/>
      <c r="AL275" s="1827"/>
      <c r="AM275" s="1828"/>
      <c r="AN275" s="1058"/>
      <c r="AO275" s="1058"/>
      <c r="AP275" s="1058"/>
      <c r="AQ275" s="1058"/>
      <c r="AR275" s="1058"/>
      <c r="AS275" s="1058"/>
      <c r="AT275" s="1058"/>
      <c r="AU275" s="1058"/>
      <c r="AV275" s="1058"/>
      <c r="AW275" s="1058"/>
      <c r="AX275" s="1058"/>
      <c r="AY275" s="1058"/>
      <c r="AZ275" s="1058"/>
      <c r="BA275" s="1058"/>
      <c r="BB275" s="1058"/>
      <c r="BC275" s="1058"/>
      <c r="BD275" s="1058"/>
      <c r="BE275" s="1058"/>
      <c r="BF275" s="1058"/>
      <c r="BG275" s="1058"/>
      <c r="BH275" s="1058"/>
      <c r="BI275" s="1058"/>
      <c r="BJ275" s="1058"/>
    </row>
    <row r="276" spans="1:62" ht="18" customHeight="1">
      <c r="B276" s="2238" t="s">
        <v>874</v>
      </c>
      <c r="C276" s="2238"/>
      <c r="D276" s="2239"/>
      <c r="E276" s="2239"/>
      <c r="F276" s="2239"/>
      <c r="G276" s="2239"/>
      <c r="H276" s="2239"/>
      <c r="I276" s="2239"/>
      <c r="J276" s="2239"/>
      <c r="K276" s="2239"/>
      <c r="L276" s="2239"/>
      <c r="M276" s="2239"/>
      <c r="N276" s="2239"/>
      <c r="O276" s="2239"/>
      <c r="P276" s="2239"/>
      <c r="Q276" s="2239"/>
      <c r="R276" s="2239"/>
      <c r="S276" s="2240"/>
      <c r="T276" s="2239"/>
      <c r="U276" s="2239"/>
      <c r="V276" s="2240"/>
      <c r="W276" s="2240"/>
      <c r="X276" s="2240"/>
      <c r="Y276" s="2240"/>
      <c r="Z276" s="2240"/>
      <c r="AA276" s="2240"/>
      <c r="AB276" s="2240"/>
      <c r="AC276" s="2239"/>
      <c r="AD276" s="2239"/>
      <c r="AE276" s="2240"/>
      <c r="AF276" s="2240"/>
      <c r="AG276" s="2240"/>
      <c r="AH276" s="2240"/>
      <c r="AI276" s="2240"/>
      <c r="AJ276" s="2240"/>
      <c r="AK276" s="2240"/>
      <c r="AL276" s="2240"/>
      <c r="AM276" s="2240"/>
      <c r="AN276" s="1058"/>
      <c r="AO276" s="1058"/>
      <c r="AP276" s="1058"/>
      <c r="AQ276" s="1058"/>
      <c r="AR276" s="1058"/>
      <c r="AS276" s="1058"/>
      <c r="AT276" s="1058"/>
      <c r="AU276" s="1058"/>
      <c r="AV276" s="1058"/>
      <c r="AW276" s="1058"/>
      <c r="AX276" s="1058"/>
      <c r="AY276" s="1058"/>
      <c r="AZ276" s="1058"/>
      <c r="BA276" s="1058"/>
      <c r="BB276" s="1058"/>
      <c r="BC276" s="1058"/>
      <c r="BD276" s="1058"/>
      <c r="BE276" s="1058"/>
      <c r="BF276" s="1058"/>
      <c r="BG276" s="1058"/>
      <c r="BH276" s="1058"/>
      <c r="BI276" s="1058"/>
      <c r="BJ276" s="1058"/>
    </row>
    <row r="277" spans="1:62" ht="36" customHeight="1">
      <c r="B277" s="2009" t="s">
        <v>875</v>
      </c>
      <c r="C277" s="2083"/>
      <c r="D277" s="2081">
        <v>34</v>
      </c>
      <c r="E277" s="2082"/>
      <c r="F277" s="2082"/>
      <c r="G277" s="2082"/>
      <c r="H277" s="2082"/>
      <c r="I277" s="2082"/>
      <c r="J277" s="2082"/>
      <c r="K277" s="2082"/>
      <c r="L277" s="2082"/>
      <c r="M277" s="2082"/>
      <c r="N277" s="2082"/>
      <c r="O277" s="2082"/>
      <c r="P277" s="2082"/>
      <c r="Q277" s="2082"/>
      <c r="R277" s="2082"/>
      <c r="S277" s="2082"/>
      <c r="T277" s="2082"/>
      <c r="U277" s="2082"/>
      <c r="V277" s="2082"/>
      <c r="W277" s="2082"/>
      <c r="X277" s="2082"/>
      <c r="Y277" s="2082"/>
      <c r="Z277" s="2082"/>
      <c r="AA277" s="2082"/>
      <c r="AB277" s="2082"/>
      <c r="AC277" s="2082"/>
      <c r="AD277" s="2082"/>
      <c r="AE277" s="2082"/>
      <c r="AF277" s="2082"/>
      <c r="AG277" s="2082"/>
      <c r="AH277" s="2082"/>
      <c r="AI277" s="2082"/>
      <c r="AJ277" s="2082"/>
      <c r="AK277" s="2082"/>
      <c r="AL277" s="2082"/>
      <c r="AM277" s="2082"/>
      <c r="AN277" s="1058"/>
      <c r="AO277" s="1058"/>
      <c r="AP277" s="1058"/>
      <c r="AQ277" s="1058"/>
      <c r="AR277" s="1058"/>
      <c r="AS277" s="1058"/>
      <c r="AT277" s="1058"/>
      <c r="AU277" s="1058"/>
      <c r="AV277" s="1058"/>
      <c r="AW277" s="1058"/>
      <c r="AX277" s="1058"/>
      <c r="AY277" s="1058"/>
      <c r="AZ277" s="1058"/>
      <c r="BA277" s="1058"/>
      <c r="BB277" s="1058"/>
      <c r="BC277" s="1058"/>
      <c r="BD277" s="1058"/>
      <c r="BE277" s="1058"/>
      <c r="BF277" s="1058"/>
      <c r="BG277" s="1058"/>
      <c r="BH277" s="1058"/>
      <c r="BI277" s="1058"/>
      <c r="BJ277" s="1058"/>
    </row>
    <row r="278" spans="1:62" ht="36" customHeight="1">
      <c r="B278" s="2009" t="s">
        <v>876</v>
      </c>
      <c r="C278" s="2083"/>
      <c r="D278" s="2081">
        <v>45</v>
      </c>
      <c r="E278" s="2082"/>
      <c r="F278" s="2082"/>
      <c r="G278" s="2082"/>
      <c r="H278" s="2082"/>
      <c r="I278" s="2082"/>
      <c r="J278" s="2082"/>
      <c r="K278" s="2082"/>
      <c r="L278" s="2082"/>
      <c r="M278" s="2082"/>
      <c r="N278" s="2082"/>
      <c r="O278" s="2082"/>
      <c r="P278" s="2082"/>
      <c r="Q278" s="2082"/>
      <c r="R278" s="2082"/>
      <c r="S278" s="2082"/>
      <c r="T278" s="2082"/>
      <c r="U278" s="2082"/>
      <c r="V278" s="2082"/>
      <c r="W278" s="2082"/>
      <c r="X278" s="2082"/>
      <c r="Y278" s="2082"/>
      <c r="Z278" s="2082"/>
      <c r="AA278" s="2082"/>
      <c r="AB278" s="2082"/>
      <c r="AC278" s="2082"/>
      <c r="AD278" s="2082"/>
      <c r="AE278" s="2082"/>
      <c r="AF278" s="2082"/>
      <c r="AG278" s="2082"/>
      <c r="AH278" s="2082"/>
      <c r="AI278" s="2082"/>
      <c r="AJ278" s="2082"/>
      <c r="AK278" s="2082"/>
      <c r="AL278" s="2082"/>
      <c r="AM278" s="2082"/>
      <c r="AN278" s="1058"/>
      <c r="AO278" s="1058"/>
      <c r="AP278" s="1058"/>
      <c r="AQ278" s="1058"/>
      <c r="AR278" s="1058"/>
      <c r="AS278" s="1058"/>
      <c r="AT278" s="1058"/>
      <c r="AU278" s="1058"/>
      <c r="AV278" s="1058"/>
      <c r="AW278" s="1058"/>
      <c r="AX278" s="1058"/>
      <c r="AY278" s="1058"/>
      <c r="AZ278" s="1058"/>
      <c r="BA278" s="1058"/>
      <c r="BB278" s="1058"/>
      <c r="BC278" s="1058"/>
      <c r="BD278" s="1058"/>
      <c r="BE278" s="1058"/>
      <c r="BF278" s="1058"/>
      <c r="BG278" s="1058"/>
      <c r="BH278" s="1058"/>
      <c r="BI278" s="1058"/>
      <c r="BJ278" s="1058"/>
    </row>
    <row r="279" spans="1:62" ht="36" customHeight="1">
      <c r="B279" s="2009" t="s">
        <v>877</v>
      </c>
      <c r="C279" s="2083"/>
      <c r="D279" s="2081" t="s">
        <v>4173</v>
      </c>
      <c r="E279" s="2082"/>
      <c r="F279" s="2082"/>
      <c r="G279" s="2082"/>
      <c r="H279" s="2082"/>
      <c r="I279" s="2082"/>
      <c r="J279" s="2082"/>
      <c r="K279" s="2082"/>
      <c r="L279" s="2082"/>
      <c r="M279" s="2082"/>
      <c r="N279" s="2082"/>
      <c r="O279" s="2082"/>
      <c r="P279" s="2082"/>
      <c r="Q279" s="2082"/>
      <c r="R279" s="2082"/>
      <c r="S279" s="2082"/>
      <c r="T279" s="2082"/>
      <c r="U279" s="2082"/>
      <c r="V279" s="2082"/>
      <c r="W279" s="2082"/>
      <c r="X279" s="2082"/>
      <c r="Y279" s="2082"/>
      <c r="Z279" s="2082"/>
      <c r="AA279" s="2082"/>
      <c r="AB279" s="2082"/>
      <c r="AC279" s="2082"/>
      <c r="AD279" s="2082"/>
      <c r="AE279" s="2082"/>
      <c r="AF279" s="2082"/>
      <c r="AG279" s="2082"/>
      <c r="AH279" s="2082"/>
      <c r="AI279" s="2082"/>
      <c r="AJ279" s="2082"/>
      <c r="AK279" s="2082"/>
      <c r="AL279" s="2082"/>
      <c r="AM279" s="2082"/>
      <c r="AN279" s="1058"/>
      <c r="AO279" s="1058"/>
      <c r="AP279" s="1058"/>
      <c r="AQ279" s="1058"/>
      <c r="AR279" s="1058"/>
      <c r="AS279" s="1058"/>
      <c r="AT279" s="1058"/>
      <c r="AU279" s="1058"/>
      <c r="AV279" s="1058"/>
      <c r="AW279" s="1058"/>
      <c r="AX279" s="1058"/>
      <c r="AY279" s="1058"/>
      <c r="AZ279" s="1058"/>
      <c r="BA279" s="1058"/>
      <c r="BB279" s="1058"/>
      <c r="BC279" s="1058"/>
      <c r="BD279" s="1058"/>
      <c r="BE279" s="1058"/>
      <c r="BF279" s="1058"/>
      <c r="BG279" s="1058"/>
      <c r="BH279" s="1058"/>
      <c r="BI279" s="1058"/>
      <c r="BJ279" s="1058"/>
    </row>
    <row r="280" spans="1:62" ht="36" customHeight="1">
      <c r="B280" s="2009" t="s">
        <v>878</v>
      </c>
      <c r="C280" s="2083"/>
      <c r="D280" s="2081" t="s">
        <v>4174</v>
      </c>
      <c r="E280" s="2082"/>
      <c r="F280" s="2082"/>
      <c r="G280" s="2082"/>
      <c r="H280" s="2082"/>
      <c r="I280" s="2082"/>
      <c r="J280" s="2082"/>
      <c r="K280" s="2082"/>
      <c r="L280" s="2082"/>
      <c r="M280" s="2082"/>
      <c r="N280" s="2082"/>
      <c r="O280" s="2082"/>
      <c r="P280" s="2082"/>
      <c r="Q280" s="2082"/>
      <c r="R280" s="2082"/>
      <c r="S280" s="2082"/>
      <c r="T280" s="2082"/>
      <c r="U280" s="2082"/>
      <c r="V280" s="2082"/>
      <c r="W280" s="2082"/>
      <c r="X280" s="2082"/>
      <c r="Y280" s="2082"/>
      <c r="Z280" s="2082"/>
      <c r="AA280" s="2082"/>
      <c r="AB280" s="2082"/>
      <c r="AC280" s="2082"/>
      <c r="AD280" s="2082"/>
      <c r="AE280" s="2082"/>
      <c r="AF280" s="2082"/>
      <c r="AG280" s="2082"/>
      <c r="AH280" s="2082"/>
      <c r="AI280" s="2082"/>
      <c r="AJ280" s="2082"/>
      <c r="AK280" s="2082"/>
      <c r="AL280" s="2082"/>
      <c r="AM280" s="2082"/>
      <c r="AN280" s="1058"/>
      <c r="AO280" s="1058"/>
      <c r="AP280" s="1058"/>
      <c r="AQ280" s="1058"/>
      <c r="AR280" s="1058"/>
      <c r="AS280" s="1058"/>
      <c r="AT280" s="1058"/>
      <c r="AU280" s="1058"/>
      <c r="AV280" s="1058"/>
      <c r="AW280" s="1058"/>
      <c r="AX280" s="1058"/>
      <c r="AY280" s="1058"/>
      <c r="AZ280" s="1058"/>
      <c r="BA280" s="1058"/>
      <c r="BB280" s="1058"/>
      <c r="BC280" s="1058"/>
      <c r="BD280" s="1058"/>
      <c r="BE280" s="1058"/>
      <c r="BF280" s="1058"/>
      <c r="BG280" s="1058"/>
      <c r="BH280" s="1058"/>
      <c r="BI280" s="1058"/>
      <c r="BJ280" s="1058"/>
    </row>
    <row r="281" spans="1:62" s="303" customFormat="1" ht="36" customHeight="1">
      <c r="A281" s="662"/>
      <c r="B281" s="2173" t="s">
        <v>879</v>
      </c>
      <c r="C281" s="2173"/>
      <c r="D281" s="2233"/>
      <c r="E281" s="2233"/>
      <c r="F281" s="2086" t="s">
        <v>4175</v>
      </c>
      <c r="G281" s="2086"/>
      <c r="H281" s="2086"/>
      <c r="I281" s="2086"/>
      <c r="J281" s="2086"/>
      <c r="K281" s="2086"/>
      <c r="L281" s="2086"/>
      <c r="M281" s="2086"/>
      <c r="N281" s="2086"/>
      <c r="O281" s="2086"/>
      <c r="P281" s="2086"/>
      <c r="Q281" s="2086"/>
      <c r="R281" s="2086"/>
      <c r="S281" s="2086"/>
      <c r="T281" s="2086"/>
      <c r="U281" s="2086"/>
      <c r="V281" s="2086"/>
      <c r="W281" s="2086"/>
      <c r="X281" s="2086"/>
      <c r="Y281" s="2086"/>
      <c r="Z281" s="2086"/>
      <c r="AA281" s="2086"/>
      <c r="AB281" s="2086"/>
      <c r="AC281" s="2086"/>
      <c r="AD281" s="2086"/>
      <c r="AE281" s="2086"/>
      <c r="AF281" s="2086"/>
      <c r="AG281" s="2086"/>
      <c r="AH281" s="2086"/>
      <c r="AI281" s="2086"/>
      <c r="AJ281" s="2086"/>
      <c r="AK281" s="2086"/>
      <c r="AL281" s="2086"/>
      <c r="AM281" s="2086"/>
    </row>
    <row r="282" spans="1:62" ht="18" customHeight="1">
      <c r="B282" s="1461"/>
      <c r="C282" s="925"/>
      <c r="D282" s="925"/>
      <c r="E282" s="925"/>
      <c r="F282" s="925"/>
      <c r="G282" s="925"/>
      <c r="H282" s="925"/>
      <c r="I282" s="925"/>
      <c r="J282" s="925"/>
      <c r="K282" s="925"/>
      <c r="L282" s="925"/>
      <c r="M282" s="925"/>
      <c r="N282" s="925"/>
      <c r="O282" s="925"/>
      <c r="P282" s="925"/>
      <c r="Q282" s="925"/>
      <c r="R282" s="925"/>
      <c r="S282" s="925"/>
      <c r="T282" s="925"/>
      <c r="U282" s="925"/>
      <c r="V282" s="925"/>
      <c r="W282" s="925"/>
      <c r="X282" s="925"/>
      <c r="Y282" s="925"/>
      <c r="Z282" s="925"/>
      <c r="AA282" s="925"/>
      <c r="AB282" s="925"/>
      <c r="AC282" s="925"/>
      <c r="AD282" s="925"/>
      <c r="AE282" s="925"/>
      <c r="AF282" s="925"/>
      <c r="AG282" s="925"/>
      <c r="AH282" s="925"/>
      <c r="AI282" s="925"/>
      <c r="AJ282" s="925"/>
      <c r="AK282" s="925"/>
      <c r="AL282" s="925"/>
      <c r="AM282" s="925"/>
      <c r="AN282" s="1058"/>
      <c r="AO282" s="1448"/>
      <c r="AP282" s="1058"/>
      <c r="AQ282" s="1058"/>
      <c r="AR282" s="1058"/>
      <c r="AS282" s="1058"/>
      <c r="AT282" s="1058"/>
      <c r="AU282" s="1058"/>
      <c r="AV282" s="1058"/>
      <c r="AW282" s="1058"/>
      <c r="AX282" s="1058"/>
      <c r="AY282" s="1058"/>
      <c r="AZ282" s="1058"/>
      <c r="BA282" s="1058"/>
      <c r="BB282" s="1058"/>
      <c r="BC282" s="1058"/>
      <c r="BD282" s="1058"/>
      <c r="BE282" s="1058"/>
      <c r="BF282" s="1058"/>
      <c r="BG282" s="1058"/>
      <c r="BH282" s="1058"/>
      <c r="BI282" s="1058"/>
      <c r="BJ282" s="1058"/>
    </row>
    <row r="283" spans="1:62" ht="18" customHeight="1">
      <c r="B283" s="2209" t="s">
        <v>880</v>
      </c>
      <c r="C283" s="2209"/>
      <c r="D283" s="2209"/>
      <c r="E283" s="2209"/>
      <c r="F283" s="2209"/>
      <c r="G283" s="2209"/>
      <c r="H283" s="2209"/>
      <c r="I283" s="2209"/>
      <c r="J283" s="2209"/>
      <c r="K283" s="2209"/>
      <c r="L283" s="2209"/>
      <c r="M283" s="2209"/>
      <c r="N283" s="2209"/>
      <c r="O283" s="2209"/>
      <c r="P283" s="2209"/>
      <c r="Q283" s="2209"/>
      <c r="R283" s="2209"/>
      <c r="S283" s="2209"/>
      <c r="T283" s="2209"/>
      <c r="U283" s="2209"/>
      <c r="V283" s="2209"/>
      <c r="W283" s="2209"/>
      <c r="X283" s="2209"/>
      <c r="Y283" s="2030" t="s">
        <v>881</v>
      </c>
      <c r="Z283" s="2030"/>
      <c r="AA283" s="2030" t="s">
        <v>882</v>
      </c>
      <c r="AB283" s="2030"/>
      <c r="AC283" s="2030"/>
      <c r="AD283" s="2030" t="s">
        <v>883</v>
      </c>
      <c r="AE283" s="2030"/>
      <c r="AF283" s="2030"/>
      <c r="AG283" s="2030" t="s">
        <v>884</v>
      </c>
      <c r="AH283" s="2030"/>
      <c r="AI283" s="2030"/>
      <c r="AJ283" s="2030" t="s">
        <v>885</v>
      </c>
      <c r="AK283" s="2030"/>
      <c r="AL283" s="2030"/>
      <c r="AM283" s="2030"/>
      <c r="AN283" s="1058"/>
      <c r="AO283" s="1448"/>
      <c r="AP283" s="1058"/>
      <c r="AQ283" s="1058"/>
      <c r="AR283" s="1058"/>
      <c r="AS283" s="360"/>
      <c r="AT283" s="1058"/>
      <c r="AU283" s="1058"/>
      <c r="AV283" s="1058"/>
      <c r="AW283" s="1058"/>
      <c r="AX283" s="1058"/>
      <c r="AY283" s="1058"/>
      <c r="AZ283" s="1058"/>
      <c r="BA283" s="1058"/>
      <c r="BB283" s="1058"/>
      <c r="BC283" s="1058"/>
      <c r="BD283" s="1058"/>
      <c r="BE283" s="1058"/>
      <c r="BF283" s="1058"/>
      <c r="BG283" s="1058"/>
      <c r="BH283" s="1058"/>
      <c r="BI283" s="1058"/>
      <c r="BJ283" s="1058"/>
    </row>
    <row r="284" spans="1:62" ht="18" customHeight="1">
      <c r="B284" s="926" t="s">
        <v>856</v>
      </c>
      <c r="C284" s="926"/>
      <c r="D284" s="926"/>
      <c r="E284" s="1945" t="s">
        <v>886</v>
      </c>
      <c r="F284" s="1945"/>
      <c r="G284" s="1945"/>
      <c r="H284" s="1995" t="s">
        <v>887</v>
      </c>
      <c r="I284" s="1995"/>
      <c r="J284" s="1945" t="s">
        <v>888</v>
      </c>
      <c r="K284" s="1945"/>
      <c r="L284" s="1945"/>
      <c r="M284" s="1995" t="s">
        <v>889</v>
      </c>
      <c r="N284" s="1995"/>
      <c r="O284" s="1995"/>
      <c r="P284" s="1995" t="s">
        <v>890</v>
      </c>
      <c r="Q284" s="1995"/>
      <c r="R284" s="1995"/>
      <c r="S284" s="1995" t="s">
        <v>891</v>
      </c>
      <c r="T284" s="1995"/>
      <c r="U284" s="1995"/>
      <c r="V284" s="1995" t="s">
        <v>892</v>
      </c>
      <c r="W284" s="1995"/>
      <c r="X284" s="1995"/>
      <c r="Y284" s="2085"/>
      <c r="Z284" s="2085"/>
      <c r="AA284" s="2085"/>
      <c r="AB284" s="2085"/>
      <c r="AC284" s="2085"/>
      <c r="AD284" s="2085"/>
      <c r="AE284" s="2085"/>
      <c r="AF284" s="2085"/>
      <c r="AG284" s="2085"/>
      <c r="AH284" s="2085"/>
      <c r="AI284" s="2085"/>
      <c r="AJ284" s="2085"/>
      <c r="AK284" s="2085"/>
      <c r="AL284" s="2085"/>
      <c r="AM284" s="2085"/>
      <c r="AN284" s="1058"/>
      <c r="AO284" s="1473"/>
      <c r="AP284" s="1456"/>
      <c r="AQ284" s="1456"/>
      <c r="AR284" s="1456"/>
      <c r="AS284" s="1456"/>
      <c r="AT284" s="1456"/>
      <c r="AU284" s="1456"/>
      <c r="AV284" s="1456"/>
      <c r="AW284" s="1456"/>
      <c r="AX284" s="1456"/>
      <c r="AY284" s="1456"/>
      <c r="AZ284" s="1456"/>
      <c r="BA284" s="1456"/>
      <c r="BB284" s="1456"/>
      <c r="BC284" s="1456"/>
      <c r="BD284" s="1456"/>
      <c r="BE284" s="1456"/>
      <c r="BF284" s="1456"/>
      <c r="BG284" s="1456"/>
      <c r="BH284" s="1456"/>
      <c r="BI284" s="1456"/>
      <c r="BJ284" s="1456"/>
    </row>
    <row r="285" spans="1:62" s="974" customFormat="1" ht="18" customHeight="1">
      <c r="A285" s="452"/>
      <c r="B285" s="1924" t="s">
        <v>893</v>
      </c>
      <c r="C285" s="1924"/>
      <c r="D285" s="1924"/>
      <c r="E285" s="1737">
        <v>24</v>
      </c>
      <c r="F285" s="1737"/>
      <c r="G285" s="1737"/>
      <c r="H285" s="1808">
        <v>12</v>
      </c>
      <c r="I285" s="1997"/>
      <c r="J285" s="1737">
        <v>24</v>
      </c>
      <c r="K285" s="1737"/>
      <c r="L285" s="1737"/>
      <c r="M285" s="1807">
        <v>2</v>
      </c>
      <c r="N285" s="1808"/>
      <c r="O285" s="1997"/>
      <c r="P285" s="1737">
        <v>24</v>
      </c>
      <c r="Q285" s="1737"/>
      <c r="R285" s="1737"/>
      <c r="S285" s="1807">
        <v>23</v>
      </c>
      <c r="T285" s="1808"/>
      <c r="U285" s="1808"/>
      <c r="V285" s="1737">
        <v>24</v>
      </c>
      <c r="W285" s="1737"/>
      <c r="X285" s="1737"/>
      <c r="Y285" s="2207">
        <f>$H$285+$J$285+$M$285+$P$285+$S$285+$V$285</f>
        <v>109</v>
      </c>
      <c r="Z285" s="2208"/>
      <c r="AA285" s="2206">
        <f>SUM(($H$285*1)+($J$285*1)+($M$285*2)+($P$285*3)+($S$285*4)+($V$285*5))</f>
        <v>324</v>
      </c>
      <c r="AB285" s="2207"/>
      <c r="AC285" s="2208"/>
      <c r="AD285" s="1807">
        <v>3</v>
      </c>
      <c r="AE285" s="1808"/>
      <c r="AF285" s="1997"/>
      <c r="AG285" s="1807">
        <v>3</v>
      </c>
      <c r="AH285" s="1808"/>
      <c r="AI285" s="1808"/>
      <c r="AJ285" s="1956">
        <v>1</v>
      </c>
      <c r="AK285" s="1956"/>
      <c r="AL285" s="1956"/>
      <c r="AM285" s="1956"/>
      <c r="AN285" s="444"/>
      <c r="AO285" s="1448"/>
      <c r="AP285" s="1058"/>
      <c r="AQ285" s="1058"/>
      <c r="AR285" s="1058"/>
      <c r="AS285" s="1058"/>
      <c r="AT285" s="1058"/>
      <c r="AU285" s="1058"/>
      <c r="AV285" s="1058"/>
      <c r="AW285" s="1058"/>
      <c r="AX285" s="1058"/>
      <c r="AY285" s="1058"/>
      <c r="AZ285" s="1058"/>
      <c r="BA285" s="1058"/>
      <c r="BB285" s="1058"/>
      <c r="BC285" s="1058"/>
      <c r="BD285" s="1058"/>
      <c r="BE285" s="1058"/>
      <c r="BF285" s="1058"/>
      <c r="BG285" s="1058"/>
      <c r="BH285" s="1058"/>
      <c r="BI285" s="1058"/>
      <c r="BJ285" s="1058"/>
    </row>
    <row r="286" spans="1:62" ht="18" customHeight="1">
      <c r="B286" s="1924" t="s">
        <v>894</v>
      </c>
      <c r="C286" s="1924"/>
      <c r="D286" s="1924"/>
      <c r="E286" s="1737">
        <v>25</v>
      </c>
      <c r="F286" s="1737"/>
      <c r="G286" s="1737"/>
      <c r="H286" s="1950">
        <v>1</v>
      </c>
      <c r="I286" s="1737"/>
      <c r="J286" s="1737">
        <v>25</v>
      </c>
      <c r="K286" s="1737"/>
      <c r="L286" s="1737"/>
      <c r="M286" s="1737">
        <v>23</v>
      </c>
      <c r="N286" s="1737"/>
      <c r="O286" s="1737"/>
      <c r="P286" s="1737">
        <v>25</v>
      </c>
      <c r="Q286" s="1737"/>
      <c r="R286" s="1737"/>
      <c r="S286" s="1737">
        <v>1</v>
      </c>
      <c r="T286" s="1737"/>
      <c r="U286" s="1949"/>
      <c r="V286" s="1737">
        <v>25</v>
      </c>
      <c r="W286" s="1737"/>
      <c r="X286" s="1737"/>
      <c r="Y286" s="1996">
        <f>$H$286+$J$286+$M$286+$P$286+$S$286+$V$286</f>
        <v>100</v>
      </c>
      <c r="Z286" s="1996"/>
      <c r="AA286" s="1996">
        <f>SUM(($H$286*1)+($J$286*1)+($M$286*2)+($P$286*3)+($S$286*4)+($V$286*5))</f>
        <v>276</v>
      </c>
      <c r="AB286" s="1996"/>
      <c r="AC286" s="1996"/>
      <c r="AD286" s="1737">
        <v>6</v>
      </c>
      <c r="AE286" s="1737"/>
      <c r="AF286" s="1737"/>
      <c r="AG286" s="1737">
        <v>5</v>
      </c>
      <c r="AH286" s="1737"/>
      <c r="AI286" s="1737"/>
      <c r="AJ286" s="1737">
        <v>3</v>
      </c>
      <c r="AK286" s="1737"/>
      <c r="AL286" s="1737"/>
      <c r="AM286" s="1737"/>
      <c r="AN286" s="444"/>
      <c r="AO286" s="1448"/>
      <c r="AP286" s="1058"/>
      <c r="AQ286" s="1058"/>
      <c r="AR286" s="1058"/>
      <c r="AS286" s="1058"/>
      <c r="AT286" s="1058"/>
      <c r="AU286" s="1058"/>
      <c r="AV286" s="1058"/>
      <c r="AW286" s="1058"/>
      <c r="AX286" s="1058"/>
      <c r="AY286" s="1058"/>
      <c r="AZ286" s="1058"/>
      <c r="BA286" s="1058"/>
      <c r="BB286" s="1058"/>
      <c r="BC286" s="1058"/>
      <c r="BD286" s="1058"/>
      <c r="BE286" s="1058"/>
      <c r="BF286" s="1058"/>
      <c r="BG286" s="1058"/>
      <c r="BH286" s="1058"/>
      <c r="BI286" s="1058"/>
      <c r="BJ286" s="1058"/>
    </row>
    <row r="287" spans="1:62" s="1713" customFormat="1" ht="18" customHeight="1"/>
    <row r="288" spans="1:62" ht="18" customHeight="1">
      <c r="B288" s="2384" t="s">
        <v>895</v>
      </c>
      <c r="C288" s="2384"/>
      <c r="D288" s="2384"/>
      <c r="E288" s="2384"/>
      <c r="F288" s="2384"/>
      <c r="G288" s="2384"/>
      <c r="H288" s="2384"/>
      <c r="I288" s="1944" t="s">
        <v>896</v>
      </c>
      <c r="J288" s="1944"/>
      <c r="K288" s="1944"/>
      <c r="L288" s="1944"/>
      <c r="M288" s="1944"/>
      <c r="N288" s="1944"/>
      <c r="O288" s="1944" t="s">
        <v>721</v>
      </c>
      <c r="P288" s="1944"/>
      <c r="Q288" s="1944"/>
      <c r="R288" s="1944"/>
      <c r="S288" s="1944"/>
      <c r="T288" s="1944"/>
      <c r="U288" s="1924"/>
      <c r="V288" s="1924" t="s">
        <v>897</v>
      </c>
      <c r="W288" s="1924"/>
      <c r="X288" s="1924"/>
      <c r="Y288" s="1945" t="s">
        <v>898</v>
      </c>
      <c r="Z288" s="1945"/>
      <c r="AA288" s="1945" t="s">
        <v>899</v>
      </c>
      <c r="AB288" s="1945"/>
      <c r="AC288" s="1945"/>
      <c r="AD288" s="1945" t="s">
        <v>900</v>
      </c>
      <c r="AE288" s="1945"/>
      <c r="AF288" s="1945"/>
      <c r="AG288" s="1945"/>
      <c r="AH288" s="1945" t="s">
        <v>901</v>
      </c>
      <c r="AI288" s="1945"/>
      <c r="AJ288" s="1945"/>
      <c r="AK288" s="1945" t="s">
        <v>902</v>
      </c>
      <c r="AL288" s="1945"/>
      <c r="AM288" s="1945"/>
      <c r="AN288" s="1058"/>
      <c r="AO288" s="1448"/>
      <c r="AP288" s="1058"/>
      <c r="AQ288" s="1058"/>
      <c r="AR288" s="1058"/>
      <c r="AS288" s="1058"/>
      <c r="AT288" s="1058"/>
      <c r="AU288" s="1058"/>
      <c r="AV288" s="1058"/>
      <c r="AW288" s="1058"/>
      <c r="AX288" s="1058"/>
      <c r="AY288" s="1058"/>
      <c r="AZ288" s="1058"/>
      <c r="BA288" s="1058"/>
      <c r="BB288" s="1058"/>
      <c r="BC288" s="1058"/>
      <c r="BD288" s="1058"/>
      <c r="BE288" s="1058"/>
      <c r="BF288" s="1058"/>
      <c r="BG288" s="1058"/>
      <c r="BH288" s="1058"/>
      <c r="BI288" s="1058"/>
      <c r="BJ288" s="1058"/>
    </row>
    <row r="289" spans="1:40" ht="18" customHeight="1">
      <c r="B289" s="2384"/>
      <c r="C289" s="2384"/>
      <c r="D289" s="2384"/>
      <c r="E289" s="2384"/>
      <c r="F289" s="2384"/>
      <c r="G289" s="2384"/>
      <c r="H289" s="2384"/>
      <c r="I289" s="2036" t="s">
        <v>903</v>
      </c>
      <c r="J289" s="2019"/>
      <c r="K289" s="1945" t="s">
        <v>904</v>
      </c>
      <c r="L289" s="1945"/>
      <c r="M289" s="1945" t="s">
        <v>905</v>
      </c>
      <c r="N289" s="1945"/>
      <c r="O289" s="2213" t="s">
        <v>903</v>
      </c>
      <c r="P289" s="1945"/>
      <c r="Q289" s="1945" t="s">
        <v>904</v>
      </c>
      <c r="R289" s="1945"/>
      <c r="S289" s="1945" t="s">
        <v>905</v>
      </c>
      <c r="T289" s="1948"/>
      <c r="U289" s="1924"/>
      <c r="V289" s="1951" t="s">
        <v>906</v>
      </c>
      <c r="W289" s="1951"/>
      <c r="X289" s="1952"/>
      <c r="Y289" s="1955">
        <v>23</v>
      </c>
      <c r="Z289" s="1956"/>
      <c r="AA289" s="1956" t="s">
        <v>3249</v>
      </c>
      <c r="AB289" s="1956"/>
      <c r="AC289" s="1954"/>
      <c r="AD289" s="2211">
        <v>21</v>
      </c>
      <c r="AE289" s="1972"/>
      <c r="AF289" s="1972"/>
      <c r="AG289" s="2212"/>
      <c r="AH289" s="2152">
        <f>SUMIF('Unit Mix'!$B$10:$B$59,0,'Unit Mix'!$D$10:$D$59)</f>
        <v>1</v>
      </c>
      <c r="AI289" s="2153"/>
      <c r="AJ289" s="2153"/>
      <c r="AK289" s="2153">
        <f>SUMIF('Unit Mix'!$B$10:$B$59,0,'Unit Mix'!$Z$10:$Z$59)+SUMIFS('Unit Mix'!$D$10:$D$59,'Unit Mix'!$C$10:$C$59,"Manager",'Unit Mix'!$B$10:$B$59,0)</f>
        <v>1</v>
      </c>
      <c r="AL289" s="2153"/>
      <c r="AM289" s="2153"/>
      <c r="AN289" s="1058"/>
    </row>
    <row r="290" spans="1:40" ht="18" customHeight="1">
      <c r="B290" s="1953" t="s">
        <v>907</v>
      </c>
      <c r="C290" s="1953"/>
      <c r="D290" s="1953"/>
      <c r="E290" s="1953"/>
      <c r="F290" s="1953"/>
      <c r="G290" s="1953"/>
      <c r="H290" s="1953"/>
      <c r="I290" s="1737">
        <v>12</v>
      </c>
      <c r="J290" s="1737"/>
      <c r="K290" s="1737">
        <v>13</v>
      </c>
      <c r="L290" s="1737"/>
      <c r="M290" s="1737">
        <v>14</v>
      </c>
      <c r="N290" s="1737"/>
      <c r="O290" s="1737">
        <v>15</v>
      </c>
      <c r="P290" s="1737"/>
      <c r="Q290" s="1737">
        <v>16</v>
      </c>
      <c r="R290" s="1737"/>
      <c r="S290" s="1737">
        <v>17</v>
      </c>
      <c r="T290" s="1737"/>
      <c r="U290" s="2009"/>
      <c r="V290" s="1951" t="s">
        <v>908</v>
      </c>
      <c r="W290" s="1951"/>
      <c r="X290" s="1952"/>
      <c r="Y290" s="1955">
        <v>24</v>
      </c>
      <c r="Z290" s="1956"/>
      <c r="AA290" s="1956" t="s">
        <v>3249</v>
      </c>
      <c r="AB290" s="1956"/>
      <c r="AC290" s="1954"/>
      <c r="AD290" s="2211">
        <v>22</v>
      </c>
      <c r="AE290" s="1972"/>
      <c r="AF290" s="1972"/>
      <c r="AG290" s="2212"/>
      <c r="AH290" s="2010">
        <f>SUMIF('Unit Mix'!$B$10:$B$59,1,'Unit Mix'!$D$10:$D$59)</f>
        <v>0</v>
      </c>
      <c r="AI290" s="1925"/>
      <c r="AJ290" s="1925"/>
      <c r="AK290" s="1925">
        <f>SUMIF('Unit Mix'!$B$10:$B$59,1,'Unit Mix'!$Z$10:$Z$59)+SUMIFS('Unit Mix'!$D$10:$D$59,'Unit Mix'!$C$10:$C$59,"Manager",'Unit Mix'!$B$10:$B$59,1)</f>
        <v>0</v>
      </c>
      <c r="AL290" s="1925"/>
      <c r="AM290" s="1925"/>
      <c r="AN290" s="1058"/>
    </row>
    <row r="291" spans="1:40" ht="18" customHeight="1">
      <c r="B291" s="1953" t="s">
        <v>909</v>
      </c>
      <c r="C291" s="1953"/>
      <c r="D291" s="1953"/>
      <c r="E291" s="1953"/>
      <c r="F291" s="1953"/>
      <c r="G291" s="1953"/>
      <c r="H291" s="1953"/>
      <c r="I291" s="1737">
        <v>12</v>
      </c>
      <c r="J291" s="1737"/>
      <c r="K291" s="1737">
        <v>13</v>
      </c>
      <c r="L291" s="1737"/>
      <c r="M291" s="1737">
        <v>14</v>
      </c>
      <c r="N291" s="1737"/>
      <c r="O291" s="1737">
        <v>15</v>
      </c>
      <c r="P291" s="1737"/>
      <c r="Q291" s="1737">
        <v>16</v>
      </c>
      <c r="R291" s="1737"/>
      <c r="S291" s="1737">
        <v>17</v>
      </c>
      <c r="T291" s="1737"/>
      <c r="U291" s="2009"/>
      <c r="V291" s="1951" t="s">
        <v>910</v>
      </c>
      <c r="W291" s="1951"/>
      <c r="X291" s="1952"/>
      <c r="Y291" s="1955">
        <v>25</v>
      </c>
      <c r="Z291" s="1956"/>
      <c r="AA291" s="1956" t="s">
        <v>3249</v>
      </c>
      <c r="AB291" s="1956"/>
      <c r="AC291" s="1954"/>
      <c r="AD291" s="2211">
        <v>23</v>
      </c>
      <c r="AE291" s="1972"/>
      <c r="AF291" s="1972"/>
      <c r="AG291" s="2212"/>
      <c r="AH291" s="2010">
        <f>SUMIF('Unit Mix'!$B$10:$B$59,2,'Unit Mix'!$D$10:$D$59)</f>
        <v>22</v>
      </c>
      <c r="AI291" s="1925"/>
      <c r="AJ291" s="1925"/>
      <c r="AK291" s="1925">
        <f>SUMIF('Unit Mix'!$B$10:$B$59,2,'Unit Mix'!$Z$10:$Z$59)+SUMIFS('Unit Mix'!$D$10:$D$59,'Unit Mix'!$C$10:$C$59,"Manager",'Unit Mix'!$B$10:$B$59,2)</f>
        <v>0</v>
      </c>
      <c r="AL291" s="1925"/>
      <c r="AM291" s="1925"/>
      <c r="AN291" s="1058"/>
    </row>
    <row r="292" spans="1:40" ht="18" customHeight="1">
      <c r="B292" s="1953" t="s">
        <v>911</v>
      </c>
      <c r="C292" s="1953"/>
      <c r="D292" s="1953"/>
      <c r="E292" s="1953"/>
      <c r="F292" s="1953"/>
      <c r="G292" s="1953"/>
      <c r="H292" s="1953"/>
      <c r="I292" s="1737">
        <v>12</v>
      </c>
      <c r="J292" s="1737"/>
      <c r="K292" s="1737">
        <v>13</v>
      </c>
      <c r="L292" s="1737"/>
      <c r="M292" s="1737">
        <v>14</v>
      </c>
      <c r="N292" s="1737"/>
      <c r="O292" s="1737">
        <v>15</v>
      </c>
      <c r="P292" s="1737"/>
      <c r="Q292" s="1737">
        <v>16</v>
      </c>
      <c r="R292" s="1737"/>
      <c r="S292" s="1737">
        <v>17</v>
      </c>
      <c r="T292" s="1737"/>
      <c r="U292" s="2009"/>
      <c r="V292" s="1951" t="s">
        <v>912</v>
      </c>
      <c r="W292" s="1951"/>
      <c r="X292" s="1952"/>
      <c r="Y292" s="1955">
        <v>26</v>
      </c>
      <c r="Z292" s="1956"/>
      <c r="AA292" s="1956" t="s">
        <v>3249</v>
      </c>
      <c r="AB292" s="1956"/>
      <c r="AC292" s="1954"/>
      <c r="AD292" s="2211">
        <v>24</v>
      </c>
      <c r="AE292" s="1972"/>
      <c r="AF292" s="1972"/>
      <c r="AG292" s="2212"/>
      <c r="AH292" s="2010">
        <f>SUMIF('Unit Mix'!$B$10:$B$59,3,'Unit Mix'!$D$10:$D$59)</f>
        <v>12</v>
      </c>
      <c r="AI292" s="1925"/>
      <c r="AJ292" s="1925"/>
      <c r="AK292" s="1925">
        <f>SUMIF('Unit Mix'!$B$10:$B$59,3,'Unit Mix'!$Z$10:$Z$59)+SUMIFS('Unit Mix'!$D$10:$D$59,'Unit Mix'!$C$10:$C$59,"Manager",'Unit Mix'!$B$10:$B$59,3)</f>
        <v>0</v>
      </c>
      <c r="AL292" s="1925"/>
      <c r="AM292" s="1925"/>
      <c r="AN292" s="1459"/>
    </row>
    <row r="293" spans="1:40" ht="18" customHeight="1">
      <c r="B293" s="1953" t="s">
        <v>913</v>
      </c>
      <c r="C293" s="1953"/>
      <c r="D293" s="1953"/>
      <c r="E293" s="1953"/>
      <c r="F293" s="1953"/>
      <c r="G293" s="1953"/>
      <c r="H293" s="1953"/>
      <c r="I293" s="1737">
        <v>12</v>
      </c>
      <c r="J293" s="1737"/>
      <c r="K293" s="1737">
        <v>13</v>
      </c>
      <c r="L293" s="1737"/>
      <c r="M293" s="1737">
        <v>14</v>
      </c>
      <c r="N293" s="1737"/>
      <c r="O293" s="1737">
        <v>15</v>
      </c>
      <c r="P293" s="1737"/>
      <c r="Q293" s="1737">
        <v>16</v>
      </c>
      <c r="R293" s="1737"/>
      <c r="S293" s="1737">
        <v>17</v>
      </c>
      <c r="T293" s="1737"/>
      <c r="U293" s="2009"/>
      <c r="V293" s="1951" t="s">
        <v>914</v>
      </c>
      <c r="W293" s="1951"/>
      <c r="X293" s="1952"/>
      <c r="Y293" s="1955">
        <v>27</v>
      </c>
      <c r="Z293" s="1956"/>
      <c r="AA293" s="1737" t="s">
        <v>4172</v>
      </c>
      <c r="AB293" s="1737"/>
      <c r="AC293" s="1949"/>
      <c r="AD293" s="2211">
        <v>25</v>
      </c>
      <c r="AE293" s="1972"/>
      <c r="AF293" s="1972"/>
      <c r="AG293" s="2212"/>
      <c r="AH293" s="2010">
        <f>SUMIF('Unit Mix'!$B$10:$B$59,4,'Unit Mix'!$D$10:$D$59)</f>
        <v>27</v>
      </c>
      <c r="AI293" s="1925"/>
      <c r="AJ293" s="1925"/>
      <c r="AK293" s="1925">
        <f>SUMIF('Unit Mix'!$B$10:$B$59,4,'Unit Mix'!$Z$10:$Z$59)+SUMIFS('Unit Mix'!$D$10:$D$59,'Unit Mix'!$C$10:$C$59,"Manager",'Unit Mix'!$B$10:$B$59,4)</f>
        <v>0</v>
      </c>
      <c r="AL293" s="1925"/>
      <c r="AM293" s="1925"/>
      <c r="AN293" s="1058"/>
    </row>
    <row r="294" spans="1:40" ht="18" customHeight="1">
      <c r="B294" s="1953" t="s">
        <v>915</v>
      </c>
      <c r="C294" s="1953"/>
      <c r="D294" s="1953"/>
      <c r="E294" s="1953"/>
      <c r="F294" s="1953"/>
      <c r="G294" s="1953"/>
      <c r="H294" s="1953"/>
      <c r="I294" s="1737">
        <v>12</v>
      </c>
      <c r="J294" s="1737"/>
      <c r="K294" s="1737">
        <v>13</v>
      </c>
      <c r="L294" s="1737"/>
      <c r="M294" s="1737">
        <v>14</v>
      </c>
      <c r="N294" s="1737"/>
      <c r="O294" s="1737">
        <v>15</v>
      </c>
      <c r="P294" s="1737"/>
      <c r="Q294" s="1737">
        <v>16</v>
      </c>
      <c r="R294" s="1737"/>
      <c r="S294" s="1737">
        <v>17</v>
      </c>
      <c r="T294" s="1737"/>
      <c r="U294" s="2009"/>
      <c r="V294" s="1951" t="s">
        <v>916</v>
      </c>
      <c r="W294" s="1951"/>
      <c r="X294" s="1952"/>
      <c r="Y294" s="1955">
        <v>28</v>
      </c>
      <c r="Z294" s="1956"/>
      <c r="AA294" s="1737" t="s">
        <v>4172</v>
      </c>
      <c r="AB294" s="1737"/>
      <c r="AC294" s="1949"/>
      <c r="AD294" s="2211">
        <v>26</v>
      </c>
      <c r="AE294" s="1972"/>
      <c r="AF294" s="1972"/>
      <c r="AG294" s="2212"/>
      <c r="AH294" s="2010">
        <f>SUMIF('Unit Mix'!$B$10:$B$59,5,'Unit Mix'!$D$10:$D$59)</f>
        <v>14</v>
      </c>
      <c r="AI294" s="1925"/>
      <c r="AJ294" s="1925"/>
      <c r="AK294" s="1925">
        <f>SUMIF('Unit Mix'!$B$10:$B$59,5,'Unit Mix'!$Z$10:$Z$59)+SUMIFS('Unit Mix'!$D$10:$D$59,'Unit Mix'!$C$10:$C$59,"Manager",'Unit Mix'!$B$10:$B$59,5)</f>
        <v>0</v>
      </c>
      <c r="AL294" s="1925"/>
      <c r="AM294" s="1925"/>
      <c r="AN294" s="1058"/>
    </row>
    <row r="295" spans="1:40" ht="18" customHeight="1">
      <c r="B295" s="1953" t="s">
        <v>917</v>
      </c>
      <c r="C295" s="1953"/>
      <c r="D295" s="1953"/>
      <c r="E295" s="1953"/>
      <c r="F295" s="1953"/>
      <c r="G295" s="1953"/>
      <c r="H295" s="1953"/>
      <c r="I295" s="1737">
        <v>12</v>
      </c>
      <c r="J295" s="1737"/>
      <c r="K295" s="1737">
        <v>13</v>
      </c>
      <c r="L295" s="1737"/>
      <c r="M295" s="1737">
        <v>14</v>
      </c>
      <c r="N295" s="1737"/>
      <c r="O295" s="1737">
        <v>15</v>
      </c>
      <c r="P295" s="1737"/>
      <c r="Q295" s="1737">
        <v>16</v>
      </c>
      <c r="R295" s="1737"/>
      <c r="S295" s="1737">
        <v>17</v>
      </c>
      <c r="T295" s="1737"/>
      <c r="U295" s="2009"/>
      <c r="V295" s="1951" t="s">
        <v>918</v>
      </c>
      <c r="W295" s="1951"/>
      <c r="X295" s="1952"/>
      <c r="Y295" s="1955">
        <v>29</v>
      </c>
      <c r="Z295" s="1956"/>
      <c r="AA295" s="1737" t="s">
        <v>4172</v>
      </c>
      <c r="AB295" s="1737"/>
      <c r="AC295" s="1949"/>
      <c r="AD295" s="2211">
        <v>27</v>
      </c>
      <c r="AE295" s="1972"/>
      <c r="AF295" s="1972"/>
      <c r="AG295" s="2212"/>
      <c r="AH295" s="2010">
        <f>SUMIF('Unit Mix'!$B$10:$B$59,6,'Unit Mix'!$D$10:$D$59)</f>
        <v>0</v>
      </c>
      <c r="AI295" s="1925"/>
      <c r="AJ295" s="1925"/>
      <c r="AK295" s="1925">
        <f>SUMIF('Unit Mix'!$B$10:$B$59,6,'Unit Mix'!$Z$10:$Z$59)+SUMIFS('Unit Mix'!$D$10:$D$59,'Unit Mix'!$C$10:$C$59,"Manager",'Unit Mix'!$B$10:$B$59,6)</f>
        <v>0</v>
      </c>
      <c r="AL295" s="1925"/>
      <c r="AM295" s="1925"/>
      <c r="AN295" s="1058"/>
    </row>
    <row r="296" spans="1:40" ht="18" customHeight="1">
      <c r="B296" s="1953" t="s">
        <v>919</v>
      </c>
      <c r="C296" s="1953"/>
      <c r="D296" s="1953"/>
      <c r="E296" s="1953"/>
      <c r="F296" s="1953"/>
      <c r="G296" s="1953"/>
      <c r="H296" s="1953"/>
      <c r="I296" s="2075"/>
      <c r="J296" s="2075"/>
      <c r="K296" s="1949">
        <v>446</v>
      </c>
      <c r="L296" s="1950"/>
      <c r="M296" s="1949">
        <v>36</v>
      </c>
      <c r="N296" s="1950"/>
      <c r="O296" s="2075"/>
      <c r="P296" s="2075"/>
      <c r="Q296" s="1737">
        <v>46</v>
      </c>
      <c r="R296" s="1737"/>
      <c r="S296" s="1737">
        <v>46</v>
      </c>
      <c r="T296" s="1737"/>
      <c r="U296" s="2009"/>
      <c r="V296" s="1951" t="s">
        <v>920</v>
      </c>
      <c r="W296" s="1951"/>
      <c r="X296" s="1952"/>
      <c r="Y296" s="1955">
        <v>30</v>
      </c>
      <c r="Z296" s="1956"/>
      <c r="AA296" s="1737" t="s">
        <v>4172</v>
      </c>
      <c r="AB296" s="1737"/>
      <c r="AC296" s="1949"/>
      <c r="AD296" s="2211">
        <v>28</v>
      </c>
      <c r="AE296" s="1972"/>
      <c r="AF296" s="1972"/>
      <c r="AG296" s="2212"/>
      <c r="AH296" s="2010">
        <f>SUMIF('Unit Mix'!$B$10:$B$59,7,'Unit Mix'!$D$10:$D$59)</f>
        <v>0</v>
      </c>
      <c r="AI296" s="1925"/>
      <c r="AJ296" s="1925"/>
      <c r="AK296" s="1925">
        <f>SUMIF('Unit Mix'!$B$10:$B$59,7,'Unit Mix'!$Z$10:$Z$59)+SUMIFS('Unit Mix'!$D$10:$D$59,'Unit Mix'!$C$10:$C$59,"Manager",'Unit Mix'!$B$10:$B$59,7)</f>
        <v>0</v>
      </c>
      <c r="AL296" s="1925"/>
      <c r="AM296" s="1925"/>
      <c r="AN296" s="1058"/>
    </row>
    <row r="297" spans="1:40" ht="18" customHeight="1">
      <c r="B297" s="2076" t="s">
        <v>921</v>
      </c>
      <c r="C297" s="2076"/>
      <c r="D297" s="2076"/>
      <c r="E297" s="2076"/>
      <c r="F297" s="2076"/>
      <c r="G297" s="2076"/>
      <c r="H297" s="2076"/>
      <c r="I297" s="1982">
        <f>SUM($I$290:$J$295)</f>
        <v>72</v>
      </c>
      <c r="J297" s="1982"/>
      <c r="K297" s="1982"/>
      <c r="L297" s="1982"/>
      <c r="M297" s="1982">
        <f>SUM($M$290:$N$296)</f>
        <v>120</v>
      </c>
      <c r="N297" s="1982"/>
      <c r="O297" s="1982">
        <f>SUM($O$290:$P$295)</f>
        <v>90</v>
      </c>
      <c r="P297" s="1982"/>
      <c r="Q297" s="1982"/>
      <c r="R297" s="1982"/>
      <c r="S297" s="1982">
        <f>SUM($S$290:$T$296)</f>
        <v>148</v>
      </c>
      <c r="T297" s="1982"/>
      <c r="U297" s="1924"/>
      <c r="V297" s="1951" t="s">
        <v>922</v>
      </c>
      <c r="W297" s="1951"/>
      <c r="X297" s="1952"/>
      <c r="Y297" s="1955">
        <v>31</v>
      </c>
      <c r="Z297" s="1956"/>
      <c r="AA297" s="1737" t="s">
        <v>4172</v>
      </c>
      <c r="AB297" s="1737"/>
      <c r="AC297" s="1949"/>
      <c r="AD297" s="2211">
        <v>29</v>
      </c>
      <c r="AE297" s="1972"/>
      <c r="AF297" s="1972"/>
      <c r="AG297" s="2212"/>
      <c r="AH297" s="2010">
        <f>SUMIF('Unit Mix'!$B$10:$B$59,8,'Unit Mix'!$D$10:$D$59)</f>
        <v>0</v>
      </c>
      <c r="AI297" s="1925"/>
      <c r="AJ297" s="1925"/>
      <c r="AK297" s="1925">
        <f>SUMIF('Unit Mix'!$B$10:$B$59,8,'Unit Mix'!$Z$10:$Z$59)+SUMIFS('Unit Mix'!$D$10:$D$59,'Unit Mix'!$C$10:$C$59,"Manager",'Unit Mix'!$B$10:$B$59,8)</f>
        <v>0</v>
      </c>
      <c r="AL297" s="1925"/>
      <c r="AM297" s="1925"/>
      <c r="AN297" s="1058"/>
    </row>
    <row r="298" spans="1:40" ht="18" customHeight="1">
      <c r="B298" s="2194"/>
      <c r="C298" s="2194"/>
      <c r="D298" s="2194"/>
      <c r="E298" s="2194"/>
      <c r="F298" s="2194"/>
      <c r="G298" s="2194"/>
      <c r="H298" s="2194"/>
      <c r="I298" s="2194"/>
      <c r="J298" s="2194"/>
      <c r="K298" s="2194"/>
      <c r="L298" s="2194"/>
      <c r="M298" s="2194"/>
      <c r="N298" s="2194"/>
      <c r="O298" s="2194"/>
      <c r="P298" s="2194"/>
      <c r="Q298" s="2194"/>
      <c r="R298" s="2194"/>
      <c r="S298" s="2194"/>
      <c r="T298" s="2194"/>
      <c r="U298" s="1924"/>
      <c r="V298" s="1951" t="s">
        <v>923</v>
      </c>
      <c r="W298" s="1951"/>
      <c r="X298" s="1952"/>
      <c r="Y298" s="1955">
        <v>32</v>
      </c>
      <c r="Z298" s="1956"/>
      <c r="AA298" s="1737" t="s">
        <v>4172</v>
      </c>
      <c r="AB298" s="1737"/>
      <c r="AC298" s="1949"/>
      <c r="AD298" s="2211">
        <v>30</v>
      </c>
      <c r="AE298" s="1972"/>
      <c r="AF298" s="1972"/>
      <c r="AG298" s="2212"/>
      <c r="AH298" s="2191">
        <f>SUMIF('Unit Mix'!$B$10:$B$59,9,'Unit Mix'!$D$10:$D$59)</f>
        <v>0</v>
      </c>
      <c r="AI298" s="2192"/>
      <c r="AJ298" s="2192"/>
      <c r="AK298" s="2192">
        <f>SUMIF('Unit Mix'!$B$10:$B$59,9,'Unit Mix'!$Z$10:$Z$59)+SUMIFS('Unit Mix'!$D$10:$D$59,'Unit Mix'!$C$10:$C$59,"Manager",'Unit Mix'!$B$10:$B$59,9)</f>
        <v>0</v>
      </c>
      <c r="AL298" s="2192"/>
      <c r="AM298" s="2192"/>
      <c r="AN298" s="1058"/>
    </row>
    <row r="299" spans="1:40" ht="18" customHeight="1">
      <c r="B299" s="2194"/>
      <c r="C299" s="2194"/>
      <c r="D299" s="2194"/>
      <c r="E299" s="2194"/>
      <c r="F299" s="2194"/>
      <c r="G299" s="2194"/>
      <c r="H299" s="2194"/>
      <c r="I299" s="2194"/>
      <c r="J299" s="2194"/>
      <c r="K299" s="2194"/>
      <c r="L299" s="2194"/>
      <c r="M299" s="2194"/>
      <c r="N299" s="2194"/>
      <c r="O299" s="2194"/>
      <c r="P299" s="2194"/>
      <c r="Q299" s="2194"/>
      <c r="R299" s="2194"/>
      <c r="S299" s="2194"/>
      <c r="T299" s="2194"/>
      <c r="U299" s="1924"/>
      <c r="V299" s="1953" t="s">
        <v>924</v>
      </c>
      <c r="W299" s="1953"/>
      <c r="X299" s="1953"/>
      <c r="Y299" s="1959"/>
      <c r="Z299" s="1959"/>
      <c r="AA299" s="1959"/>
      <c r="AB299" s="1959"/>
      <c r="AC299" s="1959"/>
      <c r="AD299" s="1953"/>
      <c r="AE299" s="1953"/>
      <c r="AF299" s="1953"/>
      <c r="AG299" s="1953"/>
      <c r="AH299" s="1926">
        <f>SUM($AH$289:$AJ$298)</f>
        <v>76</v>
      </c>
      <c r="AI299" s="1926"/>
      <c r="AJ299" s="1926"/>
      <c r="AK299" s="1926">
        <f>SUM($AK$289:$AM$298)</f>
        <v>1</v>
      </c>
      <c r="AL299" s="1926"/>
      <c r="AM299" s="1926"/>
      <c r="AN299" s="1058"/>
    </row>
    <row r="300" spans="1:40" ht="18" customHeight="1">
      <c r="B300" s="2196" t="s">
        <v>851</v>
      </c>
      <c r="C300" s="2196"/>
      <c r="D300" s="2196"/>
      <c r="E300" s="2196"/>
      <c r="F300" s="2196"/>
      <c r="G300" s="2196"/>
      <c r="H300" s="2196"/>
      <c r="I300" s="2196"/>
      <c r="J300" s="2196"/>
      <c r="K300" s="2196"/>
      <c r="L300" s="2196"/>
      <c r="M300" s="2196"/>
      <c r="N300" s="2196"/>
      <c r="O300" s="2196"/>
      <c r="P300" s="2196"/>
      <c r="Q300" s="2196"/>
      <c r="R300" s="2196"/>
      <c r="S300" s="2196"/>
      <c r="T300" s="2196"/>
      <c r="U300" s="2196"/>
      <c r="V300" s="2196"/>
      <c r="W300" s="2196"/>
      <c r="X300" s="2196"/>
      <c r="Y300" s="2196"/>
      <c r="Z300" s="2196"/>
      <c r="AA300" s="2196"/>
      <c r="AB300" s="2196"/>
      <c r="AC300" s="2196"/>
      <c r="AD300" s="2196"/>
      <c r="AE300" s="2196"/>
      <c r="AF300" s="2196"/>
      <c r="AG300" s="2196"/>
      <c r="AH300" s="2196"/>
      <c r="AI300" s="2196"/>
      <c r="AJ300" s="2196"/>
      <c r="AK300" s="2196"/>
      <c r="AL300" s="2196"/>
      <c r="AM300" s="2196"/>
      <c r="AN300" s="1058"/>
    </row>
    <row r="301" spans="1:40" ht="36" customHeight="1">
      <c r="B301" s="1852" t="s">
        <v>4171</v>
      </c>
      <c r="C301" s="1852"/>
      <c r="D301" s="1852"/>
      <c r="E301" s="1852"/>
      <c r="F301" s="1852"/>
      <c r="G301" s="1852"/>
      <c r="H301" s="1852"/>
      <c r="I301" s="1852"/>
      <c r="J301" s="1852"/>
      <c r="K301" s="1852"/>
      <c r="L301" s="1852"/>
      <c r="M301" s="1852"/>
      <c r="N301" s="1852"/>
      <c r="O301" s="1852"/>
      <c r="P301" s="1852"/>
      <c r="Q301" s="1852"/>
      <c r="R301" s="1852"/>
      <c r="S301" s="1852"/>
      <c r="T301" s="1852"/>
      <c r="U301" s="1852"/>
      <c r="V301" s="1852"/>
      <c r="W301" s="1852"/>
      <c r="X301" s="1852"/>
      <c r="Y301" s="1852"/>
      <c r="Z301" s="1852"/>
      <c r="AA301" s="1852"/>
      <c r="AB301" s="1852"/>
      <c r="AC301" s="1852"/>
      <c r="AD301" s="1852"/>
      <c r="AE301" s="1852"/>
      <c r="AF301" s="1852"/>
      <c r="AG301" s="1852"/>
      <c r="AH301" s="1852"/>
      <c r="AI301" s="1852"/>
      <c r="AJ301" s="1852"/>
      <c r="AK301" s="1852"/>
      <c r="AL301" s="1852"/>
      <c r="AM301" s="1852"/>
      <c r="AN301" s="1058"/>
    </row>
    <row r="302" spans="1:40" ht="18" customHeight="1">
      <c r="A302" s="463"/>
      <c r="B302" s="2030"/>
      <c r="C302" s="2030"/>
      <c r="D302" s="2030"/>
      <c r="E302" s="2030"/>
      <c r="F302" s="2030"/>
      <c r="G302" s="2030"/>
      <c r="H302" s="2030"/>
      <c r="I302" s="2030"/>
      <c r="J302" s="2030"/>
      <c r="K302" s="2030"/>
      <c r="L302" s="2030"/>
      <c r="M302" s="2030"/>
      <c r="N302" s="2030"/>
      <c r="O302" s="2030"/>
      <c r="P302" s="2030"/>
      <c r="Q302" s="2030"/>
      <c r="R302" s="2030"/>
      <c r="S302" s="2030"/>
      <c r="T302" s="2030"/>
      <c r="U302" s="2030"/>
      <c r="V302" s="2030"/>
      <c r="W302" s="2030"/>
      <c r="X302" s="2030"/>
      <c r="Y302" s="2030"/>
      <c r="Z302" s="2030"/>
      <c r="AA302" s="2030"/>
      <c r="AB302" s="2030"/>
      <c r="AC302" s="2030"/>
      <c r="AD302" s="2030"/>
      <c r="AE302" s="2030"/>
      <c r="AF302" s="2030"/>
      <c r="AG302" s="2030"/>
      <c r="AH302" s="2030"/>
      <c r="AI302" s="2030"/>
      <c r="AJ302" s="2030"/>
      <c r="AK302" s="2030"/>
      <c r="AL302" s="2030"/>
      <c r="AM302" s="2030"/>
      <c r="AN302" s="1058"/>
    </row>
    <row r="303" spans="1:40" ht="18" customHeight="1">
      <c r="B303" s="2018" t="s">
        <v>925</v>
      </c>
      <c r="C303" s="2018"/>
      <c r="D303" s="2018"/>
      <c r="E303" s="2018"/>
      <c r="F303" s="2018"/>
      <c r="G303" s="2018"/>
      <c r="H303" s="2018"/>
      <c r="I303" s="2018"/>
      <c r="J303" s="2018"/>
      <c r="K303" s="2018"/>
      <c r="L303" s="2018"/>
      <c r="M303" s="2018"/>
      <c r="N303" s="2018"/>
      <c r="O303" s="2018"/>
      <c r="P303" s="2018"/>
      <c r="Q303" s="2018"/>
      <c r="R303" s="2018"/>
      <c r="S303" s="2018"/>
      <c r="T303" s="2018"/>
      <c r="U303" s="2018"/>
      <c r="V303" s="2018"/>
      <c r="W303" s="2018"/>
      <c r="X303" s="2018"/>
      <c r="Y303" s="2018"/>
      <c r="Z303" s="2018"/>
      <c r="AA303" s="2018"/>
      <c r="AB303" s="2018"/>
      <c r="AC303" s="2018"/>
      <c r="AD303" s="2018"/>
      <c r="AE303" s="2018"/>
      <c r="AF303" s="2018"/>
      <c r="AG303" s="2018"/>
      <c r="AH303" s="2018"/>
      <c r="AI303" s="2018"/>
      <c r="AJ303" s="2018"/>
      <c r="AK303" s="2018"/>
      <c r="AL303" s="2018"/>
      <c r="AM303" s="2018"/>
      <c r="AN303" s="1058"/>
    </row>
    <row r="304" spans="1:40" s="701" customFormat="1" ht="18" customHeight="1">
      <c r="A304" s="661"/>
      <c r="B304" s="2003" t="s">
        <v>926</v>
      </c>
      <c r="C304" s="2004"/>
      <c r="D304" s="2004"/>
      <c r="E304" s="2004"/>
      <c r="F304" s="2004"/>
      <c r="G304" s="2004"/>
      <c r="H304" s="2004"/>
      <c r="I304" s="2004"/>
      <c r="J304" s="2004"/>
      <c r="K304" s="2004"/>
      <c r="L304" s="2004"/>
      <c r="M304" s="2004"/>
      <c r="N304" s="2004"/>
      <c r="O304" s="2004"/>
      <c r="P304" s="2004"/>
      <c r="Q304" s="2004"/>
      <c r="R304" s="2004"/>
      <c r="S304" s="2004"/>
      <c r="T304" s="2004"/>
      <c r="U304" s="2004"/>
      <c r="V304" s="2004"/>
      <c r="W304" s="2004"/>
      <c r="X304" s="2004"/>
      <c r="Y304" s="2004"/>
      <c r="Z304" s="2004"/>
      <c r="AA304" s="2004"/>
      <c r="AB304" s="2004"/>
      <c r="AC304" s="2004"/>
      <c r="AD304" s="2004"/>
      <c r="AE304" s="2004"/>
      <c r="AF304" s="2004"/>
      <c r="AG304" s="2004"/>
      <c r="AH304" s="2004"/>
      <c r="AI304" s="2004"/>
      <c r="AJ304" s="2004"/>
      <c r="AK304" s="2004"/>
      <c r="AL304" s="2004"/>
      <c r="AM304" s="2005"/>
    </row>
    <row r="305" spans="1:41" s="701" customFormat="1" ht="18" customHeight="1">
      <c r="A305" s="661"/>
      <c r="B305" s="1738" t="s">
        <v>664</v>
      </c>
      <c r="C305" s="1739"/>
      <c r="D305" s="1987" t="s">
        <v>927</v>
      </c>
      <c r="E305" s="1988"/>
      <c r="F305" s="1988"/>
      <c r="G305" s="1988"/>
      <c r="H305" s="1988"/>
      <c r="I305" s="1946"/>
      <c r="J305" s="1738" t="s">
        <v>711</v>
      </c>
      <c r="K305" s="1739"/>
      <c r="L305" s="1987" t="s">
        <v>928</v>
      </c>
      <c r="M305" s="1988"/>
      <c r="N305" s="1988"/>
      <c r="O305" s="1988"/>
      <c r="P305" s="1988"/>
      <c r="Q305" s="1946"/>
      <c r="R305" s="1738" t="s">
        <v>664</v>
      </c>
      <c r="S305" s="1739"/>
      <c r="T305" s="1987" t="s">
        <v>929</v>
      </c>
      <c r="U305" s="1988"/>
      <c r="V305" s="1988"/>
      <c r="W305" s="1988"/>
      <c r="X305" s="1988"/>
      <c r="Y305" s="1946"/>
      <c r="Z305" s="1738" t="s">
        <v>711</v>
      </c>
      <c r="AA305" s="1739"/>
      <c r="AB305" s="1987" t="s">
        <v>930</v>
      </c>
      <c r="AC305" s="1988"/>
      <c r="AD305" s="1988"/>
      <c r="AE305" s="1988"/>
      <c r="AF305" s="1988"/>
      <c r="AG305" s="1946"/>
      <c r="AH305" s="1738" t="s">
        <v>664</v>
      </c>
      <c r="AI305" s="1739"/>
      <c r="AJ305" s="1987" t="s">
        <v>931</v>
      </c>
      <c r="AK305" s="1988"/>
      <c r="AL305" s="1988"/>
      <c r="AM305" s="2087"/>
      <c r="AN305" s="1023"/>
    </row>
    <row r="306" spans="1:41" s="701" customFormat="1" ht="18" customHeight="1">
      <c r="A306" s="661"/>
      <c r="B306" s="1738" t="s">
        <v>664</v>
      </c>
      <c r="C306" s="1739"/>
      <c r="D306" s="1987" t="s">
        <v>932</v>
      </c>
      <c r="E306" s="1988"/>
      <c r="F306" s="1988"/>
      <c r="G306" s="1988"/>
      <c r="H306" s="1988"/>
      <c r="I306" s="1946"/>
      <c r="J306" s="1738" t="s">
        <v>711</v>
      </c>
      <c r="K306" s="1739"/>
      <c r="L306" s="1987" t="s">
        <v>933</v>
      </c>
      <c r="M306" s="1988"/>
      <c r="N306" s="1988"/>
      <c r="O306" s="1988"/>
      <c r="P306" s="1988"/>
      <c r="Q306" s="1946"/>
      <c r="R306" s="1738" t="s">
        <v>664</v>
      </c>
      <c r="S306" s="1739"/>
      <c r="T306" s="1987" t="s">
        <v>934</v>
      </c>
      <c r="U306" s="1988"/>
      <c r="V306" s="1988"/>
      <c r="W306" s="1988"/>
      <c r="X306" s="1988"/>
      <c r="Y306" s="1946"/>
      <c r="Z306" s="1738" t="s">
        <v>711</v>
      </c>
      <c r="AA306" s="1739"/>
      <c r="AB306" s="1987" t="s">
        <v>935</v>
      </c>
      <c r="AC306" s="1988"/>
      <c r="AD306" s="1988"/>
      <c r="AE306" s="1988"/>
      <c r="AF306" s="1988"/>
      <c r="AG306" s="1946"/>
      <c r="AH306" s="1738" t="s">
        <v>664</v>
      </c>
      <c r="AI306" s="1739"/>
      <c r="AJ306" s="1987" t="s">
        <v>936</v>
      </c>
      <c r="AK306" s="1988"/>
      <c r="AL306" s="1988"/>
      <c r="AM306" s="2087"/>
      <c r="AN306" s="1023"/>
      <c r="AO306" s="1023"/>
    </row>
    <row r="307" spans="1:41" s="701" customFormat="1" ht="18" customHeight="1">
      <c r="A307" s="661"/>
      <c r="B307" s="1738" t="s">
        <v>664</v>
      </c>
      <c r="C307" s="1739"/>
      <c r="D307" s="1987" t="s">
        <v>937</v>
      </c>
      <c r="E307" s="1988"/>
      <c r="F307" s="1988"/>
      <c r="G307" s="1988"/>
      <c r="H307" s="1988"/>
      <c r="I307" s="1946"/>
      <c r="J307" s="1738" t="s">
        <v>711</v>
      </c>
      <c r="K307" s="1739"/>
      <c r="L307" s="1987" t="s">
        <v>938</v>
      </c>
      <c r="M307" s="1988"/>
      <c r="N307" s="1988"/>
      <c r="O307" s="1988"/>
      <c r="P307" s="1988"/>
      <c r="Q307" s="1946"/>
      <c r="R307" s="1738" t="s">
        <v>664</v>
      </c>
      <c r="S307" s="1739"/>
      <c r="T307" s="1987" t="s">
        <v>939</v>
      </c>
      <c r="U307" s="1988"/>
      <c r="V307" s="1988"/>
      <c r="W307" s="1988"/>
      <c r="X307" s="1988"/>
      <c r="Y307" s="1946"/>
      <c r="Z307" s="1738" t="s">
        <v>711</v>
      </c>
      <c r="AA307" s="1739"/>
      <c r="AB307" s="1987" t="s">
        <v>940</v>
      </c>
      <c r="AC307" s="1988"/>
      <c r="AD307" s="1988"/>
      <c r="AE307" s="1988"/>
      <c r="AF307" s="1988"/>
      <c r="AG307" s="1946"/>
      <c r="AH307" s="1738" t="s">
        <v>664</v>
      </c>
      <c r="AI307" s="1739"/>
      <c r="AJ307" s="1957" t="s">
        <v>941</v>
      </c>
      <c r="AK307" s="1958"/>
      <c r="AL307" s="1958"/>
      <c r="AM307" s="2084"/>
      <c r="AN307" s="1023"/>
      <c r="AO307" s="1023"/>
    </row>
    <row r="308" spans="1:41" s="701" customFormat="1" ht="18" customHeight="1">
      <c r="A308" s="661"/>
      <c r="B308" s="1738" t="s">
        <v>664</v>
      </c>
      <c r="C308" s="1739"/>
      <c r="D308" s="1987" t="s">
        <v>942</v>
      </c>
      <c r="E308" s="1988"/>
      <c r="F308" s="1988"/>
      <c r="G308" s="1988"/>
      <c r="H308" s="1988"/>
      <c r="I308" s="1946"/>
      <c r="J308" s="1738" t="s">
        <v>711</v>
      </c>
      <c r="K308" s="1739"/>
      <c r="L308" s="1987" t="s">
        <v>943</v>
      </c>
      <c r="M308" s="1988"/>
      <c r="N308" s="1988"/>
      <c r="O308" s="1988"/>
      <c r="P308" s="1988"/>
      <c r="Q308" s="1946"/>
      <c r="R308" s="1738" t="s">
        <v>664</v>
      </c>
      <c r="S308" s="1739"/>
      <c r="T308" s="2069" t="s">
        <v>944</v>
      </c>
      <c r="U308" s="2069"/>
      <c r="V308" s="2069"/>
      <c r="W308" s="2069"/>
      <c r="X308" s="2069"/>
      <c r="Y308" s="1946"/>
      <c r="Z308" s="1738" t="s">
        <v>711</v>
      </c>
      <c r="AA308" s="1739"/>
      <c r="AB308" s="2069" t="s">
        <v>944</v>
      </c>
      <c r="AC308" s="2069"/>
      <c r="AD308" s="2069"/>
      <c r="AE308" s="2069"/>
      <c r="AF308" s="2069"/>
      <c r="AG308" s="1946"/>
      <c r="AH308" s="1738" t="s">
        <v>664</v>
      </c>
      <c r="AI308" s="1739"/>
      <c r="AJ308" s="2141" t="s">
        <v>944</v>
      </c>
      <c r="AK308" s="2141"/>
      <c r="AL308" s="2141"/>
      <c r="AM308" s="2141"/>
      <c r="AN308" s="703"/>
      <c r="AO308" s="703"/>
    </row>
    <row r="309" spans="1:41" s="703" customFormat="1" ht="18" customHeight="1">
      <c r="A309" s="947"/>
      <c r="B309" s="855"/>
      <c r="AM309" s="856"/>
    </row>
    <row r="310" spans="1:41" s="701" customFormat="1" ht="18" customHeight="1">
      <c r="A310" s="661"/>
      <c r="B310" s="2360" t="s">
        <v>945</v>
      </c>
      <c r="C310" s="1800"/>
      <c r="D310" s="1800"/>
      <c r="E310" s="1800"/>
      <c r="F310" s="1800"/>
      <c r="G310" s="1800"/>
      <c r="H310" s="1800"/>
      <c r="I310" s="1800"/>
      <c r="J310" s="1800"/>
      <c r="K310" s="1800"/>
      <c r="L310" s="1800"/>
      <c r="M310" s="1800"/>
      <c r="N310" s="1800"/>
      <c r="O310" s="1800"/>
      <c r="P310" s="1800"/>
      <c r="Q310" s="1800"/>
      <c r="R310" s="1800"/>
      <c r="S310" s="1800"/>
      <c r="T310" s="1800"/>
      <c r="U310" s="1800"/>
      <c r="V310" s="1800"/>
      <c r="W310" s="1800"/>
      <c r="X310" s="1800"/>
      <c r="Y310" s="1800"/>
      <c r="Z310" s="1800"/>
      <c r="AA310" s="1800"/>
      <c r="AB310" s="1800"/>
      <c r="AC310" s="1800"/>
      <c r="AD310" s="1800"/>
      <c r="AE310" s="1800"/>
      <c r="AF310" s="1800"/>
      <c r="AG310" s="1800"/>
      <c r="AH310" s="1800"/>
      <c r="AI310" s="1800"/>
      <c r="AJ310" s="1800"/>
      <c r="AK310" s="1800"/>
      <c r="AL310" s="1800"/>
      <c r="AM310" s="2361"/>
    </row>
    <row r="311" spans="1:41" s="701" customFormat="1" ht="18" customHeight="1">
      <c r="A311" s="661"/>
      <c r="B311" s="1738" t="s">
        <v>664</v>
      </c>
      <c r="C311" s="1739"/>
      <c r="D311" s="2195" t="s">
        <v>946</v>
      </c>
      <c r="E311" s="1982"/>
      <c r="F311" s="1982"/>
      <c r="G311" s="1984"/>
      <c r="H311" s="2070">
        <v>12</v>
      </c>
      <c r="I311" s="1738"/>
      <c r="J311" s="703"/>
      <c r="K311" s="1738" t="s">
        <v>664</v>
      </c>
      <c r="L311" s="1739"/>
      <c r="M311" s="2195" t="s">
        <v>947</v>
      </c>
      <c r="N311" s="1982"/>
      <c r="O311" s="1982"/>
      <c r="P311" s="1984"/>
      <c r="Q311" s="1738">
        <v>1</v>
      </c>
      <c r="R311" s="1738"/>
      <c r="S311" s="703"/>
      <c r="T311" s="1738" t="s">
        <v>664</v>
      </c>
      <c r="U311" s="1739"/>
      <c r="V311" s="2195" t="s">
        <v>948</v>
      </c>
      <c r="W311" s="1982"/>
      <c r="X311" s="1982"/>
      <c r="Y311" s="1984"/>
      <c r="Z311" s="1738">
        <v>2</v>
      </c>
      <c r="AA311" s="1738"/>
      <c r="AB311" s="703"/>
      <c r="AC311" s="1738" t="s">
        <v>664</v>
      </c>
      <c r="AD311" s="1739"/>
      <c r="AE311" s="2195" t="s">
        <v>949</v>
      </c>
      <c r="AF311" s="1982"/>
      <c r="AG311" s="1982"/>
      <c r="AH311" s="1984"/>
      <c r="AI311" s="1738">
        <v>23</v>
      </c>
      <c r="AJ311" s="1738"/>
      <c r="AK311" s="2142"/>
      <c r="AL311" s="1946"/>
      <c r="AM311" s="2143"/>
      <c r="AN311" s="703"/>
    </row>
    <row r="312" spans="1:41" s="703" customFormat="1" ht="18" customHeight="1">
      <c r="A312" s="947"/>
      <c r="B312" s="855"/>
      <c r="AM312" s="856"/>
    </row>
    <row r="313" spans="1:41" s="701" customFormat="1" ht="18" customHeight="1">
      <c r="A313" s="661"/>
      <c r="B313" s="2422" t="s">
        <v>950</v>
      </c>
      <c r="C313" s="2423"/>
      <c r="D313" s="2423"/>
      <c r="E313" s="2423"/>
      <c r="F313" s="2423"/>
      <c r="G313" s="2423"/>
      <c r="H313" s="2423"/>
      <c r="I313" s="2423"/>
      <c r="J313" s="2423"/>
      <c r="K313" s="2423"/>
      <c r="L313" s="2384"/>
      <c r="M313" s="2384"/>
      <c r="N313" s="2384"/>
      <c r="O313" s="2384"/>
      <c r="P313" s="2384"/>
      <c r="Q313" s="2384"/>
      <c r="R313" s="2384"/>
      <c r="S313" s="2384"/>
      <c r="T313" s="2384"/>
      <c r="U313" s="2384"/>
      <c r="V313" s="2384"/>
      <c r="W313" s="2384"/>
      <c r="X313" s="2384"/>
      <c r="Y313" s="2384"/>
      <c r="Z313" s="2384"/>
      <c r="AA313" s="2384"/>
      <c r="AB313" s="2384"/>
      <c r="AC313" s="2384"/>
      <c r="AD313" s="2384"/>
      <c r="AE313" s="2384"/>
      <c r="AF313" s="2384"/>
      <c r="AG313" s="2384"/>
      <c r="AH313" s="2384"/>
      <c r="AI313" s="2384"/>
      <c r="AJ313" s="2384"/>
      <c r="AK313" s="2384"/>
      <c r="AL313" s="2384"/>
      <c r="AM313" s="2424"/>
    </row>
    <row r="314" spans="1:41" s="701" customFormat="1" ht="36" customHeight="1">
      <c r="A314" s="661"/>
      <c r="B314" s="2108" t="s">
        <v>4170</v>
      </c>
      <c r="C314" s="2108"/>
      <c r="D314" s="2108"/>
      <c r="E314" s="2108"/>
      <c r="F314" s="2108"/>
      <c r="G314" s="2108"/>
      <c r="H314" s="2108"/>
      <c r="I314" s="2108"/>
      <c r="J314" s="2108"/>
      <c r="K314" s="2108"/>
      <c r="L314" s="2108"/>
      <c r="M314" s="2108"/>
      <c r="N314" s="2108"/>
      <c r="O314" s="2108"/>
      <c r="P314" s="2108"/>
      <c r="Q314" s="2108"/>
      <c r="R314" s="2108"/>
      <c r="S314" s="2108"/>
      <c r="T314" s="2108"/>
      <c r="U314" s="2108"/>
      <c r="V314" s="2108"/>
      <c r="W314" s="2108"/>
      <c r="X314" s="2108"/>
      <c r="Y314" s="2108"/>
      <c r="Z314" s="2108"/>
      <c r="AA314" s="2108"/>
      <c r="AB314" s="2108"/>
      <c r="AC314" s="2108"/>
      <c r="AD314" s="2108"/>
      <c r="AE314" s="2108"/>
      <c r="AF314" s="2108"/>
      <c r="AG314" s="2108"/>
      <c r="AH314" s="2108"/>
      <c r="AI314" s="2108"/>
      <c r="AJ314" s="2108"/>
      <c r="AK314" s="2108"/>
      <c r="AL314" s="2108"/>
      <c r="AM314" s="2108"/>
    </row>
    <row r="315" spans="1:41" s="701" customFormat="1" ht="18" customHeight="1">
      <c r="A315" s="661"/>
      <c r="B315" s="855"/>
      <c r="C315" s="703"/>
      <c r="D315" s="703"/>
      <c r="E315" s="703"/>
      <c r="F315" s="703"/>
      <c r="G315" s="703"/>
      <c r="H315" s="703"/>
      <c r="I315" s="703"/>
      <c r="J315" s="703"/>
      <c r="K315" s="703"/>
      <c r="L315" s="703"/>
      <c r="M315" s="703"/>
      <c r="N315" s="703"/>
      <c r="O315" s="703"/>
      <c r="P315" s="703"/>
      <c r="Q315" s="703"/>
      <c r="R315" s="703"/>
      <c r="S315" s="703"/>
      <c r="T315" s="703"/>
      <c r="U315" s="703"/>
      <c r="V315" s="703"/>
      <c r="W315" s="703"/>
      <c r="X315" s="703"/>
      <c r="Y315" s="703"/>
      <c r="Z315" s="703"/>
      <c r="AA315" s="703"/>
      <c r="AB315" s="703"/>
      <c r="AC315" s="703"/>
      <c r="AD315" s="703"/>
      <c r="AE315" s="703"/>
      <c r="AF315" s="703"/>
      <c r="AG315" s="703"/>
      <c r="AH315" s="703"/>
      <c r="AI315" s="703"/>
      <c r="AJ315" s="703"/>
      <c r="AK315" s="703"/>
      <c r="AL315" s="703"/>
      <c r="AM315" s="856"/>
    </row>
    <row r="316" spans="1:41" s="701" customFormat="1" ht="18" customHeight="1">
      <c r="A316" s="661"/>
      <c r="B316" s="1738" t="s">
        <v>711</v>
      </c>
      <c r="C316" s="1739"/>
      <c r="D316" s="1987" t="s">
        <v>951</v>
      </c>
      <c r="E316" s="1988"/>
      <c r="F316" s="1988"/>
      <c r="G316" s="1988"/>
      <c r="H316" s="1988"/>
      <c r="I316" s="1988"/>
      <c r="J316" s="1988"/>
      <c r="K316" s="1946"/>
      <c r="L316" s="1738" t="s">
        <v>664</v>
      </c>
      <c r="M316" s="1738"/>
      <c r="N316" s="1987" t="s">
        <v>952</v>
      </c>
      <c r="O316" s="1988"/>
      <c r="P316" s="1988"/>
      <c r="Q316" s="1988"/>
      <c r="R316" s="1988"/>
      <c r="S316" s="1988"/>
      <c r="T316" s="1988"/>
      <c r="U316" s="1946"/>
      <c r="V316" s="1738" t="s">
        <v>664</v>
      </c>
      <c r="W316" s="1739"/>
      <c r="X316" s="1987" t="s">
        <v>953</v>
      </c>
      <c r="Y316" s="1988"/>
      <c r="Z316" s="1988"/>
      <c r="AA316" s="1988"/>
      <c r="AB316" s="1988"/>
      <c r="AC316" s="1988"/>
      <c r="AD316" s="1988"/>
      <c r="AE316" s="1946"/>
      <c r="AF316" s="1738" t="s">
        <v>711</v>
      </c>
      <c r="AG316" s="1739"/>
      <c r="AH316" s="1987" t="s">
        <v>954</v>
      </c>
      <c r="AI316" s="1988"/>
      <c r="AJ316" s="1988"/>
      <c r="AK316" s="1988"/>
      <c r="AL316" s="1988"/>
      <c r="AM316" s="2087"/>
      <c r="AN316" s="1023"/>
    </row>
    <row r="317" spans="1:41" s="701" customFormat="1" ht="18" customHeight="1">
      <c r="A317" s="661"/>
      <c r="B317" s="1738" t="s">
        <v>711</v>
      </c>
      <c r="C317" s="1739"/>
      <c r="D317" s="1987" t="s">
        <v>955</v>
      </c>
      <c r="E317" s="1988"/>
      <c r="F317" s="1988"/>
      <c r="G317" s="1988"/>
      <c r="H317" s="1988"/>
      <c r="I317" s="1988"/>
      <c r="J317" s="1988"/>
      <c r="K317" s="1946"/>
      <c r="L317" s="1738" t="s">
        <v>664</v>
      </c>
      <c r="M317" s="1738"/>
      <c r="N317" s="1987" t="s">
        <v>956</v>
      </c>
      <c r="O317" s="1988"/>
      <c r="P317" s="1988"/>
      <c r="Q317" s="1988"/>
      <c r="R317" s="1988"/>
      <c r="S317" s="1988"/>
      <c r="T317" s="1988"/>
      <c r="U317" s="1946"/>
      <c r="V317" s="1738" t="s">
        <v>664</v>
      </c>
      <c r="W317" s="1739"/>
      <c r="X317" s="1987" t="s">
        <v>957</v>
      </c>
      <c r="Y317" s="1988"/>
      <c r="Z317" s="1988"/>
      <c r="AA317" s="1988"/>
      <c r="AB317" s="1988"/>
      <c r="AC317" s="1988"/>
      <c r="AD317" s="1988"/>
      <c r="AE317" s="1946"/>
      <c r="AF317" s="1738" t="s">
        <v>711</v>
      </c>
      <c r="AG317" s="1739"/>
      <c r="AH317" s="1987" t="s">
        <v>958</v>
      </c>
      <c r="AI317" s="1988"/>
      <c r="AJ317" s="1988"/>
      <c r="AK317" s="1988"/>
      <c r="AL317" s="1988"/>
      <c r="AM317" s="2087"/>
      <c r="AN317" s="1023"/>
    </row>
    <row r="318" spans="1:41" s="701" customFormat="1" ht="18" customHeight="1">
      <c r="A318" s="661"/>
      <c r="B318" s="1738" t="s">
        <v>711</v>
      </c>
      <c r="C318" s="1739"/>
      <c r="D318" s="1957" t="s">
        <v>959</v>
      </c>
      <c r="E318" s="1958"/>
      <c r="F318" s="1958"/>
      <c r="G318" s="1958"/>
      <c r="H318" s="1958"/>
      <c r="I318" s="1958"/>
      <c r="J318" s="1958"/>
      <c r="K318" s="1946"/>
      <c r="L318" s="1738" t="s">
        <v>664</v>
      </c>
      <c r="M318" s="1738"/>
      <c r="N318" s="1957" t="s">
        <v>960</v>
      </c>
      <c r="O318" s="1958"/>
      <c r="P318" s="1958"/>
      <c r="Q318" s="1958"/>
      <c r="R318" s="1958"/>
      <c r="S318" s="1958"/>
      <c r="T318" s="1958"/>
      <c r="U318" s="1946"/>
      <c r="V318" s="1738" t="s">
        <v>664</v>
      </c>
      <c r="W318" s="1739"/>
      <c r="X318" s="1957" t="s">
        <v>961</v>
      </c>
      <c r="Y318" s="1958"/>
      <c r="Z318" s="1958"/>
      <c r="AA318" s="1958"/>
      <c r="AB318" s="1958"/>
      <c r="AC318" s="1958"/>
      <c r="AD318" s="1958"/>
      <c r="AE318" s="1946"/>
      <c r="AF318" s="1738" t="s">
        <v>711</v>
      </c>
      <c r="AG318" s="1739"/>
      <c r="AH318" s="1957" t="s">
        <v>962</v>
      </c>
      <c r="AI318" s="1958"/>
      <c r="AJ318" s="1958"/>
      <c r="AK318" s="1958"/>
      <c r="AL318" s="1958"/>
      <c r="AM318" s="2084"/>
    </row>
    <row r="319" spans="1:41" s="701" customFormat="1" ht="18" customHeight="1">
      <c r="A319" s="661"/>
      <c r="B319" s="1738" t="s">
        <v>711</v>
      </c>
      <c r="C319" s="1739"/>
      <c r="D319" s="1809" t="s">
        <v>944</v>
      </c>
      <c r="E319" s="1809"/>
      <c r="F319" s="1809"/>
      <c r="G319" s="1809"/>
      <c r="H319" s="1809"/>
      <c r="I319" s="1809"/>
      <c r="J319" s="1809"/>
      <c r="K319" s="1946"/>
      <c r="L319" s="1738" t="s">
        <v>664</v>
      </c>
      <c r="M319" s="1738"/>
      <c r="N319" s="2193" t="s">
        <v>944</v>
      </c>
      <c r="O319" s="2193"/>
      <c r="P319" s="2193"/>
      <c r="Q319" s="2193"/>
      <c r="R319" s="2193"/>
      <c r="S319" s="2193"/>
      <c r="T319" s="2193"/>
      <c r="U319" s="1946"/>
      <c r="V319" s="1738" t="s">
        <v>664</v>
      </c>
      <c r="W319" s="1739"/>
      <c r="X319" s="1809" t="s">
        <v>944</v>
      </c>
      <c r="Y319" s="1809"/>
      <c r="Z319" s="1809"/>
      <c r="AA319" s="1809"/>
      <c r="AB319" s="1809"/>
      <c r="AC319" s="1809"/>
      <c r="AD319" s="1809"/>
      <c r="AE319" s="1946"/>
      <c r="AF319" s="1738" t="s">
        <v>711</v>
      </c>
      <c r="AG319" s="1739"/>
      <c r="AH319" s="1809" t="s">
        <v>944</v>
      </c>
      <c r="AI319" s="1809"/>
      <c r="AJ319" s="1809"/>
      <c r="AK319" s="1809"/>
      <c r="AL319" s="1809"/>
      <c r="AM319" s="1809"/>
    </row>
    <row r="320" spans="1:41" s="701" customFormat="1" ht="18" customHeight="1">
      <c r="A320" s="661"/>
      <c r="B320" s="855"/>
      <c r="C320" s="703"/>
      <c r="D320" s="703"/>
      <c r="E320" s="703"/>
      <c r="F320" s="703"/>
      <c r="G320" s="703"/>
      <c r="H320" s="703"/>
      <c r="I320" s="703"/>
      <c r="J320" s="703"/>
      <c r="K320" s="703"/>
      <c r="L320" s="703"/>
      <c r="M320" s="703"/>
      <c r="N320" s="703"/>
      <c r="O320" s="703"/>
      <c r="P320" s="703"/>
      <c r="Q320" s="703"/>
      <c r="R320" s="703"/>
      <c r="S320" s="703"/>
      <c r="T320" s="703"/>
      <c r="U320" s="703"/>
      <c r="V320" s="703"/>
      <c r="W320" s="703"/>
      <c r="X320" s="703"/>
      <c r="Y320" s="703"/>
      <c r="Z320" s="703"/>
      <c r="AA320" s="703"/>
      <c r="AB320" s="703"/>
      <c r="AC320" s="703"/>
      <c r="AD320" s="703"/>
      <c r="AE320" s="703"/>
      <c r="AF320" s="703"/>
      <c r="AG320" s="703"/>
      <c r="AH320" s="703"/>
      <c r="AI320" s="703"/>
      <c r="AJ320" s="703"/>
      <c r="AK320" s="703"/>
      <c r="AL320" s="703"/>
      <c r="AM320" s="856"/>
    </row>
    <row r="321" spans="1:41" s="701" customFormat="1" ht="18" customHeight="1">
      <c r="A321" s="661"/>
      <c r="B321" s="2003" t="s">
        <v>963</v>
      </c>
      <c r="C321" s="2004"/>
      <c r="D321" s="2004"/>
      <c r="E321" s="2004"/>
      <c r="F321" s="2004"/>
      <c r="G321" s="2004"/>
      <c r="H321" s="2004"/>
      <c r="I321" s="2004"/>
      <c r="J321" s="2004"/>
      <c r="K321" s="2004"/>
      <c r="L321" s="2004"/>
      <c r="M321" s="2004"/>
      <c r="N321" s="2004"/>
      <c r="O321" s="2004"/>
      <c r="P321" s="2004"/>
      <c r="Q321" s="2004"/>
      <c r="R321" s="2004"/>
      <c r="S321" s="2004"/>
      <c r="T321" s="2004"/>
      <c r="U321" s="2004"/>
      <c r="V321" s="2004"/>
      <c r="W321" s="2004"/>
      <c r="X321" s="2004"/>
      <c r="Y321" s="2004"/>
      <c r="Z321" s="2004"/>
      <c r="AA321" s="2004"/>
      <c r="AB321" s="2004"/>
      <c r="AC321" s="2004"/>
      <c r="AD321" s="2004"/>
      <c r="AE321" s="2004"/>
      <c r="AF321" s="2004"/>
      <c r="AG321" s="2004"/>
      <c r="AH321" s="2004"/>
      <c r="AI321" s="2004"/>
      <c r="AJ321" s="2004"/>
      <c r="AK321" s="2004"/>
      <c r="AL321" s="2004"/>
      <c r="AM321" s="2005"/>
    </row>
    <row r="322" spans="1:41" s="701" customFormat="1" ht="18" customHeight="1">
      <c r="A322" s="661"/>
      <c r="B322" s="1738" t="s">
        <v>664</v>
      </c>
      <c r="C322" s="1739"/>
      <c r="D322" s="1987" t="s">
        <v>964</v>
      </c>
      <c r="E322" s="1988"/>
      <c r="F322" s="1988"/>
      <c r="G322" s="1988"/>
      <c r="H322" s="1988"/>
      <c r="I322" s="703"/>
      <c r="J322" s="1738" t="s">
        <v>664</v>
      </c>
      <c r="K322" s="1739"/>
      <c r="L322" s="1987" t="s">
        <v>965</v>
      </c>
      <c r="M322" s="1988"/>
      <c r="N322" s="1988"/>
      <c r="O322" s="1988"/>
      <c r="P322" s="1988"/>
      <c r="Q322" s="703"/>
      <c r="R322" s="1738" t="s">
        <v>711</v>
      </c>
      <c r="S322" s="1738"/>
      <c r="T322" s="1987" t="s">
        <v>966</v>
      </c>
      <c r="U322" s="1988"/>
      <c r="V322" s="1988"/>
      <c r="W322" s="1988"/>
      <c r="X322" s="1988"/>
      <c r="Y322" s="703"/>
      <c r="Z322" s="1738" t="s">
        <v>711</v>
      </c>
      <c r="AA322" s="1738"/>
      <c r="AB322" s="1987" t="s">
        <v>967</v>
      </c>
      <c r="AC322" s="1988"/>
      <c r="AD322" s="1988"/>
      <c r="AE322" s="1988"/>
      <c r="AF322" s="1988"/>
      <c r="AG322" s="703"/>
      <c r="AH322" s="703"/>
      <c r="AI322" s="703"/>
      <c r="AJ322" s="703"/>
      <c r="AK322" s="703"/>
      <c r="AL322" s="703"/>
      <c r="AM322" s="856"/>
    </row>
    <row r="323" spans="1:41" s="701" customFormat="1" ht="18" customHeight="1">
      <c r="A323" s="661"/>
      <c r="B323" s="855"/>
      <c r="C323" s="703"/>
      <c r="D323" s="703"/>
      <c r="E323" s="703"/>
      <c r="F323" s="703"/>
      <c r="G323" s="703"/>
      <c r="H323" s="703"/>
      <c r="I323" s="703"/>
      <c r="J323" s="703"/>
      <c r="K323" s="703"/>
      <c r="L323" s="703"/>
      <c r="M323" s="703"/>
      <c r="N323" s="703"/>
      <c r="O323" s="703"/>
      <c r="P323" s="703"/>
      <c r="Q323" s="703"/>
      <c r="R323" s="703"/>
      <c r="S323" s="703"/>
      <c r="T323" s="703"/>
      <c r="U323" s="703"/>
      <c r="V323" s="703"/>
      <c r="W323" s="703"/>
      <c r="X323" s="703"/>
      <c r="Y323" s="703"/>
      <c r="Z323" s="703"/>
      <c r="AA323" s="703"/>
      <c r="AB323" s="703"/>
      <c r="AC323" s="703"/>
      <c r="AD323" s="703"/>
      <c r="AE323" s="703"/>
      <c r="AF323" s="703"/>
      <c r="AG323" s="703"/>
      <c r="AH323" s="703"/>
      <c r="AI323" s="703"/>
      <c r="AJ323" s="703"/>
      <c r="AK323" s="703"/>
      <c r="AL323" s="703"/>
      <c r="AM323" s="856"/>
    </row>
    <row r="324" spans="1:41" s="701" customFormat="1" ht="18" customHeight="1">
      <c r="A324" s="661"/>
      <c r="B324" s="1810" t="s">
        <v>968</v>
      </c>
      <c r="C324" s="1810"/>
      <c r="D324" s="1810"/>
      <c r="E324" s="1810"/>
      <c r="F324" s="1810"/>
      <c r="G324" s="1810"/>
      <c r="H324" s="1810"/>
      <c r="I324" s="1810"/>
      <c r="J324" s="1810"/>
      <c r="K324" s="1810"/>
      <c r="L324" s="1810"/>
      <c r="M324" s="1810"/>
      <c r="N324" s="1810"/>
      <c r="O324" s="1810"/>
      <c r="P324" s="1810"/>
      <c r="Q324" s="1810"/>
      <c r="R324" s="1810"/>
      <c r="S324" s="1810"/>
      <c r="T324" s="1810"/>
      <c r="U324" s="1810"/>
      <c r="V324" s="1810"/>
      <c r="W324" s="1810"/>
      <c r="X324" s="1810"/>
      <c r="Y324" s="1810"/>
      <c r="Z324" s="1810"/>
      <c r="AA324" s="1810"/>
      <c r="AB324" s="1810"/>
      <c r="AC324" s="1810"/>
      <c r="AD324" s="1810"/>
      <c r="AE324" s="1810"/>
      <c r="AF324" s="1810"/>
      <c r="AG324" s="1810"/>
      <c r="AH324" s="1810"/>
      <c r="AI324" s="1810"/>
      <c r="AJ324" s="1810"/>
      <c r="AK324" s="1810"/>
      <c r="AL324" s="1810"/>
      <c r="AM324" s="1810"/>
    </row>
    <row r="325" spans="1:41" s="701" customFormat="1" ht="36" customHeight="1">
      <c r="A325" s="661"/>
      <c r="B325" s="2197" t="s">
        <v>4169</v>
      </c>
      <c r="C325" s="2197"/>
      <c r="D325" s="2197"/>
      <c r="E325" s="2197"/>
      <c r="F325" s="2197"/>
      <c r="G325" s="2197"/>
      <c r="H325" s="2197"/>
      <c r="I325" s="2197"/>
      <c r="J325" s="2197"/>
      <c r="K325" s="2197"/>
      <c r="L325" s="2197"/>
      <c r="M325" s="2197"/>
      <c r="N325" s="2197"/>
      <c r="O325" s="2197"/>
      <c r="P325" s="2197"/>
      <c r="Q325" s="2197"/>
      <c r="R325" s="2197"/>
      <c r="S325" s="2197"/>
      <c r="T325" s="2197"/>
      <c r="U325" s="2197"/>
      <c r="V325" s="2197"/>
      <c r="W325" s="2197"/>
      <c r="X325" s="2197"/>
      <c r="Y325" s="2197"/>
      <c r="Z325" s="2197"/>
      <c r="AA325" s="2197"/>
      <c r="AB325" s="2197"/>
      <c r="AC325" s="2197"/>
      <c r="AD325" s="2197"/>
      <c r="AE325" s="2197"/>
      <c r="AF325" s="2197"/>
      <c r="AG325" s="2197"/>
      <c r="AH325" s="2197"/>
      <c r="AI325" s="2197"/>
      <c r="AJ325" s="2197"/>
      <c r="AK325" s="2197"/>
      <c r="AL325" s="2197"/>
      <c r="AM325" s="2197"/>
    </row>
    <row r="326" spans="1:41" s="701" customFormat="1" ht="18" customHeight="1">
      <c r="A326" s="661"/>
      <c r="B326" s="855"/>
      <c r="C326" s="703"/>
      <c r="D326" s="703"/>
      <c r="E326" s="703"/>
      <c r="F326" s="703"/>
      <c r="G326" s="703"/>
      <c r="H326" s="703"/>
      <c r="I326" s="703"/>
      <c r="J326" s="703"/>
      <c r="K326" s="703"/>
      <c r="L326" s="703"/>
      <c r="M326" s="703"/>
      <c r="N326" s="703"/>
      <c r="O326" s="703"/>
      <c r="P326" s="703"/>
      <c r="Q326" s="703"/>
      <c r="R326" s="703"/>
      <c r="S326" s="703"/>
      <c r="T326" s="703"/>
      <c r="U326" s="703"/>
      <c r="V326" s="703"/>
      <c r="W326" s="703"/>
      <c r="X326" s="703"/>
      <c r="Y326" s="703"/>
      <c r="Z326" s="703"/>
      <c r="AA326" s="703"/>
      <c r="AB326" s="703"/>
      <c r="AC326" s="703"/>
      <c r="AD326" s="703"/>
      <c r="AE326" s="703"/>
      <c r="AF326" s="703"/>
      <c r="AG326" s="703"/>
      <c r="AH326" s="703"/>
      <c r="AI326" s="703"/>
      <c r="AJ326" s="703"/>
      <c r="AK326" s="703"/>
      <c r="AL326" s="703"/>
      <c r="AM326" s="856"/>
    </row>
    <row r="327" spans="1:41" s="701" customFormat="1" ht="18" customHeight="1">
      <c r="A327" s="661"/>
      <c r="B327" s="2028" t="s">
        <v>969</v>
      </c>
      <c r="C327" s="2029"/>
      <c r="D327" s="2029"/>
      <c r="E327" s="2029"/>
      <c r="F327" s="2029"/>
      <c r="G327" s="2029"/>
      <c r="H327" s="2029"/>
      <c r="I327" s="2067"/>
      <c r="J327" s="2067"/>
      <c r="K327" s="2067"/>
      <c r="L327" s="2067"/>
      <c r="M327" s="2067"/>
      <c r="N327" s="2067"/>
      <c r="O327" s="2067"/>
      <c r="P327" s="2067"/>
      <c r="Q327" s="2067"/>
      <c r="R327" s="2067"/>
      <c r="S327" s="2067"/>
      <c r="T327" s="2067"/>
      <c r="U327" s="2067"/>
      <c r="V327" s="2067"/>
      <c r="W327" s="2067"/>
      <c r="X327" s="2067"/>
      <c r="Y327" s="2067"/>
      <c r="Z327" s="2067"/>
      <c r="AA327" s="2067"/>
      <c r="AB327" s="2067"/>
      <c r="AC327" s="2067"/>
      <c r="AD327" s="2067"/>
      <c r="AE327" s="2067"/>
      <c r="AF327" s="2067"/>
      <c r="AG327" s="2067"/>
      <c r="AH327" s="2067"/>
      <c r="AI327" s="2067"/>
      <c r="AJ327" s="2067"/>
      <c r="AK327" s="2067"/>
      <c r="AL327" s="2067"/>
      <c r="AM327" s="2068"/>
    </row>
    <row r="328" spans="1:41" s="701" customFormat="1" ht="36" customHeight="1">
      <c r="A328" s="661"/>
      <c r="B328" s="1947" t="s">
        <v>4168</v>
      </c>
      <c r="C328" s="1947"/>
      <c r="D328" s="1947"/>
      <c r="E328" s="1947"/>
      <c r="F328" s="1947"/>
      <c r="G328" s="1947"/>
      <c r="H328" s="1947"/>
      <c r="I328" s="1947"/>
      <c r="J328" s="1947"/>
      <c r="K328" s="1947"/>
      <c r="L328" s="1947"/>
      <c r="M328" s="1947"/>
      <c r="N328" s="1947"/>
      <c r="O328" s="1947"/>
      <c r="P328" s="1947"/>
      <c r="Q328" s="1947"/>
      <c r="R328" s="1947"/>
      <c r="S328" s="1947"/>
      <c r="T328" s="1947"/>
      <c r="U328" s="1947"/>
      <c r="V328" s="1947"/>
      <c r="W328" s="1947"/>
      <c r="X328" s="1947"/>
      <c r="Y328" s="1947"/>
      <c r="Z328" s="1947"/>
      <c r="AA328" s="1947"/>
      <c r="AB328" s="1947"/>
      <c r="AC328" s="1947"/>
      <c r="AD328" s="1947"/>
      <c r="AE328" s="1947"/>
      <c r="AF328" s="1947"/>
      <c r="AG328" s="1947"/>
      <c r="AH328" s="1947"/>
      <c r="AI328" s="1947"/>
      <c r="AJ328" s="1947"/>
      <c r="AK328" s="1947"/>
      <c r="AL328" s="1947"/>
      <c r="AM328" s="1947"/>
    </row>
    <row r="329" spans="1:41" ht="18" customHeight="1">
      <c r="B329" s="2014" t="s">
        <v>970</v>
      </c>
      <c r="C329" s="2014"/>
      <c r="D329" s="2014"/>
      <c r="E329" s="2014"/>
      <c r="F329" s="2014"/>
      <c r="G329" s="2014"/>
      <c r="H329" s="2014"/>
      <c r="I329" s="2014"/>
      <c r="J329" s="2014"/>
      <c r="K329" s="2014"/>
      <c r="L329" s="2014"/>
      <c r="M329" s="2014"/>
      <c r="N329" s="2014"/>
      <c r="O329" s="2014"/>
      <c r="P329" s="2014"/>
      <c r="Q329" s="2014"/>
      <c r="R329" s="2014"/>
      <c r="S329" s="2014"/>
      <c r="T329" s="2014"/>
      <c r="U329" s="2014"/>
      <c r="V329" s="2014"/>
      <c r="W329" s="2014"/>
      <c r="X329" s="2014"/>
      <c r="Y329" s="2014"/>
      <c r="Z329" s="2014"/>
      <c r="AA329" s="2014"/>
      <c r="AB329" s="2014"/>
      <c r="AC329" s="2014"/>
      <c r="AD329" s="2014"/>
      <c r="AE329" s="2014"/>
      <c r="AF329" s="2014"/>
      <c r="AG329" s="2014"/>
      <c r="AH329" s="2014"/>
      <c r="AI329" s="2014"/>
      <c r="AJ329" s="2014"/>
      <c r="AK329" s="2014"/>
      <c r="AL329" s="2014"/>
      <c r="AM329" s="2014"/>
      <c r="AN329" s="360"/>
      <c r="AO329" s="1058"/>
    </row>
    <row r="330" spans="1:41" ht="18" customHeight="1">
      <c r="B330" s="2018" t="s">
        <v>971</v>
      </c>
      <c r="C330" s="2018"/>
      <c r="D330" s="2018"/>
      <c r="E330" s="2018"/>
      <c r="F330" s="2018"/>
      <c r="G330" s="2018"/>
      <c r="H330" s="2018"/>
      <c r="I330" s="2018"/>
      <c r="J330" s="2018"/>
      <c r="K330" s="2018"/>
      <c r="L330" s="2018"/>
      <c r="M330" s="2018"/>
      <c r="N330" s="2018"/>
      <c r="O330" s="2018"/>
      <c r="P330" s="2018"/>
      <c r="Q330" s="2018"/>
      <c r="R330" s="2018"/>
      <c r="S330" s="2018"/>
      <c r="T330" s="2018"/>
      <c r="U330" s="2018"/>
      <c r="V330" s="2018"/>
      <c r="W330" s="2018"/>
      <c r="X330" s="2018"/>
      <c r="Y330" s="2018"/>
      <c r="Z330" s="2018"/>
      <c r="AA330" s="2018"/>
      <c r="AB330" s="2018"/>
      <c r="AC330" s="2018"/>
      <c r="AD330" s="2018"/>
      <c r="AE330" s="2018"/>
      <c r="AF330" s="2018"/>
      <c r="AG330" s="2018"/>
      <c r="AH330" s="2018"/>
      <c r="AI330" s="2018"/>
      <c r="AJ330" s="2018"/>
      <c r="AK330" s="2018"/>
      <c r="AL330" s="2018"/>
      <c r="AM330" s="2018"/>
      <c r="AN330" s="923"/>
      <c r="AO330" s="1058"/>
    </row>
    <row r="331" spans="1:41" s="704" customFormat="1" ht="18" customHeight="1">
      <c r="A331" s="1205"/>
      <c r="B331" s="2358" t="s">
        <v>972</v>
      </c>
      <c r="C331" s="2359"/>
      <c r="D331" s="2359"/>
      <c r="E331" s="2359"/>
      <c r="F331" s="2359"/>
      <c r="G331" s="2359"/>
      <c r="H331" s="857"/>
      <c r="I331" s="857"/>
      <c r="J331" s="857"/>
      <c r="K331" s="857"/>
      <c r="L331" s="857"/>
      <c r="M331" s="857"/>
      <c r="N331" s="857"/>
      <c r="O331" s="857"/>
      <c r="P331" s="857"/>
      <c r="Q331" s="857"/>
      <c r="X331" s="857"/>
      <c r="Y331" s="857"/>
      <c r="Z331" s="857"/>
      <c r="AA331" s="857"/>
      <c r="AB331" s="857"/>
      <c r="AC331" s="857"/>
      <c r="AD331" s="857"/>
      <c r="AE331" s="857"/>
      <c r="AF331" s="857"/>
      <c r="AG331" s="857"/>
      <c r="AH331" s="857"/>
      <c r="AI331" s="857"/>
      <c r="AJ331" s="857"/>
      <c r="AK331" s="857"/>
      <c r="AL331" s="857"/>
      <c r="AM331" s="859"/>
    </row>
    <row r="332" spans="1:41" s="704" customFormat="1" ht="18" customHeight="1">
      <c r="A332" s="1205"/>
      <c r="B332" s="2015" t="s">
        <v>973</v>
      </c>
      <c r="C332" s="1976"/>
      <c r="D332" s="1976"/>
      <c r="E332" s="1976"/>
      <c r="F332" s="1985"/>
      <c r="G332" s="1965">
        <v>12</v>
      </c>
      <c r="H332" s="1965"/>
      <c r="I332" s="1965"/>
      <c r="K332" s="1976" t="s">
        <v>974</v>
      </c>
      <c r="L332" s="1976"/>
      <c r="M332" s="1976"/>
      <c r="N332" s="1976"/>
      <c r="O332" s="1976"/>
      <c r="P332" s="1965">
        <v>27</v>
      </c>
      <c r="Q332" s="1965"/>
      <c r="R332" s="1965"/>
      <c r="T332" s="2187" t="s">
        <v>975</v>
      </c>
      <c r="U332" s="2187"/>
      <c r="V332" s="2187"/>
      <c r="W332" s="2187"/>
      <c r="X332" s="1965">
        <v>12</v>
      </c>
      <c r="Y332" s="1965"/>
      <c r="Z332" s="1965"/>
      <c r="AA332" s="860"/>
      <c r="AB332" s="2187" t="s">
        <v>976</v>
      </c>
      <c r="AC332" s="2187"/>
      <c r="AD332" s="2187"/>
      <c r="AE332" s="2187"/>
      <c r="AF332" s="2187"/>
      <c r="AG332" s="2187"/>
      <c r="AH332" s="1965">
        <v>27</v>
      </c>
      <c r="AI332" s="1965"/>
      <c r="AJ332" s="1965"/>
      <c r="AM332" s="858"/>
    </row>
    <row r="333" spans="1:41" s="704" customFormat="1" ht="18" customHeight="1">
      <c r="A333" s="1205"/>
      <c r="B333" s="2015" t="s">
        <v>977</v>
      </c>
      <c r="C333" s="1976"/>
      <c r="D333" s="1976"/>
      <c r="E333" s="1976"/>
      <c r="F333" s="1976"/>
      <c r="G333" s="1976"/>
      <c r="H333" s="1985"/>
      <c r="I333" s="2016">
        <f>SUM($G$332,$P$332,$X$332,$AH$332)</f>
        <v>78</v>
      </c>
      <c r="J333" s="2017"/>
      <c r="K333" s="2017"/>
      <c r="AM333" s="858"/>
    </row>
    <row r="334" spans="1:41" s="704" customFormat="1" ht="18" customHeight="1">
      <c r="A334" s="1205"/>
      <c r="B334" s="860"/>
      <c r="AM334" s="858"/>
    </row>
    <row r="335" spans="1:41" s="704" customFormat="1" ht="18" customHeight="1">
      <c r="A335" s="1205"/>
      <c r="B335" s="2391" t="s">
        <v>978</v>
      </c>
      <c r="C335" s="1998"/>
      <c r="D335" s="1998"/>
      <c r="E335" s="1998"/>
      <c r="F335" s="1999"/>
      <c r="G335" s="1965">
        <v>27</v>
      </c>
      <c r="H335" s="1965"/>
      <c r="I335" s="1965"/>
      <c r="K335" s="1998" t="s">
        <v>979</v>
      </c>
      <c r="L335" s="1998"/>
      <c r="M335" s="1998"/>
      <c r="N335" s="1998"/>
      <c r="O335" s="1999"/>
      <c r="P335" s="1965">
        <v>12</v>
      </c>
      <c r="Q335" s="1965"/>
      <c r="R335" s="1965"/>
      <c r="T335" s="1998" t="s">
        <v>980</v>
      </c>
      <c r="U335" s="1998"/>
      <c r="V335" s="1998"/>
      <c r="W335" s="1998"/>
      <c r="X335" s="1965">
        <v>27</v>
      </c>
      <c r="Y335" s="1965"/>
      <c r="Z335" s="1965"/>
      <c r="AB335" s="1998" t="s">
        <v>981</v>
      </c>
      <c r="AC335" s="1998"/>
      <c r="AD335" s="1998"/>
      <c r="AE335" s="1998"/>
      <c r="AF335" s="1998"/>
      <c r="AG335" s="1999"/>
      <c r="AH335" s="1965">
        <v>23</v>
      </c>
      <c r="AI335" s="1965"/>
      <c r="AJ335" s="1965"/>
      <c r="AM335" s="858"/>
    </row>
    <row r="336" spans="1:41" s="704" customFormat="1" ht="18" customHeight="1">
      <c r="A336" s="1205"/>
      <c r="B336" s="2000" t="s">
        <v>944</v>
      </c>
      <c r="C336" s="2001"/>
      <c r="D336" s="2001"/>
      <c r="E336" s="2001"/>
      <c r="F336" s="2002"/>
      <c r="G336" s="1965">
        <v>12</v>
      </c>
      <c r="H336" s="1965"/>
      <c r="I336" s="1965"/>
      <c r="K336" s="2011" t="s">
        <v>944</v>
      </c>
      <c r="L336" s="2012"/>
      <c r="M336" s="2012"/>
      <c r="N336" s="2012"/>
      <c r="O336" s="2013"/>
      <c r="P336" s="1965">
        <v>12</v>
      </c>
      <c r="Q336" s="1965"/>
      <c r="R336" s="1965"/>
      <c r="T336" s="1989" t="s">
        <v>944</v>
      </c>
      <c r="U336" s="1990"/>
      <c r="V336" s="1990"/>
      <c r="W336" s="1991"/>
      <c r="X336" s="1965">
        <v>12</v>
      </c>
      <c r="Y336" s="1965"/>
      <c r="Z336" s="1965"/>
      <c r="AB336" s="2138" t="s">
        <v>944</v>
      </c>
      <c r="AC336" s="2139"/>
      <c r="AD336" s="2139"/>
      <c r="AE336" s="2139"/>
      <c r="AF336" s="2139"/>
      <c r="AG336" s="2140"/>
      <c r="AH336" s="1965">
        <v>27</v>
      </c>
      <c r="AI336" s="1965"/>
      <c r="AJ336" s="1965"/>
      <c r="AM336" s="858"/>
    </row>
    <row r="337" spans="1:39" s="704" customFormat="1" ht="18" customHeight="1">
      <c r="A337" s="1205"/>
      <c r="B337" s="2025" t="s">
        <v>88</v>
      </c>
      <c r="C337" s="2026"/>
      <c r="D337" s="2026"/>
      <c r="E337" s="2026"/>
      <c r="F337" s="2026"/>
      <c r="G337" s="2026"/>
      <c r="H337" s="2027"/>
      <c r="I337" s="1994">
        <f>SUM($I$333,$G$335,$P$335,$X$335,$AH$335,$G$336,$P$336,$X$336,$AH$336)</f>
        <v>230</v>
      </c>
      <c r="J337" s="1994"/>
      <c r="K337" s="1994"/>
      <c r="AM337" s="858"/>
    </row>
    <row r="338" spans="1:39" s="704" customFormat="1" ht="18" customHeight="1">
      <c r="A338" s="1205"/>
      <c r="B338" s="860"/>
      <c r="AM338" s="858"/>
    </row>
    <row r="339" spans="1:39" s="704" customFormat="1" ht="18" customHeight="1">
      <c r="A339" s="1205"/>
      <c r="B339" s="2003" t="s">
        <v>982</v>
      </c>
      <c r="C339" s="2004"/>
      <c r="D339" s="2004"/>
      <c r="E339" s="2004"/>
      <c r="F339" s="2004"/>
      <c r="G339" s="2004"/>
      <c r="H339" s="2004"/>
      <c r="I339" s="2004"/>
      <c r="J339" s="2004"/>
      <c r="K339" s="2004"/>
      <c r="L339" s="2004"/>
      <c r="M339" s="2004"/>
      <c r="N339" s="2004"/>
      <c r="O339" s="2004"/>
      <c r="P339" s="2004"/>
      <c r="Q339" s="2004"/>
      <c r="R339" s="2004"/>
      <c r="S339" s="2004"/>
      <c r="T339" s="2004"/>
      <c r="U339" s="2004"/>
      <c r="V339" s="2004"/>
      <c r="W339" s="2004"/>
      <c r="X339" s="2004"/>
      <c r="Y339" s="2004"/>
      <c r="Z339" s="2004"/>
      <c r="AA339" s="2004"/>
      <c r="AB339" s="2004"/>
      <c r="AC339" s="2004"/>
      <c r="AD339" s="2004"/>
      <c r="AE339" s="2004"/>
      <c r="AF339" s="2004"/>
      <c r="AG339" s="2004"/>
      <c r="AH339" s="2004"/>
      <c r="AI339" s="2004"/>
      <c r="AJ339" s="2004"/>
      <c r="AK339" s="2004"/>
      <c r="AL339" s="2004"/>
      <c r="AM339" s="2005"/>
    </row>
    <row r="340" spans="1:39" s="704" customFormat="1" ht="18" customHeight="1">
      <c r="A340" s="1205"/>
      <c r="B340" s="2006" t="s">
        <v>983</v>
      </c>
      <c r="C340" s="2007"/>
      <c r="D340" s="2007"/>
      <c r="E340" s="2007"/>
      <c r="F340" s="2007"/>
      <c r="G340" s="2007"/>
      <c r="H340" s="2007"/>
      <c r="I340" s="2007"/>
      <c r="J340" s="2007"/>
      <c r="K340" s="2007"/>
      <c r="L340" s="2007"/>
      <c r="M340" s="2007"/>
      <c r="N340" s="2007"/>
      <c r="O340" s="2007"/>
      <c r="P340" s="2007"/>
      <c r="Q340" s="2007"/>
      <c r="R340" s="2007"/>
      <c r="S340" s="2007"/>
      <c r="T340" s="2007"/>
      <c r="U340" s="2007"/>
      <c r="V340" s="2007"/>
      <c r="W340" s="2007"/>
      <c r="X340" s="2007"/>
      <c r="Y340" s="2007"/>
      <c r="Z340" s="2007"/>
      <c r="AA340" s="2007"/>
      <c r="AB340" s="2007"/>
      <c r="AC340" s="2007"/>
      <c r="AD340" s="2007"/>
      <c r="AE340" s="2007"/>
      <c r="AF340" s="2007"/>
      <c r="AG340" s="2007"/>
      <c r="AH340" s="2007"/>
      <c r="AI340" s="2007"/>
      <c r="AJ340" s="2007"/>
      <c r="AK340" s="2007"/>
      <c r="AL340" s="2007"/>
      <c r="AM340" s="2008"/>
    </row>
    <row r="341" spans="1:39" s="704" customFormat="1" ht="18" customHeight="1">
      <c r="A341" s="1205"/>
      <c r="B341" s="2015" t="s">
        <v>984</v>
      </c>
      <c r="C341" s="1976"/>
      <c r="D341" s="1976"/>
      <c r="E341" s="1976"/>
      <c r="F341" s="1976"/>
      <c r="G341" s="1976"/>
      <c r="H341" s="1985"/>
      <c r="I341" s="1955">
        <v>23</v>
      </c>
      <c r="J341" s="1956"/>
      <c r="L341" s="1976" t="s">
        <v>985</v>
      </c>
      <c r="M341" s="1976"/>
      <c r="N341" s="1976"/>
      <c r="O341" s="1976"/>
      <c r="P341" s="1976"/>
      <c r="Q341" s="1985"/>
      <c r="R341" s="1955">
        <v>23</v>
      </c>
      <c r="S341" s="1956"/>
      <c r="U341" s="1982" t="s">
        <v>986</v>
      </c>
      <c r="V341" s="1982"/>
      <c r="W341" s="1982"/>
      <c r="X341" s="1982"/>
      <c r="Y341" s="1982"/>
      <c r="Z341" s="1984"/>
      <c r="AA341" s="1955">
        <v>23</v>
      </c>
      <c r="AB341" s="1956"/>
      <c r="AD341" s="1976" t="s">
        <v>987</v>
      </c>
      <c r="AE341" s="1976"/>
      <c r="AF341" s="1976"/>
      <c r="AG341" s="1976"/>
      <c r="AH341" s="1976"/>
      <c r="AI341" s="1985"/>
      <c r="AJ341" s="1955">
        <v>23</v>
      </c>
      <c r="AK341" s="1956"/>
      <c r="AM341" s="858"/>
    </row>
    <row r="342" spans="1:39" s="704" customFormat="1" ht="18" customHeight="1">
      <c r="A342" s="1205"/>
      <c r="B342" s="2015" t="s">
        <v>988</v>
      </c>
      <c r="C342" s="1976"/>
      <c r="D342" s="1976"/>
      <c r="E342" s="1976"/>
      <c r="F342" s="1976"/>
      <c r="G342" s="1976"/>
      <c r="H342" s="1985"/>
      <c r="I342" s="1986">
        <f>SUM($I$341,$R$341,$AA$341,$AJ$341)</f>
        <v>92</v>
      </c>
      <c r="J342" s="1978"/>
      <c r="AM342" s="858"/>
    </row>
    <row r="343" spans="1:39" s="704" customFormat="1" ht="18" customHeight="1">
      <c r="A343" s="1205"/>
      <c r="B343" s="860"/>
      <c r="AM343" s="858"/>
    </row>
    <row r="344" spans="1:39" s="704" customFormat="1" ht="18" customHeight="1">
      <c r="A344" s="1205"/>
      <c r="B344" s="2006" t="s">
        <v>989</v>
      </c>
      <c r="C344" s="2007"/>
      <c r="D344" s="2007"/>
      <c r="E344" s="2007"/>
      <c r="F344" s="2007"/>
      <c r="G344" s="2007"/>
      <c r="H344" s="2007"/>
      <c r="I344" s="2007"/>
      <c r="J344" s="2007"/>
      <c r="K344" s="2007"/>
      <c r="L344" s="2007"/>
      <c r="M344" s="2007"/>
      <c r="N344" s="2007"/>
      <c r="O344" s="2007"/>
      <c r="P344" s="2007"/>
      <c r="Q344" s="2007"/>
      <c r="R344" s="2007"/>
      <c r="S344" s="2007"/>
      <c r="T344" s="2007"/>
      <c r="U344" s="2007"/>
      <c r="V344" s="2007"/>
      <c r="W344" s="2007"/>
      <c r="X344" s="2007"/>
      <c r="Y344" s="2007"/>
      <c r="Z344" s="2007"/>
      <c r="AA344" s="2007"/>
      <c r="AB344" s="2007"/>
      <c r="AC344" s="2007"/>
      <c r="AD344" s="2007"/>
      <c r="AE344" s="2007"/>
      <c r="AF344" s="2007"/>
      <c r="AG344" s="2007"/>
      <c r="AH344" s="2007"/>
      <c r="AI344" s="2007"/>
      <c r="AJ344" s="2007"/>
      <c r="AK344" s="2007"/>
      <c r="AL344" s="2007"/>
      <c r="AM344" s="2008"/>
    </row>
    <row r="345" spans="1:39" s="704" customFormat="1" ht="18" customHeight="1">
      <c r="A345" s="1205"/>
      <c r="B345" s="2015" t="s">
        <v>990</v>
      </c>
      <c r="C345" s="1976"/>
      <c r="D345" s="1976"/>
      <c r="E345" s="1976"/>
      <c r="F345" s="1976"/>
      <c r="G345" s="1976"/>
      <c r="H345" s="1956">
        <v>342</v>
      </c>
      <c r="I345" s="1956"/>
      <c r="K345" s="1976" t="s">
        <v>991</v>
      </c>
      <c r="L345" s="1976"/>
      <c r="M345" s="1976"/>
      <c r="N345" s="1976"/>
      <c r="O345" s="1976"/>
      <c r="P345" s="1956">
        <v>23</v>
      </c>
      <c r="Q345" s="1956"/>
      <c r="S345" s="1976" t="s">
        <v>992</v>
      </c>
      <c r="T345" s="1976"/>
      <c r="U345" s="1976"/>
      <c r="V345" s="1976"/>
      <c r="W345" s="1976"/>
      <c r="X345" s="1956">
        <v>1</v>
      </c>
      <c r="Y345" s="1956"/>
      <c r="AA345" s="1976" t="s">
        <v>993</v>
      </c>
      <c r="AB345" s="1976"/>
      <c r="AC345" s="1976"/>
      <c r="AD345" s="1976"/>
      <c r="AE345" s="1976"/>
      <c r="AF345" s="1976"/>
      <c r="AG345" s="1976"/>
      <c r="AH345" s="1976"/>
      <c r="AI345" s="1985"/>
      <c r="AJ345" s="1956">
        <v>12</v>
      </c>
      <c r="AK345" s="1956"/>
      <c r="AM345" s="858"/>
    </row>
    <row r="346" spans="1:39" s="704" customFormat="1" ht="18" customHeight="1">
      <c r="A346" s="1205"/>
      <c r="B346" s="2015" t="s">
        <v>89</v>
      </c>
      <c r="C346" s="1976"/>
      <c r="D346" s="1976"/>
      <c r="E346" s="1976"/>
      <c r="F346" s="1976"/>
      <c r="G346" s="1976"/>
      <c r="H346" s="1976"/>
      <c r="I346" s="1985"/>
      <c r="J346" s="1978">
        <f>SUM(I342,H345,P345,X345)</f>
        <v>458</v>
      </c>
      <c r="K346" s="1978"/>
      <c r="AM346" s="858"/>
    </row>
    <row r="347" spans="1:39" s="704" customFormat="1" ht="18" customHeight="1">
      <c r="A347" s="1205"/>
      <c r="B347" s="860"/>
      <c r="AM347" s="858"/>
    </row>
    <row r="348" spans="1:39" s="704" customFormat="1" ht="18" customHeight="1">
      <c r="A348" s="1205"/>
      <c r="B348" s="2003" t="s">
        <v>50</v>
      </c>
      <c r="C348" s="2004"/>
      <c r="D348" s="2004"/>
      <c r="E348" s="2004"/>
      <c r="F348" s="2004"/>
      <c r="G348" s="2004"/>
      <c r="H348" s="2004"/>
      <c r="I348" s="2004"/>
      <c r="J348" s="2004"/>
      <c r="K348" s="2004"/>
      <c r="L348" s="2004"/>
      <c r="M348" s="2004"/>
      <c r="N348" s="2004"/>
      <c r="O348" s="2004"/>
      <c r="P348" s="2004"/>
      <c r="Q348" s="2004"/>
      <c r="R348" s="2004"/>
      <c r="S348" s="2004"/>
      <c r="T348" s="2004"/>
      <c r="U348" s="2004"/>
      <c r="V348" s="2004"/>
      <c r="W348" s="2004"/>
      <c r="X348" s="2004"/>
      <c r="Y348" s="2004"/>
      <c r="Z348" s="2004"/>
      <c r="AA348" s="2004"/>
      <c r="AB348" s="2004"/>
      <c r="AC348" s="2004"/>
      <c r="AD348" s="2004"/>
      <c r="AE348" s="2004"/>
      <c r="AF348" s="2004"/>
      <c r="AG348" s="2004"/>
      <c r="AH348" s="2004"/>
      <c r="AI348" s="2004"/>
      <c r="AJ348" s="2004"/>
      <c r="AK348" s="2004"/>
      <c r="AL348" s="2004"/>
      <c r="AM348" s="2005"/>
    </row>
    <row r="349" spans="1:39" s="704" customFormat="1" ht="18" customHeight="1">
      <c r="A349" s="1205"/>
      <c r="B349" s="931"/>
      <c r="C349" s="932"/>
      <c r="D349" s="932"/>
      <c r="E349" s="932"/>
      <c r="F349" s="932"/>
      <c r="G349" s="932"/>
      <c r="H349" s="932"/>
      <c r="I349" s="932"/>
      <c r="J349" s="1471"/>
      <c r="K349" s="1471"/>
      <c r="L349" s="1471"/>
      <c r="M349" s="1471"/>
      <c r="N349" s="1471"/>
      <c r="O349" s="1471"/>
      <c r="P349" s="1944" t="s">
        <v>994</v>
      </c>
      <c r="Q349" s="1944"/>
      <c r="R349" s="1944"/>
      <c r="S349" s="1944"/>
      <c r="T349" s="1944"/>
      <c r="U349" s="1944"/>
      <c r="V349" s="1944"/>
      <c r="W349" s="1944"/>
      <c r="X349" s="1944"/>
      <c r="Y349" s="1944"/>
      <c r="Z349" s="1471"/>
      <c r="AA349" s="1471"/>
      <c r="AB349" s="1471"/>
      <c r="AC349" s="1471"/>
      <c r="AD349" s="1471"/>
      <c r="AE349" s="1471"/>
      <c r="AF349" s="1471"/>
      <c r="AG349" s="1471"/>
      <c r="AH349" s="1471"/>
      <c r="AI349" s="1471"/>
      <c r="AJ349" s="1471"/>
      <c r="AK349" s="1471"/>
      <c r="AL349" s="1471"/>
      <c r="AM349" s="1588"/>
    </row>
    <row r="350" spans="1:39" s="704" customFormat="1" ht="18" customHeight="1">
      <c r="A350" s="1205"/>
      <c r="B350" s="2015" t="s">
        <v>995</v>
      </c>
      <c r="C350" s="1976"/>
      <c r="D350" s="1976"/>
      <c r="E350" s="1976"/>
      <c r="F350" s="1985"/>
      <c r="G350" s="1974">
        <v>34</v>
      </c>
      <c r="H350" s="1975"/>
      <c r="I350" s="1975"/>
      <c r="K350" s="1982" t="s">
        <v>996</v>
      </c>
      <c r="L350" s="1982"/>
      <c r="M350" s="1972">
        <v>2</v>
      </c>
      <c r="N350" s="1972"/>
      <c r="O350" s="1972"/>
      <c r="Q350" s="1982" t="s">
        <v>979</v>
      </c>
      <c r="R350" s="1982"/>
      <c r="S350" s="1982"/>
      <c r="T350" s="1982"/>
      <c r="U350" s="1972">
        <v>345</v>
      </c>
      <c r="V350" s="1972"/>
      <c r="W350" s="1972"/>
      <c r="Y350" s="1976" t="s">
        <v>997</v>
      </c>
      <c r="Z350" s="1976"/>
      <c r="AA350" s="1976"/>
      <c r="AB350" s="1976"/>
      <c r="AC350" s="1972">
        <v>4</v>
      </c>
      <c r="AD350" s="1972"/>
      <c r="AE350" s="1972"/>
      <c r="AG350" s="1983" t="s">
        <v>944</v>
      </c>
      <c r="AH350" s="1983"/>
      <c r="AI350" s="1983"/>
      <c r="AJ350" s="1983"/>
      <c r="AK350" s="1972">
        <v>34</v>
      </c>
      <c r="AL350" s="1972"/>
      <c r="AM350" s="1972"/>
    </row>
    <row r="351" spans="1:39" s="704" customFormat="1" ht="18" customHeight="1">
      <c r="A351" s="1205"/>
      <c r="B351" s="2199" t="s">
        <v>998</v>
      </c>
      <c r="C351" s="2200"/>
      <c r="D351" s="2200"/>
      <c r="E351" s="2200"/>
      <c r="F351" s="2200"/>
      <c r="G351" s="2026"/>
      <c r="H351" s="2074">
        <f>SUM($G$350,$M$350,$U$350,$AC$350,$AK$350)</f>
        <v>419</v>
      </c>
      <c r="I351" s="2074"/>
      <c r="J351" s="2074"/>
      <c r="AM351" s="858"/>
    </row>
    <row r="352" spans="1:39" s="704" customFormat="1" ht="18" customHeight="1">
      <c r="A352" s="1205"/>
      <c r="B352" s="860"/>
      <c r="AM352" s="858"/>
    </row>
    <row r="353" spans="1:43" s="704" customFormat="1" ht="18" customHeight="1">
      <c r="A353" s="1205"/>
      <c r="B353" s="2006" t="s">
        <v>999</v>
      </c>
      <c r="C353" s="2007"/>
      <c r="D353" s="2007"/>
      <c r="E353" s="2007"/>
      <c r="F353" s="2007"/>
      <c r="G353" s="2007"/>
      <c r="H353" s="2007"/>
      <c r="I353" s="2007"/>
      <c r="J353" s="2007"/>
      <c r="K353" s="2007"/>
      <c r="L353" s="2007"/>
      <c r="M353" s="2007"/>
      <c r="N353" s="2007"/>
      <c r="O353" s="2007"/>
      <c r="P353" s="2007"/>
      <c r="Q353" s="2007"/>
      <c r="R353" s="2007"/>
      <c r="S353" s="2007"/>
      <c r="T353" s="2007"/>
      <c r="U353" s="2007"/>
      <c r="V353" s="2007"/>
      <c r="W353" s="2007"/>
      <c r="X353" s="2007"/>
      <c r="Y353" s="2007"/>
      <c r="Z353" s="2007"/>
      <c r="AA353" s="2007"/>
      <c r="AB353" s="2007"/>
      <c r="AC353" s="2007"/>
      <c r="AD353" s="2007"/>
      <c r="AE353" s="2007"/>
      <c r="AF353" s="2007"/>
      <c r="AG353" s="2007"/>
      <c r="AH353" s="2007"/>
      <c r="AI353" s="2007"/>
      <c r="AJ353" s="2007"/>
      <c r="AK353" s="2007"/>
      <c r="AL353" s="2007"/>
      <c r="AM353" s="2008"/>
    </row>
    <row r="354" spans="1:43" s="704" customFormat="1" ht="18" customHeight="1">
      <c r="A354" s="1205"/>
      <c r="B354" s="2015" t="s">
        <v>1000</v>
      </c>
      <c r="C354" s="1976"/>
      <c r="D354" s="1976"/>
      <c r="E354" s="1976"/>
      <c r="F354" s="1956">
        <v>23</v>
      </c>
      <c r="G354" s="1956"/>
      <c r="H354" s="1956"/>
      <c r="J354" s="1976" t="s">
        <v>1001</v>
      </c>
      <c r="K354" s="1976"/>
      <c r="L354" s="1976"/>
      <c r="M354" s="1976"/>
      <c r="N354" s="1976"/>
      <c r="O354" s="1956">
        <v>2</v>
      </c>
      <c r="P354" s="1956"/>
      <c r="Q354" s="1956"/>
      <c r="S354" s="2201" t="s">
        <v>1002</v>
      </c>
      <c r="T354" s="2201"/>
      <c r="U354" s="2201"/>
      <c r="V354" s="2201"/>
      <c r="W354" s="2202"/>
      <c r="X354" s="1992">
        <f>SUM($F$354,$O$354)</f>
        <v>25</v>
      </c>
      <c r="Y354" s="1993"/>
      <c r="Z354" s="1993"/>
      <c r="AM354" s="858"/>
    </row>
    <row r="355" spans="1:43" s="704" customFormat="1" ht="18" customHeight="1">
      <c r="A355" s="1205"/>
      <c r="B355" s="860"/>
      <c r="AM355" s="858"/>
    </row>
    <row r="356" spans="1:43" s="704" customFormat="1" ht="18" customHeight="1">
      <c r="A356" s="1205"/>
      <c r="B356" s="2203" t="s">
        <v>1003</v>
      </c>
      <c r="C356" s="2178"/>
      <c r="D356" s="2178"/>
      <c r="E356" s="2178"/>
      <c r="F356" s="2178"/>
      <c r="G356" s="2178"/>
      <c r="H356" s="2178"/>
      <c r="I356" s="2178"/>
      <c r="J356" s="2178"/>
      <c r="K356" s="2178"/>
      <c r="L356" s="2178"/>
      <c r="M356" s="2178"/>
      <c r="N356" s="2178"/>
      <c r="O356" s="2178"/>
      <c r="P356" s="2178"/>
      <c r="Q356" s="2178"/>
      <c r="R356" s="2178"/>
      <c r="S356" s="2178"/>
      <c r="T356" s="2178"/>
      <c r="U356" s="2178"/>
      <c r="V356" s="2178"/>
      <c r="W356" s="2178"/>
      <c r="X356" s="2178"/>
      <c r="Y356" s="2178"/>
      <c r="Z356" s="2178"/>
      <c r="AA356" s="2178"/>
      <c r="AB356" s="2178"/>
      <c r="AC356" s="2178"/>
      <c r="AD356" s="2178"/>
      <c r="AE356" s="2178"/>
      <c r="AF356" s="2178"/>
      <c r="AG356" s="2178"/>
      <c r="AH356" s="2178"/>
      <c r="AI356" s="2178"/>
      <c r="AJ356" s="2178"/>
      <c r="AK356" s="2178"/>
      <c r="AL356" s="2178"/>
      <c r="AM356" s="2204"/>
    </row>
    <row r="357" spans="1:43" s="704" customFormat="1" ht="36" customHeight="1">
      <c r="A357" s="1205"/>
      <c r="B357" s="2022" t="s">
        <v>4167</v>
      </c>
      <c r="C357" s="2023"/>
      <c r="D357" s="2023"/>
      <c r="E357" s="2023"/>
      <c r="F357" s="2023"/>
      <c r="G357" s="2023"/>
      <c r="H357" s="2023"/>
      <c r="I357" s="2023"/>
      <c r="J357" s="2023"/>
      <c r="K357" s="2023"/>
      <c r="L357" s="2023"/>
      <c r="M357" s="2023"/>
      <c r="N357" s="2023"/>
      <c r="O357" s="2023"/>
      <c r="P357" s="2023"/>
      <c r="Q357" s="2023"/>
      <c r="R357" s="2023"/>
      <c r="S357" s="2023"/>
      <c r="T357" s="2023"/>
      <c r="U357" s="2023"/>
      <c r="V357" s="2023"/>
      <c r="W357" s="2023"/>
      <c r="X357" s="2023"/>
      <c r="Y357" s="2023"/>
      <c r="Z357" s="2023"/>
      <c r="AA357" s="2023"/>
      <c r="AB357" s="2023"/>
      <c r="AC357" s="2023"/>
      <c r="AD357" s="2023"/>
      <c r="AE357" s="2023"/>
      <c r="AF357" s="2023"/>
      <c r="AG357" s="2023"/>
      <c r="AH357" s="2023"/>
      <c r="AI357" s="2023"/>
      <c r="AJ357" s="2023"/>
      <c r="AK357" s="2023"/>
      <c r="AL357" s="2023"/>
      <c r="AM357" s="2024"/>
    </row>
    <row r="358" spans="1:43" s="360" customFormat="1" ht="18" customHeight="1">
      <c r="A358" s="463"/>
      <c r="B358" s="1973"/>
      <c r="C358" s="1973"/>
      <c r="D358" s="1973"/>
      <c r="E358" s="1973"/>
      <c r="F358" s="1973"/>
      <c r="G358" s="1973"/>
      <c r="H358" s="1973"/>
      <c r="I358" s="1973"/>
      <c r="J358" s="1973"/>
      <c r="K358" s="1973"/>
      <c r="L358" s="1973"/>
      <c r="M358" s="1973"/>
      <c r="N358" s="1973"/>
      <c r="O358" s="1973"/>
      <c r="P358" s="1973"/>
      <c r="Q358" s="1973"/>
      <c r="R358" s="1973"/>
      <c r="S358" s="1973"/>
      <c r="T358" s="1973"/>
      <c r="U358" s="1973"/>
      <c r="V358" s="1973"/>
      <c r="W358" s="1973"/>
      <c r="X358" s="1973"/>
      <c r="Y358" s="1973"/>
      <c r="Z358" s="1973"/>
      <c r="AA358" s="1973"/>
      <c r="AB358" s="1973"/>
      <c r="AC358" s="1973"/>
      <c r="AD358" s="1973"/>
      <c r="AE358" s="1973"/>
      <c r="AF358" s="1973"/>
      <c r="AG358" s="1973"/>
      <c r="AH358" s="1973"/>
      <c r="AI358" s="1973"/>
      <c r="AJ358" s="1973"/>
      <c r="AK358" s="1973"/>
      <c r="AL358" s="1973"/>
      <c r="AM358" s="1973"/>
      <c r="AN358" s="449"/>
      <c r="AO358" s="1472"/>
    </row>
    <row r="359" spans="1:43" s="360" customFormat="1" ht="18" customHeight="1">
      <c r="A359" s="452"/>
      <c r="B359" s="2034" t="s">
        <v>1004</v>
      </c>
      <c r="C359" s="2034"/>
      <c r="D359" s="2034"/>
      <c r="E359" s="2034"/>
      <c r="F359" s="2034"/>
      <c r="G359" s="2034"/>
      <c r="H359" s="2034"/>
      <c r="I359" s="2034"/>
      <c r="J359" s="2034"/>
      <c r="K359" s="2034"/>
      <c r="L359" s="2034"/>
      <c r="M359" s="2034"/>
      <c r="N359" s="2034"/>
      <c r="O359" s="2034"/>
      <c r="P359" s="2034"/>
      <c r="Q359" s="2034"/>
      <c r="R359" s="2034"/>
      <c r="S359" s="2034"/>
      <c r="T359" s="2034"/>
      <c r="U359" s="2034"/>
      <c r="V359" s="2034"/>
      <c r="W359" s="2034"/>
      <c r="X359" s="2034"/>
      <c r="Y359" s="2034"/>
      <c r="Z359" s="2034"/>
      <c r="AA359" s="2034"/>
      <c r="AB359" s="2034"/>
      <c r="AC359" s="2034"/>
      <c r="AD359" s="2034"/>
      <c r="AE359" s="2034"/>
      <c r="AF359" s="2034"/>
      <c r="AG359" s="2034"/>
      <c r="AH359" s="2034"/>
      <c r="AI359" s="2034"/>
      <c r="AJ359" s="2034"/>
      <c r="AK359" s="2034"/>
      <c r="AL359" s="2034"/>
      <c r="AM359" s="2034"/>
      <c r="AN359" s="449"/>
      <c r="AO359" s="1472"/>
    </row>
    <row r="360" spans="1:43" s="360" customFormat="1" ht="18" customHeight="1">
      <c r="A360" s="452"/>
      <c r="B360" s="1967" t="s">
        <v>1005</v>
      </c>
      <c r="C360" s="1967"/>
      <c r="D360" s="1967"/>
      <c r="E360" s="1967"/>
      <c r="F360" s="1967"/>
      <c r="G360" s="1967"/>
      <c r="H360" s="1967"/>
      <c r="I360" s="1967"/>
      <c r="J360" s="1967"/>
      <c r="K360" s="1977"/>
      <c r="L360" s="1977"/>
      <c r="M360" s="1977"/>
      <c r="N360" s="1977"/>
      <c r="O360" s="1982"/>
      <c r="P360" s="1944" t="s">
        <v>1006</v>
      </c>
      <c r="Q360" s="1944"/>
      <c r="R360" s="1944"/>
      <c r="S360" s="1944"/>
      <c r="T360" s="1944"/>
      <c r="U360" s="1944"/>
      <c r="V360" s="1944"/>
      <c r="W360" s="1944"/>
      <c r="X360" s="1944"/>
      <c r="Y360" s="1944"/>
      <c r="Z360" s="1944"/>
      <c r="AA360" s="1944"/>
      <c r="AB360" s="1944"/>
      <c r="AC360" s="1944"/>
      <c r="AD360" s="1944"/>
      <c r="AE360" s="1944"/>
      <c r="AF360" s="1944"/>
      <c r="AG360" s="1944"/>
      <c r="AH360" s="1944"/>
      <c r="AI360" s="1944"/>
      <c r="AJ360" s="1944"/>
      <c r="AK360" s="1944"/>
      <c r="AL360" s="1944"/>
      <c r="AM360" s="1944"/>
      <c r="AN360" s="449"/>
      <c r="AO360" s="1472"/>
    </row>
    <row r="361" spans="1:43" s="360" customFormat="1" ht="18" customHeight="1">
      <c r="A361" s="452"/>
      <c r="B361" s="1976" t="s">
        <v>1007</v>
      </c>
      <c r="C361" s="1976"/>
      <c r="D361" s="1976"/>
      <c r="E361" s="1976"/>
      <c r="F361" s="1976"/>
      <c r="G361" s="1976"/>
      <c r="H361" s="1976"/>
      <c r="I361" s="1976"/>
      <c r="J361" s="1976"/>
      <c r="K361" s="1737">
        <v>4</v>
      </c>
      <c r="L361" s="1737"/>
      <c r="M361" s="1737"/>
      <c r="N361" s="1737"/>
      <c r="O361" s="2195"/>
      <c r="P361" s="1977" t="s">
        <v>1008</v>
      </c>
      <c r="Q361" s="1977"/>
      <c r="R361" s="1977"/>
      <c r="S361" s="1977"/>
      <c r="T361" s="1977"/>
      <c r="U361" s="1977"/>
      <c r="V361" s="1977"/>
      <c r="W361" s="1977"/>
      <c r="X361" s="1977"/>
      <c r="Y361" s="1827" t="s">
        <v>1009</v>
      </c>
      <c r="Z361" s="1827"/>
      <c r="AA361" s="1827"/>
      <c r="AB361" s="1827"/>
      <c r="AC361" s="2389" t="s">
        <v>1010</v>
      </c>
      <c r="AD361" s="2389"/>
      <c r="AE361" s="2389"/>
      <c r="AF361" s="1827" t="s">
        <v>1011</v>
      </c>
      <c r="AG361" s="1827"/>
      <c r="AH361" s="1827"/>
      <c r="AI361" s="1827"/>
      <c r="AJ361" s="1945" t="s">
        <v>1012</v>
      </c>
      <c r="AK361" s="1945"/>
      <c r="AL361" s="1945"/>
      <c r="AM361" s="1945"/>
      <c r="AN361" s="449"/>
      <c r="AO361" s="1457"/>
      <c r="AP361" s="923"/>
      <c r="AQ361" s="449"/>
    </row>
    <row r="362" spans="1:43" s="360" customFormat="1" ht="18" customHeight="1">
      <c r="A362" s="452"/>
      <c r="B362" s="1976" t="s">
        <v>1013</v>
      </c>
      <c r="C362" s="1976"/>
      <c r="D362" s="1976"/>
      <c r="E362" s="1976"/>
      <c r="F362" s="1976"/>
      <c r="G362" s="1976"/>
      <c r="H362" s="1976"/>
      <c r="I362" s="1976"/>
      <c r="J362" s="1976"/>
      <c r="K362" s="1966">
        <v>345</v>
      </c>
      <c r="L362" s="1966"/>
      <c r="M362" s="1966"/>
      <c r="N362" s="1966"/>
      <c r="O362" s="2390"/>
      <c r="P362" s="2079" t="s">
        <v>4165</v>
      </c>
      <c r="Q362" s="2080"/>
      <c r="R362" s="2080"/>
      <c r="S362" s="2080"/>
      <c r="T362" s="2080"/>
      <c r="U362" s="2080"/>
      <c r="V362" s="2080"/>
      <c r="W362" s="2080"/>
      <c r="X362" s="2080"/>
      <c r="Y362" s="2380" t="s">
        <v>1042</v>
      </c>
      <c r="Z362" s="2381"/>
      <c r="AA362" s="2381"/>
      <c r="AB362" s="2079"/>
      <c r="AC362" s="1972">
        <v>123</v>
      </c>
      <c r="AD362" s="1972"/>
      <c r="AE362" s="1972"/>
      <c r="AF362" s="2035">
        <v>12</v>
      </c>
      <c r="AG362" s="2035"/>
      <c r="AH362" s="2035"/>
      <c r="AI362" s="2035"/>
      <c r="AJ362" s="1980">
        <f>+AC362*AF362*12</f>
        <v>17712</v>
      </c>
      <c r="AK362" s="1980"/>
      <c r="AL362" s="1980"/>
      <c r="AM362" s="1980"/>
      <c r="AN362" s="449"/>
      <c r="AO362" s="1457"/>
      <c r="AP362" s="923"/>
      <c r="AQ362" s="449"/>
    </row>
    <row r="363" spans="1:43" s="360" customFormat="1" ht="18" customHeight="1">
      <c r="A363" s="452"/>
      <c r="B363" s="2078" t="s">
        <v>1014</v>
      </c>
      <c r="C363" s="2078"/>
      <c r="D363" s="2078"/>
      <c r="E363" s="2078"/>
      <c r="F363" s="2078"/>
      <c r="G363" s="2078"/>
      <c r="H363" s="2078"/>
      <c r="I363" s="2078"/>
      <c r="J363" s="2078"/>
      <c r="K363" s="1979">
        <f>+K362*K361*52</f>
        <v>71760</v>
      </c>
      <c r="L363" s="1979"/>
      <c r="M363" s="1979"/>
      <c r="N363" s="1979"/>
      <c r="O363" s="2390"/>
      <c r="P363" s="2079" t="s">
        <v>4165</v>
      </c>
      <c r="Q363" s="2080"/>
      <c r="R363" s="2080"/>
      <c r="S363" s="2080"/>
      <c r="T363" s="2080"/>
      <c r="U363" s="2080"/>
      <c r="V363" s="2080"/>
      <c r="W363" s="2080"/>
      <c r="X363" s="2080"/>
      <c r="Y363" s="2380" t="s">
        <v>1042</v>
      </c>
      <c r="Z363" s="2381"/>
      <c r="AA363" s="2381"/>
      <c r="AB363" s="2079"/>
      <c r="AC363" s="1972">
        <v>124</v>
      </c>
      <c r="AD363" s="1972"/>
      <c r="AE363" s="1972"/>
      <c r="AF363" s="2035">
        <v>13</v>
      </c>
      <c r="AG363" s="2035"/>
      <c r="AH363" s="2035"/>
      <c r="AI363" s="2035"/>
      <c r="AJ363" s="1981">
        <f>+AC363*AF363*12</f>
        <v>19344</v>
      </c>
      <c r="AK363" s="1981"/>
      <c r="AL363" s="1981"/>
      <c r="AM363" s="1981"/>
      <c r="AN363" s="449"/>
      <c r="AO363" s="1457"/>
      <c r="AP363" s="923"/>
      <c r="AQ363" s="449"/>
    </row>
    <row r="364" spans="1:43" s="360" customFormat="1" ht="18" customHeight="1">
      <c r="A364" s="452"/>
      <c r="B364" s="1967" t="s">
        <v>982</v>
      </c>
      <c r="C364" s="1967"/>
      <c r="D364" s="1967"/>
      <c r="E364" s="1967"/>
      <c r="F364" s="1967"/>
      <c r="G364" s="1967"/>
      <c r="H364" s="1967"/>
      <c r="I364" s="1967"/>
      <c r="J364" s="1967"/>
      <c r="K364" s="1968"/>
      <c r="L364" s="1968"/>
      <c r="M364" s="1968"/>
      <c r="N364" s="1968"/>
      <c r="O364" s="1984"/>
      <c r="P364" s="2079" t="s">
        <v>4165</v>
      </c>
      <c r="Q364" s="2080"/>
      <c r="R364" s="2080"/>
      <c r="S364" s="2080"/>
      <c r="T364" s="2080"/>
      <c r="U364" s="2080"/>
      <c r="V364" s="2080"/>
      <c r="W364" s="2080"/>
      <c r="X364" s="2080"/>
      <c r="Y364" s="1969" t="s">
        <v>4166</v>
      </c>
      <c r="Z364" s="1970"/>
      <c r="AA364" s="1970"/>
      <c r="AB364" s="1971"/>
      <c r="AC364" s="1972">
        <v>125</v>
      </c>
      <c r="AD364" s="1972"/>
      <c r="AE364" s="1972"/>
      <c r="AF364" s="2035">
        <v>14</v>
      </c>
      <c r="AG364" s="2035"/>
      <c r="AH364" s="2035"/>
      <c r="AI364" s="2035"/>
      <c r="AJ364" s="1981">
        <f>+AC364*AF364*12</f>
        <v>21000</v>
      </c>
      <c r="AK364" s="1981"/>
      <c r="AL364" s="1981"/>
      <c r="AM364" s="1981"/>
      <c r="AN364" s="449"/>
      <c r="AO364" s="1457"/>
      <c r="AP364" s="923"/>
      <c r="AQ364" s="449"/>
    </row>
    <row r="365" spans="1:43" s="360" customFormat="1" ht="18" customHeight="1">
      <c r="A365" s="452"/>
      <c r="B365" s="1976" t="s">
        <v>1015</v>
      </c>
      <c r="C365" s="1976"/>
      <c r="D365" s="1976"/>
      <c r="E365" s="1976"/>
      <c r="F365" s="1976"/>
      <c r="G365" s="1976"/>
      <c r="H365" s="1976"/>
      <c r="I365" s="1976"/>
      <c r="J365" s="1976"/>
      <c r="K365" s="1978">
        <f>SUM(H345,P345,X345)</f>
        <v>366</v>
      </c>
      <c r="L365" s="1978"/>
      <c r="M365" s="1978"/>
      <c r="N365" s="1978"/>
      <c r="O365" s="2390"/>
      <c r="P365" s="2079" t="s">
        <v>4165</v>
      </c>
      <c r="Q365" s="2080"/>
      <c r="R365" s="2080"/>
      <c r="S365" s="2080"/>
      <c r="T365" s="2080"/>
      <c r="U365" s="2080"/>
      <c r="V365" s="2080"/>
      <c r="W365" s="2080"/>
      <c r="X365" s="2080"/>
      <c r="Y365" s="1969" t="s">
        <v>4166</v>
      </c>
      <c r="Z365" s="1970"/>
      <c r="AA365" s="1970"/>
      <c r="AB365" s="1971"/>
      <c r="AC365" s="1972">
        <v>126</v>
      </c>
      <c r="AD365" s="1972"/>
      <c r="AE365" s="1972"/>
      <c r="AF365" s="2035">
        <v>15</v>
      </c>
      <c r="AG365" s="2035"/>
      <c r="AH365" s="2035"/>
      <c r="AI365" s="2035"/>
      <c r="AJ365" s="1981">
        <f>+AC365*AF365*12</f>
        <v>22680</v>
      </c>
      <c r="AK365" s="1981"/>
      <c r="AL365" s="1981"/>
      <c r="AM365" s="1981"/>
      <c r="AN365" s="449"/>
      <c r="AO365" s="1457"/>
      <c r="AP365" s="923"/>
      <c r="AQ365" s="449"/>
    </row>
    <row r="366" spans="1:43" s="360" customFormat="1" ht="18" customHeight="1">
      <c r="A366" s="452"/>
      <c r="B366" s="1976" t="s">
        <v>1016</v>
      </c>
      <c r="C366" s="1976"/>
      <c r="D366" s="1976"/>
      <c r="E366" s="1976"/>
      <c r="F366" s="1976"/>
      <c r="G366" s="1976"/>
      <c r="H366" s="1976"/>
      <c r="I366" s="1976"/>
      <c r="J366" s="1976"/>
      <c r="K366" s="2020">
        <v>45</v>
      </c>
      <c r="L366" s="2020"/>
      <c r="M366" s="2020"/>
      <c r="N366" s="2020"/>
      <c r="O366" s="2195"/>
      <c r="P366" s="1967" t="s">
        <v>1017</v>
      </c>
      <c r="Q366" s="1967"/>
      <c r="R366" s="1967"/>
      <c r="S366" s="1967"/>
      <c r="T366" s="1967"/>
      <c r="U366" s="1967"/>
      <c r="V366" s="1967"/>
      <c r="W366" s="1967"/>
      <c r="X366" s="1967"/>
      <c r="Y366" s="2019"/>
      <c r="Z366" s="2019"/>
      <c r="AA366" s="2019"/>
      <c r="AB366" s="2019"/>
      <c r="AC366" s="2019"/>
      <c r="AD366" s="2019"/>
      <c r="AE366" s="2019"/>
      <c r="AF366" s="2019"/>
      <c r="AG366" s="2019"/>
      <c r="AH366" s="2019"/>
      <c r="AI366" s="2019"/>
      <c r="AJ366" s="2019"/>
      <c r="AK366" s="2019"/>
      <c r="AL366" s="2019"/>
      <c r="AM366" s="2019"/>
      <c r="AN366" s="1476"/>
      <c r="AO366" s="1457"/>
      <c r="AP366" s="923"/>
      <c r="AQ366" s="449"/>
    </row>
    <row r="367" spans="1:43" s="360" customFormat="1" ht="18" customHeight="1">
      <c r="A367" s="452"/>
      <c r="B367" s="2077" t="s">
        <v>1018</v>
      </c>
      <c r="C367" s="2077"/>
      <c r="D367" s="2077"/>
      <c r="E367" s="2077"/>
      <c r="F367" s="2077"/>
      <c r="G367" s="2077"/>
      <c r="H367" s="2077"/>
      <c r="I367" s="2077"/>
      <c r="J367" s="2077"/>
      <c r="K367" s="1979">
        <f>+K365*K366*12</f>
        <v>197640</v>
      </c>
      <c r="L367" s="1979"/>
      <c r="M367" s="1979"/>
      <c r="N367" s="1979"/>
      <c r="O367" s="2390"/>
      <c r="P367" s="2021" t="s">
        <v>1017</v>
      </c>
      <c r="Q367" s="2021"/>
      <c r="R367" s="2021"/>
      <c r="S367" s="2021"/>
      <c r="T367" s="2021"/>
      <c r="U367" s="2021"/>
      <c r="V367" s="2021"/>
      <c r="W367" s="2021"/>
      <c r="X367" s="2021"/>
      <c r="Y367" s="2380" t="s">
        <v>1042</v>
      </c>
      <c r="Z367" s="2381"/>
      <c r="AA367" s="2381"/>
      <c r="AB367" s="2079"/>
      <c r="AC367" s="1965">
        <v>2</v>
      </c>
      <c r="AD367" s="1965"/>
      <c r="AE367" s="1965"/>
      <c r="AF367" s="1966">
        <v>2</v>
      </c>
      <c r="AG367" s="1966"/>
      <c r="AH367" s="1966"/>
      <c r="AI367" s="1966"/>
      <c r="AJ367" s="1981">
        <f>+AC367*AF367*12</f>
        <v>48</v>
      </c>
      <c r="AK367" s="1981"/>
      <c r="AL367" s="1981"/>
      <c r="AM367" s="1981"/>
      <c r="AN367" s="449"/>
      <c r="AO367" s="1457"/>
      <c r="AP367" s="923"/>
      <c r="AQ367" s="449"/>
    </row>
    <row r="368" spans="1:43" s="360" customFormat="1" ht="18" customHeight="1">
      <c r="A368" s="452"/>
      <c r="B368" s="1967" t="s">
        <v>1019</v>
      </c>
      <c r="C368" s="1967"/>
      <c r="D368" s="1967"/>
      <c r="E368" s="1967"/>
      <c r="F368" s="1967"/>
      <c r="G368" s="1967"/>
      <c r="H368" s="1967"/>
      <c r="I368" s="1967"/>
      <c r="J368" s="1967"/>
      <c r="K368" s="1967"/>
      <c r="L368" s="1967"/>
      <c r="M368" s="1967"/>
      <c r="N368" s="1967"/>
      <c r="O368" s="1984"/>
      <c r="P368" s="2021" t="s">
        <v>1017</v>
      </c>
      <c r="Q368" s="2021"/>
      <c r="R368" s="2021"/>
      <c r="S368" s="2021"/>
      <c r="T368" s="2021"/>
      <c r="U368" s="2021"/>
      <c r="V368" s="2021"/>
      <c r="W368" s="2021"/>
      <c r="X368" s="2021"/>
      <c r="Y368" s="2380" t="s">
        <v>1042</v>
      </c>
      <c r="Z368" s="2381"/>
      <c r="AA368" s="2381"/>
      <c r="AB368" s="2079"/>
      <c r="AC368" s="1965">
        <v>3</v>
      </c>
      <c r="AD368" s="1965"/>
      <c r="AE368" s="1965"/>
      <c r="AF368" s="1966">
        <v>3</v>
      </c>
      <c r="AG368" s="1966"/>
      <c r="AH368" s="1966"/>
      <c r="AI368" s="1966"/>
      <c r="AJ368" s="1981">
        <f>+AC368*AF368*12</f>
        <v>108</v>
      </c>
      <c r="AK368" s="1981"/>
      <c r="AL368" s="1981"/>
      <c r="AM368" s="1981"/>
      <c r="AN368" s="449"/>
      <c r="AO368" s="1457"/>
      <c r="AP368" s="923"/>
      <c r="AQ368" s="449"/>
    </row>
    <row r="369" spans="1:43" s="360" customFormat="1" ht="18" customHeight="1">
      <c r="A369" s="452"/>
      <c r="B369" s="1976" t="s">
        <v>1020</v>
      </c>
      <c r="C369" s="1976"/>
      <c r="D369" s="1976"/>
      <c r="E369" s="1976"/>
      <c r="F369" s="1976"/>
      <c r="G369" s="1976"/>
      <c r="H369" s="1976"/>
      <c r="I369" s="1976"/>
      <c r="J369" s="1976"/>
      <c r="K369" s="1978">
        <f>+$X$354</f>
        <v>25</v>
      </c>
      <c r="L369" s="1978"/>
      <c r="M369" s="1978"/>
      <c r="N369" s="1978"/>
      <c r="O369" s="2390"/>
      <c r="P369" s="2021" t="s">
        <v>1017</v>
      </c>
      <c r="Q369" s="2021"/>
      <c r="R369" s="2021"/>
      <c r="S369" s="2021"/>
      <c r="T369" s="2021"/>
      <c r="U369" s="2021"/>
      <c r="V369" s="2021"/>
      <c r="W369" s="2021"/>
      <c r="X369" s="2021"/>
      <c r="Y369" s="1969" t="s">
        <v>4166</v>
      </c>
      <c r="Z369" s="1970"/>
      <c r="AA369" s="1970"/>
      <c r="AB369" s="1971"/>
      <c r="AC369" s="1965">
        <v>4</v>
      </c>
      <c r="AD369" s="1965"/>
      <c r="AE369" s="1965"/>
      <c r="AF369" s="1966">
        <v>4</v>
      </c>
      <c r="AG369" s="1966"/>
      <c r="AH369" s="1966"/>
      <c r="AI369" s="1966"/>
      <c r="AJ369" s="1981">
        <f>+AC369*AF369*12</f>
        <v>192</v>
      </c>
      <c r="AK369" s="1981"/>
      <c r="AL369" s="1981"/>
      <c r="AM369" s="1981"/>
      <c r="AN369" s="449"/>
      <c r="AO369" s="1457"/>
      <c r="AP369" s="923"/>
      <c r="AQ369" s="449"/>
    </row>
    <row r="370" spans="1:43" s="360" customFormat="1" ht="18" customHeight="1">
      <c r="A370" s="452"/>
      <c r="B370" s="1976" t="s">
        <v>1016</v>
      </c>
      <c r="C370" s="1976"/>
      <c r="D370" s="1976"/>
      <c r="E370" s="1976"/>
      <c r="F370" s="1976"/>
      <c r="G370" s="1976"/>
      <c r="H370" s="1976"/>
      <c r="I370" s="1976"/>
      <c r="J370" s="1976"/>
      <c r="K370" s="2020">
        <v>345</v>
      </c>
      <c r="L370" s="2020"/>
      <c r="M370" s="2020"/>
      <c r="N370" s="2020"/>
      <c r="O370" s="2390"/>
      <c r="P370" s="2021" t="s">
        <v>1017</v>
      </c>
      <c r="Q370" s="2021"/>
      <c r="R370" s="2021"/>
      <c r="S370" s="2021"/>
      <c r="T370" s="2021"/>
      <c r="U370" s="2021"/>
      <c r="V370" s="2021"/>
      <c r="W370" s="2021"/>
      <c r="X370" s="2021"/>
      <c r="Y370" s="1969" t="s">
        <v>4166</v>
      </c>
      <c r="Z370" s="1970"/>
      <c r="AA370" s="1970"/>
      <c r="AB370" s="1971"/>
      <c r="AC370" s="1965">
        <v>5</v>
      </c>
      <c r="AD370" s="1965"/>
      <c r="AE370" s="1965"/>
      <c r="AF370" s="1966">
        <v>5</v>
      </c>
      <c r="AG370" s="1966"/>
      <c r="AH370" s="1966"/>
      <c r="AI370" s="1966"/>
      <c r="AJ370" s="2388">
        <f>+AC370*AF370*12</f>
        <v>300</v>
      </c>
      <c r="AK370" s="2388"/>
      <c r="AL370" s="2388"/>
      <c r="AM370" s="2388"/>
      <c r="AN370" s="449"/>
      <c r="AO370" s="1457"/>
      <c r="AP370" s="923"/>
      <c r="AQ370" s="449"/>
    </row>
    <row r="371" spans="1:43" s="360" customFormat="1" ht="18" customHeight="1">
      <c r="A371" s="452"/>
      <c r="B371" s="2077" t="s">
        <v>1021</v>
      </c>
      <c r="C371" s="2077"/>
      <c r="D371" s="2077"/>
      <c r="E371" s="2077"/>
      <c r="F371" s="2077"/>
      <c r="G371" s="2077"/>
      <c r="H371" s="2077"/>
      <c r="I371" s="2077"/>
      <c r="J371" s="2077"/>
      <c r="K371" s="1979">
        <f>+K369*K370*12</f>
        <v>103500</v>
      </c>
      <c r="L371" s="1979"/>
      <c r="M371" s="1979"/>
      <c r="N371" s="1979"/>
      <c r="O371" s="2195"/>
      <c r="P371" s="2189" t="s">
        <v>1022</v>
      </c>
      <c r="Q371" s="2189"/>
      <c r="R371" s="2189"/>
      <c r="S371" s="2189"/>
      <c r="T371" s="2189"/>
      <c r="U371" s="2189"/>
      <c r="V371" s="2189"/>
      <c r="W371" s="2189"/>
      <c r="X371" s="2189"/>
      <c r="Y371" s="2189"/>
      <c r="Z371" s="2189"/>
      <c r="AA371" s="2189"/>
      <c r="AB371" s="2189"/>
      <c r="AC371" s="2189"/>
      <c r="AD371" s="2189"/>
      <c r="AE371" s="2189"/>
      <c r="AF371" s="2189"/>
      <c r="AG371" s="2189"/>
      <c r="AH371" s="2189"/>
      <c r="AI371" s="2189"/>
      <c r="AJ371" s="2188">
        <f>SUM(AJ362:AM370)</f>
        <v>81384</v>
      </c>
      <c r="AK371" s="2188"/>
      <c r="AL371" s="2188"/>
      <c r="AM371" s="2188"/>
      <c r="AO371" s="1457"/>
      <c r="AP371" s="923"/>
      <c r="AQ371" s="449"/>
    </row>
    <row r="372" spans="1:43" s="360" customFormat="1" ht="18" customHeight="1">
      <c r="A372" s="463"/>
      <c r="B372" s="2187"/>
      <c r="C372" s="2187"/>
      <c r="D372" s="2187"/>
      <c r="E372" s="2187"/>
      <c r="F372" s="2187"/>
      <c r="G372" s="2187"/>
      <c r="H372" s="2187"/>
      <c r="I372" s="2187"/>
      <c r="J372" s="2187"/>
      <c r="K372" s="2187"/>
      <c r="L372" s="2187"/>
      <c r="M372" s="2187"/>
      <c r="N372" s="2187"/>
      <c r="O372" s="2187"/>
      <c r="P372" s="2187"/>
      <c r="Q372" s="2187"/>
      <c r="R372" s="2187"/>
      <c r="S372" s="2187"/>
      <c r="T372" s="2187"/>
      <c r="U372" s="2187"/>
      <c r="V372" s="2187"/>
      <c r="W372" s="2187"/>
      <c r="X372" s="2187"/>
      <c r="Y372" s="2187"/>
      <c r="Z372" s="2187"/>
      <c r="AA372" s="2187"/>
      <c r="AB372" s="2187"/>
      <c r="AC372" s="2187"/>
      <c r="AD372" s="2187"/>
      <c r="AE372" s="2187"/>
      <c r="AF372" s="2187"/>
      <c r="AG372" s="2187"/>
      <c r="AH372" s="2187"/>
      <c r="AI372" s="2187"/>
      <c r="AJ372" s="2187"/>
      <c r="AK372" s="2187"/>
      <c r="AL372" s="2187"/>
      <c r="AM372" s="2187"/>
      <c r="AN372" s="923"/>
      <c r="AO372" s="1457"/>
      <c r="AP372" s="923"/>
      <c r="AQ372" s="449"/>
    </row>
    <row r="373" spans="1:43" s="360" customFormat="1" ht="18" customHeight="1">
      <c r="A373" s="452"/>
      <c r="B373" s="2034" t="s">
        <v>1023</v>
      </c>
      <c r="C373" s="2034"/>
      <c r="D373" s="2034"/>
      <c r="E373" s="2034"/>
      <c r="F373" s="2034"/>
      <c r="G373" s="2034"/>
      <c r="H373" s="2034"/>
      <c r="I373" s="2034"/>
      <c r="J373" s="2034"/>
      <c r="K373" s="2034"/>
      <c r="L373" s="2034"/>
      <c r="M373" s="2034"/>
      <c r="N373" s="2034"/>
      <c r="O373" s="2034"/>
      <c r="P373" s="2034"/>
      <c r="Q373" s="2034"/>
      <c r="R373" s="2034"/>
      <c r="S373" s="2034"/>
      <c r="T373" s="2034"/>
      <c r="U373" s="2034"/>
      <c r="V373" s="2034"/>
      <c r="W373" s="2034"/>
      <c r="X373" s="2034"/>
      <c r="Y373" s="2034"/>
      <c r="Z373" s="2034"/>
      <c r="AA373" s="2034"/>
      <c r="AB373" s="2034"/>
      <c r="AC373" s="2034"/>
      <c r="AD373" s="2034"/>
      <c r="AE373" s="2034"/>
      <c r="AF373" s="2034"/>
      <c r="AG373" s="2034"/>
      <c r="AH373" s="2034"/>
      <c r="AI373" s="2034"/>
      <c r="AJ373" s="2034"/>
      <c r="AK373" s="2034"/>
      <c r="AL373" s="2034"/>
      <c r="AM373" s="2034"/>
      <c r="AN373" s="449"/>
      <c r="AO373" s="1457"/>
      <c r="AP373" s="923"/>
      <c r="AQ373" s="449"/>
    </row>
    <row r="374" spans="1:43" s="360" customFormat="1" ht="18" customHeight="1">
      <c r="A374" s="463"/>
      <c r="B374" s="1023"/>
      <c r="C374" s="1023"/>
      <c r="D374" s="1023"/>
      <c r="E374" s="1023"/>
      <c r="F374" s="1023"/>
      <c r="G374" s="1948" t="s">
        <v>1024</v>
      </c>
      <c r="H374" s="2421"/>
      <c r="I374" s="2421"/>
      <c r="J374" s="2421"/>
      <c r="K374" s="2213"/>
      <c r="L374" s="1023"/>
      <c r="M374" s="2030" t="s">
        <v>1025</v>
      </c>
      <c r="N374" s="2030"/>
      <c r="O374" s="2030"/>
      <c r="P374" s="2030"/>
      <c r="Q374" s="2030"/>
      <c r="R374" s="1023"/>
      <c r="S374" s="2083" t="s">
        <v>1026</v>
      </c>
      <c r="T374" s="2173"/>
      <c r="U374" s="2173"/>
      <c r="V374" s="2173"/>
      <c r="W374" s="2173"/>
      <c r="X374" s="2173"/>
      <c r="Y374" s="2173"/>
      <c r="Z374" s="2173"/>
      <c r="AA374" s="2173"/>
      <c r="AB374" s="2173"/>
      <c r="AC374" s="2173"/>
      <c r="AD374" s="2173"/>
      <c r="AE374" s="2173"/>
      <c r="AF374" s="2173"/>
      <c r="AG374" s="2173"/>
      <c r="AH374" s="2173"/>
      <c r="AI374" s="2173"/>
      <c r="AJ374" s="2009"/>
      <c r="AK374" s="1982"/>
      <c r="AL374" s="1982"/>
      <c r="AM374" s="1982"/>
      <c r="AN374" s="1476"/>
      <c r="AO374" s="1457"/>
      <c r="AP374" s="923"/>
      <c r="AQ374" s="449"/>
    </row>
    <row r="375" spans="1:43" s="360" customFormat="1" ht="18" customHeight="1">
      <c r="A375" s="463"/>
      <c r="B375" s="1924" t="s">
        <v>1027</v>
      </c>
      <c r="C375" s="1924"/>
      <c r="D375" s="1924"/>
      <c r="E375" s="1924"/>
      <c r="F375" s="1924"/>
      <c r="G375" s="2058" t="s">
        <v>1028</v>
      </c>
      <c r="H375" s="2058"/>
      <c r="I375" s="2058"/>
      <c r="J375" s="2058"/>
      <c r="K375" s="2058"/>
      <c r="L375" s="929"/>
      <c r="M375" s="2030"/>
      <c r="N375" s="2030"/>
      <c r="O375" s="2030"/>
      <c r="P375" s="2030"/>
      <c r="Q375" s="2030"/>
      <c r="R375" s="1023"/>
      <c r="S375" s="2190" t="s">
        <v>1029</v>
      </c>
      <c r="T375" s="2033"/>
      <c r="U375" s="2033"/>
      <c r="V375" s="2033" t="s">
        <v>1030</v>
      </c>
      <c r="W375" s="2033"/>
      <c r="X375" s="2033"/>
      <c r="Y375" s="2033" t="s">
        <v>1031</v>
      </c>
      <c r="Z375" s="2033"/>
      <c r="AA375" s="2033"/>
      <c r="AB375" s="2033" t="s">
        <v>1032</v>
      </c>
      <c r="AC375" s="2033"/>
      <c r="AD375" s="2033"/>
      <c r="AE375" s="2033" t="s">
        <v>1033</v>
      </c>
      <c r="AF375" s="2033"/>
      <c r="AG375" s="2033"/>
      <c r="AH375" s="2033" t="s">
        <v>1034</v>
      </c>
      <c r="AI375" s="2033"/>
      <c r="AJ375" s="2205"/>
      <c r="AK375" s="1982"/>
      <c r="AL375" s="1982"/>
      <c r="AM375" s="1982"/>
      <c r="AN375" s="1476"/>
      <c r="AO375" s="1457"/>
      <c r="AP375" s="923"/>
      <c r="AQ375" s="449"/>
    </row>
    <row r="376" spans="1:43" s="360" customFormat="1" ht="18" customHeight="1">
      <c r="A376" s="463"/>
      <c r="B376" s="1976" t="s">
        <v>1035</v>
      </c>
      <c r="C376" s="1976"/>
      <c r="D376" s="1976"/>
      <c r="E376" s="1976"/>
      <c r="F376" s="1976"/>
      <c r="G376" s="2021" t="s">
        <v>4164</v>
      </c>
      <c r="H376" s="2021"/>
      <c r="I376" s="2021"/>
      <c r="J376" s="2021"/>
      <c r="K376" s="2021"/>
      <c r="L376" s="929"/>
      <c r="M376" s="2021" t="s">
        <v>4163</v>
      </c>
      <c r="N376" s="2021"/>
      <c r="O376" s="2021"/>
      <c r="P376" s="2021"/>
      <c r="Q376" s="2021"/>
      <c r="R376" s="929"/>
      <c r="S376" s="2032">
        <v>12</v>
      </c>
      <c r="T376" s="2032"/>
      <c r="U376" s="2032"/>
      <c r="V376" s="2032">
        <v>231</v>
      </c>
      <c r="W376" s="2032"/>
      <c r="X376" s="2032"/>
      <c r="Y376" s="2032">
        <v>232</v>
      </c>
      <c r="Z376" s="2032"/>
      <c r="AA376" s="2032"/>
      <c r="AB376" s="2032">
        <v>233</v>
      </c>
      <c r="AC376" s="2032"/>
      <c r="AD376" s="2032"/>
      <c r="AE376" s="2032">
        <v>234</v>
      </c>
      <c r="AF376" s="2032"/>
      <c r="AG376" s="2032"/>
      <c r="AH376" s="2032">
        <v>235</v>
      </c>
      <c r="AI376" s="2032"/>
      <c r="AJ376" s="2032"/>
      <c r="AK376" s="1982"/>
      <c r="AL376" s="1982"/>
      <c r="AM376" s="1982"/>
      <c r="AN376" s="1476"/>
      <c r="AO376" s="1457"/>
      <c r="AP376" s="923"/>
      <c r="AQ376" s="449"/>
    </row>
    <row r="377" spans="1:43" s="360" customFormat="1" ht="18" customHeight="1">
      <c r="A377" s="463"/>
      <c r="B377" s="1976" t="s">
        <v>1036</v>
      </c>
      <c r="C377" s="1976"/>
      <c r="D377" s="1976"/>
      <c r="E377" s="1976"/>
      <c r="F377" s="1976"/>
      <c r="G377" s="2021" t="s">
        <v>4164</v>
      </c>
      <c r="H377" s="2021"/>
      <c r="I377" s="2021"/>
      <c r="J377" s="2021"/>
      <c r="K377" s="2021"/>
      <c r="L377" s="929"/>
      <c r="M377" s="2021" t="s">
        <v>4163</v>
      </c>
      <c r="N377" s="2021"/>
      <c r="O377" s="2021"/>
      <c r="P377" s="2021"/>
      <c r="Q377" s="2021"/>
      <c r="R377" s="929"/>
      <c r="S377" s="2032">
        <v>13</v>
      </c>
      <c r="T377" s="2032"/>
      <c r="U377" s="2032"/>
      <c r="V377" s="2032">
        <v>231</v>
      </c>
      <c r="W377" s="2032"/>
      <c r="X377" s="2032"/>
      <c r="Y377" s="2032">
        <v>232</v>
      </c>
      <c r="Z377" s="2032"/>
      <c r="AA377" s="2032"/>
      <c r="AB377" s="2032">
        <v>233</v>
      </c>
      <c r="AC377" s="2032"/>
      <c r="AD377" s="2032"/>
      <c r="AE377" s="2032">
        <v>234</v>
      </c>
      <c r="AF377" s="2032"/>
      <c r="AG377" s="2032"/>
      <c r="AH377" s="2032">
        <v>235</v>
      </c>
      <c r="AI377" s="2032"/>
      <c r="AJ377" s="2032"/>
      <c r="AK377" s="1982"/>
      <c r="AL377" s="1982"/>
      <c r="AM377" s="1982"/>
      <c r="AN377" s="1476"/>
      <c r="AO377" s="1473"/>
      <c r="AP377" s="1473"/>
    </row>
    <row r="378" spans="1:43" s="360" customFormat="1" ht="18" customHeight="1">
      <c r="A378" s="463"/>
      <c r="B378" s="1976" t="s">
        <v>1037</v>
      </c>
      <c r="C378" s="1976"/>
      <c r="D378" s="1976"/>
      <c r="E378" s="1976"/>
      <c r="F378" s="1976"/>
      <c r="G378" s="2021" t="s">
        <v>4164</v>
      </c>
      <c r="H378" s="2021"/>
      <c r="I378" s="2021"/>
      <c r="J378" s="2021"/>
      <c r="K378" s="2021"/>
      <c r="L378" s="929"/>
      <c r="M378" s="2021" t="s">
        <v>4163</v>
      </c>
      <c r="N378" s="2021"/>
      <c r="O378" s="2021"/>
      <c r="P378" s="2021"/>
      <c r="Q378" s="2021"/>
      <c r="R378" s="929"/>
      <c r="S378" s="2032">
        <v>14</v>
      </c>
      <c r="T378" s="2032"/>
      <c r="U378" s="2032"/>
      <c r="V378" s="2032">
        <v>231</v>
      </c>
      <c r="W378" s="2032"/>
      <c r="X378" s="2032"/>
      <c r="Y378" s="2032">
        <v>232</v>
      </c>
      <c r="Z378" s="2032"/>
      <c r="AA378" s="2032"/>
      <c r="AB378" s="2032">
        <v>233</v>
      </c>
      <c r="AC378" s="2032"/>
      <c r="AD378" s="2032"/>
      <c r="AE378" s="2032">
        <v>234</v>
      </c>
      <c r="AF378" s="2032"/>
      <c r="AG378" s="2032"/>
      <c r="AH378" s="2032">
        <v>235</v>
      </c>
      <c r="AI378" s="2032"/>
      <c r="AJ378" s="2032"/>
      <c r="AK378" s="1982"/>
      <c r="AL378" s="1982"/>
      <c r="AM378" s="1982"/>
      <c r="AN378" s="1476"/>
      <c r="AO378" s="1472"/>
      <c r="AP378" s="1472"/>
    </row>
    <row r="379" spans="1:43" s="360" customFormat="1" ht="18" customHeight="1">
      <c r="A379" s="463"/>
      <c r="B379" s="1976" t="s">
        <v>927</v>
      </c>
      <c r="C379" s="1976"/>
      <c r="D379" s="1976"/>
      <c r="E379" s="1976"/>
      <c r="F379" s="1976"/>
      <c r="G379" s="2021" t="s">
        <v>4164</v>
      </c>
      <c r="H379" s="2021"/>
      <c r="I379" s="2021"/>
      <c r="J379" s="2021"/>
      <c r="K379" s="2021"/>
      <c r="L379" s="929"/>
      <c r="M379" s="2021" t="s">
        <v>4163</v>
      </c>
      <c r="N379" s="2021"/>
      <c r="O379" s="2021"/>
      <c r="P379" s="2021"/>
      <c r="Q379" s="2021"/>
      <c r="R379" s="929"/>
      <c r="S379" s="2032">
        <v>15</v>
      </c>
      <c r="T379" s="2032"/>
      <c r="U379" s="2032"/>
      <c r="V379" s="2032">
        <v>231</v>
      </c>
      <c r="W379" s="2032"/>
      <c r="X379" s="2032"/>
      <c r="Y379" s="2032">
        <v>232</v>
      </c>
      <c r="Z379" s="2032"/>
      <c r="AA379" s="2032"/>
      <c r="AB379" s="2032">
        <v>233</v>
      </c>
      <c r="AC379" s="2032"/>
      <c r="AD379" s="2032"/>
      <c r="AE379" s="2032">
        <v>234</v>
      </c>
      <c r="AF379" s="2032"/>
      <c r="AG379" s="2032"/>
      <c r="AH379" s="2032">
        <v>235</v>
      </c>
      <c r="AI379" s="2032"/>
      <c r="AJ379" s="2032"/>
      <c r="AK379" s="1982"/>
      <c r="AL379" s="1982"/>
      <c r="AM379" s="1982"/>
      <c r="AN379" s="1476"/>
      <c r="AO379" s="1472"/>
      <c r="AP379" s="1472"/>
    </row>
    <row r="380" spans="1:43" s="360" customFormat="1" ht="18" customHeight="1">
      <c r="A380" s="463"/>
      <c r="B380" s="1976" t="s">
        <v>1038</v>
      </c>
      <c r="C380" s="1976"/>
      <c r="D380" s="1976"/>
      <c r="E380" s="1976"/>
      <c r="F380" s="1976"/>
      <c r="G380" s="2021" t="s">
        <v>4164</v>
      </c>
      <c r="H380" s="2021"/>
      <c r="I380" s="2021"/>
      <c r="J380" s="2021"/>
      <c r="K380" s="2021"/>
      <c r="L380" s="929"/>
      <c r="M380" s="2021" t="s">
        <v>4163</v>
      </c>
      <c r="N380" s="2021"/>
      <c r="O380" s="2021"/>
      <c r="P380" s="2021"/>
      <c r="Q380" s="2021"/>
      <c r="R380" s="929"/>
      <c r="S380" s="2032">
        <v>16</v>
      </c>
      <c r="T380" s="2032"/>
      <c r="U380" s="2032"/>
      <c r="V380" s="2032">
        <v>231</v>
      </c>
      <c r="W380" s="2032"/>
      <c r="X380" s="2032"/>
      <c r="Y380" s="2032">
        <v>232</v>
      </c>
      <c r="Z380" s="2032"/>
      <c r="AA380" s="2032"/>
      <c r="AB380" s="2032">
        <v>233</v>
      </c>
      <c r="AC380" s="2032"/>
      <c r="AD380" s="2032"/>
      <c r="AE380" s="2032">
        <v>234</v>
      </c>
      <c r="AF380" s="2032"/>
      <c r="AG380" s="2032"/>
      <c r="AH380" s="2032">
        <v>235</v>
      </c>
      <c r="AI380" s="2032"/>
      <c r="AJ380" s="2032"/>
      <c r="AK380" s="1982"/>
      <c r="AL380" s="1982"/>
      <c r="AM380" s="1982"/>
      <c r="AN380" s="1476"/>
      <c r="AO380" s="1472"/>
      <c r="AP380" s="1472"/>
    </row>
    <row r="381" spans="1:43" s="360" customFormat="1" ht="18" customHeight="1">
      <c r="A381" s="463"/>
      <c r="B381" s="1976" t="s">
        <v>1039</v>
      </c>
      <c r="C381" s="1976"/>
      <c r="D381" s="1976"/>
      <c r="E381" s="1976"/>
      <c r="F381" s="1976"/>
      <c r="G381" s="2021" t="s">
        <v>4164</v>
      </c>
      <c r="H381" s="2021"/>
      <c r="I381" s="2021"/>
      <c r="J381" s="2021"/>
      <c r="K381" s="2021"/>
      <c r="L381" s="929"/>
      <c r="M381" s="2021" t="s">
        <v>4163</v>
      </c>
      <c r="N381" s="2021"/>
      <c r="O381" s="2021"/>
      <c r="P381" s="2021"/>
      <c r="Q381" s="2021"/>
      <c r="R381" s="929"/>
      <c r="S381" s="2032">
        <v>17</v>
      </c>
      <c r="T381" s="2032"/>
      <c r="U381" s="2032"/>
      <c r="V381" s="2032">
        <v>231</v>
      </c>
      <c r="W381" s="2032"/>
      <c r="X381" s="2032"/>
      <c r="Y381" s="2032">
        <v>232</v>
      </c>
      <c r="Z381" s="2032"/>
      <c r="AA381" s="2032"/>
      <c r="AB381" s="2032">
        <v>233</v>
      </c>
      <c r="AC381" s="2032"/>
      <c r="AD381" s="2032"/>
      <c r="AE381" s="2032">
        <v>234</v>
      </c>
      <c r="AF381" s="2032"/>
      <c r="AG381" s="2032"/>
      <c r="AH381" s="2032">
        <v>235</v>
      </c>
      <c r="AI381" s="2032"/>
      <c r="AJ381" s="2032"/>
      <c r="AK381" s="1982"/>
      <c r="AL381" s="1982"/>
      <c r="AM381" s="1982"/>
      <c r="AN381" s="1476"/>
      <c r="AO381" s="1472"/>
    </row>
    <row r="382" spans="1:43" s="360" customFormat="1" ht="18" customHeight="1">
      <c r="A382" s="463"/>
      <c r="B382" s="1976" t="s">
        <v>1040</v>
      </c>
      <c r="C382" s="1976"/>
      <c r="D382" s="1976"/>
      <c r="E382" s="1976"/>
      <c r="F382" s="1976"/>
      <c r="G382" s="2021" t="s">
        <v>4164</v>
      </c>
      <c r="H382" s="2021"/>
      <c r="I382" s="2021"/>
      <c r="J382" s="2021"/>
      <c r="K382" s="2021"/>
      <c r="L382" s="929"/>
      <c r="M382" s="2021" t="s">
        <v>4163</v>
      </c>
      <c r="N382" s="2021"/>
      <c r="O382" s="2021"/>
      <c r="P382" s="2021"/>
      <c r="Q382" s="2021"/>
      <c r="R382" s="929"/>
      <c r="S382" s="2032">
        <v>18</v>
      </c>
      <c r="T382" s="2032"/>
      <c r="U382" s="2032"/>
      <c r="V382" s="2032">
        <v>231</v>
      </c>
      <c r="W382" s="2032"/>
      <c r="X382" s="2032"/>
      <c r="Y382" s="2032">
        <v>232</v>
      </c>
      <c r="Z382" s="2032"/>
      <c r="AA382" s="2032"/>
      <c r="AB382" s="2032">
        <v>233</v>
      </c>
      <c r="AC382" s="2032"/>
      <c r="AD382" s="2032"/>
      <c r="AE382" s="2032">
        <v>234</v>
      </c>
      <c r="AF382" s="2032"/>
      <c r="AG382" s="2032"/>
      <c r="AH382" s="2032">
        <v>235</v>
      </c>
      <c r="AI382" s="2032"/>
      <c r="AJ382" s="2032"/>
      <c r="AK382" s="1982"/>
      <c r="AL382" s="1982"/>
      <c r="AM382" s="1982"/>
      <c r="AN382" s="1476"/>
      <c r="AO382" s="1472"/>
    </row>
    <row r="383" spans="1:43" s="360" customFormat="1" ht="18" customHeight="1">
      <c r="A383" s="463"/>
      <c r="B383" s="1976" t="s">
        <v>1041</v>
      </c>
      <c r="C383" s="1976"/>
      <c r="D383" s="1976"/>
      <c r="E383" s="1976"/>
      <c r="F383" s="1976"/>
      <c r="G383" s="2021" t="s">
        <v>4164</v>
      </c>
      <c r="H383" s="2021"/>
      <c r="I383" s="2021"/>
      <c r="J383" s="2021"/>
      <c r="K383" s="2021"/>
      <c r="L383" s="929"/>
      <c r="M383" s="2021" t="s">
        <v>4163</v>
      </c>
      <c r="N383" s="2021"/>
      <c r="O383" s="2021"/>
      <c r="P383" s="2021"/>
      <c r="Q383" s="2021"/>
      <c r="R383" s="929"/>
      <c r="S383" s="2032">
        <v>19</v>
      </c>
      <c r="T383" s="2032"/>
      <c r="U383" s="2032"/>
      <c r="V383" s="2032">
        <v>231</v>
      </c>
      <c r="W383" s="2032"/>
      <c r="X383" s="2032"/>
      <c r="Y383" s="2032">
        <v>232</v>
      </c>
      <c r="Z383" s="2032"/>
      <c r="AA383" s="2032"/>
      <c r="AB383" s="2032">
        <v>233</v>
      </c>
      <c r="AC383" s="2032"/>
      <c r="AD383" s="2032"/>
      <c r="AE383" s="2032">
        <v>234</v>
      </c>
      <c r="AF383" s="2032"/>
      <c r="AG383" s="2032"/>
      <c r="AH383" s="2032">
        <v>235</v>
      </c>
      <c r="AI383" s="2032"/>
      <c r="AJ383" s="2032"/>
      <c r="AK383" s="1982"/>
      <c r="AL383" s="1982"/>
      <c r="AM383" s="1982"/>
      <c r="AN383" s="1476"/>
      <c r="AO383" s="1472"/>
    </row>
    <row r="384" spans="1:43" s="360" customFormat="1" ht="18" customHeight="1">
      <c r="A384" s="463"/>
      <c r="B384" s="1976" t="s">
        <v>1042</v>
      </c>
      <c r="C384" s="1976"/>
      <c r="D384" s="1976"/>
      <c r="E384" s="1976"/>
      <c r="F384" s="1976"/>
      <c r="G384" s="2021" t="s">
        <v>4164</v>
      </c>
      <c r="H384" s="2021"/>
      <c r="I384" s="2021"/>
      <c r="J384" s="2021"/>
      <c r="K384" s="2021"/>
      <c r="L384" s="929"/>
      <c r="M384" s="2021" t="s">
        <v>4163</v>
      </c>
      <c r="N384" s="2021"/>
      <c r="O384" s="2021"/>
      <c r="P384" s="2021"/>
      <c r="Q384" s="2021"/>
      <c r="R384" s="929"/>
      <c r="S384" s="2032">
        <v>20</v>
      </c>
      <c r="T384" s="2032"/>
      <c r="U384" s="2032"/>
      <c r="V384" s="2032">
        <v>231</v>
      </c>
      <c r="W384" s="2032"/>
      <c r="X384" s="2032"/>
      <c r="Y384" s="2032">
        <v>232</v>
      </c>
      <c r="Z384" s="2032"/>
      <c r="AA384" s="2032"/>
      <c r="AB384" s="2032">
        <v>233</v>
      </c>
      <c r="AC384" s="2032"/>
      <c r="AD384" s="2032"/>
      <c r="AE384" s="2032">
        <v>234</v>
      </c>
      <c r="AF384" s="2032"/>
      <c r="AG384" s="2032"/>
      <c r="AH384" s="2032">
        <v>235</v>
      </c>
      <c r="AI384" s="2032"/>
      <c r="AJ384" s="2032"/>
      <c r="AK384" s="1982"/>
      <c r="AL384" s="1982"/>
      <c r="AM384" s="1982"/>
      <c r="AN384" s="1476"/>
      <c r="AO384" s="1472"/>
    </row>
    <row r="385" spans="1:41" s="360" customFormat="1" ht="18" customHeight="1">
      <c r="A385" s="463"/>
      <c r="B385" s="2078" t="s">
        <v>1043</v>
      </c>
      <c r="C385" s="2078"/>
      <c r="D385" s="2078"/>
      <c r="E385" s="2078"/>
      <c r="F385" s="2078"/>
      <c r="G385" s="2078"/>
      <c r="H385" s="2078"/>
      <c r="I385" s="2078"/>
      <c r="J385" s="2078"/>
      <c r="K385" s="2078"/>
      <c r="L385" s="2078"/>
      <c r="M385" s="2078"/>
      <c r="N385" s="2078"/>
      <c r="O385" s="2078"/>
      <c r="P385" s="2078"/>
      <c r="Q385" s="2078"/>
      <c r="R385" s="2078"/>
      <c r="S385" s="2040">
        <f>SUM(S376:U384)</f>
        <v>144</v>
      </c>
      <c r="T385" s="2040"/>
      <c r="U385" s="2040"/>
      <c r="V385" s="2040">
        <f>SUM(V376:X384)</f>
        <v>2079</v>
      </c>
      <c r="W385" s="2040"/>
      <c r="X385" s="2040"/>
      <c r="Y385" s="2040">
        <f>SUM(Y376:AA384)</f>
        <v>2088</v>
      </c>
      <c r="Z385" s="2040"/>
      <c r="AA385" s="2040"/>
      <c r="AB385" s="2040">
        <f>SUM(AB376:AD384)</f>
        <v>2097</v>
      </c>
      <c r="AC385" s="2040"/>
      <c r="AD385" s="2040"/>
      <c r="AE385" s="2040">
        <f>SUM(AE376:AG384)</f>
        <v>2106</v>
      </c>
      <c r="AF385" s="2040"/>
      <c r="AG385" s="2040"/>
      <c r="AH385" s="2040">
        <f>SUM(AH376:AJ384)</f>
        <v>2115</v>
      </c>
      <c r="AI385" s="2040"/>
      <c r="AJ385" s="2040"/>
      <c r="AK385" s="1982"/>
      <c r="AL385" s="1982"/>
      <c r="AM385" s="1982"/>
      <c r="AN385" s="1476"/>
      <c r="AO385" s="1472"/>
    </row>
    <row r="386" spans="1:41" s="360" customFormat="1" ht="18" customHeight="1">
      <c r="A386" s="463"/>
      <c r="B386" s="368"/>
      <c r="C386" s="368"/>
      <c r="D386" s="368"/>
      <c r="E386" s="368"/>
      <c r="F386" s="368"/>
      <c r="G386" s="368"/>
      <c r="H386" s="368"/>
      <c r="I386" s="368"/>
      <c r="J386" s="368"/>
      <c r="K386" s="368"/>
      <c r="L386" s="368"/>
      <c r="M386" s="368"/>
      <c r="N386" s="368"/>
      <c r="O386" s="368"/>
      <c r="P386" s="368"/>
      <c r="Q386" s="368"/>
      <c r="R386" s="368"/>
      <c r="S386" s="368"/>
      <c r="T386" s="368"/>
      <c r="U386" s="368"/>
      <c r="V386" s="368"/>
      <c r="W386" s="368"/>
      <c r="X386" s="368"/>
      <c r="Y386" s="368"/>
      <c r="Z386" s="368"/>
      <c r="AA386" s="368"/>
      <c r="AB386" s="368"/>
      <c r="AC386" s="368"/>
      <c r="AD386" s="368"/>
      <c r="AE386" s="368"/>
      <c r="AF386" s="368"/>
      <c r="AG386" s="368"/>
      <c r="AH386" s="368"/>
      <c r="AI386" s="368"/>
      <c r="AJ386" s="368"/>
      <c r="AK386" s="368"/>
      <c r="AL386" s="368"/>
      <c r="AM386" s="368"/>
      <c r="AN386" s="368"/>
      <c r="AO386" s="1472"/>
    </row>
    <row r="387" spans="1:41" s="360" customFormat="1" ht="18" customHeight="1">
      <c r="A387" s="463"/>
      <c r="B387" s="2137" t="s">
        <v>1044</v>
      </c>
      <c r="C387" s="2137"/>
      <c r="D387" s="2137"/>
      <c r="E387" s="2137"/>
      <c r="F387" s="2137"/>
      <c r="G387" s="2137"/>
      <c r="H387" s="2137"/>
      <c r="I387" s="2137"/>
      <c r="J387" s="2137"/>
      <c r="K387" s="2137"/>
      <c r="L387" s="2137"/>
      <c r="M387" s="2137"/>
      <c r="N387" s="2137"/>
      <c r="O387" s="2137"/>
      <c r="P387" s="2137"/>
      <c r="Q387" s="2137"/>
      <c r="R387" s="2137"/>
      <c r="S387" s="2137"/>
      <c r="T387" s="2137"/>
      <c r="U387" s="2137"/>
      <c r="V387" s="2137"/>
      <c r="W387" s="2137"/>
      <c r="X387" s="2137"/>
      <c r="Y387" s="2137"/>
      <c r="Z387" s="2137"/>
      <c r="AA387" s="2137"/>
      <c r="AB387" s="2137"/>
      <c r="AC387" s="2137"/>
      <c r="AD387" s="2137"/>
      <c r="AE387" s="2137"/>
      <c r="AF387" s="2137"/>
      <c r="AG387" s="2137"/>
      <c r="AH387" s="2137"/>
      <c r="AI387" s="2137"/>
      <c r="AJ387" s="2137"/>
      <c r="AK387" s="2137"/>
      <c r="AL387" s="2137"/>
      <c r="AM387" s="2137"/>
      <c r="AN387" s="1476"/>
      <c r="AO387" s="1472"/>
    </row>
    <row r="388" spans="1:41" s="360" customFormat="1" ht="18" customHeight="1">
      <c r="A388" s="463"/>
      <c r="B388" s="1811" t="s">
        <v>664</v>
      </c>
      <c r="C388" s="2170"/>
      <c r="D388" s="2047" t="s">
        <v>1045</v>
      </c>
      <c r="E388" s="2048"/>
      <c r="F388" s="2049"/>
      <c r="G388" s="2041" t="s">
        <v>1046</v>
      </c>
      <c r="H388" s="2042"/>
      <c r="I388" s="2043"/>
      <c r="J388" s="1989" t="s">
        <v>4160</v>
      </c>
      <c r="K388" s="1990"/>
      <c r="L388" s="1990"/>
      <c r="M388" s="1990"/>
      <c r="N388" s="1990"/>
      <c r="O388" s="1990"/>
      <c r="P388" s="1990"/>
      <c r="Q388" s="1990"/>
      <c r="R388" s="1990"/>
      <c r="S388" s="1990"/>
      <c r="T388" s="1990"/>
      <c r="U388" s="1990"/>
      <c r="V388" s="1990"/>
      <c r="W388" s="1990"/>
      <c r="X388" s="1990"/>
      <c r="Y388" s="1990"/>
      <c r="Z388" s="1990"/>
      <c r="AA388" s="1990"/>
      <c r="AB388" s="1990"/>
      <c r="AC388" s="1990"/>
      <c r="AD388" s="1990"/>
      <c r="AE388" s="1991"/>
      <c r="AF388" s="2047" t="s">
        <v>1047</v>
      </c>
      <c r="AG388" s="2048"/>
      <c r="AH388" s="2048"/>
      <c r="AI388" s="2049"/>
      <c r="AJ388" s="2044" t="s">
        <v>4162</v>
      </c>
      <c r="AK388" s="2045"/>
      <c r="AL388" s="2045"/>
      <c r="AM388" s="2046"/>
      <c r="AN388" s="1476"/>
      <c r="AO388" s="1472"/>
    </row>
    <row r="389" spans="1:41" s="360" customFormat="1" ht="18" customHeight="1">
      <c r="A389" s="463"/>
      <c r="B389" s="2066" t="s">
        <v>664</v>
      </c>
      <c r="C389" s="2066"/>
      <c r="D389" s="2065" t="s">
        <v>1048</v>
      </c>
      <c r="E389" s="2065"/>
      <c r="F389" s="2065"/>
      <c r="G389" s="2050" t="s">
        <v>664</v>
      </c>
      <c r="H389" s="2051"/>
      <c r="I389" s="2183" t="s">
        <v>1049</v>
      </c>
      <c r="J389" s="2184"/>
      <c r="K389" s="2184"/>
      <c r="L389" s="2184"/>
      <c r="M389" s="2184"/>
      <c r="N389" s="2184"/>
      <c r="O389" s="2184"/>
      <c r="P389" s="2185"/>
      <c r="Q389" s="2050" t="s">
        <v>1475</v>
      </c>
      <c r="R389" s="2051"/>
      <c r="S389" s="2036" t="s">
        <v>1050</v>
      </c>
      <c r="T389" s="2019"/>
      <c r="U389" s="2019"/>
      <c r="V389" s="2037"/>
      <c r="W389" s="1989" t="s">
        <v>4161</v>
      </c>
      <c r="X389" s="1990"/>
      <c r="Y389" s="1990"/>
      <c r="Z389" s="1990"/>
      <c r="AA389" s="1990"/>
      <c r="AB389" s="1990"/>
      <c r="AC389" s="1990"/>
      <c r="AD389" s="1990"/>
      <c r="AE389" s="1990"/>
      <c r="AF389" s="1990"/>
      <c r="AG389" s="1990"/>
      <c r="AH389" s="1990"/>
      <c r="AI389" s="1990"/>
      <c r="AJ389" s="1990"/>
      <c r="AK389" s="1990"/>
      <c r="AL389" s="1990"/>
      <c r="AM389" s="1991"/>
      <c r="AN389" s="1476"/>
      <c r="AO389" s="1472"/>
    </row>
    <row r="390" spans="1:41" s="360" customFormat="1" ht="18" customHeight="1">
      <c r="A390" s="463"/>
      <c r="B390" s="2056" t="s">
        <v>1051</v>
      </c>
      <c r="C390" s="2056"/>
      <c r="D390" s="2056"/>
      <c r="E390" s="2056"/>
      <c r="F390" s="2056"/>
      <c r="G390" s="2056"/>
      <c r="H390" s="2056"/>
      <c r="I390" s="2056"/>
      <c r="J390" s="2056"/>
      <c r="K390" s="2056"/>
      <c r="L390" s="2056"/>
      <c r="M390" s="2056"/>
      <c r="N390" s="2056"/>
      <c r="O390" s="2056"/>
      <c r="P390" s="2056"/>
      <c r="Q390" s="2056"/>
      <c r="R390" s="2056"/>
      <c r="S390" s="2056"/>
      <c r="T390" s="2056"/>
      <c r="U390" s="2056"/>
      <c r="V390" s="2056"/>
      <c r="W390" s="2056"/>
      <c r="X390" s="2056"/>
      <c r="Y390" s="2056"/>
      <c r="Z390" s="2056"/>
      <c r="AA390" s="2056"/>
      <c r="AB390" s="2056"/>
      <c r="AC390" s="2056"/>
      <c r="AD390" s="2056"/>
      <c r="AE390" s="2056"/>
      <c r="AF390" s="2056"/>
      <c r="AG390" s="2056"/>
      <c r="AH390" s="2056"/>
      <c r="AI390" s="2056"/>
      <c r="AJ390" s="2056"/>
      <c r="AK390" s="2056"/>
      <c r="AL390" s="2056"/>
      <c r="AM390" s="2056"/>
      <c r="AN390" s="1311"/>
      <c r="AO390" s="1472"/>
    </row>
    <row r="391" spans="1:41" s="360" customFormat="1" ht="35.25" customHeight="1">
      <c r="A391" s="463"/>
      <c r="B391" s="2057" t="s">
        <v>4147</v>
      </c>
      <c r="C391" s="2057"/>
      <c r="D391" s="2057"/>
      <c r="E391" s="2057"/>
      <c r="F391" s="2057"/>
      <c r="G391" s="2057"/>
      <c r="H391" s="2057"/>
      <c r="I391" s="2057"/>
      <c r="J391" s="2057"/>
      <c r="K391" s="2057"/>
      <c r="L391" s="2057"/>
      <c r="M391" s="2057"/>
      <c r="N391" s="2057"/>
      <c r="O391" s="2057"/>
      <c r="P391" s="2057"/>
      <c r="Q391" s="2057"/>
      <c r="R391" s="2057"/>
      <c r="S391" s="2057"/>
      <c r="T391" s="2057"/>
      <c r="U391" s="2057"/>
      <c r="V391" s="2057"/>
      <c r="W391" s="2057"/>
      <c r="X391" s="2057"/>
      <c r="Y391" s="2057"/>
      <c r="Z391" s="2057"/>
      <c r="AA391" s="2057"/>
      <c r="AB391" s="2057"/>
      <c r="AC391" s="2057"/>
      <c r="AD391" s="2057"/>
      <c r="AE391" s="2057"/>
      <c r="AF391" s="2057"/>
      <c r="AG391" s="2057"/>
      <c r="AH391" s="2057"/>
      <c r="AI391" s="2057"/>
      <c r="AJ391" s="2057"/>
      <c r="AK391" s="2057"/>
      <c r="AL391" s="2057"/>
      <c r="AM391" s="2057"/>
      <c r="AN391" s="1311"/>
      <c r="AO391" s="1472"/>
    </row>
    <row r="392" spans="1:41" s="360" customFormat="1" ht="18" customHeight="1">
      <c r="A392" s="463"/>
      <c r="B392" s="1731" t="s">
        <v>676</v>
      </c>
      <c r="C392" s="1732"/>
      <c r="D392" s="1732"/>
      <c r="E392" s="1740" t="str">
        <f>'Document Checklist'!$E$113</f>
        <v>32. Utility Allowance</v>
      </c>
      <c r="F392" s="1741"/>
      <c r="G392" s="1741"/>
      <c r="H392" s="1741"/>
      <c r="I392" s="1741"/>
      <c r="J392" s="1741"/>
      <c r="K392" s="1741"/>
      <c r="L392" s="1741"/>
      <c r="M392" s="1741"/>
      <c r="N392" s="1728" t="str">
        <f>'Document Checklist'!$N$113</f>
        <v>Schedule of Utility Allowances.</v>
      </c>
      <c r="O392" s="1729"/>
      <c r="P392" s="1729"/>
      <c r="Q392" s="1729"/>
      <c r="R392" s="1729"/>
      <c r="S392" s="1729"/>
      <c r="T392" s="1729"/>
      <c r="U392" s="1729"/>
      <c r="V392" s="1729"/>
      <c r="W392" s="1729"/>
      <c r="X392" s="1729"/>
      <c r="Y392" s="1729"/>
      <c r="Z392" s="1729"/>
      <c r="AA392" s="1729"/>
      <c r="AB392" s="1729"/>
      <c r="AC392" s="1729"/>
      <c r="AD392" s="1729"/>
      <c r="AE392" s="1730"/>
      <c r="AF392" s="1789" t="s">
        <v>677</v>
      </c>
      <c r="AG392" s="1790"/>
      <c r="AH392" s="1790"/>
      <c r="AI392" s="1790"/>
      <c r="AJ392" s="1790"/>
      <c r="AK392" s="1791"/>
      <c r="AL392" s="2181" t="s">
        <v>664</v>
      </c>
      <c r="AM392" s="2182"/>
      <c r="AN392" s="1476"/>
      <c r="AO392" s="1472"/>
    </row>
    <row r="393" spans="1:41" s="360" customFormat="1" ht="18" customHeight="1">
      <c r="A393" s="463"/>
      <c r="B393" s="368"/>
      <c r="C393" s="368"/>
      <c r="D393" s="368"/>
      <c r="E393" s="368"/>
      <c r="F393" s="368"/>
      <c r="G393" s="368"/>
      <c r="H393" s="368"/>
      <c r="I393" s="368"/>
      <c r="J393" s="368"/>
      <c r="K393" s="368"/>
      <c r="L393" s="368"/>
      <c r="M393" s="368"/>
      <c r="N393" s="368"/>
      <c r="O393" s="368"/>
      <c r="P393" s="368"/>
      <c r="Q393" s="368"/>
      <c r="R393" s="368"/>
      <c r="S393" s="368"/>
      <c r="T393" s="368"/>
      <c r="U393" s="368"/>
      <c r="V393" s="368"/>
      <c r="W393" s="368"/>
      <c r="X393" s="368"/>
      <c r="Y393" s="368"/>
      <c r="Z393" s="368"/>
      <c r="AA393" s="368"/>
      <c r="AB393" s="368"/>
      <c r="AC393" s="368"/>
      <c r="AD393" s="368"/>
      <c r="AE393" s="368"/>
      <c r="AF393" s="368"/>
      <c r="AG393" s="368"/>
      <c r="AH393" s="368"/>
      <c r="AI393" s="368"/>
      <c r="AJ393" s="368"/>
      <c r="AK393" s="368"/>
      <c r="AL393" s="368"/>
      <c r="AM393" s="368"/>
      <c r="AN393" s="368"/>
      <c r="AO393" s="1472"/>
    </row>
    <row r="394" spans="1:41" s="360" customFormat="1" ht="18" customHeight="1">
      <c r="A394" s="463"/>
      <c r="B394" s="1776" t="s">
        <v>1052</v>
      </c>
      <c r="C394" s="1776"/>
      <c r="D394" s="1776"/>
      <c r="E394" s="1776"/>
      <c r="F394" s="1776"/>
      <c r="G394" s="1776"/>
      <c r="H394" s="1776"/>
      <c r="I394" s="1776"/>
      <c r="J394" s="1776"/>
      <c r="K394" s="1776"/>
      <c r="L394" s="1776"/>
      <c r="M394" s="1776"/>
      <c r="N394" s="1776"/>
      <c r="O394" s="1776"/>
      <c r="P394" s="1776"/>
      <c r="Q394" s="1776"/>
      <c r="R394" s="1776"/>
      <c r="S394" s="1776"/>
      <c r="T394" s="1776"/>
      <c r="U394" s="1776"/>
      <c r="V394" s="1776"/>
      <c r="W394" s="1776"/>
      <c r="X394" s="1776"/>
      <c r="Y394" s="1776"/>
      <c r="Z394" s="1776"/>
      <c r="AA394" s="1776"/>
      <c r="AB394" s="1776"/>
      <c r="AC394" s="1776"/>
      <c r="AD394" s="1776"/>
      <c r="AE394" s="1776"/>
      <c r="AF394" s="1776"/>
      <c r="AG394" s="1776"/>
      <c r="AH394" s="1776"/>
      <c r="AI394" s="1776"/>
      <c r="AJ394" s="1776"/>
      <c r="AK394" s="1776"/>
      <c r="AL394" s="1776"/>
      <c r="AM394" s="1776"/>
      <c r="AN394" s="368"/>
      <c r="AO394" s="1472"/>
    </row>
    <row r="395" spans="1:41" s="360" customFormat="1" ht="36" customHeight="1">
      <c r="A395" s="463"/>
      <c r="B395" s="2064" t="s">
        <v>1053</v>
      </c>
      <c r="C395" s="2064"/>
      <c r="D395" s="2064"/>
      <c r="E395" s="2064"/>
      <c r="F395" s="2064"/>
      <c r="G395" s="2064"/>
      <c r="H395" s="2064"/>
      <c r="I395" s="2064"/>
      <c r="J395" s="2064"/>
      <c r="K395" s="2064"/>
      <c r="L395" s="2064"/>
      <c r="M395" s="2064"/>
      <c r="N395" s="2064"/>
      <c r="O395" s="2064"/>
      <c r="P395" s="2064"/>
      <c r="Q395" s="2064"/>
      <c r="R395" s="2064"/>
      <c r="S395" s="2064"/>
      <c r="T395" s="2064"/>
      <c r="U395" s="2064"/>
      <c r="V395" s="2064"/>
      <c r="W395" s="2064"/>
      <c r="X395" s="2064"/>
      <c r="Y395" s="2064"/>
      <c r="Z395" s="2064"/>
      <c r="AA395" s="2064"/>
      <c r="AB395" s="2064"/>
      <c r="AC395" s="2064"/>
      <c r="AD395" s="2064"/>
      <c r="AE395" s="2064"/>
      <c r="AF395" s="2064"/>
      <c r="AG395" s="2064"/>
      <c r="AH395" s="2064"/>
      <c r="AI395" s="2064"/>
      <c r="AJ395" s="2064"/>
      <c r="AK395" s="2064"/>
      <c r="AL395" s="2064"/>
      <c r="AM395" s="2064"/>
      <c r="AN395" s="368"/>
      <c r="AO395" s="1472"/>
    </row>
    <row r="396" spans="1:41" s="360" customFormat="1" ht="18" customHeight="1">
      <c r="A396" s="463"/>
      <c r="B396" s="1890" t="s">
        <v>1054</v>
      </c>
      <c r="C396" s="1890"/>
      <c r="D396" s="1890"/>
      <c r="E396" s="1890"/>
      <c r="F396" s="1890"/>
      <c r="G396" s="1890"/>
      <c r="H396" s="1890"/>
      <c r="I396" s="1890"/>
      <c r="J396" s="1890"/>
      <c r="K396" s="1890"/>
      <c r="L396" s="1890"/>
      <c r="M396" s="1890"/>
      <c r="N396" s="1890"/>
      <c r="O396" s="1890"/>
      <c r="P396" s="1890"/>
      <c r="Q396" s="1890"/>
      <c r="R396" s="1890"/>
      <c r="S396" s="1890"/>
      <c r="T396" s="1890"/>
      <c r="U396" s="1890"/>
      <c r="V396" s="1890"/>
      <c r="W396" s="1890"/>
      <c r="X396" s="1890"/>
      <c r="Y396" s="1890"/>
      <c r="Z396" s="1890"/>
      <c r="AA396" s="1890"/>
      <c r="AB396" s="1890"/>
      <c r="AC396" s="1890"/>
      <c r="AD396" s="1890"/>
      <c r="AE396" s="1890"/>
      <c r="AF396" s="1890"/>
      <c r="AG396" s="1890"/>
      <c r="AH396" s="1890"/>
      <c r="AI396" s="1890"/>
      <c r="AJ396" s="1890"/>
      <c r="AK396" s="1890"/>
      <c r="AL396" s="368"/>
      <c r="AM396" s="368"/>
      <c r="AN396" s="368"/>
      <c r="AO396" s="1472"/>
    </row>
    <row r="397" spans="1:41" s="360" customFormat="1" ht="36" customHeight="1">
      <c r="A397" s="463"/>
      <c r="B397" s="2057" t="s">
        <v>4146</v>
      </c>
      <c r="C397" s="2057"/>
      <c r="D397" s="2057"/>
      <c r="E397" s="2057"/>
      <c r="F397" s="2057"/>
      <c r="G397" s="2057"/>
      <c r="H397" s="2057"/>
      <c r="I397" s="2057"/>
      <c r="J397" s="2057"/>
      <c r="K397" s="2057"/>
      <c r="L397" s="2057"/>
      <c r="M397" s="2057"/>
      <c r="N397" s="2057"/>
      <c r="O397" s="2057"/>
      <c r="P397" s="2057"/>
      <c r="Q397" s="2057"/>
      <c r="R397" s="2057"/>
      <c r="S397" s="2057"/>
      <c r="T397" s="2057"/>
      <c r="U397" s="2057"/>
      <c r="V397" s="2057"/>
      <c r="W397" s="2057"/>
      <c r="X397" s="2057"/>
      <c r="Y397" s="2057"/>
      <c r="Z397" s="2057"/>
      <c r="AA397" s="2057"/>
      <c r="AB397" s="2057"/>
      <c r="AC397" s="2057"/>
      <c r="AD397" s="2057"/>
      <c r="AE397" s="2057"/>
      <c r="AF397" s="2057"/>
      <c r="AG397" s="2057"/>
      <c r="AH397" s="2057"/>
      <c r="AI397" s="2057"/>
      <c r="AJ397" s="2057"/>
      <c r="AK397" s="2057"/>
      <c r="AL397" s="2057"/>
      <c r="AM397" s="2057"/>
      <c r="AN397" s="368"/>
      <c r="AO397" s="1472"/>
    </row>
    <row r="398" spans="1:41" s="360" customFormat="1" ht="18" customHeight="1">
      <c r="A398" s="463"/>
      <c r="B398" s="368"/>
      <c r="C398" s="368"/>
      <c r="D398" s="368"/>
      <c r="E398" s="368"/>
      <c r="F398" s="368"/>
      <c r="G398" s="368"/>
      <c r="H398" s="368"/>
      <c r="I398" s="368"/>
      <c r="J398" s="368"/>
      <c r="K398" s="368"/>
      <c r="L398" s="368"/>
      <c r="M398" s="368"/>
      <c r="N398" s="368"/>
      <c r="O398" s="368"/>
      <c r="P398" s="368"/>
      <c r="Q398" s="368"/>
      <c r="R398" s="368"/>
      <c r="S398" s="368"/>
      <c r="T398" s="368"/>
      <c r="U398" s="368"/>
      <c r="V398" s="368"/>
      <c r="W398" s="368"/>
      <c r="X398" s="368"/>
      <c r="Y398" s="368"/>
      <c r="Z398" s="368"/>
      <c r="AA398" s="368"/>
      <c r="AB398" s="368"/>
      <c r="AC398" s="368"/>
      <c r="AD398" s="368"/>
      <c r="AE398" s="368"/>
      <c r="AF398" s="368"/>
      <c r="AG398" s="368"/>
      <c r="AH398" s="368"/>
      <c r="AI398" s="368"/>
      <c r="AJ398" s="368"/>
      <c r="AK398" s="368"/>
      <c r="AL398" s="368"/>
      <c r="AM398" s="368"/>
      <c r="AN398" s="368"/>
      <c r="AO398" s="1472"/>
    </row>
    <row r="399" spans="1:41" s="360" customFormat="1" ht="18" customHeight="1">
      <c r="A399" s="463"/>
      <c r="B399" s="1776" t="s">
        <v>1055</v>
      </c>
      <c r="C399" s="1776"/>
      <c r="D399" s="1776"/>
      <c r="E399" s="1776"/>
      <c r="F399" s="1776"/>
      <c r="G399" s="1776"/>
      <c r="H399" s="1776"/>
      <c r="I399" s="1776"/>
      <c r="J399" s="1776"/>
      <c r="K399" s="1776"/>
      <c r="L399" s="1776"/>
      <c r="M399" s="1776"/>
      <c r="N399" s="1776"/>
      <c r="O399" s="1776"/>
      <c r="P399" s="1776"/>
      <c r="Q399" s="1776"/>
      <c r="R399" s="1776"/>
      <c r="S399" s="1776"/>
      <c r="T399" s="1776"/>
      <c r="U399" s="1776"/>
      <c r="V399" s="1776"/>
      <c r="W399" s="1776"/>
      <c r="X399" s="1776"/>
      <c r="Y399" s="1776"/>
      <c r="Z399" s="1776"/>
      <c r="AA399" s="1776"/>
      <c r="AB399" s="1776"/>
      <c r="AC399" s="1776"/>
      <c r="AD399" s="1776"/>
      <c r="AE399" s="1776"/>
      <c r="AF399" s="1776"/>
      <c r="AG399" s="1776"/>
      <c r="AH399" s="1776"/>
      <c r="AI399" s="1776"/>
      <c r="AJ399" s="1776"/>
      <c r="AK399" s="1776"/>
      <c r="AL399" s="1776"/>
      <c r="AM399" s="1776"/>
      <c r="AN399" s="368"/>
      <c r="AO399" s="1472"/>
    </row>
    <row r="400" spans="1:41" s="360" customFormat="1" ht="36" customHeight="1">
      <c r="A400" s="463"/>
      <c r="B400" s="1892" t="s">
        <v>1056</v>
      </c>
      <c r="C400" s="1892"/>
      <c r="D400" s="1892"/>
      <c r="E400" s="1892"/>
      <c r="F400" s="1892"/>
      <c r="G400" s="1892"/>
      <c r="H400" s="1892"/>
      <c r="I400" s="1892"/>
      <c r="J400" s="1892"/>
      <c r="K400" s="1892"/>
      <c r="L400" s="1892"/>
      <c r="M400" s="1892"/>
      <c r="N400" s="1892"/>
      <c r="O400" s="1892"/>
      <c r="P400" s="1892"/>
      <c r="Q400" s="1892"/>
      <c r="R400" s="1892"/>
      <c r="S400" s="1892"/>
      <c r="T400" s="1892"/>
      <c r="U400" s="1892"/>
      <c r="V400" s="1892"/>
      <c r="W400" s="1892"/>
      <c r="X400" s="1892"/>
      <c r="Y400" s="1892"/>
      <c r="Z400" s="1892"/>
      <c r="AA400" s="1892"/>
      <c r="AB400" s="1892"/>
      <c r="AC400" s="1892"/>
      <c r="AD400" s="1892"/>
      <c r="AE400" s="1892"/>
      <c r="AF400" s="1892"/>
      <c r="AG400" s="1892"/>
      <c r="AH400" s="1892"/>
      <c r="AI400" s="1892"/>
      <c r="AJ400" s="1892"/>
      <c r="AK400" s="1892"/>
      <c r="AL400" s="2198" t="s">
        <v>664</v>
      </c>
      <c r="AM400" s="2198"/>
      <c r="AN400" s="368"/>
      <c r="AO400" s="1472"/>
    </row>
    <row r="401" spans="1:43" s="360" customFormat="1" ht="13.8">
      <c r="A401" s="463"/>
      <c r="B401" s="1890" t="s">
        <v>1057</v>
      </c>
      <c r="C401" s="1890"/>
      <c r="D401" s="1890"/>
      <c r="E401" s="1890"/>
      <c r="F401" s="1890"/>
      <c r="G401" s="1890"/>
      <c r="H401" s="1890"/>
      <c r="I401" s="1890"/>
      <c r="J401" s="1890"/>
      <c r="K401" s="1890"/>
      <c r="L401" s="1890"/>
      <c r="M401" s="1890"/>
      <c r="N401" s="1890"/>
      <c r="O401" s="1890"/>
      <c r="P401" s="1890"/>
      <c r="Q401" s="1890"/>
      <c r="R401" s="1890"/>
      <c r="S401" s="1890"/>
      <c r="T401" s="1890"/>
      <c r="U401" s="1890"/>
      <c r="V401" s="1890"/>
      <c r="W401" s="1890"/>
      <c r="X401" s="1890"/>
      <c r="Y401" s="1890"/>
      <c r="Z401" s="1890"/>
      <c r="AA401" s="1890"/>
      <c r="AB401" s="1890"/>
      <c r="AC401" s="1890"/>
      <c r="AD401" s="1890"/>
      <c r="AE401" s="1890"/>
      <c r="AF401" s="1890"/>
      <c r="AG401" s="1890"/>
      <c r="AH401" s="1890"/>
      <c r="AI401" s="1890"/>
      <c r="AJ401" s="1890"/>
      <c r="AK401" s="1890"/>
      <c r="AL401" s="1890"/>
      <c r="AM401" s="1890"/>
      <c r="AN401" s="368"/>
      <c r="AO401" s="1472"/>
    </row>
    <row r="402" spans="1:43" s="360" customFormat="1" ht="13.8">
      <c r="A402" s="463"/>
      <c r="B402" s="2057" t="s">
        <v>4221</v>
      </c>
      <c r="C402" s="2057"/>
      <c r="D402" s="2057"/>
      <c r="E402" s="2057"/>
      <c r="F402" s="2057"/>
      <c r="G402" s="2057"/>
      <c r="H402" s="2057"/>
      <c r="I402" s="2057"/>
      <c r="J402" s="2057"/>
      <c r="K402" s="2057"/>
      <c r="L402" s="2057"/>
      <c r="M402" s="2057"/>
      <c r="N402" s="2057"/>
      <c r="O402" s="2057"/>
      <c r="P402" s="2057"/>
      <c r="Q402" s="2057"/>
      <c r="R402" s="2057"/>
      <c r="S402" s="2057"/>
      <c r="T402" s="2057"/>
      <c r="U402" s="2057"/>
      <c r="V402" s="2057"/>
      <c r="W402" s="2057"/>
      <c r="X402" s="2057"/>
      <c r="Y402" s="2057"/>
      <c r="Z402" s="2057"/>
      <c r="AA402" s="2057"/>
      <c r="AB402" s="2057"/>
      <c r="AC402" s="2057"/>
      <c r="AD402" s="2057"/>
      <c r="AE402" s="2057"/>
      <c r="AF402" s="2057"/>
      <c r="AG402" s="2057"/>
      <c r="AH402" s="2057"/>
      <c r="AI402" s="2057"/>
      <c r="AJ402" s="2057"/>
      <c r="AK402" s="2057"/>
      <c r="AL402" s="2057"/>
      <c r="AM402" s="2057"/>
      <c r="AN402" s="368"/>
      <c r="AO402" s="1472"/>
    </row>
    <row r="403" spans="1:43" s="360" customFormat="1" ht="18" customHeight="1">
      <c r="A403" s="463"/>
      <c r="B403" s="368"/>
      <c r="C403" s="368"/>
      <c r="D403" s="368"/>
      <c r="E403" s="368"/>
      <c r="F403" s="368"/>
      <c r="G403" s="368"/>
      <c r="H403" s="368"/>
      <c r="I403" s="368"/>
      <c r="J403" s="368"/>
      <c r="K403" s="368"/>
      <c r="L403" s="368"/>
      <c r="M403" s="368"/>
      <c r="N403" s="368"/>
      <c r="O403" s="368"/>
      <c r="P403" s="368"/>
      <c r="Q403" s="368"/>
      <c r="R403" s="368"/>
      <c r="S403" s="368"/>
      <c r="T403" s="368"/>
      <c r="U403" s="368"/>
      <c r="V403" s="368"/>
      <c r="W403" s="368"/>
      <c r="X403" s="368"/>
      <c r="Y403" s="368"/>
      <c r="Z403" s="368"/>
      <c r="AA403" s="368"/>
      <c r="AB403" s="368"/>
      <c r="AC403" s="368"/>
      <c r="AD403" s="368"/>
      <c r="AE403" s="368"/>
      <c r="AF403" s="368"/>
      <c r="AG403" s="368"/>
      <c r="AH403" s="368"/>
      <c r="AI403" s="368"/>
      <c r="AJ403" s="368"/>
      <c r="AK403" s="368"/>
      <c r="AL403" s="368"/>
      <c r="AM403" s="368"/>
      <c r="AN403" s="368"/>
      <c r="AO403" s="1472"/>
    </row>
    <row r="404" spans="1:43" s="360" customFormat="1" ht="18" customHeight="1">
      <c r="A404" s="463"/>
      <c r="B404" s="1776" t="s">
        <v>1058</v>
      </c>
      <c r="C404" s="1776"/>
      <c r="D404" s="1776"/>
      <c r="E404" s="1776"/>
      <c r="F404" s="1776"/>
      <c r="G404" s="1776"/>
      <c r="H404" s="1776"/>
      <c r="I404" s="1776"/>
      <c r="J404" s="1776"/>
      <c r="K404" s="1776"/>
      <c r="L404" s="1776"/>
      <c r="M404" s="1776"/>
      <c r="N404" s="1776"/>
      <c r="O404" s="1776"/>
      <c r="P404" s="1776"/>
      <c r="Q404" s="1776"/>
      <c r="R404" s="1776"/>
      <c r="S404" s="1776"/>
      <c r="T404" s="1776"/>
      <c r="U404" s="1776"/>
      <c r="V404" s="1776"/>
      <c r="W404" s="1776"/>
      <c r="X404" s="1776"/>
      <c r="Y404" s="1776"/>
      <c r="Z404" s="1776"/>
      <c r="AA404" s="1776"/>
      <c r="AB404" s="1776"/>
      <c r="AC404" s="1776"/>
      <c r="AD404" s="1776"/>
      <c r="AE404" s="1776"/>
      <c r="AF404" s="1776"/>
      <c r="AG404" s="1776"/>
      <c r="AH404" s="1776"/>
      <c r="AI404" s="1776"/>
      <c r="AJ404" s="1776"/>
      <c r="AK404" s="1776"/>
      <c r="AL404" s="1776"/>
      <c r="AM404" s="1776"/>
      <c r="AN404" s="368"/>
      <c r="AO404" s="1472"/>
    </row>
    <row r="405" spans="1:43" s="360" customFormat="1" ht="36" customHeight="1">
      <c r="A405" s="463"/>
      <c r="B405" s="2064" t="s">
        <v>1059</v>
      </c>
      <c r="C405" s="2064"/>
      <c r="D405" s="2064"/>
      <c r="E405" s="2064"/>
      <c r="F405" s="2064"/>
      <c r="G405" s="2064"/>
      <c r="H405" s="2064"/>
      <c r="I405" s="2064"/>
      <c r="J405" s="2064"/>
      <c r="K405" s="2064"/>
      <c r="L405" s="2064"/>
      <c r="M405" s="2064"/>
      <c r="N405" s="2064"/>
      <c r="O405" s="2064"/>
      <c r="P405" s="2064"/>
      <c r="Q405" s="2064"/>
      <c r="R405" s="2064"/>
      <c r="S405" s="2064"/>
      <c r="T405" s="2064"/>
      <c r="U405" s="2064"/>
      <c r="V405" s="2064"/>
      <c r="W405" s="2064"/>
      <c r="X405" s="2064"/>
      <c r="Y405" s="2064"/>
      <c r="Z405" s="2064"/>
      <c r="AA405" s="2064"/>
      <c r="AB405" s="2064"/>
      <c r="AC405" s="2064"/>
      <c r="AD405" s="2064"/>
      <c r="AE405" s="2064"/>
      <c r="AF405" s="2064"/>
      <c r="AG405" s="2064"/>
      <c r="AH405" s="2064"/>
      <c r="AI405" s="2064"/>
      <c r="AJ405" s="2064"/>
      <c r="AK405" s="2064"/>
      <c r="AL405" s="2064"/>
      <c r="AM405" s="2064"/>
      <c r="AN405" s="368"/>
      <c r="AO405" s="1472"/>
    </row>
    <row r="406" spans="1:43" s="360" customFormat="1" ht="13.8">
      <c r="A406" s="463"/>
      <c r="B406" s="1890" t="s">
        <v>1060</v>
      </c>
      <c r="C406" s="1890"/>
      <c r="D406" s="1890"/>
      <c r="E406" s="1890"/>
      <c r="F406" s="1890"/>
      <c r="G406" s="1890"/>
      <c r="H406" s="1890"/>
      <c r="I406" s="1890"/>
      <c r="J406" s="1890"/>
      <c r="K406" s="1890"/>
      <c r="L406" s="1890"/>
      <c r="M406" s="1890"/>
      <c r="N406" s="1890"/>
      <c r="O406" s="1890"/>
      <c r="P406" s="1890"/>
      <c r="Q406" s="1890"/>
      <c r="R406" s="1890"/>
      <c r="S406" s="1890"/>
      <c r="T406" s="1890"/>
      <c r="U406" s="1890"/>
      <c r="V406" s="1890"/>
      <c r="W406" s="1890"/>
      <c r="X406" s="1890"/>
      <c r="Y406" s="1890"/>
      <c r="Z406" s="1890"/>
      <c r="AA406" s="1890"/>
      <c r="AB406" s="1890"/>
      <c r="AC406" s="1890"/>
      <c r="AD406" s="1890"/>
      <c r="AE406" s="1890"/>
      <c r="AF406" s="1890"/>
      <c r="AG406" s="1890"/>
      <c r="AH406" s="1890"/>
      <c r="AI406" s="1890"/>
      <c r="AJ406" s="1890"/>
      <c r="AK406" s="1890"/>
      <c r="AL406" s="2198" t="s">
        <v>664</v>
      </c>
      <c r="AM406" s="2198"/>
      <c r="AN406" s="368"/>
      <c r="AO406" s="1472"/>
    </row>
    <row r="407" spans="1:43" s="360" customFormat="1" ht="13.8">
      <c r="A407" s="463"/>
      <c r="B407" s="1890" t="s">
        <v>1061</v>
      </c>
      <c r="C407" s="1890"/>
      <c r="D407" s="1890"/>
      <c r="E407" s="1890"/>
      <c r="F407" s="1890"/>
      <c r="G407" s="1890"/>
      <c r="H407" s="1890"/>
      <c r="I407" s="1890"/>
      <c r="J407" s="1890"/>
      <c r="K407" s="1890"/>
      <c r="L407" s="1890"/>
      <c r="M407" s="1890"/>
      <c r="N407" s="1890"/>
      <c r="O407" s="1890"/>
      <c r="P407" s="1890"/>
      <c r="Q407" s="1890"/>
      <c r="R407" s="1890"/>
      <c r="S407" s="1890"/>
      <c r="T407" s="1890"/>
      <c r="U407" s="1890"/>
      <c r="V407" s="1890"/>
      <c r="W407" s="1890"/>
      <c r="X407" s="1890"/>
      <c r="Y407" s="1890"/>
      <c r="Z407" s="1890"/>
      <c r="AA407" s="1890"/>
      <c r="AB407" s="1890"/>
      <c r="AC407" s="1890"/>
      <c r="AD407" s="1890"/>
      <c r="AE407" s="1890"/>
      <c r="AF407" s="1890"/>
      <c r="AG407" s="1890"/>
      <c r="AH407" s="1890"/>
      <c r="AI407" s="1890"/>
      <c r="AJ407" s="1890"/>
      <c r="AK407" s="1890"/>
      <c r="AL407" s="1890"/>
      <c r="AM407" s="1890"/>
      <c r="AN407" s="368"/>
      <c r="AO407" s="1472"/>
    </row>
    <row r="408" spans="1:43" s="360" customFormat="1" ht="13.8">
      <c r="A408" s="463"/>
      <c r="B408" s="2425" t="s">
        <v>4220</v>
      </c>
      <c r="C408" s="2426"/>
      <c r="D408" s="2426"/>
      <c r="E408" s="2426"/>
      <c r="F408" s="2426"/>
      <c r="G408" s="2426"/>
      <c r="H408" s="2426"/>
      <c r="I408" s="2426"/>
      <c r="J408" s="2426"/>
      <c r="K408" s="2426"/>
      <c r="L408" s="2426"/>
      <c r="M408" s="2426"/>
      <c r="N408" s="2426"/>
      <c r="O408" s="2426"/>
      <c r="P408" s="2426"/>
      <c r="Q408" s="2426"/>
      <c r="R408" s="2426"/>
      <c r="S408" s="2426"/>
      <c r="T408" s="2426"/>
      <c r="U408" s="2426"/>
      <c r="V408" s="2426"/>
      <c r="W408" s="2426"/>
      <c r="X408" s="2426"/>
      <c r="Y408" s="2426"/>
      <c r="Z408" s="2426"/>
      <c r="AA408" s="2426"/>
      <c r="AB408" s="2426"/>
      <c r="AC408" s="2426"/>
      <c r="AD408" s="2426"/>
      <c r="AE408" s="2426"/>
      <c r="AF408" s="2426"/>
      <c r="AG408" s="2426"/>
      <c r="AH408" s="2426"/>
      <c r="AI408" s="2426"/>
      <c r="AJ408" s="2426"/>
      <c r="AK408" s="2426"/>
      <c r="AL408" s="2426"/>
      <c r="AM408" s="2427"/>
      <c r="AN408" s="368"/>
      <c r="AO408" s="1472"/>
    </row>
    <row r="409" spans="1:43" s="360" customFormat="1" ht="18" customHeight="1">
      <c r="A409" s="463"/>
      <c r="B409" s="368"/>
      <c r="C409" s="368"/>
      <c r="D409" s="368"/>
      <c r="E409" s="368"/>
      <c r="F409" s="368"/>
      <c r="G409" s="368"/>
      <c r="H409" s="368"/>
      <c r="I409" s="368"/>
      <c r="J409" s="368"/>
      <c r="K409" s="368"/>
      <c r="L409" s="368"/>
      <c r="M409" s="368"/>
      <c r="N409" s="368"/>
      <c r="O409" s="368"/>
      <c r="P409" s="368"/>
      <c r="Q409" s="368"/>
      <c r="R409" s="368"/>
      <c r="S409" s="368"/>
      <c r="T409" s="368"/>
      <c r="U409" s="368"/>
      <c r="V409" s="368"/>
      <c r="W409" s="368"/>
      <c r="X409" s="368"/>
      <c r="Y409" s="368"/>
      <c r="Z409" s="368"/>
      <c r="AA409" s="368"/>
      <c r="AB409" s="368"/>
      <c r="AC409" s="368"/>
      <c r="AD409" s="368"/>
      <c r="AE409" s="368"/>
      <c r="AF409" s="368"/>
      <c r="AG409" s="368"/>
      <c r="AH409" s="368"/>
      <c r="AI409" s="368"/>
      <c r="AJ409" s="368"/>
      <c r="AK409" s="368"/>
      <c r="AL409" s="368"/>
      <c r="AM409" s="368"/>
      <c r="AN409" s="368"/>
      <c r="AO409" s="1472"/>
    </row>
    <row r="410" spans="1:43" s="360" customFormat="1" ht="18" customHeight="1">
      <c r="A410" s="463"/>
      <c r="B410" s="1776" t="s">
        <v>1062</v>
      </c>
      <c r="C410" s="1776"/>
      <c r="D410" s="1776"/>
      <c r="E410" s="1776"/>
      <c r="F410" s="1776"/>
      <c r="G410" s="1776"/>
      <c r="H410" s="1776"/>
      <c r="I410" s="1776"/>
      <c r="J410" s="1776"/>
      <c r="K410" s="1776"/>
      <c r="L410" s="1776"/>
      <c r="M410" s="1776"/>
      <c r="N410" s="1776"/>
      <c r="O410" s="1776"/>
      <c r="P410" s="1776"/>
      <c r="Q410" s="1776"/>
      <c r="R410" s="1776"/>
      <c r="S410" s="1776"/>
      <c r="T410" s="1776"/>
      <c r="U410" s="1776"/>
      <c r="V410" s="1776"/>
      <c r="W410" s="1776"/>
      <c r="X410" s="1776"/>
      <c r="Y410" s="1776"/>
      <c r="Z410" s="1776"/>
      <c r="AA410" s="1776"/>
      <c r="AB410" s="1776"/>
      <c r="AC410" s="1776"/>
      <c r="AD410" s="1776"/>
      <c r="AE410" s="1776"/>
      <c r="AF410" s="1776"/>
      <c r="AG410" s="1776"/>
      <c r="AH410" s="1776"/>
      <c r="AI410" s="1776"/>
      <c r="AJ410" s="1776"/>
      <c r="AK410" s="1776"/>
      <c r="AL410" s="1776"/>
      <c r="AM410" s="1776"/>
      <c r="AN410" s="1476"/>
      <c r="AO410" s="1472"/>
    </row>
    <row r="411" spans="1:43" s="360" customFormat="1" ht="45.75" customHeight="1">
      <c r="A411" s="463"/>
      <c r="B411" s="2178" t="s">
        <v>1063</v>
      </c>
      <c r="C411" s="2178"/>
      <c r="D411" s="2178"/>
      <c r="E411" s="2178"/>
      <c r="F411" s="2178"/>
      <c r="G411" s="2178"/>
      <c r="H411" s="2178"/>
      <c r="I411" s="2178"/>
      <c r="J411" s="2178"/>
      <c r="K411" s="2178"/>
      <c r="L411" s="2178"/>
      <c r="M411" s="2178"/>
      <c r="N411" s="2178"/>
      <c r="O411" s="2178"/>
      <c r="P411" s="2178"/>
      <c r="Q411" s="2178"/>
      <c r="R411" s="2178"/>
      <c r="S411" s="2178"/>
      <c r="T411" s="2178"/>
      <c r="U411" s="2178"/>
      <c r="V411" s="2178"/>
      <c r="W411" s="2178"/>
      <c r="X411" s="2178"/>
      <c r="Y411" s="2178"/>
      <c r="Z411" s="2178"/>
      <c r="AA411" s="2178"/>
      <c r="AB411" s="2178"/>
      <c r="AC411" s="2178"/>
      <c r="AD411" s="2178"/>
      <c r="AE411" s="2178"/>
      <c r="AF411" s="2178"/>
      <c r="AG411" s="2178"/>
      <c r="AH411" s="2178"/>
      <c r="AI411" s="2178"/>
      <c r="AJ411" s="2178"/>
      <c r="AK411" s="2178"/>
      <c r="AL411" s="2178"/>
      <c r="AM411" s="2178"/>
      <c r="AN411" s="1476"/>
      <c r="AO411" s="1472"/>
    </row>
    <row r="412" spans="1:43" s="360" customFormat="1" ht="36" customHeight="1">
      <c r="A412" s="705"/>
      <c r="B412" s="2062" t="s">
        <v>1064</v>
      </c>
      <c r="C412" s="2062"/>
      <c r="D412" s="2062"/>
      <c r="E412" s="2062"/>
      <c r="F412" s="2062"/>
      <c r="G412" s="2062"/>
      <c r="H412" s="2062"/>
      <c r="I412" s="2062"/>
      <c r="J412" s="2062"/>
      <c r="K412" s="2062"/>
      <c r="L412" s="2062"/>
      <c r="M412" s="2062"/>
      <c r="N412" s="2062"/>
      <c r="O412" s="2062"/>
      <c r="P412" s="2062"/>
      <c r="Q412" s="2062"/>
      <c r="R412" s="2062"/>
      <c r="S412" s="2062"/>
      <c r="T412" s="2062"/>
      <c r="U412" s="2062"/>
      <c r="V412" s="2062"/>
      <c r="W412" s="2062"/>
      <c r="X412" s="2062"/>
      <c r="Y412" s="2062"/>
      <c r="Z412" s="2062"/>
      <c r="AA412" s="2062"/>
      <c r="AB412" s="2062"/>
      <c r="AC412" s="2062"/>
      <c r="AD412" s="2062"/>
      <c r="AE412" s="2062"/>
      <c r="AF412" s="2062"/>
      <c r="AG412" s="2062"/>
      <c r="AH412" s="2062"/>
      <c r="AI412" s="2062"/>
      <c r="AJ412" s="2062"/>
      <c r="AK412" s="2063"/>
      <c r="AL412" s="1743" t="s">
        <v>664</v>
      </c>
      <c r="AM412" s="1743"/>
      <c r="AN412" s="365"/>
      <c r="AO412" s="1457"/>
      <c r="AP412" s="923"/>
      <c r="AQ412" s="449"/>
    </row>
    <row r="413" spans="1:43" s="360" customFormat="1" ht="19.5" customHeight="1">
      <c r="A413" s="705"/>
      <c r="B413" s="2168" t="s">
        <v>1065</v>
      </c>
      <c r="C413" s="2168"/>
      <c r="D413" s="2168"/>
      <c r="E413" s="2168"/>
      <c r="F413" s="2168"/>
      <c r="G413" s="2168"/>
      <c r="H413" s="2168"/>
      <c r="I413" s="2168"/>
      <c r="J413" s="2168"/>
      <c r="K413" s="2168"/>
      <c r="L413" s="2168"/>
      <c r="M413" s="2168"/>
      <c r="N413" s="2168"/>
      <c r="O413" s="2168"/>
      <c r="P413" s="2168"/>
      <c r="Q413" s="2168"/>
      <c r="R413" s="2168"/>
      <c r="S413" s="2168"/>
      <c r="T413" s="2168"/>
      <c r="U413" s="2168"/>
      <c r="V413" s="2168"/>
      <c r="W413" s="2168"/>
      <c r="X413" s="2168"/>
      <c r="Y413" s="2168"/>
      <c r="Z413" s="2168"/>
      <c r="AA413" s="2168"/>
      <c r="AB413" s="2168"/>
      <c r="AC413" s="2168"/>
      <c r="AD413" s="2168"/>
      <c r="AE413" s="2168"/>
      <c r="AF413" s="2168"/>
      <c r="AG413" s="2168"/>
      <c r="AH413" s="2168"/>
      <c r="AI413" s="2168"/>
      <c r="AJ413" s="2168"/>
      <c r="AK413" s="2169"/>
      <c r="AL413" s="2179" t="s">
        <v>664</v>
      </c>
      <c r="AM413" s="1725"/>
      <c r="AN413" s="365"/>
      <c r="AO413" s="1457"/>
      <c r="AP413" s="923"/>
      <c r="AQ413" s="449"/>
    </row>
    <row r="414" spans="1:43" s="360" customFormat="1" ht="13.8">
      <c r="A414" s="705"/>
      <c r="B414" s="2171" t="s">
        <v>676</v>
      </c>
      <c r="C414" s="2172"/>
      <c r="D414" s="2172"/>
      <c r="E414" s="2071" t="str">
        <f>'Document Checklist'!$E$95</f>
        <v>18. Relocation</v>
      </c>
      <c r="F414" s="2072"/>
      <c r="G414" s="2072"/>
      <c r="H414" s="2072"/>
      <c r="I414" s="2072"/>
      <c r="J414" s="2072"/>
      <c r="K414" s="2072"/>
      <c r="L414" s="2072"/>
      <c r="M414" s="2072"/>
      <c r="N414" s="2071" t="str">
        <f>'Document Checklist'!$N$95</f>
        <v>Relocation Plan.</v>
      </c>
      <c r="O414" s="2072"/>
      <c r="P414" s="2072"/>
      <c r="Q414" s="2072"/>
      <c r="R414" s="2072"/>
      <c r="S414" s="2072"/>
      <c r="T414" s="2072"/>
      <c r="U414" s="2072"/>
      <c r="V414" s="2072"/>
      <c r="W414" s="2072"/>
      <c r="X414" s="2072"/>
      <c r="Y414" s="2072"/>
      <c r="Z414" s="2072"/>
      <c r="AA414" s="2072"/>
      <c r="AB414" s="2072"/>
      <c r="AC414" s="2072"/>
      <c r="AD414" s="2072"/>
      <c r="AE414" s="2073"/>
      <c r="AF414" s="2186" t="s">
        <v>677</v>
      </c>
      <c r="AG414" s="2176"/>
      <c r="AH414" s="2176"/>
      <c r="AI414" s="2176"/>
      <c r="AJ414" s="2176"/>
      <c r="AK414" s="2177"/>
      <c r="AL414" s="1724" t="s">
        <v>664</v>
      </c>
      <c r="AM414" s="1725"/>
      <c r="AN414" s="365"/>
      <c r="AO414" s="1457"/>
      <c r="AP414" s="923"/>
      <c r="AQ414" s="449"/>
    </row>
    <row r="415" spans="1:43" s="360" customFormat="1" ht="13.8" hidden="1">
      <c r="A415" s="705"/>
      <c r="B415" s="2059" t="s">
        <v>1066</v>
      </c>
      <c r="C415" s="2060"/>
      <c r="D415" s="2060"/>
      <c r="E415" s="2060"/>
      <c r="F415" s="2060"/>
      <c r="G415" s="2060"/>
      <c r="H415" s="2060"/>
      <c r="I415" s="2060"/>
      <c r="J415" s="2060"/>
      <c r="K415" s="2060"/>
      <c r="L415" s="2060"/>
      <c r="M415" s="2060"/>
      <c r="N415" s="2060"/>
      <c r="O415" s="2060"/>
      <c r="P415" s="2060"/>
      <c r="Q415" s="2060"/>
      <c r="R415" s="2060"/>
      <c r="S415" s="2060"/>
      <c r="T415" s="2060"/>
      <c r="U415" s="2060"/>
      <c r="V415" s="2060"/>
      <c r="W415" s="2060"/>
      <c r="X415" s="2060"/>
      <c r="Y415" s="2060"/>
      <c r="Z415" s="2060"/>
      <c r="AA415" s="2060"/>
      <c r="AB415" s="2060"/>
      <c r="AC415" s="2060"/>
      <c r="AD415" s="2060"/>
      <c r="AE415" s="2060"/>
      <c r="AF415" s="2060"/>
      <c r="AG415" s="2060"/>
      <c r="AH415" s="2060"/>
      <c r="AI415" s="2060"/>
      <c r="AJ415" s="2060"/>
      <c r="AK415" s="2060"/>
      <c r="AL415" s="2060"/>
      <c r="AM415" s="2061"/>
      <c r="AN415" s="365"/>
      <c r="AO415" s="1457"/>
      <c r="AP415" s="923"/>
      <c r="AQ415" s="449"/>
    </row>
    <row r="416" spans="1:43" s="360" customFormat="1" ht="13.8" hidden="1">
      <c r="A416" s="705"/>
      <c r="B416" s="2057" t="s">
        <v>4159</v>
      </c>
      <c r="C416" s="2057"/>
      <c r="D416" s="2057"/>
      <c r="E416" s="2057"/>
      <c r="F416" s="2057"/>
      <c r="G416" s="2057"/>
      <c r="H416" s="2057"/>
      <c r="I416" s="2057"/>
      <c r="J416" s="2057"/>
      <c r="K416" s="2057"/>
      <c r="L416" s="2057"/>
      <c r="M416" s="2057"/>
      <c r="N416" s="2057"/>
      <c r="O416" s="2057"/>
      <c r="P416" s="2057"/>
      <c r="Q416" s="2057"/>
      <c r="R416" s="2057"/>
      <c r="S416" s="2057"/>
      <c r="T416" s="2057"/>
      <c r="U416" s="2057"/>
      <c r="V416" s="2057"/>
      <c r="W416" s="2057"/>
      <c r="X416" s="2057"/>
      <c r="Y416" s="2057"/>
      <c r="Z416" s="2057"/>
      <c r="AA416" s="2057"/>
      <c r="AB416" s="2057"/>
      <c r="AC416" s="2057"/>
      <c r="AD416" s="2057"/>
      <c r="AE416" s="2057"/>
      <c r="AF416" s="2057"/>
      <c r="AG416" s="2057"/>
      <c r="AH416" s="2057"/>
      <c r="AI416" s="2057"/>
      <c r="AJ416" s="2057"/>
      <c r="AK416" s="2057"/>
      <c r="AL416" s="2057"/>
      <c r="AM416" s="2057"/>
      <c r="AN416" s="365"/>
      <c r="AO416" s="1472"/>
    </row>
    <row r="417" spans="1:62" s="360" customFormat="1" ht="18" customHeight="1">
      <c r="A417" s="705"/>
      <c r="AN417" s="365"/>
      <c r="AO417" s="1473"/>
      <c r="AP417" s="1456"/>
      <c r="AQ417" s="1456"/>
      <c r="AR417" s="1456"/>
      <c r="AS417" s="1456"/>
      <c r="AT417" s="1456"/>
      <c r="AU417" s="1456"/>
      <c r="AV417" s="1456"/>
      <c r="AW417" s="1456"/>
      <c r="AX417" s="1456"/>
      <c r="AY417" s="1456"/>
      <c r="AZ417" s="1456"/>
      <c r="BA417" s="1456"/>
      <c r="BB417" s="1456"/>
      <c r="BC417" s="1456"/>
      <c r="BD417" s="1456"/>
      <c r="BE417" s="1456"/>
      <c r="BF417" s="1456"/>
      <c r="BG417" s="1456"/>
      <c r="BH417" s="1456"/>
      <c r="BI417" s="1456"/>
      <c r="BJ417" s="1456"/>
    </row>
    <row r="418" spans="1:62" s="974" customFormat="1" ht="18" customHeight="1">
      <c r="A418" s="705"/>
      <c r="B418" s="1817" t="s">
        <v>1067</v>
      </c>
      <c r="C418" s="1817"/>
      <c r="D418" s="1817"/>
      <c r="E418" s="1817"/>
      <c r="F418" s="1817"/>
      <c r="G418" s="1817"/>
      <c r="H418" s="1817"/>
      <c r="I418" s="1817"/>
      <c r="J418" s="1817"/>
      <c r="K418" s="1817"/>
      <c r="L418" s="1817"/>
      <c r="M418" s="1817"/>
      <c r="N418" s="1455"/>
      <c r="O418" s="1455"/>
      <c r="P418" s="1455"/>
      <c r="Q418" s="1455"/>
      <c r="R418" s="1455"/>
      <c r="S418" s="1455"/>
      <c r="T418" s="1455"/>
      <c r="U418" s="1455"/>
      <c r="V418" s="1455"/>
      <c r="W418" s="1455"/>
      <c r="X418" s="1455"/>
      <c r="Y418" s="1455"/>
      <c r="Z418" s="1455"/>
      <c r="AA418" s="1455"/>
      <c r="AB418" s="1455"/>
      <c r="AC418" s="1455"/>
      <c r="AD418" s="1455"/>
      <c r="AE418" s="1455"/>
      <c r="AF418" s="1455"/>
      <c r="AG418" s="1455"/>
      <c r="AH418" s="1455"/>
      <c r="AI418" s="1455"/>
      <c r="AJ418" s="1455"/>
      <c r="AK418" s="1455"/>
      <c r="AL418" s="1470"/>
      <c r="AM418" s="1470"/>
      <c r="AN418" s="365"/>
      <c r="AO418" s="1473"/>
      <c r="AP418" s="1456"/>
      <c r="AQ418" s="1456"/>
      <c r="AR418" s="1456"/>
      <c r="AS418" s="1456"/>
      <c r="AT418" s="1456"/>
      <c r="AU418" s="1456"/>
      <c r="AV418" s="1456"/>
      <c r="AW418" s="1456"/>
      <c r="AX418" s="1456"/>
      <c r="AY418" s="1456"/>
      <c r="AZ418" s="1456"/>
      <c r="BA418" s="1456"/>
      <c r="BB418" s="1456"/>
      <c r="BC418" s="1456"/>
      <c r="BD418" s="1456"/>
      <c r="BE418" s="1456"/>
      <c r="BF418" s="1456"/>
      <c r="BG418" s="1456"/>
      <c r="BH418" s="1456"/>
      <c r="BI418" s="1456"/>
      <c r="BJ418" s="1456"/>
    </row>
    <row r="419" spans="1:62" s="974" customFormat="1" ht="36" customHeight="1">
      <c r="A419" s="705"/>
      <c r="B419" s="2163" t="s">
        <v>1068</v>
      </c>
      <c r="C419" s="2163"/>
      <c r="D419" s="2163"/>
      <c r="E419" s="2163"/>
      <c r="F419" s="2163"/>
      <c r="G419" s="2163"/>
      <c r="H419" s="2163"/>
      <c r="I419" s="2163"/>
      <c r="J419" s="2163"/>
      <c r="K419" s="2163"/>
      <c r="L419" s="2163"/>
      <c r="M419" s="2163"/>
      <c r="N419" s="2163"/>
      <c r="O419" s="2163"/>
      <c r="P419" s="2163"/>
      <c r="Q419" s="2163"/>
      <c r="R419" s="2163"/>
      <c r="S419" s="2163"/>
      <c r="T419" s="2163"/>
      <c r="U419" s="2163"/>
      <c r="V419" s="2163"/>
      <c r="W419" s="2163"/>
      <c r="X419" s="2163"/>
      <c r="Y419" s="2163"/>
      <c r="Z419" s="2163"/>
      <c r="AA419" s="2163"/>
      <c r="AB419" s="2163"/>
      <c r="AC419" s="2163"/>
      <c r="AD419" s="2163"/>
      <c r="AE419" s="2163"/>
      <c r="AF419" s="2163"/>
      <c r="AG419" s="2163"/>
      <c r="AH419" s="2163"/>
      <c r="AI419" s="2163"/>
      <c r="AJ419" s="2163"/>
      <c r="AK419" s="2164"/>
      <c r="AL419" s="2166" t="s">
        <v>711</v>
      </c>
      <c r="AM419" s="2167"/>
      <c r="AN419" s="449"/>
      <c r="AO419" s="1473"/>
      <c r="AP419" s="1456"/>
      <c r="AQ419" s="1456"/>
      <c r="AR419" s="1456"/>
      <c r="AS419" s="1456"/>
      <c r="AT419" s="1456"/>
      <c r="AU419" s="1456"/>
      <c r="AV419" s="1456"/>
      <c r="AW419" s="1456"/>
      <c r="AX419" s="1456"/>
      <c r="AY419" s="1456"/>
      <c r="AZ419" s="1456"/>
      <c r="BA419" s="1456"/>
      <c r="BB419" s="1456"/>
      <c r="BC419" s="1456"/>
      <c r="BD419" s="1456"/>
      <c r="BE419" s="1456"/>
      <c r="BF419" s="1456"/>
      <c r="BG419" s="1456"/>
      <c r="BH419" s="1456"/>
      <c r="BI419" s="1456"/>
      <c r="BJ419" s="1456"/>
    </row>
    <row r="420" spans="1:62" s="974" customFormat="1" ht="18" customHeight="1">
      <c r="A420" s="705"/>
      <c r="B420" s="1889" t="s">
        <v>1069</v>
      </c>
      <c r="C420" s="1889"/>
      <c r="D420" s="1889"/>
      <c r="E420" s="1889"/>
      <c r="F420" s="1889"/>
      <c r="G420" s="1889"/>
      <c r="H420" s="1889"/>
      <c r="I420" s="1889"/>
      <c r="J420" s="1889"/>
      <c r="K420" s="1889"/>
      <c r="L420" s="1889"/>
      <c r="M420" s="1889"/>
      <c r="N420" s="1889"/>
      <c r="O420" s="1889"/>
      <c r="P420" s="1889"/>
      <c r="Q420" s="1889"/>
      <c r="R420" s="1889"/>
      <c r="S420" s="1889"/>
      <c r="T420" s="1889"/>
      <c r="U420" s="1889"/>
      <c r="V420" s="1889"/>
      <c r="W420" s="1889"/>
      <c r="X420" s="1889"/>
      <c r="Y420" s="1889"/>
      <c r="Z420" s="1889"/>
      <c r="AA420" s="1889"/>
      <c r="AB420" s="1889"/>
      <c r="AC420" s="1889"/>
      <c r="AD420" s="1889"/>
      <c r="AE420" s="1889"/>
      <c r="AF420" s="1889"/>
      <c r="AG420" s="1889"/>
      <c r="AH420" s="1889"/>
      <c r="AI420" s="1889"/>
      <c r="AJ420" s="1889"/>
      <c r="AK420" s="2144"/>
      <c r="AL420" s="2038" t="s">
        <v>664</v>
      </c>
      <c r="AM420" s="2039"/>
      <c r="AN420" s="449"/>
      <c r="AO420" s="1473"/>
      <c r="AP420" s="1456"/>
      <c r="AQ420" s="1456"/>
      <c r="AR420" s="1456"/>
      <c r="AS420" s="1456"/>
      <c r="AT420" s="1456"/>
      <c r="AU420" s="1456"/>
      <c r="AV420" s="1456"/>
      <c r="AW420" s="1456"/>
      <c r="AX420" s="1456"/>
      <c r="AY420" s="1456"/>
      <c r="AZ420" s="1456"/>
      <c r="BA420" s="1456"/>
      <c r="BB420" s="1456"/>
      <c r="BC420" s="1456"/>
      <c r="BD420" s="1456"/>
      <c r="BE420" s="1456"/>
      <c r="BF420" s="1456"/>
      <c r="BG420" s="1456"/>
      <c r="BH420" s="1456"/>
      <c r="BI420" s="1456"/>
      <c r="BJ420" s="1456"/>
    </row>
    <row r="421" spans="1:62" s="974" customFormat="1" ht="36" customHeight="1">
      <c r="A421" s="705"/>
      <c r="B421" s="2145" t="s">
        <v>676</v>
      </c>
      <c r="C421" s="2145"/>
      <c r="D421" s="2145"/>
      <c r="E421" s="2174" t="str">
        <f>'Document Checklist'!$E$131</f>
        <v>47. Env. Report 1</v>
      </c>
      <c r="F421" s="2174"/>
      <c r="G421" s="2174"/>
      <c r="H421" s="2174"/>
      <c r="I421" s="2174"/>
      <c r="J421" s="2174"/>
      <c r="K421" s="2174"/>
      <c r="L421" s="2174"/>
      <c r="M421" s="2174"/>
      <c r="N421" s="2174" t="str">
        <f>'Document Checklist'!$N$131</f>
        <v>Phase I (prepared or updated no earlier than 12 months prior to the application due date).</v>
      </c>
      <c r="O421" s="2174"/>
      <c r="P421" s="2174"/>
      <c r="Q421" s="2174"/>
      <c r="R421" s="2174"/>
      <c r="S421" s="2174"/>
      <c r="T421" s="2174"/>
      <c r="U421" s="2174"/>
      <c r="V421" s="2174"/>
      <c r="W421" s="2174"/>
      <c r="X421" s="2174"/>
      <c r="Y421" s="2174"/>
      <c r="Z421" s="2174"/>
      <c r="AA421" s="2174"/>
      <c r="AB421" s="2174"/>
      <c r="AC421" s="2174"/>
      <c r="AD421" s="2174"/>
      <c r="AE421" s="2174"/>
      <c r="AF421" s="2175" t="s">
        <v>677</v>
      </c>
      <c r="AG421" s="2176"/>
      <c r="AH421" s="2176"/>
      <c r="AI421" s="2176"/>
      <c r="AJ421" s="2176"/>
      <c r="AK421" s="2177"/>
      <c r="AL421" s="2038" t="s">
        <v>664</v>
      </c>
      <c r="AM421" s="2039"/>
      <c r="AN421" s="1529"/>
      <c r="AO421" s="1473"/>
      <c r="AP421" s="1456"/>
      <c r="AQ421" s="1456"/>
      <c r="AR421" s="1456"/>
      <c r="AS421" s="1456"/>
      <c r="AT421" s="1456"/>
      <c r="AU421" s="1456"/>
      <c r="AV421" s="1456"/>
      <c r="AW421" s="1456"/>
      <c r="AX421" s="1456"/>
      <c r="AY421" s="1456"/>
      <c r="AZ421" s="1456"/>
      <c r="BA421" s="1456"/>
      <c r="BB421" s="1456"/>
      <c r="BC421" s="1456"/>
      <c r="BD421" s="1456"/>
      <c r="BE421" s="1456"/>
      <c r="BF421" s="1456"/>
      <c r="BG421" s="1456"/>
      <c r="BH421" s="1456"/>
      <c r="BI421" s="1456"/>
      <c r="BJ421" s="1456"/>
    </row>
    <row r="422" spans="1:62" s="974" customFormat="1" ht="36" customHeight="1">
      <c r="A422" s="705"/>
      <c r="B422" s="1851" t="s">
        <v>676</v>
      </c>
      <c r="C422" s="1851"/>
      <c r="D422" s="1851"/>
      <c r="E422" s="1859" t="str">
        <f>'Document Checklist'!$E$132</f>
        <v>48. Env. Report 2</v>
      </c>
      <c r="F422" s="1859"/>
      <c r="G422" s="1859"/>
      <c r="H422" s="1859"/>
      <c r="I422" s="1859"/>
      <c r="J422" s="1859"/>
      <c r="K422" s="1859"/>
      <c r="L422" s="1859"/>
      <c r="M422" s="1859"/>
      <c r="N422" s="1859" t="str">
        <f>'Document Checklist'!$N$132</f>
        <v>Phase II (prepared or updated no earlier than 12 months prior to the application due date).</v>
      </c>
      <c r="O422" s="1859"/>
      <c r="P422" s="1859"/>
      <c r="Q422" s="1859"/>
      <c r="R422" s="1859"/>
      <c r="S422" s="1859"/>
      <c r="T422" s="1859"/>
      <c r="U422" s="1859"/>
      <c r="V422" s="1859"/>
      <c r="W422" s="1859"/>
      <c r="X422" s="1859"/>
      <c r="Y422" s="1859"/>
      <c r="Z422" s="1859"/>
      <c r="AA422" s="1859"/>
      <c r="AB422" s="1859"/>
      <c r="AC422" s="1859"/>
      <c r="AD422" s="1859"/>
      <c r="AE422" s="1859"/>
      <c r="AF422" s="2165" t="s">
        <v>677</v>
      </c>
      <c r="AG422" s="1790"/>
      <c r="AH422" s="1790"/>
      <c r="AI422" s="1790"/>
      <c r="AJ422" s="1790"/>
      <c r="AK422" s="1791"/>
      <c r="AL422" s="2038" t="s">
        <v>664</v>
      </c>
      <c r="AM422" s="2039"/>
      <c r="AN422" s="449"/>
      <c r="AO422" s="1473"/>
      <c r="AP422" s="1456"/>
      <c r="AQ422" s="1456"/>
      <c r="AR422" s="1456"/>
      <c r="AS422" s="1456"/>
      <c r="AT422" s="1456"/>
      <c r="AU422" s="1456"/>
      <c r="AV422" s="1456"/>
      <c r="AW422" s="1456"/>
      <c r="AX422" s="1456"/>
      <c r="AY422" s="1456"/>
      <c r="AZ422" s="1456"/>
      <c r="BA422" s="1456"/>
      <c r="BB422" s="1456"/>
      <c r="BC422" s="1456"/>
      <c r="BD422" s="1456"/>
      <c r="BE422" s="1456"/>
      <c r="BF422" s="1456"/>
      <c r="BG422" s="1456"/>
      <c r="BH422" s="1456"/>
      <c r="BI422" s="1456"/>
      <c r="BJ422" s="1456"/>
    </row>
    <row r="423" spans="1:62" s="974" customFormat="1" ht="18" customHeight="1">
      <c r="A423" s="705"/>
      <c r="B423" s="1851" t="s">
        <v>676</v>
      </c>
      <c r="C423" s="1851"/>
      <c r="D423" s="1851"/>
      <c r="E423" s="1859" t="str">
        <f>'Document Checklist'!$E$133</f>
        <v>49. Env. Report 3</v>
      </c>
      <c r="F423" s="1859"/>
      <c r="G423" s="1859"/>
      <c r="H423" s="1859"/>
      <c r="I423" s="1859"/>
      <c r="J423" s="1859"/>
      <c r="K423" s="1859"/>
      <c r="L423" s="1859"/>
      <c r="M423" s="1859"/>
      <c r="N423" s="1859" t="str">
        <f>'Document Checklist'!$N$133</f>
        <v>Lead Based Paint Report (for structures built prior to 1978) (rehab only).</v>
      </c>
      <c r="O423" s="1859"/>
      <c r="P423" s="1859"/>
      <c r="Q423" s="1859"/>
      <c r="R423" s="1859"/>
      <c r="S423" s="1859"/>
      <c r="T423" s="1859"/>
      <c r="U423" s="1859"/>
      <c r="V423" s="1859"/>
      <c r="W423" s="1859"/>
      <c r="X423" s="1859"/>
      <c r="Y423" s="1859"/>
      <c r="Z423" s="1859"/>
      <c r="AA423" s="1859"/>
      <c r="AB423" s="1859"/>
      <c r="AC423" s="1859"/>
      <c r="AD423" s="1859"/>
      <c r="AE423" s="1859"/>
      <c r="AF423" s="2165" t="s">
        <v>677</v>
      </c>
      <c r="AG423" s="1790"/>
      <c r="AH423" s="1790"/>
      <c r="AI423" s="1790"/>
      <c r="AJ423" s="1790"/>
      <c r="AK423" s="1791"/>
      <c r="AL423" s="2038" t="s">
        <v>664</v>
      </c>
      <c r="AM423" s="2039"/>
      <c r="AN423" s="366"/>
      <c r="AO423" s="1473"/>
      <c r="AP423" s="1456"/>
      <c r="AQ423" s="1456"/>
      <c r="AR423" s="1456"/>
      <c r="AS423" s="1456"/>
      <c r="AT423" s="1456"/>
      <c r="AU423" s="1456"/>
      <c r="AV423" s="1456"/>
      <c r="AW423" s="1456"/>
      <c r="AX423" s="1456"/>
      <c r="AY423" s="1456"/>
      <c r="AZ423" s="1456"/>
      <c r="BA423" s="1456"/>
      <c r="BB423" s="1456"/>
      <c r="BC423" s="1456"/>
      <c r="BD423" s="1456"/>
      <c r="BE423" s="1456"/>
      <c r="BF423" s="1456"/>
      <c r="BG423" s="1456"/>
      <c r="BH423" s="1456"/>
      <c r="BI423" s="1456"/>
      <c r="BJ423" s="1456"/>
    </row>
    <row r="424" spans="1:62" s="974" customFormat="1" ht="18" customHeight="1">
      <c r="A424" s="705"/>
      <c r="B424" s="1851" t="s">
        <v>676</v>
      </c>
      <c r="C424" s="1851"/>
      <c r="D424" s="1851"/>
      <c r="E424" s="1859" t="str">
        <f>'Document Checklist'!$E$134</f>
        <v>50. Env. Report 4</v>
      </c>
      <c r="F424" s="1859"/>
      <c r="G424" s="1859"/>
      <c r="H424" s="1859"/>
      <c r="I424" s="1859"/>
      <c r="J424" s="1859"/>
      <c r="K424" s="1859"/>
      <c r="L424" s="1859"/>
      <c r="M424" s="1859"/>
      <c r="N424" s="1859" t="str">
        <f>'Document Checklist'!$N$134</f>
        <v>Mold Report (rehab only).</v>
      </c>
      <c r="O424" s="1859"/>
      <c r="P424" s="1859"/>
      <c r="Q424" s="1859"/>
      <c r="R424" s="1859"/>
      <c r="S424" s="1859"/>
      <c r="T424" s="1859"/>
      <c r="U424" s="1859"/>
      <c r="V424" s="1859"/>
      <c r="W424" s="1859"/>
      <c r="X424" s="1859"/>
      <c r="Y424" s="1859"/>
      <c r="Z424" s="1859"/>
      <c r="AA424" s="1859"/>
      <c r="AB424" s="1859"/>
      <c r="AC424" s="1859"/>
      <c r="AD424" s="1859"/>
      <c r="AE424" s="1859"/>
      <c r="AF424" s="2165" t="s">
        <v>677</v>
      </c>
      <c r="AG424" s="1790"/>
      <c r="AH424" s="1790"/>
      <c r="AI424" s="1790"/>
      <c r="AJ424" s="1790"/>
      <c r="AK424" s="1791"/>
      <c r="AL424" s="2038" t="s">
        <v>664</v>
      </c>
      <c r="AM424" s="2039"/>
      <c r="AN424" s="365"/>
      <c r="AO424" s="1473"/>
      <c r="AP424" s="1456"/>
      <c r="AQ424" s="1456"/>
      <c r="AR424" s="1456"/>
      <c r="AS424" s="1456"/>
      <c r="AT424" s="1456"/>
      <c r="AU424" s="1456"/>
      <c r="AV424" s="1456"/>
      <c r="AW424" s="1456"/>
      <c r="AX424" s="1456"/>
      <c r="AY424" s="1456"/>
      <c r="AZ424" s="1456"/>
      <c r="BA424" s="1456"/>
      <c r="BB424" s="1456"/>
      <c r="BC424" s="1456"/>
      <c r="BD424" s="1456"/>
      <c r="BE424" s="1456"/>
      <c r="BF424" s="1456"/>
      <c r="BG424" s="1456"/>
      <c r="BH424" s="1456"/>
      <c r="BI424" s="1456"/>
      <c r="BJ424" s="1456"/>
    </row>
    <row r="425" spans="1:62" s="974" customFormat="1" ht="18" customHeight="1">
      <c r="A425" s="705"/>
      <c r="B425" s="1851" t="s">
        <v>676</v>
      </c>
      <c r="C425" s="1851"/>
      <c r="D425" s="1851"/>
      <c r="E425" s="1859" t="str">
        <f>'Document Checklist'!$E$135</f>
        <v>51. Env. Report 5</v>
      </c>
      <c r="F425" s="1859"/>
      <c r="G425" s="1859"/>
      <c r="H425" s="1859"/>
      <c r="I425" s="1859"/>
      <c r="J425" s="1859"/>
      <c r="K425" s="1859"/>
      <c r="L425" s="1859"/>
      <c r="M425" s="1859"/>
      <c r="N425" s="1859" t="str">
        <f>'Document Checklist'!$N$135</f>
        <v>Asbestos Report (for structures built prior to 1978) (rehab only).</v>
      </c>
      <c r="O425" s="1859"/>
      <c r="P425" s="1859"/>
      <c r="Q425" s="1859"/>
      <c r="R425" s="1859"/>
      <c r="S425" s="1859"/>
      <c r="T425" s="1859"/>
      <c r="U425" s="1859"/>
      <c r="V425" s="1859"/>
      <c r="W425" s="1859"/>
      <c r="X425" s="1859"/>
      <c r="Y425" s="1859"/>
      <c r="Z425" s="1859"/>
      <c r="AA425" s="1859"/>
      <c r="AB425" s="1859"/>
      <c r="AC425" s="1859"/>
      <c r="AD425" s="1859"/>
      <c r="AE425" s="1859"/>
      <c r="AF425" s="2165" t="s">
        <v>677</v>
      </c>
      <c r="AG425" s="1790"/>
      <c r="AH425" s="1790"/>
      <c r="AI425" s="1790"/>
      <c r="AJ425" s="1790"/>
      <c r="AK425" s="1791"/>
      <c r="AL425" s="2038" t="s">
        <v>664</v>
      </c>
      <c r="AM425" s="2039"/>
      <c r="AN425" s="365"/>
      <c r="AO425" s="1473"/>
      <c r="AP425" s="1456"/>
      <c r="AQ425" s="1456"/>
      <c r="AR425" s="1456"/>
      <c r="AS425" s="1456"/>
      <c r="AT425" s="1456"/>
      <c r="AU425" s="1456"/>
      <c r="AV425" s="1456"/>
      <c r="AW425" s="1456"/>
      <c r="AX425" s="1456"/>
      <c r="AY425" s="1456"/>
      <c r="AZ425" s="1456"/>
      <c r="BA425" s="1456"/>
      <c r="BB425" s="1456"/>
      <c r="BC425" s="1456"/>
      <c r="BD425" s="1456"/>
      <c r="BE425" s="1456"/>
      <c r="BF425" s="1456"/>
      <c r="BG425" s="1456"/>
      <c r="BH425" s="1456"/>
      <c r="BI425" s="1456"/>
      <c r="BJ425" s="1456"/>
    </row>
    <row r="426" spans="1:62" s="974" customFormat="1" ht="18" customHeight="1">
      <c r="A426" s="1305"/>
      <c r="B426" s="1851" t="s">
        <v>676</v>
      </c>
      <c r="C426" s="1851"/>
      <c r="D426" s="1851"/>
      <c r="E426" s="1859" t="str">
        <f>'Document Checklist'!$E$136</f>
        <v>52. Env. Report 6</v>
      </c>
      <c r="F426" s="1859"/>
      <c r="G426" s="1859"/>
      <c r="H426" s="1859"/>
      <c r="I426" s="1859"/>
      <c r="J426" s="1859"/>
      <c r="K426" s="1859"/>
      <c r="L426" s="1859"/>
      <c r="M426" s="1859"/>
      <c r="N426" s="1859" t="str">
        <f>'Document Checklist'!$N$136</f>
        <v>Other Environmental Report.</v>
      </c>
      <c r="O426" s="1859"/>
      <c r="P426" s="1859"/>
      <c r="Q426" s="1859"/>
      <c r="R426" s="1859"/>
      <c r="S426" s="1859"/>
      <c r="T426" s="1859"/>
      <c r="U426" s="1859"/>
      <c r="V426" s="1859"/>
      <c r="W426" s="1859"/>
      <c r="X426" s="1859"/>
      <c r="Y426" s="1859"/>
      <c r="Z426" s="1859"/>
      <c r="AA426" s="1859"/>
      <c r="AB426" s="1859"/>
      <c r="AC426" s="1859"/>
      <c r="AD426" s="1859"/>
      <c r="AE426" s="1859"/>
      <c r="AF426" s="2165" t="s">
        <v>677</v>
      </c>
      <c r="AG426" s="1790"/>
      <c r="AH426" s="1790"/>
      <c r="AI426" s="1790"/>
      <c r="AJ426" s="1790"/>
      <c r="AK426" s="1791"/>
      <c r="AL426" s="2038" t="s">
        <v>664</v>
      </c>
      <c r="AM426" s="2039"/>
      <c r="AN426" s="1310"/>
      <c r="AO426" s="368"/>
      <c r="AP426" s="368"/>
      <c r="AQ426" s="368"/>
      <c r="AR426" s="368"/>
      <c r="AS426" s="368"/>
      <c r="AT426" s="368"/>
      <c r="AU426" s="368"/>
      <c r="AV426" s="368"/>
      <c r="AW426" s="368"/>
      <c r="AX426" s="368"/>
      <c r="AY426" s="368"/>
      <c r="AZ426" s="368"/>
      <c r="BA426" s="368"/>
      <c r="BB426" s="368"/>
      <c r="BC426" s="368"/>
      <c r="BD426" s="368"/>
      <c r="BE426" s="368"/>
      <c r="BF426" s="368"/>
      <c r="BG426" s="368"/>
      <c r="BH426" s="368"/>
      <c r="BI426" s="368"/>
      <c r="BJ426" s="368"/>
    </row>
    <row r="427" spans="1:62" s="368" customFormat="1" ht="18" customHeight="1">
      <c r="A427" s="1305"/>
      <c r="B427" s="1312"/>
      <c r="C427" s="1312"/>
      <c r="D427" s="1312"/>
      <c r="E427" s="1312"/>
      <c r="F427" s="1312"/>
      <c r="G427" s="1312"/>
      <c r="H427" s="1312"/>
      <c r="I427" s="1312"/>
      <c r="J427" s="1312"/>
      <c r="K427" s="1312"/>
      <c r="L427" s="1312"/>
      <c r="M427" s="1312"/>
      <c r="N427" s="1312"/>
      <c r="O427" s="1312"/>
      <c r="P427" s="1312"/>
      <c r="Q427" s="1312"/>
      <c r="R427" s="1312"/>
      <c r="S427" s="1312"/>
      <c r="T427" s="1312"/>
      <c r="U427" s="1312"/>
      <c r="V427" s="1312"/>
      <c r="W427" s="1312"/>
      <c r="X427" s="1312"/>
      <c r="Y427" s="1312"/>
      <c r="Z427" s="1312"/>
      <c r="AA427" s="1312"/>
      <c r="AB427" s="1312"/>
      <c r="AC427" s="1312"/>
      <c r="AD427" s="1312"/>
      <c r="AE427" s="1312"/>
      <c r="AF427" s="1312"/>
      <c r="AG427" s="1312"/>
      <c r="AH427" s="1312"/>
      <c r="AI427" s="1312"/>
      <c r="AJ427" s="1312"/>
      <c r="AK427" s="1312"/>
      <c r="AL427" s="1312"/>
      <c r="AM427" s="1312"/>
      <c r="AN427" s="1312"/>
      <c r="AO427" s="1473"/>
      <c r="AP427" s="1456"/>
      <c r="AQ427" s="1456"/>
      <c r="AR427" s="1456"/>
      <c r="AS427" s="1456"/>
      <c r="AT427" s="1456"/>
      <c r="AU427" s="1456"/>
      <c r="AV427" s="1456"/>
      <c r="AW427" s="1456"/>
      <c r="AX427" s="1456"/>
      <c r="AY427" s="1456"/>
      <c r="AZ427" s="1456"/>
      <c r="BA427" s="1456"/>
      <c r="BB427" s="1456"/>
      <c r="BC427" s="1456"/>
      <c r="BD427" s="1456"/>
      <c r="BE427" s="1456"/>
      <c r="BF427" s="1456"/>
      <c r="BG427" s="1456"/>
      <c r="BH427" s="1456"/>
      <c r="BI427" s="1456"/>
      <c r="BJ427" s="1456"/>
    </row>
    <row r="428" spans="1:62" s="974" customFormat="1" ht="18" customHeight="1">
      <c r="A428" s="1305"/>
      <c r="B428" s="1776" t="s">
        <v>1070</v>
      </c>
      <c r="C428" s="1776"/>
      <c r="D428" s="1776"/>
      <c r="E428" s="1776"/>
      <c r="F428" s="1776"/>
      <c r="G428" s="1776"/>
      <c r="H428" s="1776"/>
      <c r="I428" s="1776"/>
      <c r="J428" s="1776"/>
      <c r="K428" s="1776"/>
      <c r="L428" s="1776"/>
      <c r="M428" s="1776"/>
      <c r="N428" s="1776"/>
      <c r="O428" s="1776"/>
      <c r="P428" s="1776"/>
      <c r="Q428" s="1776"/>
      <c r="R428" s="1776"/>
      <c r="S428" s="1776"/>
      <c r="T428" s="1776"/>
      <c r="U428" s="1776"/>
      <c r="V428" s="1776"/>
      <c r="W428" s="1776"/>
      <c r="X428" s="1776"/>
      <c r="Y428" s="1776"/>
      <c r="Z428" s="1776"/>
      <c r="AA428" s="1776"/>
      <c r="AB428" s="1776"/>
      <c r="AC428" s="1776"/>
      <c r="AD428" s="1776"/>
      <c r="AE428" s="1776"/>
      <c r="AF428" s="1776"/>
      <c r="AG428" s="1776"/>
      <c r="AH428" s="1776"/>
      <c r="AI428" s="1776"/>
      <c r="AJ428" s="1776"/>
      <c r="AK428" s="1776"/>
      <c r="AL428" s="1776"/>
      <c r="AM428" s="1776"/>
      <c r="AN428" s="1313"/>
      <c r="AO428" s="1473"/>
      <c r="AP428" s="1456"/>
      <c r="AQ428" s="1456"/>
      <c r="AR428" s="1456"/>
      <c r="AS428" s="1456"/>
      <c r="AT428" s="1456"/>
      <c r="AU428" s="1456"/>
      <c r="AV428" s="1456"/>
      <c r="AW428" s="1456"/>
      <c r="AX428" s="1456"/>
      <c r="AY428" s="1456"/>
      <c r="AZ428" s="1456"/>
      <c r="BA428" s="1456"/>
      <c r="BB428" s="1456"/>
      <c r="BC428" s="1456"/>
      <c r="BD428" s="1456"/>
      <c r="BE428" s="1456"/>
      <c r="BF428" s="1456"/>
      <c r="BG428" s="1456"/>
      <c r="BH428" s="1456"/>
      <c r="BI428" s="1456"/>
      <c r="BJ428" s="1456"/>
    </row>
    <row r="429" spans="1:62" s="974" customFormat="1" ht="36" customHeight="1">
      <c r="A429" s="1305"/>
      <c r="B429" s="2178" t="s">
        <v>1071</v>
      </c>
      <c r="C429" s="2178"/>
      <c r="D429" s="2178"/>
      <c r="E429" s="2178"/>
      <c r="F429" s="2178"/>
      <c r="G429" s="2178"/>
      <c r="H429" s="2178"/>
      <c r="I429" s="2178"/>
      <c r="J429" s="2178"/>
      <c r="K429" s="2178"/>
      <c r="L429" s="2178"/>
      <c r="M429" s="2178"/>
      <c r="N429" s="2178"/>
      <c r="O429" s="2178"/>
      <c r="P429" s="2178"/>
      <c r="Q429" s="2178"/>
      <c r="R429" s="2178"/>
      <c r="S429" s="2178"/>
      <c r="T429" s="2178"/>
      <c r="U429" s="2178"/>
      <c r="V429" s="2178"/>
      <c r="W429" s="2178"/>
      <c r="X429" s="2178"/>
      <c r="Y429" s="2178"/>
      <c r="Z429" s="2178"/>
      <c r="AA429" s="2178"/>
      <c r="AB429" s="2178"/>
      <c r="AC429" s="2178"/>
      <c r="AD429" s="2178"/>
      <c r="AE429" s="2178"/>
      <c r="AF429" s="2178"/>
      <c r="AG429" s="2178"/>
      <c r="AH429" s="2178"/>
      <c r="AI429" s="2178"/>
      <c r="AJ429" s="2178"/>
      <c r="AK429" s="2178"/>
      <c r="AL429" s="2178"/>
      <c r="AM429" s="2178"/>
      <c r="AN429" s="1313"/>
      <c r="AO429" s="1473"/>
      <c r="AP429" s="1456"/>
      <c r="AQ429" s="1456"/>
      <c r="AR429" s="1456"/>
      <c r="AS429" s="1456"/>
      <c r="AT429" s="1456"/>
      <c r="AU429" s="1456"/>
      <c r="AV429" s="1456"/>
      <c r="AW429" s="1456"/>
      <c r="AX429" s="1456"/>
      <c r="AY429" s="1456"/>
      <c r="AZ429" s="1456"/>
      <c r="BA429" s="1456"/>
      <c r="BB429" s="1456"/>
      <c r="BC429" s="1456"/>
      <c r="BD429" s="1456"/>
      <c r="BE429" s="1456"/>
      <c r="BF429" s="1456"/>
      <c r="BG429" s="1456"/>
      <c r="BH429" s="1456"/>
      <c r="BI429" s="1456"/>
      <c r="BJ429" s="1456"/>
    </row>
    <row r="430" spans="1:62" s="974" customFormat="1" ht="14.4" hidden="1">
      <c r="A430" s="1305"/>
      <c r="B430" s="2178" t="s">
        <v>1072</v>
      </c>
      <c r="C430" s="2178"/>
      <c r="D430" s="2178"/>
      <c r="E430" s="2178"/>
      <c r="F430" s="2178"/>
      <c r="G430" s="2178"/>
      <c r="H430" s="2178"/>
      <c r="I430" s="2178"/>
      <c r="J430" s="2178"/>
      <c r="K430" s="2178"/>
      <c r="L430" s="2178"/>
      <c r="M430" s="2178"/>
      <c r="N430" s="2178"/>
      <c r="O430" s="2178"/>
      <c r="P430" s="2178"/>
      <c r="Q430" s="2178"/>
      <c r="R430" s="2178"/>
      <c r="S430" s="2178"/>
      <c r="T430" s="2178"/>
      <c r="U430" s="2178"/>
      <c r="V430" s="2178"/>
      <c r="W430" s="2178"/>
      <c r="X430" s="2178"/>
      <c r="Y430" s="2178"/>
      <c r="Z430" s="2178"/>
      <c r="AA430" s="2178"/>
      <c r="AB430" s="2178"/>
      <c r="AC430" s="2178"/>
      <c r="AD430" s="2178"/>
      <c r="AE430" s="2178"/>
      <c r="AF430" s="2178"/>
      <c r="AG430" s="2178"/>
      <c r="AH430" s="2178"/>
      <c r="AI430" s="2178"/>
      <c r="AJ430" s="2178"/>
      <c r="AK430" s="2178"/>
      <c r="AL430" s="2178"/>
      <c r="AM430" s="2178"/>
      <c r="AN430" s="1313"/>
      <c r="AO430" s="1473"/>
      <c r="AP430" s="1456"/>
      <c r="AQ430" s="1456"/>
      <c r="AR430" s="1456"/>
      <c r="AS430" s="1456"/>
      <c r="AT430" s="1456"/>
      <c r="AU430" s="1456"/>
      <c r="AV430" s="1456"/>
      <c r="AW430" s="1456"/>
      <c r="AX430" s="1456"/>
      <c r="AY430" s="1456"/>
      <c r="AZ430" s="1456"/>
      <c r="BA430" s="1456"/>
      <c r="BB430" s="1456"/>
      <c r="BC430" s="1456"/>
      <c r="BD430" s="1456"/>
      <c r="BE430" s="1456"/>
      <c r="BF430" s="1456"/>
      <c r="BG430" s="1456"/>
      <c r="BH430" s="1456"/>
      <c r="BI430" s="1456"/>
      <c r="BJ430" s="1456"/>
    </row>
    <row r="431" spans="1:62" s="974" customFormat="1" ht="18" customHeight="1">
      <c r="A431" s="705"/>
      <c r="B431" s="2093" t="s">
        <v>1073</v>
      </c>
      <c r="C431" s="2093"/>
      <c r="D431" s="2093"/>
      <c r="E431" s="2093"/>
      <c r="F431" s="2093"/>
      <c r="G431" s="2093"/>
      <c r="H431" s="2093"/>
      <c r="I431" s="2093"/>
      <c r="J431" s="2093"/>
      <c r="K431" s="2093"/>
      <c r="L431" s="2093"/>
      <c r="M431" s="2093"/>
      <c r="N431" s="2093"/>
      <c r="O431" s="2093"/>
      <c r="P431" s="2093"/>
      <c r="Q431" s="2093"/>
      <c r="R431" s="2093"/>
      <c r="S431" s="2093"/>
      <c r="T431" s="2093"/>
      <c r="U431" s="2093"/>
      <c r="V431" s="2093"/>
      <c r="W431" s="2093"/>
      <c r="X431" s="2093"/>
      <c r="Y431" s="2093"/>
      <c r="Z431" s="2093"/>
      <c r="AA431" s="2093"/>
      <c r="AB431" s="2093"/>
      <c r="AC431" s="2093"/>
      <c r="AD431" s="2093"/>
      <c r="AE431" s="2093"/>
      <c r="AF431" s="2093"/>
      <c r="AG431" s="2093"/>
      <c r="AH431" s="2093"/>
      <c r="AI431" s="2093"/>
      <c r="AJ431" s="2093"/>
      <c r="AK431" s="2093"/>
      <c r="AL431" s="2093"/>
      <c r="AM431" s="2093"/>
      <c r="AN431" s="365"/>
      <c r="AO431" s="1473"/>
      <c r="AP431" s="1456"/>
      <c r="AQ431" s="1456"/>
      <c r="AR431" s="1456"/>
      <c r="AS431" s="1456"/>
      <c r="AT431" s="1456"/>
      <c r="AU431" s="1456"/>
      <c r="AV431" s="1456"/>
      <c r="AW431" s="1456"/>
      <c r="AX431" s="1456"/>
      <c r="AY431" s="1456"/>
      <c r="AZ431" s="1456"/>
      <c r="BA431" s="1456"/>
      <c r="BB431" s="1456"/>
      <c r="BC431" s="1456"/>
      <c r="BD431" s="1456"/>
      <c r="BE431" s="1456"/>
      <c r="BF431" s="1456"/>
      <c r="BG431" s="1456"/>
      <c r="BH431" s="1456"/>
      <c r="BI431" s="1456"/>
      <c r="BJ431" s="1456"/>
    </row>
    <row r="432" spans="1:62" s="974" customFormat="1" ht="36" customHeight="1">
      <c r="A432" s="700"/>
      <c r="B432" s="1851" t="s">
        <v>676</v>
      </c>
      <c r="C432" s="1851"/>
      <c r="D432" s="1851"/>
      <c r="E432" s="1859" t="str">
        <f>'Document Checklist'!$E$92</f>
        <v>15. Article XXXIV Legal Opinion</v>
      </c>
      <c r="F432" s="1859"/>
      <c r="G432" s="1859"/>
      <c r="H432" s="1859"/>
      <c r="I432" s="1859"/>
      <c r="J432" s="1859"/>
      <c r="K432" s="1859"/>
      <c r="L432" s="1859"/>
      <c r="M432" s="1859"/>
      <c r="N432" s="1859" t="str">
        <f>'Document Checklist'!$N$92</f>
        <v>Legal opinion regarding Article XXXIV, prepared in accordance with NOFA Section IV.</v>
      </c>
      <c r="O432" s="1859"/>
      <c r="P432" s="1859"/>
      <c r="Q432" s="1859"/>
      <c r="R432" s="1859"/>
      <c r="S432" s="1859"/>
      <c r="T432" s="1859"/>
      <c r="U432" s="1859"/>
      <c r="V432" s="1859"/>
      <c r="W432" s="1859"/>
      <c r="X432" s="1859"/>
      <c r="Y432" s="1859"/>
      <c r="Z432" s="1859"/>
      <c r="AA432" s="1859"/>
      <c r="AB432" s="1859"/>
      <c r="AC432" s="1859"/>
      <c r="AD432" s="1859"/>
      <c r="AE432" s="1859"/>
      <c r="AF432" s="2129" t="s">
        <v>677</v>
      </c>
      <c r="AG432" s="2130"/>
      <c r="AH432" s="2130"/>
      <c r="AI432" s="2130"/>
      <c r="AJ432" s="2130"/>
      <c r="AK432" s="2130"/>
      <c r="AL432" s="1765" t="s">
        <v>664</v>
      </c>
      <c r="AM432" s="1765"/>
      <c r="AN432" s="50"/>
      <c r="AO432" s="1473"/>
      <c r="AP432" s="1456"/>
      <c r="AQ432" s="1456"/>
      <c r="AR432" s="1456"/>
      <c r="AS432" s="1456"/>
      <c r="AT432" s="1456"/>
      <c r="AU432" s="1456"/>
      <c r="AV432" s="1456"/>
      <c r="AW432" s="1456"/>
      <c r="AX432" s="1456"/>
      <c r="AY432" s="1456"/>
      <c r="AZ432" s="1456"/>
      <c r="BA432" s="1456"/>
      <c r="BB432" s="1456"/>
      <c r="BC432" s="1456"/>
      <c r="BD432" s="1456"/>
      <c r="BE432" s="1456"/>
      <c r="BF432" s="1456"/>
      <c r="BG432" s="1456"/>
      <c r="BH432" s="1456"/>
      <c r="BI432" s="1456"/>
      <c r="BJ432" s="1456"/>
    </row>
    <row r="433" spans="1:62" s="974" customFormat="1" ht="36" customHeight="1">
      <c r="A433" s="705"/>
      <c r="B433" s="1731" t="s">
        <v>676</v>
      </c>
      <c r="C433" s="1732"/>
      <c r="D433" s="1732"/>
      <c r="E433" s="1740" t="str">
        <f>'Document Checklist'!$E$93</f>
        <v>16. Article XXXIV Authority</v>
      </c>
      <c r="F433" s="1741"/>
      <c r="G433" s="1741"/>
      <c r="H433" s="1741"/>
      <c r="I433" s="1741"/>
      <c r="J433" s="1741"/>
      <c r="K433" s="1741"/>
      <c r="L433" s="1741"/>
      <c r="M433" s="1741"/>
      <c r="N433" s="1740" t="str">
        <f>'Document Checklist'!$N$93</f>
        <v>Documentation of Article XXXIV Authority prepared in accordance with NOFA Section IV.</v>
      </c>
      <c r="O433" s="1741"/>
      <c r="P433" s="1741"/>
      <c r="Q433" s="1741"/>
      <c r="R433" s="1741"/>
      <c r="S433" s="1741"/>
      <c r="T433" s="1741"/>
      <c r="U433" s="1741"/>
      <c r="V433" s="1741"/>
      <c r="W433" s="1741"/>
      <c r="X433" s="1741"/>
      <c r="Y433" s="1741"/>
      <c r="Z433" s="1741"/>
      <c r="AA433" s="1741"/>
      <c r="AB433" s="1741"/>
      <c r="AC433" s="1741"/>
      <c r="AD433" s="1741"/>
      <c r="AE433" s="1788"/>
      <c r="AF433" s="1789" t="s">
        <v>677</v>
      </c>
      <c r="AG433" s="1790"/>
      <c r="AH433" s="1790"/>
      <c r="AI433" s="1790"/>
      <c r="AJ433" s="1790"/>
      <c r="AK433" s="1791"/>
      <c r="AL433" s="1765" t="s">
        <v>664</v>
      </c>
      <c r="AM433" s="1765"/>
      <c r="AN433" s="449"/>
      <c r="AO433" s="1473"/>
      <c r="AP433" s="1456"/>
      <c r="AQ433" s="1456"/>
      <c r="AR433" s="1456"/>
      <c r="AS433" s="1456"/>
      <c r="AT433" s="1456"/>
      <c r="AU433" s="1456"/>
      <c r="AV433" s="1456"/>
      <c r="AW433" s="1456"/>
      <c r="AX433" s="1456"/>
      <c r="AY433" s="1456"/>
      <c r="AZ433" s="1456"/>
      <c r="BA433" s="1456"/>
      <c r="BB433" s="1456"/>
      <c r="BC433" s="1456"/>
      <c r="BD433" s="1456"/>
      <c r="BE433" s="1456"/>
      <c r="BF433" s="1456"/>
      <c r="BG433" s="1456"/>
      <c r="BH433" s="1456"/>
      <c r="BI433" s="1456"/>
      <c r="BJ433" s="1456"/>
    </row>
    <row r="434" spans="1:62" s="974" customFormat="1" ht="18" customHeight="1">
      <c r="A434" s="705"/>
      <c r="B434" s="365"/>
      <c r="C434" s="365"/>
      <c r="D434" s="365"/>
      <c r="E434" s="365"/>
      <c r="F434" s="365"/>
      <c r="G434" s="365"/>
      <c r="H434" s="365"/>
      <c r="I434" s="365"/>
      <c r="J434" s="365"/>
      <c r="K434" s="365"/>
      <c r="L434" s="365"/>
      <c r="M434" s="365"/>
      <c r="N434" s="365"/>
      <c r="O434" s="365"/>
      <c r="P434" s="365"/>
      <c r="Q434" s="365"/>
      <c r="R434" s="365"/>
      <c r="S434" s="365"/>
      <c r="T434" s="365"/>
      <c r="U434" s="365"/>
      <c r="V434" s="365"/>
      <c r="W434" s="365"/>
      <c r="X434" s="365"/>
      <c r="Y434" s="365"/>
      <c r="Z434" s="365"/>
      <c r="AA434" s="365"/>
      <c r="AB434" s="365"/>
      <c r="AC434" s="365"/>
      <c r="AD434" s="365"/>
      <c r="AE434" s="365"/>
      <c r="AF434" s="365"/>
      <c r="AG434" s="365"/>
      <c r="AH434" s="365"/>
      <c r="AI434" s="365"/>
      <c r="AJ434" s="365"/>
      <c r="AK434" s="365"/>
      <c r="AL434" s="365"/>
      <c r="AM434" s="365"/>
      <c r="AN434" s="365"/>
      <c r="AO434" s="1473"/>
      <c r="AP434" s="1456"/>
      <c r="AQ434" s="1456"/>
      <c r="AR434" s="1456"/>
      <c r="AS434" s="1456"/>
      <c r="AT434" s="1456"/>
      <c r="AU434" s="1456"/>
      <c r="AV434" s="1456"/>
      <c r="AW434" s="1456"/>
      <c r="AX434" s="1456"/>
      <c r="AY434" s="1456"/>
      <c r="AZ434" s="1456"/>
      <c r="BA434" s="1456"/>
      <c r="BB434" s="1456"/>
      <c r="BC434" s="1456"/>
      <c r="BD434" s="1456"/>
      <c r="BE434" s="1456"/>
      <c r="BF434" s="1456"/>
      <c r="BG434" s="1456"/>
      <c r="BH434" s="1456"/>
      <c r="BI434" s="1456"/>
      <c r="BJ434" s="1456"/>
    </row>
    <row r="435" spans="1:62" s="974" customFormat="1" ht="18" customHeight="1">
      <c r="A435" s="700"/>
      <c r="B435" s="1817" t="s">
        <v>1074</v>
      </c>
      <c r="C435" s="1817"/>
      <c r="D435" s="1817"/>
      <c r="E435" s="1817"/>
      <c r="F435" s="1817"/>
      <c r="G435" s="1817"/>
      <c r="H435" s="1817"/>
      <c r="I435" s="1817"/>
      <c r="J435" s="1817"/>
      <c r="K435" s="1817"/>
      <c r="L435" s="1817"/>
      <c r="M435" s="1817"/>
      <c r="N435" s="1817"/>
      <c r="O435" s="1817"/>
      <c r="P435" s="1817"/>
      <c r="Q435" s="1817"/>
      <c r="R435" s="1817"/>
      <c r="S435" s="1817"/>
      <c r="T435" s="1817"/>
      <c r="U435" s="1817"/>
      <c r="V435" s="1817"/>
      <c r="W435" s="1817"/>
      <c r="X435" s="1817"/>
      <c r="Y435" s="1817"/>
      <c r="Z435" s="1817"/>
      <c r="AA435" s="1817"/>
      <c r="AB435" s="1817"/>
      <c r="AC435" s="1817"/>
      <c r="AD435" s="1817"/>
      <c r="AE435" s="1817"/>
      <c r="AF435" s="1817"/>
      <c r="AG435" s="1817"/>
      <c r="AH435" s="1817"/>
      <c r="AI435" s="1817"/>
      <c r="AJ435" s="1817"/>
      <c r="AK435" s="1817"/>
      <c r="AL435" s="2018"/>
      <c r="AM435" s="2018"/>
      <c r="AN435" s="50"/>
      <c r="AO435" s="368"/>
      <c r="AP435" s="368"/>
      <c r="AQ435" s="368"/>
      <c r="AR435" s="368"/>
      <c r="AS435" s="368"/>
      <c r="AT435" s="368"/>
      <c r="AU435" s="368"/>
      <c r="AV435" s="368"/>
      <c r="AW435" s="368"/>
      <c r="AX435" s="368"/>
      <c r="AY435" s="368"/>
      <c r="AZ435" s="368"/>
      <c r="BA435" s="368"/>
      <c r="BB435" s="368"/>
      <c r="BC435" s="368"/>
      <c r="BD435" s="368"/>
      <c r="BE435" s="368"/>
      <c r="BF435" s="368"/>
      <c r="BG435" s="368"/>
      <c r="BH435" s="368"/>
      <c r="BI435" s="368"/>
      <c r="BJ435" s="368"/>
    </row>
    <row r="436" spans="1:62" s="368" customFormat="1" ht="18" customHeight="1">
      <c r="A436" s="705"/>
      <c r="B436" s="2162" t="s">
        <v>1075</v>
      </c>
      <c r="C436" s="2162"/>
      <c r="D436" s="2162"/>
      <c r="E436" s="2162"/>
      <c r="F436" s="2162"/>
      <c r="G436" s="2162"/>
      <c r="H436" s="2162"/>
      <c r="I436" s="2162"/>
      <c r="J436" s="2162"/>
      <c r="K436" s="2162"/>
      <c r="L436" s="2162"/>
      <c r="M436" s="2162"/>
      <c r="N436" s="2162"/>
      <c r="O436" s="2162"/>
      <c r="P436" s="2162"/>
      <c r="Q436" s="2162"/>
      <c r="R436" s="2162"/>
      <c r="S436" s="2162"/>
      <c r="T436" s="2162"/>
      <c r="U436" s="2162"/>
      <c r="V436" s="2162"/>
      <c r="W436" s="2162"/>
      <c r="X436" s="2162"/>
      <c r="Y436" s="2162"/>
      <c r="Z436" s="2162"/>
      <c r="AA436" s="2162"/>
      <c r="AB436" s="2162"/>
      <c r="AC436" s="2162"/>
      <c r="AD436" s="2162"/>
      <c r="AE436" s="2162"/>
      <c r="AF436" s="2162"/>
      <c r="AG436" s="2162"/>
      <c r="AH436" s="2162"/>
      <c r="AI436" s="2162"/>
      <c r="AJ436" s="2162"/>
      <c r="AK436" s="2162"/>
      <c r="AL436" s="1724" t="s">
        <v>711</v>
      </c>
      <c r="AM436" s="1725"/>
      <c r="AN436" s="365"/>
      <c r="AO436" s="1473"/>
      <c r="AP436" s="1456"/>
      <c r="AQ436" s="1456"/>
      <c r="AR436" s="1456"/>
      <c r="AS436" s="1456"/>
      <c r="AT436" s="1456"/>
      <c r="AU436" s="1456"/>
      <c r="AV436" s="1456"/>
      <c r="AW436" s="1456"/>
      <c r="AX436" s="1456"/>
      <c r="AY436" s="1456"/>
      <c r="AZ436" s="1456"/>
      <c r="BA436" s="1456"/>
      <c r="BB436" s="1456"/>
      <c r="BC436" s="1456"/>
      <c r="BD436" s="1456"/>
      <c r="BE436" s="1456"/>
      <c r="BF436" s="1456"/>
      <c r="BG436" s="1456"/>
      <c r="BH436" s="1456"/>
      <c r="BI436" s="1456"/>
      <c r="BJ436" s="1456"/>
    </row>
    <row r="437" spans="1:62" s="974" customFormat="1" ht="18" customHeight="1">
      <c r="A437" s="705"/>
      <c r="B437" s="365"/>
      <c r="C437" s="365"/>
      <c r="D437" s="365"/>
      <c r="E437" s="365"/>
      <c r="F437" s="365"/>
      <c r="G437" s="365"/>
      <c r="H437" s="365"/>
      <c r="I437" s="365"/>
      <c r="J437" s="365"/>
      <c r="K437" s="365"/>
      <c r="L437" s="365"/>
      <c r="M437" s="365"/>
      <c r="N437" s="365"/>
      <c r="O437" s="365"/>
      <c r="P437" s="365"/>
      <c r="Q437" s="365"/>
      <c r="R437" s="365"/>
      <c r="S437" s="365"/>
      <c r="T437" s="365"/>
      <c r="U437" s="365"/>
      <c r="V437" s="365"/>
      <c r="W437" s="365"/>
      <c r="X437" s="365"/>
      <c r="Y437" s="365"/>
      <c r="Z437" s="365"/>
      <c r="AA437" s="365"/>
      <c r="AB437" s="365"/>
      <c r="AC437" s="365"/>
      <c r="AD437" s="365"/>
      <c r="AE437" s="365"/>
      <c r="AF437" s="365"/>
      <c r="AG437" s="365"/>
      <c r="AH437" s="365"/>
      <c r="AI437" s="365"/>
      <c r="AJ437" s="365"/>
      <c r="AK437" s="365"/>
      <c r="AL437" s="365"/>
      <c r="AM437" s="365"/>
      <c r="AN437" s="365"/>
      <c r="AO437" s="49"/>
      <c r="AP437" s="365"/>
      <c r="AQ437" s="365"/>
      <c r="AR437" s="365"/>
      <c r="AS437" s="365"/>
      <c r="AT437" s="365"/>
      <c r="AU437" s="365"/>
      <c r="AV437" s="365"/>
      <c r="AW437" s="365"/>
      <c r="AX437" s="365"/>
      <c r="AY437" s="365"/>
      <c r="AZ437" s="365"/>
      <c r="BA437" s="365"/>
      <c r="BB437" s="365"/>
      <c r="BC437" s="365"/>
      <c r="BD437" s="365"/>
      <c r="BE437" s="365"/>
      <c r="BF437" s="365"/>
      <c r="BG437" s="365"/>
      <c r="BH437" s="365"/>
      <c r="BI437" s="365"/>
      <c r="BJ437" s="365"/>
    </row>
    <row r="438" spans="1:62" s="365" customFormat="1" ht="18" customHeight="1">
      <c r="A438" s="705"/>
      <c r="B438" s="1776" t="s">
        <v>1076</v>
      </c>
      <c r="C438" s="1776"/>
      <c r="D438" s="1776"/>
      <c r="E438" s="1776"/>
      <c r="F438" s="1776"/>
      <c r="G438" s="1776"/>
      <c r="H438" s="1776"/>
      <c r="I438" s="1776"/>
      <c r="J438" s="1776"/>
      <c r="K438" s="1776"/>
      <c r="L438" s="1776"/>
      <c r="M438" s="1776"/>
      <c r="N438" s="1776"/>
      <c r="O438" s="1776"/>
      <c r="P438" s="1776"/>
      <c r="Q438" s="1776"/>
      <c r="R438" s="1776"/>
      <c r="S438" s="1776"/>
      <c r="T438" s="1776"/>
      <c r="U438" s="1776"/>
      <c r="V438" s="1776"/>
      <c r="W438" s="1776"/>
      <c r="X438" s="1776"/>
      <c r="Y438" s="1776"/>
      <c r="Z438" s="1776"/>
      <c r="AA438" s="1776"/>
      <c r="AB438" s="1776"/>
      <c r="AC438" s="1776"/>
      <c r="AD438" s="1776"/>
      <c r="AE438" s="1776"/>
      <c r="AF438" s="1776"/>
      <c r="AG438" s="1776"/>
      <c r="AH438" s="1776"/>
      <c r="AI438" s="1776"/>
      <c r="AJ438" s="1776"/>
      <c r="AK438" s="1776"/>
      <c r="AL438" s="2031"/>
      <c r="AM438" s="2031"/>
      <c r="AO438" s="49"/>
    </row>
    <row r="439" spans="1:62" s="365" customFormat="1" ht="18" customHeight="1">
      <c r="A439" s="705"/>
      <c r="B439" s="2162" t="s">
        <v>1077</v>
      </c>
      <c r="C439" s="2162"/>
      <c r="D439" s="2162"/>
      <c r="E439" s="2162"/>
      <c r="F439" s="2162"/>
      <c r="G439" s="2162"/>
      <c r="H439" s="2162"/>
      <c r="I439" s="2162"/>
      <c r="J439" s="2162"/>
      <c r="K439" s="2162"/>
      <c r="L439" s="2162"/>
      <c r="M439" s="2162"/>
      <c r="N439" s="2162"/>
      <c r="O439" s="2162"/>
      <c r="P439" s="2162"/>
      <c r="Q439" s="2162"/>
      <c r="R439" s="2162"/>
      <c r="S439" s="2162"/>
      <c r="T439" s="2162"/>
      <c r="U439" s="2162"/>
      <c r="V439" s="2162"/>
      <c r="W439" s="2162"/>
      <c r="X439" s="2162"/>
      <c r="Y439" s="2162"/>
      <c r="Z439" s="2162"/>
      <c r="AA439" s="2162"/>
      <c r="AB439" s="2162"/>
      <c r="AC439" s="2162"/>
      <c r="AD439" s="2162"/>
      <c r="AE439" s="2162"/>
      <c r="AF439" s="2162"/>
      <c r="AG439" s="2162"/>
      <c r="AH439" s="2162"/>
      <c r="AI439" s="2162"/>
      <c r="AJ439" s="2162"/>
      <c r="AK439" s="2162"/>
      <c r="AL439" s="1765" t="s">
        <v>664</v>
      </c>
      <c r="AM439" s="1765"/>
      <c r="AO439" s="49"/>
    </row>
    <row r="440" spans="1:62" s="365" customFormat="1" ht="36" customHeight="1">
      <c r="A440" s="705"/>
      <c r="B440" s="2162" t="s">
        <v>1078</v>
      </c>
      <c r="C440" s="2162"/>
      <c r="D440" s="2162"/>
      <c r="E440" s="2162"/>
      <c r="F440" s="2162"/>
      <c r="G440" s="2162"/>
      <c r="H440" s="2162"/>
      <c r="I440" s="2162"/>
      <c r="J440" s="2162"/>
      <c r="K440" s="2162"/>
      <c r="L440" s="2162"/>
      <c r="M440" s="2162"/>
      <c r="N440" s="2162"/>
      <c r="O440" s="2162"/>
      <c r="P440" s="2162"/>
      <c r="Q440" s="2162"/>
      <c r="R440" s="2162"/>
      <c r="S440" s="2162"/>
      <c r="T440" s="2162"/>
      <c r="U440" s="2162"/>
      <c r="V440" s="2162"/>
      <c r="W440" s="2162"/>
      <c r="X440" s="2162"/>
      <c r="Y440" s="2162"/>
      <c r="Z440" s="2162"/>
      <c r="AA440" s="2162"/>
      <c r="AB440" s="2162"/>
      <c r="AC440" s="2162"/>
      <c r="AD440" s="2162"/>
      <c r="AE440" s="2162"/>
      <c r="AF440" s="2162"/>
      <c r="AG440" s="2162"/>
      <c r="AH440" s="2162"/>
      <c r="AI440" s="2162"/>
      <c r="AJ440" s="2162"/>
      <c r="AK440" s="2162"/>
      <c r="AL440" s="1765" t="s">
        <v>664</v>
      </c>
      <c r="AM440" s="1765"/>
      <c r="AO440" s="49"/>
    </row>
    <row r="441" spans="1:62" s="365" customFormat="1" ht="36" customHeight="1">
      <c r="A441" s="1305"/>
      <c r="B441" s="2162" t="s">
        <v>1079</v>
      </c>
      <c r="C441" s="2162"/>
      <c r="D441" s="2162"/>
      <c r="E441" s="2162"/>
      <c r="F441" s="2162"/>
      <c r="G441" s="2162"/>
      <c r="H441" s="2162"/>
      <c r="I441" s="2162"/>
      <c r="J441" s="2162"/>
      <c r="K441" s="2162"/>
      <c r="L441" s="2162"/>
      <c r="M441" s="2162"/>
      <c r="N441" s="2162"/>
      <c r="O441" s="2162"/>
      <c r="P441" s="2162"/>
      <c r="Q441" s="2162"/>
      <c r="R441" s="2162"/>
      <c r="S441" s="2162"/>
      <c r="T441" s="2162"/>
      <c r="U441" s="2162"/>
      <c r="V441" s="2162"/>
      <c r="W441" s="2162"/>
      <c r="X441" s="2162"/>
      <c r="Y441" s="2162"/>
      <c r="Z441" s="2162"/>
      <c r="AA441" s="2162"/>
      <c r="AB441" s="2162"/>
      <c r="AC441" s="2162"/>
      <c r="AD441" s="2162"/>
      <c r="AE441" s="2162"/>
      <c r="AF441" s="2162"/>
      <c r="AG441" s="2162"/>
      <c r="AH441" s="2162"/>
      <c r="AI441" s="2162"/>
      <c r="AJ441" s="2162"/>
      <c r="AK441" s="2162"/>
      <c r="AL441" s="2162"/>
      <c r="AM441" s="2162"/>
      <c r="AN441" s="1310"/>
      <c r="AO441" s="49"/>
    </row>
    <row r="442" spans="1:62" s="365" customFormat="1" ht="54" customHeight="1">
      <c r="A442" s="705"/>
      <c r="B442" s="1851" t="s">
        <v>676</v>
      </c>
      <c r="C442" s="1851"/>
      <c r="D442" s="1851"/>
      <c r="E442" s="1859" t="str">
        <f>'Document Checklist'!$E$94</f>
        <v>17. Fair Housing Legal Opinion</v>
      </c>
      <c r="F442" s="1859"/>
      <c r="G442" s="1859"/>
      <c r="H442" s="1859"/>
      <c r="I442" s="1859"/>
      <c r="J442" s="1859"/>
      <c r="K442" s="1859"/>
      <c r="L442" s="1859"/>
      <c r="M442" s="1859"/>
      <c r="N442" s="1859" t="str">
        <f>'Document Checklist'!$N$94</f>
        <v xml:space="preserve">Attach a Project-specific legal opinion labeled "Fair Housing Legal Opinion" with supporting materials describing how the Project complies with fair housing laws. </v>
      </c>
      <c r="O442" s="1859"/>
      <c r="P442" s="1859"/>
      <c r="Q442" s="1859"/>
      <c r="R442" s="1859"/>
      <c r="S442" s="1859"/>
      <c r="T442" s="1859"/>
      <c r="U442" s="1859"/>
      <c r="V442" s="1859"/>
      <c r="W442" s="1859"/>
      <c r="X442" s="1859"/>
      <c r="Y442" s="1859"/>
      <c r="Z442" s="1859"/>
      <c r="AA442" s="1859"/>
      <c r="AB442" s="1859"/>
      <c r="AC442" s="1859"/>
      <c r="AD442" s="1859"/>
      <c r="AE442" s="1859"/>
      <c r="AF442" s="2129" t="s">
        <v>677</v>
      </c>
      <c r="AG442" s="2130"/>
      <c r="AH442" s="2130"/>
      <c r="AI442" s="2130"/>
      <c r="AJ442" s="2130"/>
      <c r="AK442" s="2130"/>
      <c r="AL442" s="1765" t="s">
        <v>664</v>
      </c>
      <c r="AM442" s="1765"/>
      <c r="AO442" s="49"/>
    </row>
    <row r="443" spans="1:62" s="365" customFormat="1" ht="18" customHeight="1">
      <c r="A443" s="705"/>
    </row>
    <row r="444" spans="1:62" s="365" customFormat="1" ht="18" customHeight="1">
      <c r="A444" s="700"/>
      <c r="B444" s="1776" t="s">
        <v>1080</v>
      </c>
      <c r="C444" s="1776"/>
      <c r="D444" s="1776"/>
      <c r="E444" s="1776"/>
      <c r="F444" s="1776"/>
      <c r="G444" s="1776"/>
      <c r="H444" s="1776"/>
      <c r="I444" s="1776"/>
      <c r="J444" s="1776"/>
      <c r="K444" s="1776"/>
      <c r="L444" s="1776"/>
      <c r="M444" s="1776"/>
      <c r="N444" s="1776"/>
      <c r="O444" s="1776"/>
      <c r="P444" s="1776"/>
      <c r="Q444" s="1776"/>
      <c r="R444" s="1776"/>
      <c r="S444" s="1776"/>
      <c r="T444" s="1776"/>
      <c r="U444" s="1776"/>
      <c r="V444" s="1776"/>
      <c r="W444" s="1776"/>
      <c r="X444" s="1776"/>
      <c r="Y444" s="1776"/>
      <c r="Z444" s="1776"/>
      <c r="AA444" s="1776"/>
      <c r="AB444" s="1776"/>
      <c r="AC444" s="1776"/>
      <c r="AD444" s="1776"/>
      <c r="AE444" s="1776"/>
      <c r="AF444" s="1776"/>
      <c r="AG444" s="1776"/>
      <c r="AH444" s="1776"/>
      <c r="AI444" s="1776"/>
      <c r="AJ444" s="1776"/>
      <c r="AK444" s="1776"/>
      <c r="AL444" s="2031"/>
      <c r="AM444" s="2031"/>
      <c r="AN444" s="50"/>
      <c r="AO444" s="49"/>
    </row>
    <row r="445" spans="1:62" s="365" customFormat="1" ht="18" customHeight="1">
      <c r="A445" s="700"/>
      <c r="B445" s="2163" t="s">
        <v>1081</v>
      </c>
      <c r="C445" s="2163"/>
      <c r="D445" s="2163"/>
      <c r="E445" s="2163"/>
      <c r="F445" s="2163"/>
      <c r="G445" s="2163"/>
      <c r="H445" s="2163"/>
      <c r="I445" s="2163"/>
      <c r="J445" s="2163"/>
      <c r="K445" s="2163"/>
      <c r="L445" s="2163"/>
      <c r="M445" s="2163"/>
      <c r="N445" s="2163"/>
      <c r="O445" s="2163"/>
      <c r="P445" s="2163"/>
      <c r="Q445" s="2163"/>
      <c r="R445" s="2163"/>
      <c r="S445" s="2163"/>
      <c r="T445" s="2163"/>
      <c r="U445" s="2163"/>
      <c r="V445" s="2163"/>
      <c r="W445" s="2163"/>
      <c r="X445" s="2163"/>
      <c r="Y445" s="2163"/>
      <c r="Z445" s="2163"/>
      <c r="AA445" s="2163"/>
      <c r="AB445" s="2163"/>
      <c r="AC445" s="2163"/>
      <c r="AD445" s="2163"/>
      <c r="AE445" s="2163"/>
      <c r="AF445" s="2163"/>
      <c r="AG445" s="2163"/>
      <c r="AH445" s="2163"/>
      <c r="AI445" s="2163"/>
      <c r="AJ445" s="2163"/>
      <c r="AK445" s="2163"/>
      <c r="AL445" s="1724" t="s">
        <v>711</v>
      </c>
      <c r="AM445" s="1725"/>
      <c r="AN445" s="50"/>
      <c r="AO445" s="454"/>
      <c r="AP445" s="449"/>
      <c r="AQ445" s="449"/>
    </row>
    <row r="446" spans="1:62" s="365" customFormat="1" ht="64.5" customHeight="1">
      <c r="A446" s="700"/>
      <c r="B446" s="2064" t="s">
        <v>1082</v>
      </c>
      <c r="C446" s="2064"/>
      <c r="D446" s="2064"/>
      <c r="E446" s="2064"/>
      <c r="F446" s="2064"/>
      <c r="G446" s="2064"/>
      <c r="H446" s="2064"/>
      <c r="I446" s="2064"/>
      <c r="J446" s="2064"/>
      <c r="K446" s="2064"/>
      <c r="L446" s="2064"/>
      <c r="M446" s="2064"/>
      <c r="N446" s="2064"/>
      <c r="O446" s="2064"/>
      <c r="P446" s="2064"/>
      <c r="Q446" s="2064"/>
      <c r="R446" s="2064"/>
      <c r="S446" s="2064"/>
      <c r="T446" s="2064"/>
      <c r="U446" s="2064"/>
      <c r="V446" s="2064"/>
      <c r="W446" s="2064"/>
      <c r="X446" s="2064"/>
      <c r="Y446" s="2064"/>
      <c r="Z446" s="2064"/>
      <c r="AA446" s="2064"/>
      <c r="AB446" s="2064"/>
      <c r="AC446" s="2064"/>
      <c r="AD446" s="2064"/>
      <c r="AE446" s="2064"/>
      <c r="AF446" s="2064"/>
      <c r="AG446" s="2064"/>
      <c r="AH446" s="2064"/>
      <c r="AI446" s="2064"/>
      <c r="AJ446" s="2064"/>
      <c r="AK446" s="2064"/>
      <c r="AL446" s="1724" t="s">
        <v>664</v>
      </c>
      <c r="AM446" s="1725"/>
      <c r="AN446" s="50"/>
      <c r="AO446" s="454"/>
      <c r="AP446" s="449"/>
      <c r="AQ446" s="449"/>
      <c r="AR446" s="449"/>
      <c r="AS446" s="449"/>
      <c r="AT446" s="449"/>
      <c r="AU446" s="449"/>
      <c r="AV446" s="449"/>
      <c r="AW446" s="449"/>
      <c r="AX446" s="449"/>
      <c r="AY446" s="449"/>
      <c r="AZ446" s="449"/>
      <c r="BA446" s="449"/>
      <c r="BB446" s="449"/>
      <c r="BC446" s="449"/>
      <c r="BD446" s="449"/>
      <c r="BE446" s="449"/>
      <c r="BF446" s="449"/>
      <c r="BG446" s="449"/>
      <c r="BH446" s="449"/>
      <c r="BI446" s="449"/>
      <c r="BJ446" s="449"/>
    </row>
    <row r="447" spans="1:62" s="365" customFormat="1" ht="18" customHeight="1">
      <c r="A447" s="700"/>
      <c r="B447" s="50"/>
      <c r="C447" s="50"/>
      <c r="D447" s="50"/>
      <c r="E447" s="50"/>
      <c r="F447" s="50"/>
      <c r="G447" s="50"/>
      <c r="H447" s="50"/>
      <c r="I447" s="50"/>
      <c r="J447" s="50"/>
      <c r="K447" s="50"/>
      <c r="L447" s="50"/>
      <c r="M447" s="50"/>
      <c r="N447" s="50"/>
      <c r="O447" s="50"/>
      <c r="P447" s="50"/>
      <c r="Q447" s="50"/>
      <c r="R447" s="50"/>
      <c r="S447" s="50"/>
      <c r="T447" s="50"/>
      <c r="U447" s="50"/>
      <c r="V447" s="50"/>
      <c r="W447" s="50"/>
      <c r="X447" s="50"/>
      <c r="Y447" s="50"/>
      <c r="Z447" s="50"/>
      <c r="AA447" s="50"/>
      <c r="AB447" s="50"/>
      <c r="AC447" s="50"/>
      <c r="AD447" s="50"/>
      <c r="AE447" s="50"/>
      <c r="AF447" s="50"/>
      <c r="AG447" s="50"/>
      <c r="AH447" s="50"/>
      <c r="AI447" s="50"/>
      <c r="AJ447" s="50"/>
      <c r="AK447" s="50"/>
      <c r="AL447" s="50"/>
      <c r="AM447" s="50"/>
      <c r="AN447" s="50"/>
      <c r="AO447" s="454"/>
      <c r="AP447" s="449"/>
      <c r="AQ447" s="449"/>
      <c r="AR447" s="449"/>
      <c r="AS447" s="449"/>
      <c r="AT447" s="449"/>
      <c r="AU447" s="449"/>
      <c r="AV447" s="449"/>
      <c r="AW447" s="449"/>
      <c r="AX447" s="449"/>
      <c r="AY447" s="449"/>
      <c r="AZ447" s="449"/>
      <c r="BA447" s="449"/>
      <c r="BB447" s="449"/>
      <c r="BC447" s="449"/>
      <c r="BD447" s="449"/>
      <c r="BE447" s="449"/>
      <c r="BF447" s="449"/>
      <c r="BG447" s="449"/>
      <c r="BH447" s="449"/>
      <c r="BI447" s="449"/>
      <c r="BJ447" s="449"/>
    </row>
    <row r="448" spans="1:62" s="449" customFormat="1" ht="18" customHeight="1">
      <c r="A448" s="700"/>
      <c r="B448" s="1776" t="s">
        <v>1083</v>
      </c>
      <c r="C448" s="1776"/>
      <c r="D448" s="1776"/>
      <c r="E448" s="1776"/>
      <c r="F448" s="1776"/>
      <c r="G448" s="1776"/>
      <c r="H448" s="1776"/>
      <c r="I448" s="1776"/>
      <c r="J448" s="1776"/>
      <c r="K448" s="1776"/>
      <c r="L448" s="1776"/>
      <c r="M448" s="1776"/>
      <c r="N448" s="1776"/>
      <c r="O448" s="1776"/>
      <c r="P448" s="1776"/>
      <c r="Q448" s="1776"/>
      <c r="R448" s="1776"/>
      <c r="S448" s="1776"/>
      <c r="T448" s="1776"/>
      <c r="U448" s="1776"/>
      <c r="V448" s="1776"/>
      <c r="W448" s="1776"/>
      <c r="X448" s="1776"/>
      <c r="Y448" s="1776"/>
      <c r="Z448" s="1776"/>
      <c r="AA448" s="1776"/>
      <c r="AB448" s="1776"/>
      <c r="AC448" s="1776"/>
      <c r="AD448" s="1776"/>
      <c r="AE448" s="1776"/>
      <c r="AF448" s="1776"/>
      <c r="AG448" s="1776"/>
      <c r="AH448" s="1776"/>
      <c r="AI448" s="1776"/>
      <c r="AJ448" s="1776"/>
      <c r="AK448" s="1776"/>
      <c r="AL448" s="2031"/>
      <c r="AM448" s="2031"/>
      <c r="AN448" s="50"/>
      <c r="AO448" s="454"/>
    </row>
    <row r="449" spans="1:62" s="449" customFormat="1" ht="18" customHeight="1">
      <c r="A449" s="700"/>
      <c r="B449" s="2163" t="s">
        <v>1084</v>
      </c>
      <c r="C449" s="2163"/>
      <c r="D449" s="2163"/>
      <c r="E449" s="2163"/>
      <c r="F449" s="2163"/>
      <c r="G449" s="2163"/>
      <c r="H449" s="2163"/>
      <c r="I449" s="2163"/>
      <c r="J449" s="2163"/>
      <c r="K449" s="2163"/>
      <c r="L449" s="2163"/>
      <c r="M449" s="2163"/>
      <c r="N449" s="2163"/>
      <c r="O449" s="2163"/>
      <c r="P449" s="2163"/>
      <c r="Q449" s="2163"/>
      <c r="R449" s="2163"/>
      <c r="S449" s="2163"/>
      <c r="T449" s="2163"/>
      <c r="U449" s="2163"/>
      <c r="V449" s="2163"/>
      <c r="W449" s="2163"/>
      <c r="X449" s="2163"/>
      <c r="Y449" s="2163"/>
      <c r="Z449" s="2163"/>
      <c r="AA449" s="2163"/>
      <c r="AB449" s="2163"/>
      <c r="AC449" s="2163"/>
      <c r="AD449" s="2163"/>
      <c r="AE449" s="2163"/>
      <c r="AF449" s="2163"/>
      <c r="AG449" s="2163"/>
      <c r="AH449" s="2163"/>
      <c r="AI449" s="2163"/>
      <c r="AJ449" s="2163"/>
      <c r="AK449" s="2163"/>
      <c r="AL449" s="1724" t="s">
        <v>711</v>
      </c>
      <c r="AM449" s="1725"/>
      <c r="AN449" s="50"/>
      <c r="AO449" s="454"/>
    </row>
    <row r="450" spans="1:62" s="449" customFormat="1" ht="18" customHeight="1">
      <c r="A450" s="700"/>
      <c r="B450" s="50"/>
      <c r="C450" s="50"/>
      <c r="D450" s="50"/>
      <c r="E450" s="50"/>
      <c r="F450" s="50"/>
      <c r="G450" s="50"/>
      <c r="H450" s="50"/>
      <c r="I450" s="50"/>
      <c r="J450" s="50"/>
      <c r="K450" s="50"/>
      <c r="L450" s="50"/>
      <c r="M450" s="50"/>
      <c r="N450" s="50"/>
      <c r="O450" s="50"/>
      <c r="P450" s="50"/>
      <c r="Q450" s="50"/>
      <c r="R450" s="50"/>
      <c r="S450" s="50"/>
      <c r="T450" s="50"/>
      <c r="U450" s="50"/>
      <c r="V450" s="50"/>
      <c r="W450" s="50"/>
      <c r="X450" s="50"/>
      <c r="Y450" s="50"/>
      <c r="Z450" s="50"/>
      <c r="AA450" s="50"/>
      <c r="AB450" s="50"/>
      <c r="AC450" s="50"/>
      <c r="AD450" s="50"/>
      <c r="AE450" s="50"/>
      <c r="AF450" s="50"/>
      <c r="AG450" s="50"/>
      <c r="AH450" s="50"/>
      <c r="AI450" s="50"/>
      <c r="AJ450" s="50"/>
      <c r="AK450" s="50"/>
      <c r="AL450" s="50"/>
      <c r="AM450" s="50"/>
      <c r="AN450" s="50"/>
      <c r="AO450" s="49"/>
      <c r="AP450" s="365"/>
      <c r="AQ450" s="365"/>
    </row>
    <row r="451" spans="1:62" s="449" customFormat="1" ht="18" customHeight="1">
      <c r="A451" s="700"/>
      <c r="B451" s="1817" t="s">
        <v>1085</v>
      </c>
      <c r="C451" s="1817"/>
      <c r="D451" s="1817"/>
      <c r="E451" s="1817"/>
      <c r="F451" s="1817"/>
      <c r="G451" s="1817"/>
      <c r="H451" s="1817"/>
      <c r="I451" s="1817"/>
      <c r="J451" s="1817"/>
      <c r="K451" s="1817"/>
      <c r="L451" s="1817"/>
      <c r="M451" s="1817"/>
      <c r="N451" s="1817"/>
      <c r="O451" s="1817"/>
      <c r="P451" s="1817"/>
      <c r="Q451" s="1817"/>
      <c r="R451" s="1817"/>
      <c r="S451" s="1817"/>
      <c r="T451" s="1817"/>
      <c r="U451" s="1817"/>
      <c r="V451" s="1817"/>
      <c r="W451" s="1817"/>
      <c r="X451" s="1817"/>
      <c r="Y451" s="1817"/>
      <c r="Z451" s="1817"/>
      <c r="AA451" s="1817"/>
      <c r="AB451" s="1817"/>
      <c r="AC451" s="1817"/>
      <c r="AD451" s="1817"/>
      <c r="AE451" s="1817"/>
      <c r="AF451" s="1817"/>
      <c r="AG451" s="1817"/>
      <c r="AH451" s="1817"/>
      <c r="AI451" s="1817"/>
      <c r="AJ451" s="1817"/>
      <c r="AK451" s="1817"/>
      <c r="AL451" s="2018"/>
      <c r="AM451" s="2018"/>
      <c r="AN451" s="50"/>
      <c r="AO451" s="49"/>
      <c r="AP451" s="365"/>
      <c r="AQ451" s="365"/>
      <c r="AR451" s="365"/>
      <c r="AS451" s="365"/>
      <c r="AT451" s="365"/>
      <c r="AU451" s="365"/>
      <c r="AV451" s="365"/>
      <c r="AW451" s="365"/>
      <c r="AX451" s="365"/>
      <c r="AY451" s="365"/>
      <c r="AZ451" s="365"/>
      <c r="BA451" s="365"/>
      <c r="BB451" s="365"/>
      <c r="BC451" s="365"/>
      <c r="BD451" s="365"/>
      <c r="BE451" s="365"/>
      <c r="BF451" s="365"/>
      <c r="BG451" s="365"/>
      <c r="BH451" s="365"/>
      <c r="BI451" s="365"/>
      <c r="BJ451" s="365"/>
    </row>
    <row r="452" spans="1:62" s="365" customFormat="1" ht="35.25" customHeight="1">
      <c r="A452" s="700"/>
      <c r="B452" s="2162" t="s">
        <v>1086</v>
      </c>
      <c r="C452" s="2162"/>
      <c r="D452" s="2162"/>
      <c r="E452" s="2162"/>
      <c r="F452" s="2162"/>
      <c r="G452" s="2162"/>
      <c r="H452" s="2162"/>
      <c r="I452" s="2162"/>
      <c r="J452" s="2162"/>
      <c r="K452" s="2162"/>
      <c r="L452" s="2162"/>
      <c r="M452" s="2162"/>
      <c r="N452" s="2162"/>
      <c r="O452" s="2162"/>
      <c r="P452" s="2162"/>
      <c r="Q452" s="2162"/>
      <c r="R452" s="2162"/>
      <c r="S452" s="2162"/>
      <c r="T452" s="2162"/>
      <c r="U452" s="2162"/>
      <c r="V452" s="2162"/>
      <c r="W452" s="2162"/>
      <c r="X452" s="2162"/>
      <c r="Y452" s="2162"/>
      <c r="Z452" s="2162"/>
      <c r="AA452" s="2162"/>
      <c r="AB452" s="2162"/>
      <c r="AC452" s="2162"/>
      <c r="AD452" s="2162"/>
      <c r="AE452" s="2162"/>
      <c r="AF452" s="2162"/>
      <c r="AG452" s="2162"/>
      <c r="AH452" s="2162"/>
      <c r="AI452" s="2162"/>
      <c r="AJ452" s="2162"/>
      <c r="AK452" s="2162"/>
      <c r="AL452" s="1724" t="s">
        <v>664</v>
      </c>
      <c r="AM452" s="1725"/>
      <c r="AN452" s="50"/>
      <c r="AO452" s="49"/>
    </row>
    <row r="453" spans="1:62" s="365" customFormat="1" ht="18" customHeight="1">
      <c r="A453" s="700"/>
      <c r="B453" s="50"/>
      <c r="C453" s="50"/>
      <c r="D453" s="50"/>
      <c r="E453" s="50"/>
      <c r="F453" s="50"/>
      <c r="G453" s="50"/>
      <c r="H453" s="50"/>
      <c r="I453" s="50"/>
      <c r="J453" s="50"/>
      <c r="K453" s="50"/>
      <c r="L453" s="50"/>
      <c r="M453" s="50"/>
      <c r="N453" s="50"/>
      <c r="O453" s="50"/>
      <c r="P453" s="50"/>
      <c r="Q453" s="50"/>
      <c r="R453" s="50"/>
      <c r="S453" s="50"/>
      <c r="T453" s="50"/>
      <c r="U453" s="50"/>
      <c r="V453" s="50"/>
      <c r="W453" s="50"/>
      <c r="X453" s="50"/>
      <c r="Y453" s="50"/>
      <c r="Z453" s="50"/>
      <c r="AA453" s="50"/>
      <c r="AB453" s="50"/>
      <c r="AC453" s="50"/>
      <c r="AD453" s="50"/>
      <c r="AE453" s="50"/>
      <c r="AF453" s="50"/>
      <c r="AG453" s="50"/>
      <c r="AH453" s="50"/>
      <c r="AI453" s="50"/>
      <c r="AJ453" s="50"/>
      <c r="AK453" s="50"/>
      <c r="AL453" s="50"/>
      <c r="AM453" s="50"/>
      <c r="AN453" s="50"/>
      <c r="AO453" s="1314"/>
      <c r="AP453" s="1310"/>
      <c r="AQ453" s="1310"/>
    </row>
    <row r="454" spans="1:62" s="365" customFormat="1" ht="18" customHeight="1">
      <c r="A454" s="700"/>
      <c r="B454" s="1776" t="s">
        <v>1087</v>
      </c>
      <c r="C454" s="1776"/>
      <c r="D454" s="1776"/>
      <c r="E454" s="1776"/>
      <c r="F454" s="1776"/>
      <c r="G454" s="1776"/>
      <c r="H454" s="1776"/>
      <c r="I454" s="1776"/>
      <c r="J454" s="1776"/>
      <c r="K454" s="1776"/>
      <c r="L454" s="1776"/>
      <c r="M454" s="1776"/>
      <c r="N454" s="1776"/>
      <c r="O454" s="1776"/>
      <c r="P454" s="1776"/>
      <c r="Q454" s="1776"/>
      <c r="R454" s="1776"/>
      <c r="S454" s="1776"/>
      <c r="T454" s="1776"/>
      <c r="U454" s="1776"/>
      <c r="V454" s="1776"/>
      <c r="W454" s="1776"/>
      <c r="X454" s="1776"/>
      <c r="Y454" s="1776"/>
      <c r="Z454" s="1776"/>
      <c r="AA454" s="1776"/>
      <c r="AB454" s="1776"/>
      <c r="AC454" s="1776"/>
      <c r="AD454" s="1776"/>
      <c r="AE454" s="1776"/>
      <c r="AF454" s="1776"/>
      <c r="AG454" s="1776"/>
      <c r="AH454" s="1776"/>
      <c r="AI454" s="1776"/>
      <c r="AJ454" s="1776"/>
      <c r="AK454" s="1776"/>
      <c r="AL454" s="2031"/>
      <c r="AM454" s="2031"/>
      <c r="AN454" s="50"/>
      <c r="AO454" s="1314"/>
      <c r="AP454" s="1310"/>
      <c r="AQ454" s="1310"/>
      <c r="AR454" s="1310"/>
      <c r="AS454" s="1310"/>
      <c r="AT454" s="1310"/>
      <c r="AU454" s="1310"/>
      <c r="AV454" s="1310"/>
      <c r="AW454" s="1310"/>
      <c r="AX454" s="1310"/>
      <c r="AY454" s="1310"/>
      <c r="AZ454" s="1310"/>
      <c r="BA454" s="1310"/>
      <c r="BB454" s="1310"/>
      <c r="BC454" s="1310"/>
      <c r="BD454" s="1310"/>
      <c r="BE454" s="1310"/>
      <c r="BF454" s="1310"/>
      <c r="BG454" s="1310"/>
      <c r="BH454" s="1310"/>
      <c r="BI454" s="1310"/>
      <c r="BJ454" s="1310"/>
    </row>
    <row r="455" spans="1:62" s="446" customFormat="1" ht="18" customHeight="1">
      <c r="A455" s="700"/>
      <c r="B455" s="2162" t="s">
        <v>1088</v>
      </c>
      <c r="C455" s="2162"/>
      <c r="D455" s="2162"/>
      <c r="E455" s="2162"/>
      <c r="F455" s="2162"/>
      <c r="G455" s="2162"/>
      <c r="H455" s="2162"/>
      <c r="I455" s="2162"/>
      <c r="J455" s="2162"/>
      <c r="K455" s="2162"/>
      <c r="L455" s="2162"/>
      <c r="M455" s="2162"/>
      <c r="N455" s="2162"/>
      <c r="O455" s="2162"/>
      <c r="P455" s="2162"/>
      <c r="Q455" s="2162"/>
      <c r="R455" s="2162"/>
      <c r="S455" s="2162"/>
      <c r="T455" s="2162"/>
      <c r="U455" s="2162"/>
      <c r="V455" s="2162"/>
      <c r="W455" s="2162"/>
      <c r="X455" s="2162"/>
      <c r="Y455" s="2162"/>
      <c r="Z455" s="2162"/>
      <c r="AA455" s="2162"/>
      <c r="AB455" s="2162"/>
      <c r="AC455" s="2162"/>
      <c r="AD455" s="2162"/>
      <c r="AE455" s="2162"/>
      <c r="AF455" s="2162"/>
      <c r="AG455" s="2162"/>
      <c r="AH455" s="2162"/>
      <c r="AI455" s="2162"/>
      <c r="AJ455" s="2162"/>
      <c r="AK455" s="2162"/>
      <c r="AL455" s="1724" t="s">
        <v>664</v>
      </c>
      <c r="AM455" s="1725"/>
      <c r="AN455" s="50"/>
      <c r="AO455" s="1312"/>
      <c r="AP455" s="1312"/>
      <c r="AQ455" s="1312"/>
      <c r="AR455" s="1312"/>
      <c r="AS455" s="1312"/>
      <c r="AT455" s="1312"/>
      <c r="AU455" s="1312"/>
      <c r="AV455" s="1312"/>
      <c r="AW455" s="1312"/>
      <c r="AX455" s="1312"/>
      <c r="AY455" s="1312"/>
      <c r="AZ455" s="1312"/>
      <c r="BA455" s="1312"/>
      <c r="BB455" s="1312"/>
      <c r="BC455" s="1312"/>
      <c r="BD455" s="1312"/>
      <c r="BE455" s="1312"/>
      <c r="BF455" s="1312"/>
      <c r="BG455" s="1312"/>
      <c r="BH455" s="1312"/>
      <c r="BI455" s="1312"/>
      <c r="BJ455" s="1312"/>
    </row>
    <row r="456" spans="1:62" s="458" customFormat="1" ht="18" customHeight="1">
      <c r="A456" s="700"/>
      <c r="B456" s="50"/>
      <c r="C456" s="50"/>
      <c r="D456" s="50"/>
      <c r="E456" s="50"/>
      <c r="F456" s="50"/>
      <c r="G456" s="50"/>
      <c r="H456" s="50"/>
      <c r="I456" s="50"/>
      <c r="J456" s="50"/>
      <c r="K456" s="50"/>
      <c r="L456" s="50"/>
      <c r="M456" s="50"/>
      <c r="N456" s="50"/>
      <c r="O456" s="50"/>
      <c r="P456" s="50"/>
      <c r="Q456" s="50"/>
      <c r="R456" s="50"/>
      <c r="S456" s="50"/>
      <c r="T456" s="50"/>
      <c r="U456" s="50"/>
      <c r="V456" s="50"/>
      <c r="W456" s="50"/>
      <c r="X456" s="50"/>
      <c r="Y456" s="50"/>
      <c r="Z456" s="50"/>
      <c r="AA456" s="50"/>
      <c r="AB456" s="50"/>
      <c r="AC456" s="50"/>
      <c r="AD456" s="50"/>
      <c r="AE456" s="50"/>
      <c r="AF456" s="50"/>
      <c r="AG456" s="50"/>
      <c r="AH456" s="50"/>
      <c r="AI456" s="50"/>
      <c r="AJ456" s="50"/>
      <c r="AK456" s="50"/>
      <c r="AL456" s="50"/>
      <c r="AM456" s="50"/>
      <c r="AN456" s="50"/>
      <c r="AO456" s="49"/>
      <c r="AP456" s="365"/>
      <c r="AQ456" s="365"/>
      <c r="AR456" s="1310"/>
      <c r="AS456" s="1310"/>
      <c r="AT456" s="459"/>
      <c r="AU456" s="1310"/>
      <c r="AV456" s="1310"/>
      <c r="AW456" s="1310"/>
      <c r="AX456" s="1310"/>
      <c r="AY456" s="1310"/>
      <c r="AZ456" s="1310"/>
      <c r="BA456" s="1310"/>
      <c r="BB456" s="1310"/>
      <c r="BC456" s="1310"/>
      <c r="BD456" s="1310"/>
      <c r="BE456" s="1310"/>
      <c r="BF456" s="1310"/>
      <c r="BG456" s="1310"/>
      <c r="BH456" s="1310"/>
      <c r="BI456" s="1310"/>
      <c r="BJ456" s="1310"/>
    </row>
    <row r="457" spans="1:62" s="446" customFormat="1" ht="18" customHeight="1">
      <c r="A457" s="700"/>
      <c r="B457" s="1776" t="s">
        <v>1089</v>
      </c>
      <c r="C457" s="1776"/>
      <c r="D457" s="1776"/>
      <c r="E457" s="1776"/>
      <c r="F457" s="1776"/>
      <c r="G457" s="1776"/>
      <c r="H457" s="1776"/>
      <c r="I457" s="1776"/>
      <c r="J457" s="1776"/>
      <c r="K457" s="1776"/>
      <c r="L457" s="1776"/>
      <c r="M457" s="1776"/>
      <c r="N457" s="1776"/>
      <c r="O457" s="1776"/>
      <c r="P457" s="1776"/>
      <c r="Q457" s="1776"/>
      <c r="R457" s="1776"/>
      <c r="S457" s="1776"/>
      <c r="T457" s="1776"/>
      <c r="U457" s="1776"/>
      <c r="V457" s="1776"/>
      <c r="W457" s="1776"/>
      <c r="X457" s="1776"/>
      <c r="Y457" s="1776"/>
      <c r="Z457" s="1776"/>
      <c r="AA457" s="1776"/>
      <c r="AB457" s="1776"/>
      <c r="AC457" s="1776"/>
      <c r="AD457" s="1776"/>
      <c r="AE457" s="1776"/>
      <c r="AF457" s="1776"/>
      <c r="AG457" s="1776"/>
      <c r="AH457" s="1776"/>
      <c r="AI457" s="1776"/>
      <c r="AJ457" s="1776"/>
      <c r="AK457" s="1776"/>
      <c r="AL457" s="1776"/>
      <c r="AM457" s="1776"/>
      <c r="AN457" s="50"/>
      <c r="AO457" s="692"/>
      <c r="AP457" s="50"/>
      <c r="AQ457" s="50"/>
      <c r="AR457" s="365"/>
      <c r="AS457" s="365"/>
      <c r="AT457" s="460"/>
      <c r="AU457" s="365"/>
      <c r="AV457" s="365"/>
      <c r="AW457" s="365"/>
      <c r="AX457" s="365"/>
      <c r="AY457" s="365"/>
      <c r="AZ457" s="365"/>
      <c r="BA457" s="365"/>
      <c r="BB457" s="365"/>
      <c r="BC457" s="365"/>
      <c r="BD457" s="365"/>
      <c r="BE457" s="365"/>
      <c r="BF457" s="365"/>
      <c r="BG457" s="365"/>
      <c r="BH457" s="365"/>
      <c r="BI457" s="365"/>
      <c r="BJ457" s="365"/>
    </row>
    <row r="458" spans="1:62" s="365" customFormat="1" ht="18" customHeight="1">
      <c r="A458" s="700"/>
      <c r="B458" s="2180" t="s">
        <v>1090</v>
      </c>
      <c r="C458" s="2180"/>
      <c r="D458" s="2180"/>
      <c r="E458" s="2180"/>
      <c r="F458" s="2180"/>
      <c r="G458" s="2180"/>
      <c r="H458" s="2180"/>
      <c r="I458" s="2180"/>
      <c r="J458" s="2180"/>
      <c r="K458" s="2180"/>
      <c r="L458" s="2180"/>
      <c r="M458" s="2180"/>
      <c r="N458" s="2180"/>
      <c r="O458" s="2180"/>
      <c r="P458" s="2180"/>
      <c r="Q458" s="2180"/>
      <c r="R458" s="2180"/>
      <c r="S458" s="2180"/>
      <c r="T458" s="2180"/>
      <c r="U458" s="2180"/>
      <c r="V458" s="2180"/>
      <c r="W458" s="2180"/>
      <c r="X458" s="2180"/>
      <c r="Y458" s="2180"/>
      <c r="Z458" s="2180"/>
      <c r="AA458" s="2180"/>
      <c r="AB458" s="2180"/>
      <c r="AC458" s="2180"/>
      <c r="AD458" s="2180"/>
      <c r="AE458" s="2180"/>
      <c r="AF458" s="2180"/>
      <c r="AG458" s="2180"/>
      <c r="AH458" s="2180"/>
      <c r="AI458" s="2180"/>
      <c r="AJ458" s="2180"/>
      <c r="AK458" s="2180"/>
      <c r="AL458" s="2180"/>
      <c r="AM458" s="2180"/>
      <c r="AN458" s="50"/>
      <c r="AO458" s="49"/>
      <c r="AR458" s="50"/>
      <c r="AS458" s="50"/>
      <c r="AT458" s="50"/>
      <c r="AU458" s="50"/>
      <c r="AV458" s="50"/>
      <c r="AW458" s="50"/>
      <c r="AX458" s="50"/>
      <c r="AY458" s="50"/>
      <c r="AZ458" s="50"/>
      <c r="BA458" s="50"/>
      <c r="BB458" s="50"/>
      <c r="BC458" s="50"/>
      <c r="BD458" s="50"/>
      <c r="BE458" s="50"/>
      <c r="BF458" s="50"/>
      <c r="BG458" s="50"/>
      <c r="BH458" s="50"/>
      <c r="BI458" s="50"/>
      <c r="BJ458" s="50"/>
    </row>
    <row r="459" spans="1:62" s="50" customFormat="1" ht="18" customHeight="1">
      <c r="A459" s="700"/>
      <c r="B459" s="1851" t="s">
        <v>676</v>
      </c>
      <c r="C459" s="1851"/>
      <c r="D459" s="1851"/>
      <c r="E459" s="1859" t="str">
        <f>'Document Checklist'!$E$186</f>
        <v>63. LOE</v>
      </c>
      <c r="F459" s="1859"/>
      <c r="G459" s="1859"/>
      <c r="H459" s="1859"/>
      <c r="I459" s="1859"/>
      <c r="J459" s="1859"/>
      <c r="K459" s="1859"/>
      <c r="L459" s="1859"/>
      <c r="M459" s="1859"/>
      <c r="N459" s="1859" t="str">
        <f>'Document Checklist'!$N$186</f>
        <v>Letter of Explanation(s).</v>
      </c>
      <c r="O459" s="1859"/>
      <c r="P459" s="1859"/>
      <c r="Q459" s="1859"/>
      <c r="R459" s="1859"/>
      <c r="S459" s="1859"/>
      <c r="T459" s="1859"/>
      <c r="U459" s="1859"/>
      <c r="V459" s="1859"/>
      <c r="W459" s="1859"/>
      <c r="X459" s="1859"/>
      <c r="Y459" s="1859"/>
      <c r="Z459" s="1859"/>
      <c r="AA459" s="1859"/>
      <c r="AB459" s="1859"/>
      <c r="AC459" s="1859"/>
      <c r="AD459" s="1859"/>
      <c r="AE459" s="1859"/>
      <c r="AF459" s="2129" t="s">
        <v>677</v>
      </c>
      <c r="AG459" s="2130"/>
      <c r="AH459" s="2130"/>
      <c r="AI459" s="2130"/>
      <c r="AJ459" s="2130"/>
      <c r="AK459" s="2130"/>
      <c r="AL459" s="1765" t="s">
        <v>664</v>
      </c>
      <c r="AM459" s="1765"/>
      <c r="AO459" s="692"/>
      <c r="AR459" s="365"/>
      <c r="AS459" s="365"/>
      <c r="AT459" s="365"/>
      <c r="AU459" s="365"/>
      <c r="AV459" s="365"/>
      <c r="AW459" s="365"/>
      <c r="AX459" s="365"/>
      <c r="AY459" s="365"/>
      <c r="AZ459" s="365"/>
      <c r="BA459" s="365"/>
      <c r="BB459" s="365"/>
      <c r="BC459" s="365"/>
      <c r="BD459" s="365"/>
      <c r="BE459" s="365"/>
      <c r="BF459" s="365"/>
      <c r="BG459" s="365"/>
      <c r="BH459" s="365"/>
      <c r="BI459" s="365"/>
      <c r="BJ459" s="365"/>
    </row>
    <row r="460" spans="1:62" s="365" customFormat="1" ht="18" customHeight="1">
      <c r="A460" s="700"/>
      <c r="B460" s="50"/>
      <c r="C460" s="50"/>
      <c r="D460" s="50"/>
      <c r="E460" s="50"/>
      <c r="F460" s="50"/>
      <c r="G460" s="50"/>
      <c r="H460" s="50"/>
      <c r="I460" s="50"/>
      <c r="J460" s="50"/>
      <c r="K460" s="50"/>
      <c r="L460" s="50"/>
      <c r="M460" s="50"/>
      <c r="N460" s="50"/>
      <c r="O460" s="50"/>
      <c r="P460" s="50"/>
      <c r="Q460" s="50"/>
      <c r="R460" s="50"/>
      <c r="S460" s="50"/>
      <c r="T460" s="50"/>
      <c r="U460" s="50"/>
      <c r="V460" s="50"/>
      <c r="W460" s="50"/>
      <c r="X460" s="50"/>
      <c r="Y460" s="50"/>
      <c r="Z460" s="50"/>
      <c r="AA460" s="50"/>
      <c r="AB460" s="50"/>
      <c r="AC460" s="50"/>
      <c r="AD460" s="50"/>
      <c r="AE460" s="50"/>
      <c r="AF460" s="50"/>
      <c r="AG460" s="50"/>
      <c r="AH460" s="50"/>
      <c r="AI460" s="50"/>
      <c r="AJ460" s="50"/>
      <c r="AK460" s="50"/>
      <c r="AL460" s="50"/>
      <c r="AM460" s="50"/>
      <c r="AN460" s="108"/>
    </row>
    <row r="461" spans="1:62" s="365" customFormat="1" ht="18" customHeight="1">
      <c r="A461" s="700"/>
      <c r="B461" s="1776" t="s">
        <v>1091</v>
      </c>
      <c r="C461" s="1776"/>
      <c r="D461" s="1776"/>
      <c r="E461" s="1776"/>
      <c r="F461" s="1776"/>
      <c r="G461" s="1776"/>
      <c r="H461" s="1776"/>
      <c r="I461" s="1776"/>
      <c r="J461" s="1776"/>
      <c r="K461" s="1776"/>
      <c r="L461" s="1776"/>
      <c r="M461" s="1776"/>
      <c r="N461" s="1776"/>
      <c r="O461" s="1776"/>
      <c r="P461" s="1776"/>
      <c r="Q461" s="1776"/>
      <c r="R461" s="1776"/>
      <c r="S461" s="1776"/>
      <c r="T461" s="1776"/>
      <c r="U461" s="1776"/>
      <c r="V461" s="1776"/>
      <c r="W461" s="1776"/>
      <c r="X461" s="1776"/>
      <c r="Y461" s="1776"/>
      <c r="Z461" s="1776"/>
      <c r="AA461" s="1776"/>
      <c r="AB461" s="1776"/>
      <c r="AC461" s="1776"/>
      <c r="AD461" s="1776"/>
      <c r="AE461" s="1776"/>
      <c r="AF461" s="1776"/>
      <c r="AG461" s="1776"/>
      <c r="AH461" s="1776"/>
      <c r="AI461" s="1776"/>
      <c r="AJ461" s="1776"/>
      <c r="AK461" s="1776"/>
      <c r="AL461" s="1776"/>
      <c r="AM461" s="1776"/>
      <c r="AN461" s="108"/>
    </row>
    <row r="462" spans="1:62" s="365" customFormat="1" ht="47.25" customHeight="1">
      <c r="A462" s="700"/>
      <c r="B462" s="1777" t="s">
        <v>1092</v>
      </c>
      <c r="C462" s="1777"/>
      <c r="D462" s="1777"/>
      <c r="E462" s="1777"/>
      <c r="F462" s="1777"/>
      <c r="G462" s="1777"/>
      <c r="H462" s="1777"/>
      <c r="I462" s="1777"/>
      <c r="J462" s="1777"/>
      <c r="K462" s="1777"/>
      <c r="L462" s="1777"/>
      <c r="M462" s="1777"/>
      <c r="N462" s="1777"/>
      <c r="O462" s="1777"/>
      <c r="P462" s="1777"/>
      <c r="Q462" s="1777"/>
      <c r="R462" s="1777"/>
      <c r="S462" s="1777"/>
      <c r="T462" s="1777"/>
      <c r="U462" s="1777"/>
      <c r="V462" s="1777"/>
      <c r="W462" s="1777"/>
      <c r="X462" s="1777"/>
      <c r="Y462" s="1777"/>
      <c r="Z462" s="1777"/>
      <c r="AA462" s="1777"/>
      <c r="AB462" s="1777"/>
      <c r="AC462" s="1777"/>
      <c r="AD462" s="1777"/>
      <c r="AE462" s="1777"/>
      <c r="AF462" s="1777"/>
      <c r="AG462" s="1777"/>
      <c r="AH462" s="1777"/>
      <c r="AI462" s="1777"/>
      <c r="AJ462" s="1777"/>
      <c r="AK462" s="1777"/>
      <c r="AL462" s="1777"/>
      <c r="AM462" s="1777"/>
      <c r="AN462" s="108"/>
    </row>
    <row r="463" spans="1:62" s="365" customFormat="1" ht="36" customHeight="1">
      <c r="A463" s="700"/>
      <c r="B463" s="1781" t="s">
        <v>1093</v>
      </c>
      <c r="C463" s="1781"/>
      <c r="D463" s="1781"/>
      <c r="E463" s="1781"/>
      <c r="F463" s="1781"/>
      <c r="G463" s="1781"/>
      <c r="H463" s="1781"/>
      <c r="I463" s="1781"/>
      <c r="J463" s="1781"/>
      <c r="K463" s="1781"/>
      <c r="L463" s="1781"/>
      <c r="M463" s="1781"/>
      <c r="N463" s="1781"/>
      <c r="O463" s="1781"/>
      <c r="P463" s="1781"/>
      <c r="Q463" s="1781"/>
      <c r="R463" s="1781"/>
      <c r="S463" s="1781"/>
      <c r="T463" s="1781"/>
      <c r="U463" s="1781"/>
      <c r="V463" s="1781"/>
      <c r="W463" s="1781"/>
      <c r="X463" s="1781"/>
      <c r="Y463" s="1781"/>
      <c r="Z463" s="1781"/>
      <c r="AA463" s="1781"/>
      <c r="AB463" s="1781"/>
      <c r="AC463" s="1781"/>
      <c r="AD463" s="1781"/>
      <c r="AE463" s="1781"/>
      <c r="AF463" s="1778" t="s">
        <v>1094</v>
      </c>
      <c r="AG463" s="1778"/>
      <c r="AH463" s="1778"/>
      <c r="AI463" s="1024"/>
      <c r="AJ463" s="1779" t="s">
        <v>1095</v>
      </c>
      <c r="AK463" s="1779"/>
      <c r="AL463" s="1779"/>
      <c r="AM463" s="1779"/>
      <c r="AN463" s="108"/>
    </row>
    <row r="464" spans="1:62" s="365" customFormat="1" ht="36" customHeight="1" thickBot="1">
      <c r="A464" s="700"/>
      <c r="B464" s="1771" t="s">
        <v>1096</v>
      </c>
      <c r="C464" s="1771"/>
      <c r="D464" s="1771"/>
      <c r="E464" s="1771"/>
      <c r="F464" s="1771"/>
      <c r="G464" s="1771"/>
      <c r="H464" s="1771"/>
      <c r="I464" s="1771"/>
      <c r="J464" s="1771"/>
      <c r="K464" s="1771"/>
      <c r="L464" s="1771"/>
      <c r="M464" s="1771"/>
      <c r="N464" s="1771"/>
      <c r="O464" s="1771"/>
      <c r="P464" s="1771"/>
      <c r="Q464" s="1771"/>
      <c r="R464" s="1771"/>
      <c r="S464" s="1771"/>
      <c r="T464" s="1771"/>
      <c r="U464" s="1771"/>
      <c r="V464" s="1771"/>
      <c r="W464" s="1771"/>
      <c r="X464" s="1771"/>
      <c r="Y464" s="1771"/>
      <c r="Z464" s="1771"/>
      <c r="AA464" s="1771"/>
      <c r="AB464" s="1771"/>
      <c r="AC464" s="1771"/>
      <c r="AD464" s="1771"/>
      <c r="AE464" s="1780"/>
      <c r="AF464" s="1757" t="s">
        <v>664</v>
      </c>
      <c r="AG464" s="1758"/>
      <c r="AH464" s="1759"/>
      <c r="AI464" s="1025"/>
      <c r="AJ464" s="1760">
        <v>44542</v>
      </c>
      <c r="AK464" s="1761"/>
      <c r="AL464" s="1761"/>
      <c r="AM464" s="1762"/>
      <c r="AN464" s="108"/>
    </row>
    <row r="465" spans="1:62" s="365" customFormat="1" ht="18" customHeight="1" thickTop="1" thickBot="1">
      <c r="A465" s="700"/>
      <c r="B465" s="1771" t="s">
        <v>1097</v>
      </c>
      <c r="C465" s="1771"/>
      <c r="D465" s="1771"/>
      <c r="E465" s="1771"/>
      <c r="F465" s="1771"/>
      <c r="G465" s="1771"/>
      <c r="H465" s="1771"/>
      <c r="I465" s="1771"/>
      <c r="J465" s="1771"/>
      <c r="K465" s="1771"/>
      <c r="L465" s="1771"/>
      <c r="M465" s="1771"/>
      <c r="N465" s="1771"/>
      <c r="O465" s="1771"/>
      <c r="P465" s="1771"/>
      <c r="Q465" s="1771"/>
      <c r="R465" s="1771"/>
      <c r="S465" s="1771"/>
      <c r="T465" s="1771"/>
      <c r="U465" s="1771"/>
      <c r="V465" s="1771"/>
      <c r="W465" s="1771"/>
      <c r="X465" s="1771"/>
      <c r="Y465" s="1771"/>
      <c r="Z465" s="1771"/>
      <c r="AA465" s="1771"/>
      <c r="AB465" s="1771"/>
      <c r="AC465" s="1771"/>
      <c r="AD465" s="1771"/>
      <c r="AE465" s="1771"/>
      <c r="AF465" s="1757" t="s">
        <v>664</v>
      </c>
      <c r="AG465" s="1758"/>
      <c r="AH465" s="1759"/>
      <c r="AI465" s="1026"/>
      <c r="AJ465" s="1760">
        <v>44543</v>
      </c>
      <c r="AK465" s="1761"/>
      <c r="AL465" s="1761"/>
      <c r="AM465" s="1762"/>
      <c r="AN465" s="108"/>
    </row>
    <row r="466" spans="1:62" s="365" customFormat="1" ht="18" customHeight="1" thickTop="1" thickBot="1">
      <c r="A466" s="700"/>
      <c r="B466" s="1771" t="s">
        <v>1098</v>
      </c>
      <c r="C466" s="1771"/>
      <c r="D466" s="1771"/>
      <c r="E466" s="1771"/>
      <c r="F466" s="1771"/>
      <c r="G466" s="1771"/>
      <c r="H466" s="1771"/>
      <c r="I466" s="1771"/>
      <c r="J466" s="1771"/>
      <c r="K466" s="1771"/>
      <c r="L466" s="1771"/>
      <c r="M466" s="1771"/>
      <c r="N466" s="1771"/>
      <c r="O466" s="1771"/>
      <c r="P466" s="1771"/>
      <c r="Q466" s="1771"/>
      <c r="R466" s="1771"/>
      <c r="S466" s="1771"/>
      <c r="T466" s="1771"/>
      <c r="U466" s="1771"/>
      <c r="V466" s="1771"/>
      <c r="W466" s="1771"/>
      <c r="X466" s="1771"/>
      <c r="Y466" s="1771"/>
      <c r="Z466" s="1771"/>
      <c r="AA466" s="1771"/>
      <c r="AB466" s="1771"/>
      <c r="AC466" s="1771"/>
      <c r="AD466" s="1771"/>
      <c r="AE466" s="1771"/>
      <c r="AF466" s="1757" t="s">
        <v>664</v>
      </c>
      <c r="AG466" s="1758"/>
      <c r="AH466" s="1759"/>
      <c r="AI466" s="1026"/>
      <c r="AJ466" s="1760">
        <v>44544</v>
      </c>
      <c r="AK466" s="1761"/>
      <c r="AL466" s="1761"/>
      <c r="AM466" s="1762"/>
      <c r="AN466" s="108"/>
    </row>
    <row r="467" spans="1:62" s="365" customFormat="1" ht="18" customHeight="1" thickTop="1" thickBot="1">
      <c r="A467" s="700"/>
      <c r="B467" s="1771" t="s">
        <v>1099</v>
      </c>
      <c r="C467" s="1771"/>
      <c r="D467" s="1771"/>
      <c r="E467" s="1771"/>
      <c r="F467" s="1771"/>
      <c r="G467" s="1771"/>
      <c r="H467" s="1771"/>
      <c r="I467" s="1771"/>
      <c r="J467" s="1771"/>
      <c r="K467" s="1771"/>
      <c r="L467" s="1771"/>
      <c r="M467" s="1771"/>
      <c r="N467" s="1771"/>
      <c r="O467" s="1771"/>
      <c r="P467" s="1771"/>
      <c r="Q467" s="1771"/>
      <c r="R467" s="1771"/>
      <c r="S467" s="1771"/>
      <c r="T467" s="1771"/>
      <c r="U467" s="1771"/>
      <c r="V467" s="1771"/>
      <c r="W467" s="1771"/>
      <c r="X467" s="1771"/>
      <c r="Y467" s="1771"/>
      <c r="Z467" s="1771"/>
      <c r="AA467" s="1771"/>
      <c r="AB467" s="1771"/>
      <c r="AC467" s="1771"/>
      <c r="AD467" s="1771"/>
      <c r="AE467" s="1771"/>
      <c r="AF467" s="1757" t="s">
        <v>664</v>
      </c>
      <c r="AG467" s="1758"/>
      <c r="AH467" s="1759"/>
      <c r="AI467" s="1026"/>
      <c r="AJ467" s="1760">
        <v>44545</v>
      </c>
      <c r="AK467" s="1761"/>
      <c r="AL467" s="1761"/>
      <c r="AM467" s="1762"/>
      <c r="AN467" s="108"/>
    </row>
    <row r="468" spans="1:62" s="365" customFormat="1" ht="18" customHeight="1" thickTop="1" thickBot="1">
      <c r="A468" s="700"/>
      <c r="B468" s="1771" t="s">
        <v>1100</v>
      </c>
      <c r="C468" s="1771"/>
      <c r="D468" s="1771"/>
      <c r="E468" s="1771"/>
      <c r="F468" s="1771"/>
      <c r="G468" s="1771"/>
      <c r="H468" s="1771"/>
      <c r="I468" s="1771"/>
      <c r="J468" s="1771"/>
      <c r="K468" s="1771"/>
      <c r="L468" s="1771"/>
      <c r="M468" s="1771"/>
      <c r="N468" s="1771"/>
      <c r="O468" s="1771"/>
      <c r="P468" s="1771"/>
      <c r="Q468" s="1771"/>
      <c r="R468" s="1771"/>
      <c r="S468" s="1771"/>
      <c r="T468" s="1771"/>
      <c r="U468" s="1771"/>
      <c r="V468" s="1771"/>
      <c r="W468" s="1771"/>
      <c r="X468" s="1771"/>
      <c r="Y468" s="1771"/>
      <c r="Z468" s="1771"/>
      <c r="AA468" s="1771"/>
      <c r="AB468" s="1771"/>
      <c r="AC468" s="1771"/>
      <c r="AD468" s="1771"/>
      <c r="AE468" s="1771"/>
      <c r="AF468" s="1757" t="s">
        <v>664</v>
      </c>
      <c r="AG468" s="1758"/>
      <c r="AH468" s="1759"/>
      <c r="AI468" s="1026"/>
      <c r="AJ468" s="1760">
        <v>44546</v>
      </c>
      <c r="AK468" s="1761"/>
      <c r="AL468" s="1761"/>
      <c r="AM468" s="1762"/>
      <c r="AN468" s="108"/>
    </row>
    <row r="469" spans="1:62" s="365" customFormat="1" ht="36" customHeight="1" thickTop="1" thickBot="1">
      <c r="A469" s="700"/>
      <c r="B469" s="1771" t="s">
        <v>1101</v>
      </c>
      <c r="C469" s="1771"/>
      <c r="D469" s="1771"/>
      <c r="E469" s="1771"/>
      <c r="F469" s="1771"/>
      <c r="G469" s="1771"/>
      <c r="H469" s="1771"/>
      <c r="I469" s="1771"/>
      <c r="J469" s="1771"/>
      <c r="K469" s="1771"/>
      <c r="L469" s="1771"/>
      <c r="M469" s="1771"/>
      <c r="N469" s="1771"/>
      <c r="O469" s="1771"/>
      <c r="P469" s="1771"/>
      <c r="Q469" s="1771"/>
      <c r="R469" s="1771"/>
      <c r="S469" s="1771"/>
      <c r="T469" s="1771"/>
      <c r="U469" s="1771"/>
      <c r="V469" s="1771"/>
      <c r="W469" s="1771"/>
      <c r="X469" s="1771"/>
      <c r="Y469" s="1771"/>
      <c r="Z469" s="1771"/>
      <c r="AA469" s="1771"/>
      <c r="AB469" s="1771"/>
      <c r="AC469" s="1771"/>
      <c r="AD469" s="1771"/>
      <c r="AE469" s="1771"/>
      <c r="AF469" s="1757" t="s">
        <v>664</v>
      </c>
      <c r="AG469" s="1758"/>
      <c r="AH469" s="1759"/>
      <c r="AI469" s="1026"/>
      <c r="AJ469" s="1760">
        <v>44547</v>
      </c>
      <c r="AK469" s="1761"/>
      <c r="AL469" s="1761"/>
      <c r="AM469" s="1762"/>
      <c r="AN469" s="108"/>
    </row>
    <row r="470" spans="1:62" s="365" customFormat="1" ht="18" customHeight="1" thickTop="1" thickBot="1">
      <c r="A470" s="700"/>
      <c r="B470" s="1771" t="s">
        <v>1102</v>
      </c>
      <c r="C470" s="1771"/>
      <c r="D470" s="1771"/>
      <c r="E470" s="1771"/>
      <c r="F470" s="1771"/>
      <c r="G470" s="1771"/>
      <c r="H470" s="1771"/>
      <c r="I470" s="1771"/>
      <c r="J470" s="1771"/>
      <c r="K470" s="1771"/>
      <c r="L470" s="1771"/>
      <c r="M470" s="1771"/>
      <c r="N470" s="1771"/>
      <c r="O470" s="1771"/>
      <c r="P470" s="1771"/>
      <c r="Q470" s="1771"/>
      <c r="R470" s="1771"/>
      <c r="S470" s="1771"/>
      <c r="T470" s="1771"/>
      <c r="U470" s="1771"/>
      <c r="V470" s="1771"/>
      <c r="W470" s="1771"/>
      <c r="X470" s="1771"/>
      <c r="Y470" s="1771"/>
      <c r="Z470" s="1771"/>
      <c r="AA470" s="1771"/>
      <c r="AB470" s="1771"/>
      <c r="AC470" s="1771"/>
      <c r="AD470" s="1771"/>
      <c r="AE470" s="1771"/>
      <c r="AF470" s="1757" t="s">
        <v>664</v>
      </c>
      <c r="AG470" s="1758"/>
      <c r="AH470" s="1759"/>
      <c r="AI470" s="1026"/>
      <c r="AJ470" s="1760">
        <v>44548</v>
      </c>
      <c r="AK470" s="1761"/>
      <c r="AL470" s="1761"/>
      <c r="AM470" s="1762"/>
      <c r="AN470" s="108"/>
    </row>
    <row r="471" spans="1:62" s="365" customFormat="1" ht="18" customHeight="1" thickTop="1" thickBot="1">
      <c r="A471" s="700"/>
      <c r="B471" s="1771" t="s">
        <v>1103</v>
      </c>
      <c r="C471" s="1771"/>
      <c r="D471" s="1771"/>
      <c r="E471" s="1771"/>
      <c r="F471" s="1771"/>
      <c r="G471" s="1771"/>
      <c r="H471" s="1771"/>
      <c r="I471" s="1771"/>
      <c r="J471" s="1771"/>
      <c r="K471" s="1771"/>
      <c r="L471" s="1771"/>
      <c r="M471" s="1771"/>
      <c r="N471" s="1771"/>
      <c r="O471" s="1771"/>
      <c r="P471" s="1771"/>
      <c r="Q471" s="1771"/>
      <c r="R471" s="1771"/>
      <c r="S471" s="1771"/>
      <c r="T471" s="1771"/>
      <c r="U471" s="1771"/>
      <c r="V471" s="1771"/>
      <c r="W471" s="1771"/>
      <c r="X471" s="1771"/>
      <c r="Y471" s="1771"/>
      <c r="Z471" s="1771"/>
      <c r="AA471" s="1771"/>
      <c r="AB471" s="1771"/>
      <c r="AC471" s="1771"/>
      <c r="AD471" s="1771"/>
      <c r="AE471" s="1771"/>
      <c r="AF471" s="1757" t="s">
        <v>664</v>
      </c>
      <c r="AG471" s="1758"/>
      <c r="AH471" s="1759"/>
      <c r="AI471" s="1027"/>
      <c r="AJ471" s="1760">
        <v>44549</v>
      </c>
      <c r="AK471" s="1761"/>
      <c r="AL471" s="1761"/>
      <c r="AM471" s="1762"/>
      <c r="AN471" s="108"/>
    </row>
    <row r="472" spans="1:62" s="365" customFormat="1" ht="18" customHeight="1" thickTop="1" thickBot="1">
      <c r="A472" s="700"/>
      <c r="B472" s="1771" t="s">
        <v>1104</v>
      </c>
      <c r="C472" s="1771"/>
      <c r="D472" s="1771"/>
      <c r="E472" s="1771"/>
      <c r="F472" s="1771"/>
      <c r="G472" s="1771"/>
      <c r="H472" s="1771"/>
      <c r="I472" s="1771"/>
      <c r="J472" s="1771"/>
      <c r="K472" s="1771"/>
      <c r="L472" s="1771"/>
      <c r="M472" s="1771"/>
      <c r="N472" s="1771"/>
      <c r="O472" s="1771"/>
      <c r="P472" s="1771"/>
      <c r="Q472" s="1771"/>
      <c r="R472" s="1771"/>
      <c r="S472" s="1771"/>
      <c r="T472" s="1771"/>
      <c r="U472" s="1771"/>
      <c r="V472" s="1771"/>
      <c r="W472" s="1771"/>
      <c r="X472" s="1771"/>
      <c r="Y472" s="1771"/>
      <c r="Z472" s="1771"/>
      <c r="AA472" s="1771"/>
      <c r="AB472" s="1771"/>
      <c r="AC472" s="1771"/>
      <c r="AD472" s="1771"/>
      <c r="AE472" s="1771"/>
      <c r="AF472" s="1757" t="s">
        <v>664</v>
      </c>
      <c r="AG472" s="1758"/>
      <c r="AH472" s="1759"/>
      <c r="AI472" s="1026"/>
      <c r="AJ472" s="1760">
        <v>44550</v>
      </c>
      <c r="AK472" s="1761"/>
      <c r="AL472" s="1761"/>
      <c r="AM472" s="1762"/>
      <c r="AN472" s="108"/>
    </row>
    <row r="473" spans="1:62" s="365" customFormat="1" ht="18" customHeight="1" thickTop="1" thickBot="1">
      <c r="A473" s="700"/>
      <c r="B473" s="1771" t="s">
        <v>1105</v>
      </c>
      <c r="C473" s="1771"/>
      <c r="D473" s="1771"/>
      <c r="E473" s="1771"/>
      <c r="F473" s="1771"/>
      <c r="G473" s="1771"/>
      <c r="H473" s="1771"/>
      <c r="I473" s="1771"/>
      <c r="J473" s="1771"/>
      <c r="K473" s="1771"/>
      <c r="L473" s="1771"/>
      <c r="M473" s="1771"/>
      <c r="N473" s="1771"/>
      <c r="O473" s="1771"/>
      <c r="P473" s="1771"/>
      <c r="Q473" s="1771"/>
      <c r="R473" s="1771"/>
      <c r="S473" s="1771"/>
      <c r="T473" s="1771"/>
      <c r="U473" s="1771"/>
      <c r="V473" s="1771"/>
      <c r="W473" s="1771"/>
      <c r="X473" s="1771"/>
      <c r="Y473" s="1771"/>
      <c r="Z473" s="1771"/>
      <c r="AA473" s="1771"/>
      <c r="AB473" s="1771"/>
      <c r="AC473" s="1771"/>
      <c r="AD473" s="1771"/>
      <c r="AE473" s="1771"/>
      <c r="AF473" s="1757" t="s">
        <v>664</v>
      </c>
      <c r="AG473" s="1758"/>
      <c r="AH473" s="1759"/>
      <c r="AI473" s="1026"/>
      <c r="AJ473" s="1760">
        <v>44551</v>
      </c>
      <c r="AK473" s="1761"/>
      <c r="AL473" s="1761"/>
      <c r="AM473" s="1762"/>
      <c r="AN473" s="108"/>
    </row>
    <row r="474" spans="1:62" s="365" customFormat="1" ht="18" customHeight="1" thickTop="1" thickBot="1">
      <c r="A474" s="700"/>
      <c r="B474" s="1774" t="s">
        <v>1106</v>
      </c>
      <c r="C474" s="1774"/>
      <c r="D474" s="1774"/>
      <c r="E474" s="1774"/>
      <c r="F474" s="1774"/>
      <c r="G474" s="1774"/>
      <c r="H474" s="1774"/>
      <c r="I474" s="1774"/>
      <c r="J474" s="1774"/>
      <c r="K474" s="1774"/>
      <c r="L474" s="1774"/>
      <c r="M474" s="1774"/>
      <c r="N474" s="1774"/>
      <c r="O474" s="1774"/>
      <c r="P474" s="1774"/>
      <c r="Q474" s="1774"/>
      <c r="R474" s="1774"/>
      <c r="S474" s="1774"/>
      <c r="T474" s="1774"/>
      <c r="U474" s="1774"/>
      <c r="V474" s="1774"/>
      <c r="W474" s="1774"/>
      <c r="X474" s="1774"/>
      <c r="Y474" s="1774"/>
      <c r="Z474" s="1774"/>
      <c r="AA474" s="1774"/>
      <c r="AB474" s="1774"/>
      <c r="AC474" s="1774"/>
      <c r="AD474" s="1774"/>
      <c r="AE474" s="1775"/>
      <c r="AF474" s="1757" t="s">
        <v>664</v>
      </c>
      <c r="AG474" s="1758"/>
      <c r="AH474" s="1759"/>
      <c r="AI474" s="1026"/>
      <c r="AJ474" s="1760">
        <v>44532</v>
      </c>
      <c r="AK474" s="1761"/>
      <c r="AL474" s="1761"/>
      <c r="AM474" s="1762"/>
      <c r="AN474" s="108"/>
    </row>
    <row r="475" spans="1:62" s="365" customFormat="1" ht="18" customHeight="1" thickTop="1" thickBot="1">
      <c r="A475" s="700"/>
      <c r="B475" s="1755" t="s">
        <v>1106</v>
      </c>
      <c r="C475" s="1755"/>
      <c r="D475" s="1755"/>
      <c r="E475" s="1755"/>
      <c r="F475" s="1755"/>
      <c r="G475" s="1755"/>
      <c r="H475" s="1755"/>
      <c r="I475" s="1755"/>
      <c r="J475" s="1755"/>
      <c r="K475" s="1755"/>
      <c r="L475" s="1755"/>
      <c r="M475" s="1755"/>
      <c r="N475" s="1755"/>
      <c r="O475" s="1755"/>
      <c r="P475" s="1755"/>
      <c r="Q475" s="1755"/>
      <c r="R475" s="1755"/>
      <c r="S475" s="1755"/>
      <c r="T475" s="1755"/>
      <c r="U475" s="1755"/>
      <c r="V475" s="1755"/>
      <c r="W475" s="1755"/>
      <c r="X475" s="1755"/>
      <c r="Y475" s="1755"/>
      <c r="Z475" s="1755"/>
      <c r="AA475" s="1755"/>
      <c r="AB475" s="1755"/>
      <c r="AC475" s="1755"/>
      <c r="AD475" s="1755"/>
      <c r="AE475" s="1756"/>
      <c r="AF475" s="1757" t="s">
        <v>664</v>
      </c>
      <c r="AG475" s="1758"/>
      <c r="AH475" s="1759"/>
      <c r="AI475" s="1026"/>
      <c r="AJ475" s="1760" t="s">
        <v>4222</v>
      </c>
      <c r="AK475" s="1761"/>
      <c r="AL475" s="1761"/>
      <c r="AM475" s="1762"/>
      <c r="AN475" s="108"/>
    </row>
    <row r="476" spans="1:62" s="365" customFormat="1" ht="18" customHeight="1" thickTop="1">
      <c r="A476" s="700"/>
      <c r="B476" s="50" t="s">
        <v>1107</v>
      </c>
      <c r="C476" s="50"/>
      <c r="D476" s="50"/>
      <c r="E476" s="50"/>
      <c r="F476" s="50"/>
      <c r="G476" s="50"/>
      <c r="H476" s="50"/>
      <c r="I476" s="50"/>
      <c r="J476" s="50"/>
      <c r="K476" s="50"/>
      <c r="L476" s="50"/>
      <c r="M476" s="50"/>
      <c r="N476" s="50"/>
      <c r="O476" s="50"/>
      <c r="P476" s="50"/>
      <c r="Q476" s="50"/>
      <c r="R476" s="50"/>
      <c r="S476" s="50"/>
      <c r="T476" s="50"/>
      <c r="U476" s="50"/>
      <c r="V476" s="50"/>
      <c r="W476" s="50"/>
      <c r="X476" s="50"/>
      <c r="Y476" s="50"/>
      <c r="Z476" s="50"/>
      <c r="AA476" s="50"/>
      <c r="AB476" s="50"/>
      <c r="AC476" s="50"/>
      <c r="AD476" s="50"/>
      <c r="AE476" s="50"/>
      <c r="AF476" s="50"/>
      <c r="AG476" s="50"/>
      <c r="AH476" s="50"/>
      <c r="AI476" s="50"/>
      <c r="AJ476" s="50"/>
      <c r="AK476" s="50"/>
      <c r="AL476" s="50"/>
      <c r="AM476" s="50"/>
      <c r="AN476" s="108"/>
    </row>
    <row r="477" spans="1:62" s="365" customFormat="1" ht="36" customHeight="1">
      <c r="A477" s="700"/>
      <c r="B477" s="1763" t="s">
        <v>4145</v>
      </c>
      <c r="C477" s="1763"/>
      <c r="D477" s="1763"/>
      <c r="E477" s="1763"/>
      <c r="F477" s="1763"/>
      <c r="G477" s="1763"/>
      <c r="H477" s="1763"/>
      <c r="I477" s="1763"/>
      <c r="J477" s="1763"/>
      <c r="K477" s="1763"/>
      <c r="L477" s="1763"/>
      <c r="M477" s="1763"/>
      <c r="N477" s="1763"/>
      <c r="O477" s="1763"/>
      <c r="P477" s="1763"/>
      <c r="Q477" s="1763"/>
      <c r="R477" s="1763"/>
      <c r="S477" s="1763"/>
      <c r="T477" s="1763"/>
      <c r="U477" s="1763"/>
      <c r="V477" s="1763"/>
      <c r="W477" s="1763"/>
      <c r="X477" s="1763"/>
      <c r="Y477" s="1763"/>
      <c r="Z477" s="1763"/>
      <c r="AA477" s="1763"/>
      <c r="AB477" s="1763"/>
      <c r="AC477" s="1763"/>
      <c r="AD477" s="1763"/>
      <c r="AE477" s="1763"/>
      <c r="AF477" s="1763"/>
      <c r="AG477" s="1763"/>
      <c r="AH477" s="1763"/>
      <c r="AI477" s="1763"/>
      <c r="AJ477" s="1763"/>
      <c r="AK477" s="1763"/>
      <c r="AL477" s="1763"/>
      <c r="AM477" s="1763"/>
      <c r="AN477" s="108"/>
    </row>
    <row r="478" spans="1:62" s="365" customFormat="1" ht="18" customHeight="1">
      <c r="A478" s="700"/>
      <c r="B478" s="50"/>
      <c r="C478" s="50"/>
      <c r="D478" s="50"/>
      <c r="E478" s="50"/>
      <c r="F478" s="50"/>
      <c r="G478" s="50"/>
      <c r="H478" s="50"/>
      <c r="I478" s="50"/>
      <c r="J478" s="50"/>
      <c r="K478" s="50"/>
      <c r="L478" s="50"/>
      <c r="M478" s="50"/>
      <c r="N478" s="50"/>
      <c r="O478" s="50"/>
      <c r="P478" s="50"/>
      <c r="Q478" s="50"/>
      <c r="R478" s="50"/>
      <c r="S478" s="50"/>
      <c r="T478" s="50"/>
      <c r="U478" s="50"/>
      <c r="V478" s="50"/>
      <c r="W478" s="50"/>
      <c r="X478" s="50"/>
      <c r="Y478" s="50"/>
      <c r="Z478" s="50"/>
      <c r="AA478" s="50"/>
      <c r="AB478" s="50"/>
      <c r="AC478" s="50"/>
      <c r="AD478" s="50"/>
      <c r="AE478" s="50"/>
      <c r="AF478" s="50"/>
      <c r="AG478" s="50"/>
      <c r="AH478" s="50"/>
      <c r="AI478" s="50"/>
      <c r="AJ478" s="50"/>
      <c r="AK478" s="50"/>
      <c r="AL478" s="50"/>
      <c r="AM478" s="50"/>
      <c r="AN478" s="108"/>
    </row>
    <row r="479" spans="1:62" s="365" customFormat="1" ht="18" customHeight="1">
      <c r="A479" s="700"/>
      <c r="B479" s="1058"/>
      <c r="C479" s="1058"/>
      <c r="D479" s="1058"/>
      <c r="E479" s="1058"/>
      <c r="F479" s="1058"/>
      <c r="G479" s="1058"/>
      <c r="H479" s="1058"/>
      <c r="I479" s="1058"/>
      <c r="J479" s="1058"/>
      <c r="K479" s="1058"/>
      <c r="L479" s="1058"/>
      <c r="M479" s="1058"/>
      <c r="N479" s="1058"/>
      <c r="O479" s="1058"/>
      <c r="P479" s="1058"/>
      <c r="Q479" s="1058"/>
      <c r="R479" s="1058"/>
      <c r="S479" s="1058"/>
      <c r="T479" s="1058"/>
      <c r="U479" s="1058"/>
      <c r="V479" s="1058"/>
      <c r="W479" s="1058"/>
      <c r="X479" s="1058"/>
      <c r="Y479" s="1058"/>
      <c r="Z479" s="1058"/>
      <c r="AA479" s="1058"/>
      <c r="AB479" s="1058"/>
      <c r="AC479" s="1058"/>
      <c r="AD479" s="1058"/>
      <c r="AE479" s="1058"/>
      <c r="AF479" s="1058"/>
      <c r="AG479" s="1058"/>
      <c r="AH479" s="1058"/>
      <c r="AI479" s="1058"/>
      <c r="AJ479" s="1058"/>
      <c r="AK479" s="1058"/>
      <c r="AL479" s="1459"/>
      <c r="AM479" s="439"/>
      <c r="AN479" s="50"/>
      <c r="AO479" s="49"/>
      <c r="AR479" s="50"/>
      <c r="AS479" s="50"/>
      <c r="AT479" s="50"/>
      <c r="AU479" s="50"/>
      <c r="AV479" s="50"/>
      <c r="AW479" s="50"/>
      <c r="AX479" s="50"/>
      <c r="AY479" s="50"/>
      <c r="AZ479" s="50"/>
      <c r="BA479" s="50"/>
      <c r="BB479" s="50"/>
      <c r="BC479" s="50"/>
      <c r="BD479" s="50"/>
      <c r="BE479" s="50"/>
      <c r="BF479" s="50"/>
      <c r="BG479" s="50"/>
      <c r="BH479" s="50"/>
      <c r="BI479" s="50"/>
      <c r="BJ479" s="50"/>
    </row>
    <row r="480" spans="1:62" s="50" customFormat="1" ht="18" customHeight="1">
      <c r="A480" s="700"/>
      <c r="B480" s="1685" t="s">
        <v>639</v>
      </c>
      <c r="C480" s="1685"/>
      <c r="D480" s="1685"/>
      <c r="E480" s="1685"/>
      <c r="F480" s="1685"/>
      <c r="G480" s="1685"/>
      <c r="H480" s="1685"/>
      <c r="I480" s="1685"/>
      <c r="J480" s="1685"/>
      <c r="K480" s="1685"/>
      <c r="L480" s="1685"/>
      <c r="M480" s="1685"/>
      <c r="N480" s="1685"/>
      <c r="O480" s="1685"/>
      <c r="P480" s="1685"/>
      <c r="Q480" s="1685"/>
      <c r="R480" s="1685"/>
      <c r="S480" s="1685"/>
      <c r="T480" s="1685"/>
      <c r="U480" s="1685"/>
      <c r="V480" s="1685"/>
      <c r="W480" s="1685"/>
      <c r="X480" s="1685"/>
      <c r="Y480" s="1685"/>
      <c r="Z480" s="1685"/>
      <c r="AA480" s="1685"/>
      <c r="AB480" s="1685"/>
      <c r="AC480" s="1685"/>
      <c r="AD480" s="1685"/>
      <c r="AE480" s="1685"/>
      <c r="AF480" s="1685"/>
      <c r="AG480" s="1685"/>
      <c r="AH480" s="1685"/>
      <c r="AI480" s="1685"/>
      <c r="AJ480" s="1685"/>
      <c r="AK480" s="1685"/>
      <c r="AL480" s="1685"/>
      <c r="AM480" s="1685"/>
      <c r="AO480" s="49"/>
      <c r="AP480" s="365"/>
      <c r="AQ480" s="365"/>
      <c r="AR480" s="365"/>
      <c r="AS480" s="365"/>
      <c r="AT480" s="365"/>
      <c r="AU480" s="365"/>
      <c r="AV480" s="365"/>
      <c r="AW480" s="365"/>
      <c r="AX480" s="365"/>
      <c r="AY480" s="365"/>
      <c r="AZ480" s="365"/>
      <c r="BA480" s="365"/>
      <c r="BB480" s="365"/>
      <c r="BC480" s="365"/>
      <c r="BD480" s="365"/>
      <c r="BE480" s="365"/>
      <c r="BF480" s="365"/>
      <c r="BG480" s="365"/>
      <c r="BH480" s="365"/>
      <c r="BI480" s="365"/>
      <c r="BJ480" s="365"/>
    </row>
    <row r="481" spans="1:62" s="365" customFormat="1" ht="18" customHeight="1">
      <c r="A481" s="700"/>
      <c r="B481" s="1058"/>
      <c r="C481" s="1058"/>
      <c r="D481" s="1058"/>
      <c r="E481" s="1058"/>
      <c r="F481" s="1058"/>
      <c r="G481" s="1058"/>
      <c r="H481" s="1058"/>
      <c r="I481" s="1058"/>
      <c r="J481" s="1058"/>
      <c r="K481" s="1058"/>
      <c r="L481" s="1058"/>
      <c r="M481" s="1058"/>
      <c r="N481" s="1058"/>
      <c r="O481" s="1058"/>
      <c r="P481" s="1058"/>
      <c r="Q481" s="1058"/>
      <c r="R481" s="1058"/>
      <c r="S481" s="1058"/>
      <c r="T481" s="1058"/>
      <c r="U481" s="1058"/>
      <c r="V481" s="1058"/>
      <c r="W481" s="1058"/>
      <c r="X481" s="1058"/>
      <c r="Y481" s="1058"/>
      <c r="Z481" s="1058"/>
      <c r="AA481" s="1058"/>
      <c r="AB481" s="1058"/>
      <c r="AC481" s="1058"/>
      <c r="AD481" s="1058"/>
      <c r="AE481" s="1058"/>
      <c r="AF481" s="1058"/>
      <c r="AG481" s="1058"/>
      <c r="AH481" s="1058"/>
      <c r="AI481" s="1058"/>
      <c r="AJ481" s="1058"/>
      <c r="AK481" s="1058"/>
      <c r="AL481" s="1459"/>
      <c r="AM481" s="439"/>
      <c r="AN481" s="50"/>
    </row>
    <row r="482" spans="1:62" s="365" customFormat="1" ht="18" customHeight="1">
      <c r="A482" s="452"/>
      <c r="B482" s="1058"/>
      <c r="C482" s="1058"/>
      <c r="D482" s="1058"/>
      <c r="E482" s="1058"/>
      <c r="F482" s="1058"/>
      <c r="G482" s="1058"/>
      <c r="H482" s="1058"/>
      <c r="I482" s="1058"/>
      <c r="J482" s="1058"/>
      <c r="K482" s="1058"/>
      <c r="L482" s="1058"/>
      <c r="M482" s="1058"/>
      <c r="N482" s="1058"/>
      <c r="O482" s="1058"/>
      <c r="P482" s="1058"/>
      <c r="Q482" s="1058"/>
      <c r="R482" s="1058"/>
      <c r="S482" s="1058"/>
      <c r="T482" s="1058"/>
      <c r="U482" s="1058"/>
      <c r="V482" s="1058"/>
      <c r="W482" s="1058"/>
      <c r="X482" s="1058"/>
      <c r="Y482" s="1058"/>
      <c r="Z482" s="1058"/>
      <c r="AA482" s="1058"/>
      <c r="AB482" s="1058"/>
      <c r="AC482" s="1058"/>
      <c r="AD482" s="1058"/>
      <c r="AE482" s="1058"/>
      <c r="AF482" s="1058"/>
      <c r="AG482" s="1058"/>
      <c r="AH482" s="1058"/>
      <c r="AI482" s="1058"/>
      <c r="AJ482" s="1058"/>
      <c r="AK482" s="1058"/>
      <c r="AL482" s="1459"/>
      <c r="AM482" s="439"/>
      <c r="AN482" s="1459"/>
      <c r="AO482" s="1314"/>
      <c r="AP482" s="1310"/>
      <c r="AQ482" s="1310"/>
    </row>
    <row r="483" spans="1:62" s="365" customFormat="1" ht="18" customHeight="1">
      <c r="A483" s="452"/>
      <c r="B483" s="1058"/>
      <c r="C483" s="1058"/>
      <c r="D483" s="1058"/>
      <c r="E483" s="1058"/>
      <c r="F483" s="1058"/>
      <c r="G483" s="1058"/>
      <c r="H483" s="1058"/>
      <c r="I483" s="1058"/>
      <c r="J483" s="1058"/>
      <c r="K483" s="1058"/>
      <c r="L483" s="1058"/>
      <c r="M483" s="1058"/>
      <c r="N483" s="1058"/>
      <c r="O483" s="1058"/>
      <c r="P483" s="1058"/>
      <c r="Q483" s="1058"/>
      <c r="R483" s="1058"/>
      <c r="S483" s="1058"/>
      <c r="T483" s="1058"/>
      <c r="U483" s="1058"/>
      <c r="V483" s="1058"/>
      <c r="W483" s="1058"/>
      <c r="X483" s="1058"/>
      <c r="Y483" s="1058"/>
      <c r="Z483" s="1058"/>
      <c r="AA483" s="1058"/>
      <c r="AB483" s="1058"/>
      <c r="AC483" s="1058"/>
      <c r="AD483" s="1058"/>
      <c r="AE483" s="1058"/>
      <c r="AF483" s="1058"/>
      <c r="AG483" s="1058"/>
      <c r="AH483" s="1058"/>
      <c r="AI483" s="1058"/>
      <c r="AJ483" s="1058"/>
      <c r="AK483" s="1058"/>
      <c r="AL483" s="1459"/>
      <c r="AM483" s="439"/>
      <c r="AN483" s="1459"/>
      <c r="AO483" s="49"/>
      <c r="AR483" s="1310"/>
      <c r="AS483" s="1310"/>
      <c r="AT483" s="1310"/>
      <c r="AU483" s="1310"/>
      <c r="AV483" s="1310"/>
      <c r="AW483" s="1310"/>
      <c r="AX483" s="1310"/>
      <c r="AY483" s="1310"/>
      <c r="AZ483" s="1310"/>
      <c r="BA483" s="1310"/>
      <c r="BB483" s="1310"/>
      <c r="BC483" s="1310"/>
      <c r="BD483" s="1310"/>
      <c r="BE483" s="1310"/>
      <c r="BF483" s="1310"/>
      <c r="BG483" s="1310"/>
      <c r="BH483" s="1310"/>
      <c r="BI483" s="1310"/>
      <c r="BJ483" s="1310"/>
    </row>
    <row r="484" spans="1:62" s="446" customFormat="1" ht="18" customHeight="1">
      <c r="A484" s="452"/>
      <c r="B484" s="1058"/>
      <c r="C484" s="1058"/>
      <c r="D484" s="1058"/>
      <c r="E484" s="1058"/>
      <c r="F484" s="1058"/>
      <c r="G484" s="1058"/>
      <c r="H484" s="1058"/>
      <c r="I484" s="1058"/>
      <c r="J484" s="1058"/>
      <c r="K484" s="1058"/>
      <c r="L484" s="1058"/>
      <c r="M484" s="1058"/>
      <c r="N484" s="1058"/>
      <c r="O484" s="1058"/>
      <c r="P484" s="1058"/>
      <c r="Q484" s="1058"/>
      <c r="R484" s="1058"/>
      <c r="S484" s="1058"/>
      <c r="T484" s="1058"/>
      <c r="U484" s="1058"/>
      <c r="V484" s="1058"/>
      <c r="W484" s="1058"/>
      <c r="X484" s="1058"/>
      <c r="Y484" s="1058"/>
      <c r="Z484" s="1058"/>
      <c r="AA484" s="1058"/>
      <c r="AB484" s="1058"/>
      <c r="AC484" s="1058"/>
      <c r="AD484" s="1058"/>
      <c r="AE484" s="1058"/>
      <c r="AF484" s="1058"/>
      <c r="AG484" s="1058"/>
      <c r="AH484" s="1058"/>
      <c r="AI484" s="1058"/>
      <c r="AJ484" s="1058"/>
      <c r="AK484" s="1058"/>
      <c r="AL484" s="1459"/>
      <c r="AM484" s="439"/>
      <c r="AN484" s="1459"/>
      <c r="AO484" s="692"/>
      <c r="AP484" s="50"/>
      <c r="AQ484" s="50"/>
      <c r="AR484" s="365"/>
      <c r="AS484" s="365"/>
      <c r="AT484" s="365"/>
      <c r="AU484" s="365"/>
      <c r="AV484" s="365"/>
      <c r="AW484" s="365"/>
      <c r="AX484" s="365"/>
      <c r="AY484" s="365"/>
      <c r="AZ484" s="365"/>
      <c r="BA484" s="365"/>
      <c r="BB484" s="365"/>
      <c r="BC484" s="365"/>
      <c r="BD484" s="365"/>
      <c r="BE484" s="365"/>
      <c r="BF484" s="365"/>
      <c r="BG484" s="365"/>
      <c r="BH484" s="365"/>
      <c r="BI484" s="365"/>
      <c r="BJ484" s="365"/>
    </row>
    <row r="485" spans="1:62" s="365" customFormat="1" ht="18" customHeight="1">
      <c r="A485" s="452"/>
      <c r="B485" s="1058"/>
      <c r="C485" s="1058"/>
      <c r="D485" s="1058"/>
      <c r="E485" s="1058"/>
      <c r="F485" s="1058"/>
      <c r="G485" s="1058"/>
      <c r="H485" s="1058"/>
      <c r="I485" s="1058"/>
      <c r="J485" s="1058"/>
      <c r="K485" s="1058"/>
      <c r="L485" s="1058"/>
      <c r="M485" s="1058"/>
      <c r="N485" s="1058"/>
      <c r="O485" s="1058"/>
      <c r="P485" s="1058"/>
      <c r="Q485" s="1058"/>
      <c r="R485" s="1058"/>
      <c r="S485" s="1058"/>
      <c r="T485" s="1058"/>
      <c r="U485" s="1058"/>
      <c r="V485" s="1058"/>
      <c r="W485" s="1058"/>
      <c r="X485" s="1058"/>
      <c r="Y485" s="1058"/>
      <c r="Z485" s="1058"/>
      <c r="AA485" s="1058"/>
      <c r="AB485" s="1058"/>
      <c r="AC485" s="1058"/>
      <c r="AD485" s="1058"/>
      <c r="AE485" s="1058"/>
      <c r="AF485" s="1058"/>
      <c r="AG485" s="1058"/>
      <c r="AH485" s="1058"/>
      <c r="AI485" s="1058"/>
      <c r="AJ485" s="1058"/>
      <c r="AK485" s="1058"/>
      <c r="AL485" s="1459"/>
      <c r="AM485" s="439"/>
      <c r="AN485" s="1459"/>
    </row>
    <row r="486" spans="1:62" s="365" customFormat="1" ht="18" customHeight="1">
      <c r="A486" s="452"/>
      <c r="B486" s="1058"/>
      <c r="C486" s="1058"/>
      <c r="D486" s="1058"/>
      <c r="E486" s="1058"/>
      <c r="F486" s="1058"/>
      <c r="G486" s="1058"/>
      <c r="H486" s="1058"/>
      <c r="I486" s="1058"/>
      <c r="J486" s="1058"/>
      <c r="K486" s="1058"/>
      <c r="L486" s="1058"/>
      <c r="M486" s="1058"/>
      <c r="N486" s="1058"/>
      <c r="O486" s="1058"/>
      <c r="P486" s="1058"/>
      <c r="Q486" s="1058"/>
      <c r="R486" s="1058"/>
      <c r="S486" s="1058"/>
      <c r="T486" s="1058"/>
      <c r="U486" s="1058"/>
      <c r="V486" s="1058"/>
      <c r="W486" s="1058"/>
      <c r="X486" s="1058"/>
      <c r="Y486" s="1058"/>
      <c r="Z486" s="1058"/>
      <c r="AA486" s="1058"/>
      <c r="AB486" s="1058"/>
      <c r="AC486" s="1058"/>
      <c r="AD486" s="1058"/>
      <c r="AE486" s="1058"/>
      <c r="AF486" s="1058"/>
      <c r="AG486" s="1058"/>
      <c r="AH486" s="1058"/>
      <c r="AI486" s="1058"/>
      <c r="AJ486" s="1058"/>
      <c r="AK486" s="1058"/>
      <c r="AL486" s="1459"/>
      <c r="AM486" s="439"/>
      <c r="AN486" s="1459"/>
      <c r="AO486" s="692"/>
      <c r="AP486" s="50"/>
      <c r="AQ486" s="50"/>
      <c r="AR486" s="50"/>
      <c r="AS486" s="50"/>
      <c r="AT486" s="50"/>
      <c r="AU486" s="50"/>
      <c r="AV486" s="50"/>
      <c r="AW486" s="50"/>
      <c r="AX486" s="50"/>
      <c r="AY486" s="50"/>
      <c r="AZ486" s="50"/>
      <c r="BA486" s="50"/>
      <c r="BB486" s="50"/>
      <c r="BC486" s="50"/>
      <c r="BD486" s="50"/>
      <c r="BE486" s="50"/>
      <c r="BF486" s="50"/>
      <c r="BG486" s="50"/>
      <c r="BH486" s="50"/>
      <c r="BI486" s="50"/>
      <c r="BJ486" s="50"/>
    </row>
    <row r="487" spans="1:62" s="50" customFormat="1" ht="18" customHeight="1">
      <c r="A487" s="452"/>
      <c r="B487" s="1058"/>
      <c r="C487" s="1058"/>
      <c r="D487" s="1058"/>
      <c r="E487" s="1058"/>
      <c r="F487" s="1058"/>
      <c r="G487" s="1058"/>
      <c r="H487" s="1058"/>
      <c r="I487" s="1058"/>
      <c r="J487" s="1058"/>
      <c r="K487" s="1058"/>
      <c r="L487" s="1058"/>
      <c r="M487" s="1058"/>
      <c r="N487" s="1058"/>
      <c r="O487" s="1058"/>
      <c r="P487" s="1058"/>
      <c r="Q487" s="1058"/>
      <c r="R487" s="1058"/>
      <c r="S487" s="1058"/>
      <c r="T487" s="1058"/>
      <c r="U487" s="1058"/>
      <c r="V487" s="1058"/>
      <c r="W487" s="1058"/>
      <c r="X487" s="1058"/>
      <c r="Y487" s="1058"/>
      <c r="Z487" s="1058"/>
      <c r="AA487" s="1058"/>
      <c r="AB487" s="1058"/>
      <c r="AC487" s="1058"/>
      <c r="AD487" s="1058"/>
      <c r="AE487" s="1058"/>
      <c r="AF487" s="1058"/>
      <c r="AG487" s="1058"/>
      <c r="AH487" s="1058"/>
      <c r="AI487" s="1058"/>
      <c r="AJ487" s="1058"/>
      <c r="AK487" s="1058"/>
      <c r="AL487" s="1459"/>
      <c r="AM487" s="439"/>
      <c r="AN487" s="1459"/>
      <c r="AO487" s="692"/>
    </row>
    <row r="488" spans="1:62" s="50" customFormat="1" ht="18" customHeight="1">
      <c r="A488" s="452"/>
      <c r="B488" s="1058"/>
      <c r="C488" s="1058"/>
      <c r="D488" s="1058"/>
      <c r="E488" s="1058"/>
      <c r="F488" s="1058"/>
      <c r="G488" s="1058"/>
      <c r="H488" s="1058"/>
      <c r="I488" s="1058"/>
      <c r="J488" s="1058"/>
      <c r="K488" s="1058"/>
      <c r="L488" s="1058"/>
      <c r="M488" s="1058"/>
      <c r="N488" s="1058"/>
      <c r="O488" s="1058"/>
      <c r="P488" s="1058"/>
      <c r="Q488" s="1058"/>
      <c r="R488" s="1058"/>
      <c r="S488" s="1058"/>
      <c r="T488" s="1058"/>
      <c r="U488" s="1058"/>
      <c r="V488" s="1058"/>
      <c r="W488" s="1058"/>
      <c r="X488" s="1058"/>
      <c r="Y488" s="1058"/>
      <c r="Z488" s="1058"/>
      <c r="AA488" s="1058"/>
      <c r="AB488" s="1058"/>
      <c r="AC488" s="1058"/>
      <c r="AD488" s="1058"/>
      <c r="AE488" s="1058"/>
      <c r="AF488" s="1058"/>
      <c r="AG488" s="1058"/>
      <c r="AH488" s="1058"/>
      <c r="AI488" s="1058"/>
      <c r="AJ488" s="1058"/>
      <c r="AK488" s="1058"/>
      <c r="AL488" s="1459"/>
      <c r="AM488" s="439"/>
      <c r="AN488" s="1459"/>
    </row>
    <row r="489" spans="1:62" s="50" customFormat="1" ht="18" customHeight="1">
      <c r="A489" s="452"/>
      <c r="B489" s="1058"/>
      <c r="C489" s="1058"/>
      <c r="D489" s="1058"/>
      <c r="E489" s="1058"/>
      <c r="F489" s="1058"/>
      <c r="G489" s="1058"/>
      <c r="H489" s="1058"/>
      <c r="I489" s="1058"/>
      <c r="J489" s="1058"/>
      <c r="K489" s="1058"/>
      <c r="L489" s="1058"/>
      <c r="M489" s="1058"/>
      <c r="N489" s="1058"/>
      <c r="O489" s="1058"/>
      <c r="P489" s="1058"/>
      <c r="Q489" s="1058"/>
      <c r="R489" s="1058"/>
      <c r="S489" s="1058"/>
      <c r="T489" s="1058"/>
      <c r="U489" s="1058"/>
      <c r="V489" s="1058"/>
      <c r="W489" s="1058"/>
      <c r="X489" s="1058"/>
      <c r="Y489" s="1058"/>
      <c r="Z489" s="1058"/>
      <c r="AA489" s="1058"/>
      <c r="AB489" s="1058"/>
      <c r="AC489" s="1058"/>
      <c r="AD489" s="1058"/>
      <c r="AE489" s="1058"/>
      <c r="AF489" s="1058"/>
      <c r="AG489" s="1058"/>
      <c r="AH489" s="1058"/>
      <c r="AI489" s="1058"/>
      <c r="AJ489" s="1058"/>
      <c r="AK489" s="1058"/>
      <c r="AL489" s="1459"/>
      <c r="AM489" s="439"/>
      <c r="AN489" s="1459"/>
      <c r="AO489" s="692"/>
    </row>
    <row r="490" spans="1:62" s="50" customFormat="1" ht="18" customHeight="1">
      <c r="A490" s="452"/>
      <c r="B490" s="1058"/>
      <c r="C490" s="1058"/>
      <c r="D490" s="1058"/>
      <c r="E490" s="1058"/>
      <c r="F490" s="1058"/>
      <c r="G490" s="1058"/>
      <c r="H490" s="1058"/>
      <c r="I490" s="1058"/>
      <c r="J490" s="1058"/>
      <c r="K490" s="1058"/>
      <c r="L490" s="1058"/>
      <c r="M490" s="1058"/>
      <c r="N490" s="1058"/>
      <c r="O490" s="1058"/>
      <c r="P490" s="1058"/>
      <c r="Q490" s="1058"/>
      <c r="R490" s="1058"/>
      <c r="S490" s="1058"/>
      <c r="T490" s="1058"/>
      <c r="U490" s="1058"/>
      <c r="V490" s="1058"/>
      <c r="W490" s="1058"/>
      <c r="X490" s="1058"/>
      <c r="Y490" s="1058"/>
      <c r="Z490" s="1058"/>
      <c r="AA490" s="1058"/>
      <c r="AB490" s="1058"/>
      <c r="AC490" s="1058"/>
      <c r="AD490" s="1058"/>
      <c r="AE490" s="1058"/>
      <c r="AF490" s="1058"/>
      <c r="AG490" s="1058"/>
      <c r="AH490" s="1058"/>
      <c r="AI490" s="1058"/>
      <c r="AJ490" s="1058"/>
      <c r="AK490" s="1058"/>
      <c r="AL490" s="1459"/>
      <c r="AM490" s="439"/>
      <c r="AN490" s="1459"/>
      <c r="AO490" s="692"/>
    </row>
    <row r="491" spans="1:62" s="50" customFormat="1" ht="18" customHeight="1">
      <c r="A491" s="452"/>
      <c r="B491" s="1058"/>
      <c r="C491" s="1058"/>
      <c r="D491" s="1058"/>
      <c r="E491" s="1058"/>
      <c r="F491" s="1058"/>
      <c r="G491" s="1058"/>
      <c r="H491" s="1058"/>
      <c r="I491" s="1058"/>
      <c r="J491" s="1058"/>
      <c r="K491" s="1058"/>
      <c r="L491" s="1058"/>
      <c r="M491" s="1058"/>
      <c r="N491" s="1058"/>
      <c r="O491" s="1058"/>
      <c r="P491" s="1058"/>
      <c r="Q491" s="1058"/>
      <c r="R491" s="1058"/>
      <c r="S491" s="1058"/>
      <c r="T491" s="1058"/>
      <c r="U491" s="1058"/>
      <c r="V491" s="1058"/>
      <c r="W491" s="1058"/>
      <c r="X491" s="1058"/>
      <c r="Y491" s="1058"/>
      <c r="Z491" s="1058"/>
      <c r="AA491" s="1058"/>
      <c r="AB491" s="1058"/>
      <c r="AC491" s="1058"/>
      <c r="AD491" s="1058"/>
      <c r="AE491" s="1058"/>
      <c r="AF491" s="1058"/>
      <c r="AG491" s="1058"/>
      <c r="AH491" s="1058"/>
      <c r="AI491" s="1058"/>
      <c r="AJ491" s="1058"/>
      <c r="AK491" s="1058"/>
      <c r="AL491" s="1459"/>
      <c r="AM491" s="439"/>
      <c r="AN491" s="1459"/>
    </row>
    <row r="492" spans="1:62" s="50" customFormat="1" ht="18" customHeight="1">
      <c r="A492" s="452"/>
      <c r="B492" s="1058"/>
      <c r="C492" s="1058"/>
      <c r="D492" s="1058"/>
      <c r="E492" s="1058"/>
      <c r="F492" s="1058"/>
      <c r="G492" s="1058"/>
      <c r="H492" s="1058"/>
      <c r="I492" s="1058"/>
      <c r="J492" s="1058"/>
      <c r="K492" s="1058"/>
      <c r="L492" s="1058"/>
      <c r="M492" s="1058"/>
      <c r="N492" s="1058"/>
      <c r="O492" s="1058"/>
      <c r="P492" s="1058"/>
      <c r="Q492" s="1058"/>
      <c r="R492" s="1058"/>
      <c r="S492" s="1058"/>
      <c r="T492" s="1058"/>
      <c r="U492" s="1058"/>
      <c r="V492" s="1058"/>
      <c r="W492" s="1058"/>
      <c r="X492" s="1058"/>
      <c r="Y492" s="1058"/>
      <c r="Z492" s="1058"/>
      <c r="AA492" s="1058"/>
      <c r="AB492" s="1058"/>
      <c r="AC492" s="1058"/>
      <c r="AD492" s="1058"/>
      <c r="AE492" s="1058"/>
      <c r="AF492" s="1058"/>
      <c r="AG492" s="1058"/>
      <c r="AH492" s="1058"/>
      <c r="AI492" s="1058"/>
      <c r="AJ492" s="1058"/>
      <c r="AK492" s="1058"/>
      <c r="AL492" s="1459"/>
      <c r="AM492" s="439"/>
      <c r="AN492" s="1459"/>
      <c r="AO492" s="692"/>
    </row>
    <row r="493" spans="1:62" s="50" customFormat="1" ht="18" customHeight="1">
      <c r="A493" s="452"/>
      <c r="B493" s="1058"/>
      <c r="C493" s="1058"/>
      <c r="D493" s="1058"/>
      <c r="E493" s="1058"/>
      <c r="F493" s="1058"/>
      <c r="G493" s="1058"/>
      <c r="H493" s="1058"/>
      <c r="I493" s="1058"/>
      <c r="J493" s="1058"/>
      <c r="K493" s="1058"/>
      <c r="L493" s="1058"/>
      <c r="M493" s="1058"/>
      <c r="N493" s="1058"/>
      <c r="O493" s="1058"/>
      <c r="P493" s="1058"/>
      <c r="Q493" s="1058"/>
      <c r="R493" s="1058"/>
      <c r="S493" s="1058"/>
      <c r="T493" s="1058"/>
      <c r="U493" s="1058"/>
      <c r="V493" s="1058"/>
      <c r="W493" s="1058"/>
      <c r="X493" s="1058"/>
      <c r="Y493" s="1058"/>
      <c r="Z493" s="1058"/>
      <c r="AA493" s="1058"/>
      <c r="AB493" s="1058"/>
      <c r="AC493" s="1058"/>
      <c r="AD493" s="1058"/>
      <c r="AE493" s="1058"/>
      <c r="AF493" s="1058"/>
      <c r="AG493" s="1058"/>
      <c r="AH493" s="1058"/>
      <c r="AI493" s="1058"/>
      <c r="AJ493" s="1058"/>
      <c r="AK493" s="1058"/>
      <c r="AL493" s="1459"/>
      <c r="AM493" s="439"/>
      <c r="AN493" s="1459"/>
      <c r="AO493" s="692"/>
    </row>
    <row r="494" spans="1:62" s="50" customFormat="1" ht="18" customHeight="1">
      <c r="A494" s="452"/>
      <c r="B494" s="1058"/>
      <c r="C494" s="1058"/>
      <c r="D494" s="1058"/>
      <c r="E494" s="1058"/>
      <c r="F494" s="1058"/>
      <c r="G494" s="1058"/>
      <c r="H494" s="1058"/>
      <c r="I494" s="1058"/>
      <c r="J494" s="1058"/>
      <c r="K494" s="1058"/>
      <c r="L494" s="1058"/>
      <c r="M494" s="1058"/>
      <c r="N494" s="1058"/>
      <c r="O494" s="1058"/>
      <c r="P494" s="1058"/>
      <c r="Q494" s="1058"/>
      <c r="R494" s="1058"/>
      <c r="S494" s="1058"/>
      <c r="T494" s="1058"/>
      <c r="U494" s="1058"/>
      <c r="V494" s="1058"/>
      <c r="W494" s="1058"/>
      <c r="X494" s="1058"/>
      <c r="Y494" s="1058"/>
      <c r="Z494" s="1058"/>
      <c r="AA494" s="1058"/>
      <c r="AB494" s="1058"/>
      <c r="AC494" s="1058"/>
      <c r="AD494" s="1058"/>
      <c r="AE494" s="1058"/>
      <c r="AF494" s="1058"/>
      <c r="AG494" s="1058"/>
      <c r="AH494" s="1058"/>
      <c r="AI494" s="1058"/>
      <c r="AJ494" s="1058"/>
      <c r="AK494" s="1058"/>
      <c r="AL494" s="1459"/>
      <c r="AM494" s="439"/>
      <c r="AN494" s="1459"/>
    </row>
    <row r="495" spans="1:62" s="50" customFormat="1" ht="18" customHeight="1">
      <c r="A495" s="452"/>
      <c r="B495" s="1058"/>
      <c r="C495" s="1058"/>
      <c r="D495" s="1058"/>
      <c r="E495" s="1058"/>
      <c r="F495" s="1058"/>
      <c r="G495" s="1058"/>
      <c r="H495" s="1058"/>
      <c r="I495" s="1058"/>
      <c r="J495" s="1058"/>
      <c r="K495" s="1058"/>
      <c r="L495" s="1058"/>
      <c r="M495" s="1058"/>
      <c r="N495" s="1058"/>
      <c r="O495" s="1058"/>
      <c r="P495" s="1058"/>
      <c r="Q495" s="1058"/>
      <c r="R495" s="1058"/>
      <c r="S495" s="1058"/>
      <c r="T495" s="1058"/>
      <c r="U495" s="1058"/>
      <c r="V495" s="1058"/>
      <c r="W495" s="1058"/>
      <c r="X495" s="1058"/>
      <c r="Y495" s="1058"/>
      <c r="Z495" s="1058"/>
      <c r="AA495" s="1058"/>
      <c r="AB495" s="1058"/>
      <c r="AC495" s="1058"/>
      <c r="AD495" s="1058"/>
      <c r="AE495" s="1058"/>
      <c r="AF495" s="1058"/>
      <c r="AG495" s="1058"/>
      <c r="AH495" s="1058"/>
      <c r="AI495" s="1058"/>
      <c r="AJ495" s="1058"/>
      <c r="AK495" s="1058"/>
      <c r="AL495" s="1459"/>
      <c r="AM495" s="439"/>
      <c r="AN495" s="1459"/>
      <c r="AO495" s="692"/>
    </row>
    <row r="496" spans="1:62" s="50" customFormat="1" ht="18" customHeight="1">
      <c r="A496" s="452"/>
      <c r="B496" s="1058"/>
      <c r="C496" s="1058"/>
      <c r="D496" s="1058"/>
      <c r="E496" s="1058"/>
      <c r="F496" s="1058"/>
      <c r="G496" s="1058"/>
      <c r="H496" s="1058"/>
      <c r="I496" s="1058"/>
      <c r="J496" s="1058"/>
      <c r="K496" s="1058"/>
      <c r="L496" s="1058"/>
      <c r="M496" s="1058"/>
      <c r="N496" s="1058"/>
      <c r="O496" s="1058"/>
      <c r="P496" s="1058"/>
      <c r="Q496" s="1058"/>
      <c r="R496" s="1058"/>
      <c r="S496" s="1058"/>
      <c r="T496" s="1058"/>
      <c r="U496" s="1058"/>
      <c r="V496" s="1058"/>
      <c r="W496" s="1058"/>
      <c r="X496" s="1058"/>
      <c r="Y496" s="1058"/>
      <c r="Z496" s="1058"/>
      <c r="AA496" s="1058"/>
      <c r="AB496" s="1058"/>
      <c r="AC496" s="1058"/>
      <c r="AD496" s="1058"/>
      <c r="AE496" s="1058"/>
      <c r="AF496" s="1058"/>
      <c r="AG496" s="1058"/>
      <c r="AH496" s="1058"/>
      <c r="AI496" s="1058"/>
      <c r="AJ496" s="1058"/>
      <c r="AK496" s="1058"/>
      <c r="AL496" s="1459"/>
      <c r="AM496" s="439"/>
      <c r="AN496" s="1459"/>
      <c r="AO496" s="692"/>
    </row>
    <row r="497" spans="1:62" s="50" customFormat="1" ht="18" customHeight="1">
      <c r="A497" s="452"/>
      <c r="B497" s="1058"/>
      <c r="C497" s="1058"/>
      <c r="D497" s="1058"/>
      <c r="E497" s="1058"/>
      <c r="F497" s="1058"/>
      <c r="G497" s="1058"/>
      <c r="H497" s="1058"/>
      <c r="I497" s="1058"/>
      <c r="J497" s="1058"/>
      <c r="K497" s="1058"/>
      <c r="L497" s="1058"/>
      <c r="M497" s="1058"/>
      <c r="N497" s="1058"/>
      <c r="O497" s="1058"/>
      <c r="P497" s="1058"/>
      <c r="Q497" s="1058"/>
      <c r="R497" s="1058"/>
      <c r="S497" s="1058"/>
      <c r="T497" s="1058"/>
      <c r="U497" s="1058"/>
      <c r="V497" s="1058"/>
      <c r="W497" s="1058"/>
      <c r="X497" s="1058"/>
      <c r="Y497" s="1058"/>
      <c r="Z497" s="1058"/>
      <c r="AA497" s="1058"/>
      <c r="AB497" s="1058"/>
      <c r="AC497" s="1058"/>
      <c r="AD497" s="1058"/>
      <c r="AE497" s="1058"/>
      <c r="AF497" s="1058"/>
      <c r="AG497" s="1058"/>
      <c r="AH497" s="1058"/>
      <c r="AI497" s="1058"/>
      <c r="AJ497" s="1058"/>
      <c r="AK497" s="1058"/>
      <c r="AL497" s="1459"/>
      <c r="AM497" s="439"/>
      <c r="AN497" s="1459"/>
    </row>
    <row r="498" spans="1:62" s="50" customFormat="1" ht="18" customHeight="1">
      <c r="A498" s="452"/>
      <c r="B498" s="1058"/>
      <c r="C498" s="1058"/>
      <c r="D498" s="1058"/>
      <c r="E498" s="1058"/>
      <c r="F498" s="1058"/>
      <c r="G498" s="1058"/>
      <c r="H498" s="1058"/>
      <c r="I498" s="1058"/>
      <c r="J498" s="1058"/>
      <c r="K498" s="1058"/>
      <c r="L498" s="1058"/>
      <c r="M498" s="1058"/>
      <c r="N498" s="1058"/>
      <c r="O498" s="1058"/>
      <c r="P498" s="1058"/>
      <c r="Q498" s="1058"/>
      <c r="R498" s="1058"/>
      <c r="S498" s="1058"/>
      <c r="T498" s="1058"/>
      <c r="U498" s="1058"/>
      <c r="V498" s="1058"/>
      <c r="W498" s="1058"/>
      <c r="X498" s="1058"/>
      <c r="Y498" s="1058"/>
      <c r="Z498" s="1058"/>
      <c r="AA498" s="1058"/>
      <c r="AB498" s="1058"/>
      <c r="AC498" s="1058"/>
      <c r="AD498" s="1058"/>
      <c r="AE498" s="1058"/>
      <c r="AF498" s="1058"/>
      <c r="AG498" s="1058"/>
      <c r="AH498" s="1058"/>
      <c r="AI498" s="1058"/>
      <c r="AJ498" s="1058"/>
      <c r="AK498" s="1058"/>
      <c r="AL498" s="1459"/>
      <c r="AM498" s="439"/>
      <c r="AN498" s="1459"/>
      <c r="AO498" s="692"/>
    </row>
    <row r="499" spans="1:62" s="50" customFormat="1" ht="18" customHeight="1">
      <c r="A499" s="452"/>
      <c r="B499" s="1058"/>
      <c r="C499" s="1058"/>
      <c r="D499" s="1058"/>
      <c r="E499" s="1058"/>
      <c r="F499" s="1058"/>
      <c r="G499" s="1058"/>
      <c r="H499" s="1058"/>
      <c r="I499" s="1058"/>
      <c r="J499" s="1058"/>
      <c r="K499" s="1058"/>
      <c r="L499" s="1058"/>
      <c r="M499" s="1058"/>
      <c r="N499" s="1058"/>
      <c r="O499" s="1058"/>
      <c r="P499" s="1058"/>
      <c r="Q499" s="1058"/>
      <c r="R499" s="1058"/>
      <c r="S499" s="1058"/>
      <c r="T499" s="1058"/>
      <c r="U499" s="1058"/>
      <c r="V499" s="1058"/>
      <c r="W499" s="1058"/>
      <c r="X499" s="1058"/>
      <c r="Y499" s="1058"/>
      <c r="Z499" s="1058"/>
      <c r="AA499" s="1058"/>
      <c r="AB499" s="1058"/>
      <c r="AC499" s="1058"/>
      <c r="AD499" s="1058"/>
      <c r="AE499" s="1058"/>
      <c r="AF499" s="1058"/>
      <c r="AG499" s="1058"/>
      <c r="AH499" s="1058"/>
      <c r="AI499" s="1058"/>
      <c r="AJ499" s="1058"/>
      <c r="AK499" s="1058"/>
      <c r="AL499" s="1459"/>
      <c r="AM499" s="439"/>
      <c r="AN499" s="1459"/>
      <c r="AO499" s="692"/>
    </row>
    <row r="500" spans="1:62" s="50" customFormat="1" ht="18" customHeight="1">
      <c r="A500" s="452"/>
      <c r="B500" s="1058"/>
      <c r="C500" s="1058"/>
      <c r="D500" s="1058"/>
      <c r="E500" s="1058"/>
      <c r="F500" s="1058"/>
      <c r="G500" s="1058"/>
      <c r="H500" s="1058"/>
      <c r="I500" s="1058"/>
      <c r="J500" s="1058"/>
      <c r="K500" s="1058"/>
      <c r="L500" s="1058"/>
      <c r="M500" s="1058"/>
      <c r="N500" s="1058"/>
      <c r="O500" s="1058"/>
      <c r="P500" s="1058"/>
      <c r="Q500" s="1058"/>
      <c r="R500" s="1058"/>
      <c r="S500" s="1058"/>
      <c r="T500" s="1058"/>
      <c r="U500" s="1058"/>
      <c r="V500" s="1058"/>
      <c r="W500" s="1058"/>
      <c r="X500" s="1058"/>
      <c r="Y500" s="1058"/>
      <c r="Z500" s="1058"/>
      <c r="AA500" s="1058"/>
      <c r="AB500" s="1058"/>
      <c r="AC500" s="1058"/>
      <c r="AD500" s="1058"/>
      <c r="AE500" s="1058"/>
      <c r="AF500" s="1058"/>
      <c r="AG500" s="1058"/>
      <c r="AH500" s="1058"/>
      <c r="AI500" s="1058"/>
      <c r="AJ500" s="1058"/>
      <c r="AK500" s="1058"/>
      <c r="AL500" s="1459"/>
      <c r="AM500" s="439"/>
      <c r="AN500" s="1459"/>
      <c r="AO500" s="692"/>
    </row>
    <row r="501" spans="1:62" s="50" customFormat="1" ht="18" customHeight="1">
      <c r="A501" s="452"/>
      <c r="B501" s="1058"/>
      <c r="C501" s="1058"/>
      <c r="D501" s="1058"/>
      <c r="E501" s="1058"/>
      <c r="F501" s="1058"/>
      <c r="G501" s="1058"/>
      <c r="H501" s="1058"/>
      <c r="I501" s="1058"/>
      <c r="J501" s="1058"/>
      <c r="K501" s="1058"/>
      <c r="L501" s="1058"/>
      <c r="M501" s="1058"/>
      <c r="N501" s="1058"/>
      <c r="O501" s="1058"/>
      <c r="P501" s="1058"/>
      <c r="Q501" s="1058"/>
      <c r="R501" s="1058"/>
      <c r="S501" s="1058"/>
      <c r="T501" s="1058"/>
      <c r="U501" s="1058"/>
      <c r="V501" s="1058"/>
      <c r="W501" s="1058"/>
      <c r="X501" s="1058"/>
      <c r="Y501" s="1058"/>
      <c r="Z501" s="1058"/>
      <c r="AA501" s="1058"/>
      <c r="AB501" s="1058"/>
      <c r="AC501" s="1058"/>
      <c r="AD501" s="1058"/>
      <c r="AE501" s="1058"/>
      <c r="AF501" s="1058"/>
      <c r="AG501" s="1058"/>
      <c r="AH501" s="1058"/>
      <c r="AI501" s="1058"/>
      <c r="AJ501" s="1058"/>
      <c r="AK501" s="1058"/>
      <c r="AL501" s="1459"/>
      <c r="AM501" s="439"/>
      <c r="AN501" s="1459"/>
      <c r="AO501" s="692"/>
    </row>
    <row r="502" spans="1:62" s="50" customFormat="1" ht="18" customHeight="1">
      <c r="A502" s="452"/>
      <c r="B502" s="1058"/>
      <c r="C502" s="1058"/>
      <c r="D502" s="1058"/>
      <c r="E502" s="1058"/>
      <c r="F502" s="1058"/>
      <c r="G502" s="1058"/>
      <c r="H502" s="1058"/>
      <c r="I502" s="1058"/>
      <c r="J502" s="1058"/>
      <c r="K502" s="1058"/>
      <c r="L502" s="1058"/>
      <c r="M502" s="1058"/>
      <c r="N502" s="1058"/>
      <c r="O502" s="1058"/>
      <c r="P502" s="1058"/>
      <c r="Q502" s="1058"/>
      <c r="R502" s="1058"/>
      <c r="S502" s="1058"/>
      <c r="T502" s="1058"/>
      <c r="U502" s="1058"/>
      <c r="V502" s="1058"/>
      <c r="W502" s="1058"/>
      <c r="X502" s="1058"/>
      <c r="Y502" s="1058"/>
      <c r="Z502" s="1058"/>
      <c r="AA502" s="1058"/>
      <c r="AB502" s="1058"/>
      <c r="AC502" s="1058"/>
      <c r="AD502" s="1058"/>
      <c r="AE502" s="1058"/>
      <c r="AF502" s="1058"/>
      <c r="AG502" s="1058"/>
      <c r="AH502" s="1058"/>
      <c r="AI502" s="1058"/>
      <c r="AJ502" s="1058"/>
      <c r="AK502" s="1058"/>
      <c r="AL502" s="1459"/>
      <c r="AM502" s="439"/>
      <c r="AN502" s="1459"/>
      <c r="AO502" s="692"/>
    </row>
    <row r="503" spans="1:62" s="50" customFormat="1" ht="18" customHeight="1">
      <c r="A503" s="452"/>
      <c r="B503" s="1058"/>
      <c r="C503" s="1058"/>
      <c r="D503" s="1058"/>
      <c r="E503" s="1058"/>
      <c r="F503" s="1058"/>
      <c r="G503" s="1058"/>
      <c r="H503" s="1058"/>
      <c r="I503" s="1058"/>
      <c r="J503" s="1058"/>
      <c r="K503" s="1058"/>
      <c r="L503" s="1058"/>
      <c r="M503" s="1058"/>
      <c r="N503" s="1058"/>
      <c r="O503" s="1058"/>
      <c r="P503" s="1058"/>
      <c r="Q503" s="1058"/>
      <c r="R503" s="1058"/>
      <c r="S503" s="1058"/>
      <c r="T503" s="1058"/>
      <c r="U503" s="1058"/>
      <c r="V503" s="1058"/>
      <c r="W503" s="1058"/>
      <c r="X503" s="1058"/>
      <c r="Y503" s="1058"/>
      <c r="Z503" s="1058"/>
      <c r="AA503" s="1058"/>
      <c r="AB503" s="1058"/>
      <c r="AC503" s="1058"/>
      <c r="AD503" s="1058"/>
      <c r="AE503" s="1058"/>
      <c r="AF503" s="1058"/>
      <c r="AG503" s="1058"/>
      <c r="AH503" s="1058"/>
      <c r="AI503" s="1058"/>
      <c r="AJ503" s="1058"/>
      <c r="AK503" s="1058"/>
      <c r="AL503" s="1459"/>
      <c r="AM503" s="439"/>
      <c r="AN503" s="1459"/>
      <c r="AO503" s="692"/>
    </row>
    <row r="504" spans="1:62" s="50" customFormat="1" ht="18" customHeight="1">
      <c r="A504" s="452"/>
      <c r="B504" s="1058"/>
      <c r="C504" s="1058"/>
      <c r="D504" s="1058"/>
      <c r="E504" s="1058"/>
      <c r="F504" s="1058"/>
      <c r="G504" s="1058"/>
      <c r="H504" s="1058"/>
      <c r="I504" s="1058"/>
      <c r="J504" s="1058"/>
      <c r="K504" s="1058"/>
      <c r="L504" s="1058"/>
      <c r="M504" s="1058"/>
      <c r="N504" s="1058"/>
      <c r="O504" s="1058"/>
      <c r="P504" s="1058"/>
      <c r="Q504" s="1058"/>
      <c r="R504" s="1058"/>
      <c r="S504" s="1058"/>
      <c r="T504" s="1058"/>
      <c r="U504" s="1058"/>
      <c r="V504" s="1058"/>
      <c r="W504" s="1058"/>
      <c r="X504" s="1058"/>
      <c r="Y504" s="1058"/>
      <c r="Z504" s="1058"/>
      <c r="AA504" s="1058"/>
      <c r="AB504" s="1058"/>
      <c r="AC504" s="1058"/>
      <c r="AD504" s="1058"/>
      <c r="AE504" s="1058"/>
      <c r="AF504" s="1058"/>
      <c r="AG504" s="1058"/>
      <c r="AH504" s="1058"/>
      <c r="AI504" s="1058"/>
      <c r="AJ504" s="1058"/>
      <c r="AK504" s="1058"/>
      <c r="AL504" s="1459"/>
      <c r="AM504" s="439"/>
      <c r="AN504" s="1459"/>
      <c r="AO504" s="692"/>
    </row>
    <row r="505" spans="1:62" s="50" customFormat="1" ht="18" customHeight="1">
      <c r="A505" s="452"/>
      <c r="B505" s="1058"/>
      <c r="C505" s="1058"/>
      <c r="D505" s="1058"/>
      <c r="E505" s="1058"/>
      <c r="F505" s="1058"/>
      <c r="G505" s="1058"/>
      <c r="H505" s="1058"/>
      <c r="I505" s="1058"/>
      <c r="J505" s="1058"/>
      <c r="K505" s="1058"/>
      <c r="L505" s="1058"/>
      <c r="M505" s="1058"/>
      <c r="N505" s="1058"/>
      <c r="O505" s="1058"/>
      <c r="P505" s="1058"/>
      <c r="Q505" s="1058"/>
      <c r="R505" s="1058"/>
      <c r="S505" s="1058"/>
      <c r="T505" s="1058"/>
      <c r="U505" s="1058"/>
      <c r="V505" s="1058"/>
      <c r="W505" s="1058"/>
      <c r="X505" s="1058"/>
      <c r="Y505" s="1058"/>
      <c r="Z505" s="1058"/>
      <c r="AA505" s="1058"/>
      <c r="AB505" s="1058"/>
      <c r="AC505" s="1058"/>
      <c r="AD505" s="1058"/>
      <c r="AE505" s="1058"/>
      <c r="AF505" s="1058"/>
      <c r="AG505" s="1058"/>
      <c r="AH505" s="1058"/>
      <c r="AI505" s="1058"/>
      <c r="AJ505" s="1058"/>
      <c r="AK505" s="1058"/>
      <c r="AL505" s="1459"/>
      <c r="AM505" s="439"/>
      <c r="AN505" s="1459"/>
      <c r="AO505" s="1448"/>
      <c r="AP505" s="1058"/>
      <c r="AQ505" s="1058"/>
      <c r="AR505" s="1058"/>
      <c r="AS505" s="1058"/>
      <c r="AT505" s="1058"/>
      <c r="AU505" s="1058"/>
      <c r="AV505" s="1058"/>
      <c r="AW505" s="1058"/>
      <c r="AX505" s="1058"/>
      <c r="AY505" s="1058"/>
      <c r="AZ505" s="1058"/>
      <c r="BA505" s="1058"/>
      <c r="BB505" s="1058"/>
      <c r="BC505" s="1058"/>
      <c r="BD505" s="1058"/>
      <c r="BE505" s="1058"/>
      <c r="BF505" s="1058"/>
      <c r="BG505" s="1058"/>
      <c r="BH505" s="1058"/>
      <c r="BI505" s="1058"/>
      <c r="BJ505" s="1058"/>
    </row>
  </sheetData>
  <sortState xmlns:xlrd2="http://schemas.microsoft.com/office/spreadsheetml/2017/richdata2" ref="AO169:AO177">
    <sortCondition ref="AO168"/>
  </sortState>
  <mergeCells count="1577">
    <mergeCell ref="B5:AI6"/>
    <mergeCell ref="B20:R20"/>
    <mergeCell ref="B16:I16"/>
    <mergeCell ref="J16:U16"/>
    <mergeCell ref="U20:AM20"/>
    <mergeCell ref="B33:AE33"/>
    <mergeCell ref="B60:D60"/>
    <mergeCell ref="E60:K60"/>
    <mergeCell ref="L60:AE60"/>
    <mergeCell ref="AF60:AK60"/>
    <mergeCell ref="AL60:AM60"/>
    <mergeCell ref="B61:D61"/>
    <mergeCell ref="E61:K61"/>
    <mergeCell ref="L61:AE61"/>
    <mergeCell ref="AF61:AK61"/>
    <mergeCell ref="AL61:AM61"/>
    <mergeCell ref="Z147:AD147"/>
    <mergeCell ref="AE147:AM147"/>
    <mergeCell ref="B19:V19"/>
    <mergeCell ref="B48:X48"/>
    <mergeCell ref="B81:AK81"/>
    <mergeCell ref="AL81:AM81"/>
    <mergeCell ref="B84:AK84"/>
    <mergeCell ref="AL84:AM84"/>
    <mergeCell ref="B26:AG26"/>
    <mergeCell ref="L49:AE49"/>
    <mergeCell ref="Q70:AH70"/>
    <mergeCell ref="B107:G107"/>
    <mergeCell ref="B70:N70"/>
    <mergeCell ref="S20:T20"/>
    <mergeCell ref="B21:D21"/>
    <mergeCell ref="E21:K21"/>
    <mergeCell ref="Y298:Z298"/>
    <mergeCell ref="AA298:AC298"/>
    <mergeCell ref="G335:I335"/>
    <mergeCell ref="B332:F332"/>
    <mergeCell ref="K332:O332"/>
    <mergeCell ref="T332:W332"/>
    <mergeCell ref="AH317:AM317"/>
    <mergeCell ref="B321:AM321"/>
    <mergeCell ref="AF318:AG318"/>
    <mergeCell ref="B439:AK439"/>
    <mergeCell ref="AL439:AM439"/>
    <mergeCell ref="B438:AM438"/>
    <mergeCell ref="AL421:AM421"/>
    <mergeCell ref="AL425:AM425"/>
    <mergeCell ref="B425:D425"/>
    <mergeCell ref="AH299:AJ299"/>
    <mergeCell ref="G374:K374"/>
    <mergeCell ref="P369:X369"/>
    <mergeCell ref="Y370:AB370"/>
    <mergeCell ref="B314:AM314"/>
    <mergeCell ref="B313:K313"/>
    <mergeCell ref="L313:AM313"/>
    <mergeCell ref="B311:C311"/>
    <mergeCell ref="T311:U311"/>
    <mergeCell ref="AH316:AM316"/>
    <mergeCell ref="R322:S322"/>
    <mergeCell ref="AL406:AM406"/>
    <mergeCell ref="B408:AM408"/>
    <mergeCell ref="B348:AM348"/>
    <mergeCell ref="L21:AE21"/>
    <mergeCell ref="AF21:AK21"/>
    <mergeCell ref="AL21:AM21"/>
    <mergeCell ref="B22:AK22"/>
    <mergeCell ref="AL22:AM23"/>
    <mergeCell ref="B25:U25"/>
    <mergeCell ref="V25:W25"/>
    <mergeCell ref="B27:D27"/>
    <mergeCell ref="E27:K27"/>
    <mergeCell ref="L27:AE27"/>
    <mergeCell ref="AF27:AK27"/>
    <mergeCell ref="AL27:AM27"/>
    <mergeCell ref="B24:AK24"/>
    <mergeCell ref="AL24:AM24"/>
    <mergeCell ref="B23:V23"/>
    <mergeCell ref="AL426:AM426"/>
    <mergeCell ref="S132:AC132"/>
    <mergeCell ref="AD132:AE132"/>
    <mergeCell ref="AF138:AK139"/>
    <mergeCell ref="B138:AE139"/>
    <mergeCell ref="B134:AM134"/>
    <mergeCell ref="Y289:Z289"/>
    <mergeCell ref="Y294:Z294"/>
    <mergeCell ref="Y295:Z295"/>
    <mergeCell ref="AA289:AC289"/>
    <mergeCell ref="AA290:AC290"/>
    <mergeCell ref="AD298:AG298"/>
    <mergeCell ref="AL166:AM166"/>
    <mergeCell ref="AL202:AM202"/>
    <mergeCell ref="K132:P132"/>
    <mergeCell ref="E240:M240"/>
    <mergeCell ref="Q253:AA253"/>
    <mergeCell ref="N317:T317"/>
    <mergeCell ref="X317:AD317"/>
    <mergeCell ref="AH318:AM318"/>
    <mergeCell ref="Q251:S251"/>
    <mergeCell ref="AE382:AG382"/>
    <mergeCell ref="AH377:AJ377"/>
    <mergeCell ref="M376:Q376"/>
    <mergeCell ref="AH376:AJ376"/>
    <mergeCell ref="AJ370:AM370"/>
    <mergeCell ref="AE377:AG377"/>
    <mergeCell ref="G377:K377"/>
    <mergeCell ref="O354:Q354"/>
    <mergeCell ref="AC361:AE361"/>
    <mergeCell ref="O360:O371"/>
    <mergeCell ref="AC362:AE362"/>
    <mergeCell ref="Y364:AB364"/>
    <mergeCell ref="V379:X379"/>
    <mergeCell ref="AB380:AD380"/>
    <mergeCell ref="B344:AM344"/>
    <mergeCell ref="B345:G345"/>
    <mergeCell ref="H345:I345"/>
    <mergeCell ref="K345:O345"/>
    <mergeCell ref="S345:W345"/>
    <mergeCell ref="B335:F335"/>
    <mergeCell ref="K335:O335"/>
    <mergeCell ref="T335:W335"/>
    <mergeCell ref="B273:C273"/>
    <mergeCell ref="T271:U271"/>
    <mergeCell ref="B285:D285"/>
    <mergeCell ref="AJ286:AM286"/>
    <mergeCell ref="J286:L286"/>
    <mergeCell ref="AD294:AG294"/>
    <mergeCell ref="V38:W38"/>
    <mergeCell ref="B38:U38"/>
    <mergeCell ref="K363:N363"/>
    <mergeCell ref="Y362:AB362"/>
    <mergeCell ref="B71:AK71"/>
    <mergeCell ref="AL71:AM71"/>
    <mergeCell ref="P111:T111"/>
    <mergeCell ref="B118:D118"/>
    <mergeCell ref="H105:M105"/>
    <mergeCell ref="U105:AA105"/>
    <mergeCell ref="AB105:AG105"/>
    <mergeCell ref="AK291:AM291"/>
    <mergeCell ref="AK292:AM292"/>
    <mergeCell ref="AK293:AM293"/>
    <mergeCell ref="Q132:R132"/>
    <mergeCell ref="B67:AK67"/>
    <mergeCell ref="AL67:AM67"/>
    <mergeCell ref="AL151:AM151"/>
    <mergeCell ref="B41:U41"/>
    <mergeCell ref="B94:AM94"/>
    <mergeCell ref="B127:T127"/>
    <mergeCell ref="U127:AM127"/>
    <mergeCell ref="B128:T128"/>
    <mergeCell ref="B129:T129"/>
    <mergeCell ref="U128:AM128"/>
    <mergeCell ref="U129:AM129"/>
    <mergeCell ref="AH293:AJ293"/>
    <mergeCell ref="B288:H289"/>
    <mergeCell ref="I289:J289"/>
    <mergeCell ref="V98:X98"/>
    <mergeCell ref="B44:U44"/>
    <mergeCell ref="E49:K49"/>
    <mergeCell ref="B230:D230"/>
    <mergeCell ref="AF221:AK221"/>
    <mergeCell ref="B241:D241"/>
    <mergeCell ref="N240:AE240"/>
    <mergeCell ref="E242:M242"/>
    <mergeCell ref="E243:M243"/>
    <mergeCell ref="E209:M209"/>
    <mergeCell ref="B213:D213"/>
    <mergeCell ref="AL222:AM222"/>
    <mergeCell ref="AF198:AK198"/>
    <mergeCell ref="AL198:AM198"/>
    <mergeCell ref="AL188:AM188"/>
    <mergeCell ref="I197:O197"/>
    <mergeCell ref="AL200:AM200"/>
    <mergeCell ref="Y158:AD158"/>
    <mergeCell ref="AL162:AM162"/>
    <mergeCell ref="AL171:AM171"/>
    <mergeCell ref="E175:M175"/>
    <mergeCell ref="AF199:AK199"/>
    <mergeCell ref="E212:M212"/>
    <mergeCell ref="N212:AE212"/>
    <mergeCell ref="E176:M176"/>
    <mergeCell ref="AF161:AK161"/>
    <mergeCell ref="P180:AM180"/>
    <mergeCell ref="N201:AE201"/>
    <mergeCell ref="B201:D201"/>
    <mergeCell ref="B198:D198"/>
    <mergeCell ref="E201:M201"/>
    <mergeCell ref="AF188:AK188"/>
    <mergeCell ref="AF187:AK187"/>
    <mergeCell ref="B187:D187"/>
    <mergeCell ref="E200:M200"/>
    <mergeCell ref="B2:AM2"/>
    <mergeCell ref="B346:I346"/>
    <mergeCell ref="B331:G331"/>
    <mergeCell ref="AK297:AM297"/>
    <mergeCell ref="B310:AM310"/>
    <mergeCell ref="B126:U126"/>
    <mergeCell ref="Y98:AB98"/>
    <mergeCell ref="AC98:AJ98"/>
    <mergeCell ref="R99:AM99"/>
    <mergeCell ref="AL124:AM124"/>
    <mergeCell ref="B124:O124"/>
    <mergeCell ref="B97:E97"/>
    <mergeCell ref="F97:T97"/>
    <mergeCell ref="I117:J117"/>
    <mergeCell ref="AI118:AK118"/>
    <mergeCell ref="T118:W118"/>
    <mergeCell ref="E118:F118"/>
    <mergeCell ref="AB124:AC124"/>
    <mergeCell ref="AA121:AB121"/>
    <mergeCell ref="P125:Q125"/>
    <mergeCell ref="B132:H132"/>
    <mergeCell ref="B125:O125"/>
    <mergeCell ref="B113:O113"/>
    <mergeCell ref="U106:AA106"/>
    <mergeCell ref="AB106:AG106"/>
    <mergeCell ref="E119:F119"/>
    <mergeCell ref="G118:S118"/>
    <mergeCell ref="V126:W126"/>
    <mergeCell ref="N208:AE208"/>
    <mergeCell ref="AH290:AJ290"/>
    <mergeCell ref="AK98:AM98"/>
    <mergeCell ref="B99:H99"/>
    <mergeCell ref="B18:C18"/>
    <mergeCell ref="D18:S18"/>
    <mergeCell ref="W19:X19"/>
    <mergeCell ref="E88:K88"/>
    <mergeCell ref="E204:M204"/>
    <mergeCell ref="AF200:AK200"/>
    <mergeCell ref="B210:D210"/>
    <mergeCell ref="AC120:AJ121"/>
    <mergeCell ref="AK120:AM121"/>
    <mergeCell ref="B116:G116"/>
    <mergeCell ref="H116:I116"/>
    <mergeCell ref="Y157:AD157"/>
    <mergeCell ref="L88:AE88"/>
    <mergeCell ref="B93:AM93"/>
    <mergeCell ref="AK296:AM296"/>
    <mergeCell ref="AH297:AJ297"/>
    <mergeCell ref="N214:AE214"/>
    <mergeCell ref="AL201:AM201"/>
    <mergeCell ref="F155:Q155"/>
    <mergeCell ref="F156:Q156"/>
    <mergeCell ref="Y159:AD159"/>
    <mergeCell ref="AF204:AK204"/>
    <mergeCell ref="R159:X159"/>
    <mergeCell ref="Y155:AD155"/>
    <mergeCell ref="AH107:AM107"/>
    <mergeCell ref="U107:AA107"/>
    <mergeCell ref="B109:AM109"/>
    <mergeCell ref="B110:AM110"/>
    <mergeCell ref="G119:S119"/>
    <mergeCell ref="T119:W119"/>
    <mergeCell ref="N182:AE182"/>
    <mergeCell ref="N171:AE171"/>
    <mergeCell ref="B171:D171"/>
    <mergeCell ref="B176:D176"/>
    <mergeCell ref="B143:AM143"/>
    <mergeCell ref="B136:AA136"/>
    <mergeCell ref="B145:AM145"/>
    <mergeCell ref="AE156:AM156"/>
    <mergeCell ref="AE157:AM157"/>
    <mergeCell ref="AL138:AM139"/>
    <mergeCell ref="N141:AE141"/>
    <mergeCell ref="AF170:AM170"/>
    <mergeCell ref="AF171:AK171"/>
    <mergeCell ref="R155:X155"/>
    <mergeCell ref="AF137:AK137"/>
    <mergeCell ref="R156:X156"/>
    <mergeCell ref="AC135:AK135"/>
    <mergeCell ref="AG131:AI131"/>
    <mergeCell ref="AJ130:AM130"/>
    <mergeCell ref="AG122:AK122"/>
    <mergeCell ref="AL122:AM122"/>
    <mergeCell ref="E122:M122"/>
    <mergeCell ref="AA120:AB120"/>
    <mergeCell ref="B120:L120"/>
    <mergeCell ref="B121:L121"/>
    <mergeCell ref="M120:Q120"/>
    <mergeCell ref="V120:Z120"/>
    <mergeCell ref="AL135:AM135"/>
    <mergeCell ref="E137:M137"/>
    <mergeCell ref="AL141:AM141"/>
    <mergeCell ref="AE140:AM140"/>
    <mergeCell ref="B141:D141"/>
    <mergeCell ref="B153:AM153"/>
    <mergeCell ref="B158:E158"/>
    <mergeCell ref="J131:K131"/>
    <mergeCell ref="H130:K130"/>
    <mergeCell ref="P124:Q124"/>
    <mergeCell ref="AL150:AM150"/>
    <mergeCell ref="B150:AK150"/>
    <mergeCell ref="B154:E154"/>
    <mergeCell ref="R154:X154"/>
    <mergeCell ref="B148:AK148"/>
    <mergeCell ref="E181:M181"/>
    <mergeCell ref="N186:AE186"/>
    <mergeCell ref="E185:M185"/>
    <mergeCell ref="N185:AE185"/>
    <mergeCell ref="AF176:AK176"/>
    <mergeCell ref="B167:D167"/>
    <mergeCell ref="B169:H169"/>
    <mergeCell ref="E184:M184"/>
    <mergeCell ref="AH105:AM105"/>
    <mergeCell ref="AI119:AK119"/>
    <mergeCell ref="B114:O114"/>
    <mergeCell ref="B119:D119"/>
    <mergeCell ref="L131:M131"/>
    <mergeCell ref="F131:G131"/>
    <mergeCell ref="B131:E131"/>
    <mergeCell ref="N131:P131"/>
    <mergeCell ref="R120:U120"/>
    <mergeCell ref="R117:AM117"/>
    <mergeCell ref="AC111:AM111"/>
    <mergeCell ref="AC112:AM112"/>
    <mergeCell ref="Z113:AB113"/>
    <mergeCell ref="AC113:AM113"/>
    <mergeCell ref="B112:O112"/>
    <mergeCell ref="U114:Y114"/>
    <mergeCell ref="AF119:AH119"/>
    <mergeCell ref="AL118:AM118"/>
    <mergeCell ref="R121:U121"/>
    <mergeCell ref="N105:T105"/>
    <mergeCell ref="L130:P130"/>
    <mergeCell ref="B130:E130"/>
    <mergeCell ref="H131:I131"/>
    <mergeCell ref="B122:D122"/>
    <mergeCell ref="AF141:AK141"/>
    <mergeCell ref="B174:D174"/>
    <mergeCell ref="B133:AM133"/>
    <mergeCell ref="R160:X160"/>
    <mergeCell ref="AL186:AM186"/>
    <mergeCell ref="AL185:AM185"/>
    <mergeCell ref="N184:AE184"/>
    <mergeCell ref="AF175:AK175"/>
    <mergeCell ref="E188:M188"/>
    <mergeCell ref="AJ131:AM131"/>
    <mergeCell ref="AD130:AF130"/>
    <mergeCell ref="AD131:AF131"/>
    <mergeCell ref="Z131:AC131"/>
    <mergeCell ref="V131:Y131"/>
    <mergeCell ref="B146:H146"/>
    <mergeCell ref="AL148:AM148"/>
    <mergeCell ref="Q131:U131"/>
    <mergeCell ref="R157:X157"/>
    <mergeCell ref="Y154:AD154"/>
    <mergeCell ref="I132:J132"/>
    <mergeCell ref="F157:Q157"/>
    <mergeCell ref="AL164:AM164"/>
    <mergeCell ref="AF162:AK162"/>
    <mergeCell ref="AE159:AM159"/>
    <mergeCell ref="AE158:AM158"/>
    <mergeCell ref="E186:M186"/>
    <mergeCell ref="B183:D183"/>
    <mergeCell ref="N165:AE165"/>
    <mergeCell ref="B160:E160"/>
    <mergeCell ref="E162:M162"/>
    <mergeCell ref="AF165:AK165"/>
    <mergeCell ref="E183:M183"/>
    <mergeCell ref="AL212:AM212"/>
    <mergeCell ref="AF223:AK223"/>
    <mergeCell ref="E222:M222"/>
    <mergeCell ref="B219:F219"/>
    <mergeCell ref="AL215:AM215"/>
    <mergeCell ref="AL230:AM230"/>
    <mergeCell ref="AL213:AM213"/>
    <mergeCell ref="AL242:AM242"/>
    <mergeCell ref="AF234:AK234"/>
    <mergeCell ref="B117:H117"/>
    <mergeCell ref="W140:AD140"/>
    <mergeCell ref="B135:AB135"/>
    <mergeCell ref="B175:D175"/>
    <mergeCell ref="E177:M177"/>
    <mergeCell ref="N167:AE167"/>
    <mergeCell ref="AF172:AK172"/>
    <mergeCell ref="N172:AE172"/>
    <mergeCell ref="B157:E157"/>
    <mergeCell ref="AF184:AK184"/>
    <mergeCell ref="R124:AA124"/>
    <mergeCell ref="AD124:AK124"/>
    <mergeCell ref="AG130:AI130"/>
    <mergeCell ref="A178:AM178"/>
    <mergeCell ref="B190:AK190"/>
    <mergeCell ref="AL190:AM190"/>
    <mergeCell ref="AL191:AM191"/>
    <mergeCell ref="P146:AM146"/>
    <mergeCell ref="B186:D186"/>
    <mergeCell ref="B185:D185"/>
    <mergeCell ref="AL181:AM181"/>
    <mergeCell ref="AL183:AM183"/>
    <mergeCell ref="B137:D137"/>
    <mergeCell ref="AL263:AM263"/>
    <mergeCell ref="B255:AM255"/>
    <mergeCell ref="AI257:AM257"/>
    <mergeCell ref="AI258:AM258"/>
    <mergeCell ref="AI250:AM250"/>
    <mergeCell ref="AI251:AK251"/>
    <mergeCell ref="AL251:AM251"/>
    <mergeCell ref="B276:AM276"/>
    <mergeCell ref="AF239:AK239"/>
    <mergeCell ref="B240:D240"/>
    <mergeCell ref="B191:AK191"/>
    <mergeCell ref="E167:M167"/>
    <mergeCell ref="N174:AE174"/>
    <mergeCell ref="E171:M171"/>
    <mergeCell ref="B192:AK192"/>
    <mergeCell ref="C193:AK193"/>
    <mergeCell ref="AF163:AK163"/>
    <mergeCell ref="AL172:AM172"/>
    <mergeCell ref="N231:AE231"/>
    <mergeCell ref="N224:AE224"/>
    <mergeCell ref="B234:D234"/>
    <mergeCell ref="AL239:AM239"/>
    <mergeCell ref="AL223:AM223"/>
    <mergeCell ref="B221:D221"/>
    <mergeCell ref="N229:AE229"/>
    <mergeCell ref="B254:AM254"/>
    <mergeCell ref="T250:V250"/>
    <mergeCell ref="E223:M223"/>
    <mergeCell ref="AF224:AK224"/>
    <mergeCell ref="AF213:AK213"/>
    <mergeCell ref="E211:M211"/>
    <mergeCell ref="B223:D223"/>
    <mergeCell ref="AD293:AG293"/>
    <mergeCell ref="AB266:AF266"/>
    <mergeCell ref="K274:L274"/>
    <mergeCell ref="D273:I273"/>
    <mergeCell ref="B247:AM247"/>
    <mergeCell ref="Q252:AA252"/>
    <mergeCell ref="B248:AM248"/>
    <mergeCell ref="AC272:AD272"/>
    <mergeCell ref="B246:AM246"/>
    <mergeCell ref="D271:I271"/>
    <mergeCell ref="AF241:AK241"/>
    <mergeCell ref="AL234:AM234"/>
    <mergeCell ref="W250:AC250"/>
    <mergeCell ref="B266:M266"/>
    <mergeCell ref="B243:D243"/>
    <mergeCell ref="E238:M238"/>
    <mergeCell ref="N238:AE238"/>
    <mergeCell ref="AF238:AK238"/>
    <mergeCell ref="M273:R273"/>
    <mergeCell ref="U258:AH258"/>
    <mergeCell ref="N267:AA267"/>
    <mergeCell ref="M268:O269"/>
    <mergeCell ref="D278:AM278"/>
    <mergeCell ref="D279:AM279"/>
    <mergeCell ref="D280:AM280"/>
    <mergeCell ref="B281:E281"/>
    <mergeCell ref="AG267:AM267"/>
    <mergeCell ref="AH252:AJ252"/>
    <mergeCell ref="B251:P251"/>
    <mergeCell ref="B275:C275"/>
    <mergeCell ref="U257:AH257"/>
    <mergeCell ref="AF243:AK243"/>
    <mergeCell ref="Y293:Z293"/>
    <mergeCell ref="AA283:AC284"/>
    <mergeCell ref="Y286:Z286"/>
    <mergeCell ref="S284:U284"/>
    <mergeCell ref="V286:X286"/>
    <mergeCell ref="Y283:Z284"/>
    <mergeCell ref="K295:L295"/>
    <mergeCell ref="I296:J296"/>
    <mergeCell ref="V293:X293"/>
    <mergeCell ref="V295:X295"/>
    <mergeCell ref="I290:J290"/>
    <mergeCell ref="O290:P290"/>
    <mergeCell ref="O293:P293"/>
    <mergeCell ref="M291:N291"/>
    <mergeCell ref="Y292:Z292"/>
    <mergeCell ref="H284:I284"/>
    <mergeCell ref="AK288:AM288"/>
    <mergeCell ref="AK289:AM289"/>
    <mergeCell ref="AK290:AM290"/>
    <mergeCell ref="AA291:AC291"/>
    <mergeCell ref="B283:X283"/>
    <mergeCell ref="H286:I286"/>
    <mergeCell ref="Q294:R294"/>
    <mergeCell ref="Y288:Z288"/>
    <mergeCell ref="AD285:AF285"/>
    <mergeCell ref="AG286:AI286"/>
    <mergeCell ref="V289:X289"/>
    <mergeCell ref="AD289:AG289"/>
    <mergeCell ref="B294:H294"/>
    <mergeCell ref="O289:P289"/>
    <mergeCell ref="AD291:AG291"/>
    <mergeCell ref="AD290:AG290"/>
    <mergeCell ref="J308:K308"/>
    <mergeCell ref="J307:K307"/>
    <mergeCell ref="B325:AM325"/>
    <mergeCell ref="AE311:AH311"/>
    <mergeCell ref="D318:J318"/>
    <mergeCell ref="AD296:AG296"/>
    <mergeCell ref="Y296:Z296"/>
    <mergeCell ref="AH296:AJ296"/>
    <mergeCell ref="D275:I275"/>
    <mergeCell ref="Q289:R289"/>
    <mergeCell ref="I288:N288"/>
    <mergeCell ref="AA288:AC288"/>
    <mergeCell ref="V288:X288"/>
    <mergeCell ref="V290:X290"/>
    <mergeCell ref="V291:X291"/>
    <mergeCell ref="V292:X292"/>
    <mergeCell ref="B407:AM407"/>
    <mergeCell ref="B399:AM399"/>
    <mergeCell ref="B400:AK400"/>
    <mergeCell ref="AL400:AM400"/>
    <mergeCell ref="B401:AM401"/>
    <mergeCell ref="B402:AM402"/>
    <mergeCell ref="B351:G351"/>
    <mergeCell ref="B353:AM353"/>
    <mergeCell ref="B354:E354"/>
    <mergeCell ref="J354:N354"/>
    <mergeCell ref="S354:W354"/>
    <mergeCell ref="B356:AM356"/>
    <mergeCell ref="AH375:AJ375"/>
    <mergeCell ref="AC369:AE369"/>
    <mergeCell ref="Y379:AA379"/>
    <mergeCell ref="V296:X296"/>
    <mergeCell ref="AD295:AG295"/>
    <mergeCell ref="AH298:AJ298"/>
    <mergeCell ref="AK298:AM298"/>
    <mergeCell ref="AB332:AG332"/>
    <mergeCell ref="N319:T319"/>
    <mergeCell ref="I305:I308"/>
    <mergeCell ref="Q305:Q308"/>
    <mergeCell ref="Y305:Y308"/>
    <mergeCell ref="M295:N295"/>
    <mergeCell ref="B295:H295"/>
    <mergeCell ref="B298:T299"/>
    <mergeCell ref="Q311:R311"/>
    <mergeCell ref="Z307:AA307"/>
    <mergeCell ref="I297:J297"/>
    <mergeCell ref="V297:X297"/>
    <mergeCell ref="Y297:Z297"/>
    <mergeCell ref="AA297:AC297"/>
    <mergeCell ref="S297:T297"/>
    <mergeCell ref="AD297:AG297"/>
    <mergeCell ref="J322:K322"/>
    <mergeCell ref="AB322:AF322"/>
    <mergeCell ref="V319:W319"/>
    <mergeCell ref="D311:G311"/>
    <mergeCell ref="AH307:AI307"/>
    <mergeCell ref="M311:P311"/>
    <mergeCell ref="Z311:AA311"/>
    <mergeCell ref="V311:Y311"/>
    <mergeCell ref="B308:C308"/>
    <mergeCell ref="AJ306:AM306"/>
    <mergeCell ref="B300:AM300"/>
    <mergeCell ref="B304:AM304"/>
    <mergeCell ref="Z305:AA305"/>
    <mergeCell ref="K371:N371"/>
    <mergeCell ref="AF369:AI369"/>
    <mergeCell ref="AJ369:AM369"/>
    <mergeCell ref="B371:J371"/>
    <mergeCell ref="V378:X378"/>
    <mergeCell ref="AB379:AD379"/>
    <mergeCell ref="G380:K380"/>
    <mergeCell ref="AE383:AG383"/>
    <mergeCell ref="Y383:AA383"/>
    <mergeCell ref="AB383:AD383"/>
    <mergeCell ref="Y369:AB369"/>
    <mergeCell ref="Y380:AA380"/>
    <mergeCell ref="B372:AM372"/>
    <mergeCell ref="AJ371:AM371"/>
    <mergeCell ref="B370:J370"/>
    <mergeCell ref="AE375:AG375"/>
    <mergeCell ref="AF370:AI370"/>
    <mergeCell ref="P371:AI371"/>
    <mergeCell ref="B383:F383"/>
    <mergeCell ref="S375:U375"/>
    <mergeCell ref="AC370:AE370"/>
    <mergeCell ref="Y381:AA381"/>
    <mergeCell ref="B380:F380"/>
    <mergeCell ref="P370:X370"/>
    <mergeCell ref="M378:Q378"/>
    <mergeCell ref="AE381:AG381"/>
    <mergeCell ref="AL413:AM413"/>
    <mergeCell ref="B458:AM458"/>
    <mergeCell ref="Y384:AA384"/>
    <mergeCell ref="AB384:AD384"/>
    <mergeCell ref="AL392:AM392"/>
    <mergeCell ref="AL459:AM459"/>
    <mergeCell ref="AF442:AK442"/>
    <mergeCell ref="AL442:AM442"/>
    <mergeCell ref="B441:AM441"/>
    <mergeCell ref="G389:H389"/>
    <mergeCell ref="I389:P389"/>
    <mergeCell ref="B435:AM435"/>
    <mergeCell ref="B436:AK436"/>
    <mergeCell ref="N426:AE426"/>
    <mergeCell ref="B432:D432"/>
    <mergeCell ref="AL432:AM432"/>
    <mergeCell ref="E414:M414"/>
    <mergeCell ref="W389:AM389"/>
    <mergeCell ref="AF414:AK414"/>
    <mergeCell ref="B430:AM430"/>
    <mergeCell ref="B433:D433"/>
    <mergeCell ref="M384:Q384"/>
    <mergeCell ref="B440:AK440"/>
    <mergeCell ref="B424:D424"/>
    <mergeCell ref="AL440:AM440"/>
    <mergeCell ref="B404:AM404"/>
    <mergeCell ref="B405:AM405"/>
    <mergeCell ref="B406:AK406"/>
    <mergeCell ref="AF426:AK426"/>
    <mergeCell ref="B446:AK446"/>
    <mergeCell ref="AL446:AM446"/>
    <mergeCell ref="B411:AM411"/>
    <mergeCell ref="S374:AJ374"/>
    <mergeCell ref="V376:X376"/>
    <mergeCell ref="AF459:AK459"/>
    <mergeCell ref="B445:AK445"/>
    <mergeCell ref="AL436:AM436"/>
    <mergeCell ref="B457:AM457"/>
    <mergeCell ref="AL422:AM422"/>
    <mergeCell ref="E421:M421"/>
    <mergeCell ref="N425:AE425"/>
    <mergeCell ref="N423:AE423"/>
    <mergeCell ref="AF422:AK422"/>
    <mergeCell ref="N433:AE433"/>
    <mergeCell ref="E425:M425"/>
    <mergeCell ref="AF425:AK425"/>
    <mergeCell ref="AF421:AK421"/>
    <mergeCell ref="N424:AE424"/>
    <mergeCell ref="E426:M426"/>
    <mergeCell ref="N421:AE421"/>
    <mergeCell ref="AF424:AK424"/>
    <mergeCell ref="AE380:AG380"/>
    <mergeCell ref="S384:U384"/>
    <mergeCell ref="E424:M424"/>
    <mergeCell ref="B442:D442"/>
    <mergeCell ref="B455:AK455"/>
    <mergeCell ref="AL445:AM445"/>
    <mergeCell ref="B459:D459"/>
    <mergeCell ref="AL452:AM452"/>
    <mergeCell ref="E459:M459"/>
    <mergeCell ref="N459:AE459"/>
    <mergeCell ref="B448:AM448"/>
    <mergeCell ref="B449:AK449"/>
    <mergeCell ref="B429:AM429"/>
    <mergeCell ref="AL449:AM449"/>
    <mergeCell ref="B451:AM451"/>
    <mergeCell ref="B452:AK452"/>
    <mergeCell ref="B222:D222"/>
    <mergeCell ref="AL229:AM229"/>
    <mergeCell ref="B214:D214"/>
    <mergeCell ref="AF209:AK209"/>
    <mergeCell ref="M294:N294"/>
    <mergeCell ref="Q293:R293"/>
    <mergeCell ref="V274:AA274"/>
    <mergeCell ref="AL455:AM455"/>
    <mergeCell ref="AF433:AK433"/>
    <mergeCell ref="E432:M432"/>
    <mergeCell ref="E442:M442"/>
    <mergeCell ref="N442:AE442"/>
    <mergeCell ref="B428:AM428"/>
    <mergeCell ref="AL433:AM433"/>
    <mergeCell ref="AL420:AM420"/>
    <mergeCell ref="B419:AK419"/>
    <mergeCell ref="AF423:AK423"/>
    <mergeCell ref="B454:AM454"/>
    <mergeCell ref="B416:AM416"/>
    <mergeCell ref="Y378:AA378"/>
    <mergeCell ref="AL412:AM412"/>
    <mergeCell ref="AL419:AM419"/>
    <mergeCell ref="B413:AK413"/>
    <mergeCell ref="B423:D423"/>
    <mergeCell ref="M275:R275"/>
    <mergeCell ref="AL243:AM243"/>
    <mergeCell ref="E433:M433"/>
    <mergeCell ref="N432:AE432"/>
    <mergeCell ref="AF432:AK432"/>
    <mergeCell ref="Q292:R292"/>
    <mergeCell ref="AA292:AC292"/>
    <mergeCell ref="AF261:AK261"/>
    <mergeCell ref="V273:AA273"/>
    <mergeCell ref="AL187:AM187"/>
    <mergeCell ref="B203:D203"/>
    <mergeCell ref="P197:AM197"/>
    <mergeCell ref="N181:AE181"/>
    <mergeCell ref="B262:D262"/>
    <mergeCell ref="AD251:AH251"/>
    <mergeCell ref="AB252:AG252"/>
    <mergeCell ref="B233:D233"/>
    <mergeCell ref="AF230:AK230"/>
    <mergeCell ref="B232:D232"/>
    <mergeCell ref="AD286:AF286"/>
    <mergeCell ref="Q291:R291"/>
    <mergeCell ref="V271:AA271"/>
    <mergeCell ref="M256:AK256"/>
    <mergeCell ref="N241:AE241"/>
    <mergeCell ref="AH292:AJ292"/>
    <mergeCell ref="B277:C277"/>
    <mergeCell ref="K273:L273"/>
    <mergeCell ref="H285:I285"/>
    <mergeCell ref="N230:AE230"/>
    <mergeCell ref="B239:D239"/>
    <mergeCell ref="E262:M262"/>
    <mergeCell ref="V284:X284"/>
    <mergeCell ref="S286:U286"/>
    <mergeCell ref="J285:L285"/>
    <mergeCell ref="M285:O285"/>
    <mergeCell ref="J284:L284"/>
    <mergeCell ref="AA285:AC285"/>
    <mergeCell ref="B431:AM431"/>
    <mergeCell ref="AK374:AM385"/>
    <mergeCell ref="G336:I336"/>
    <mergeCell ref="M380:Q380"/>
    <mergeCell ref="V377:X377"/>
    <mergeCell ref="B387:AM387"/>
    <mergeCell ref="V384:X384"/>
    <mergeCell ref="Z306:AA306"/>
    <mergeCell ref="X336:Z336"/>
    <mergeCell ref="AB336:AG336"/>
    <mergeCell ref="AH336:AJ336"/>
    <mergeCell ref="AJ308:AM308"/>
    <mergeCell ref="AK311:AM311"/>
    <mergeCell ref="AE316:AE319"/>
    <mergeCell ref="B322:C322"/>
    <mergeCell ref="AG305:AG308"/>
    <mergeCell ref="AL424:AM424"/>
    <mergeCell ref="B420:AK420"/>
    <mergeCell ref="V380:X380"/>
    <mergeCell ref="S379:U379"/>
    <mergeCell ref="D308:H308"/>
    <mergeCell ref="L308:P308"/>
    <mergeCell ref="Z308:AA308"/>
    <mergeCell ref="B421:D421"/>
    <mergeCell ref="J388:AE388"/>
    <mergeCell ref="AH380:AJ380"/>
    <mergeCell ref="B426:D426"/>
    <mergeCell ref="L305:P305"/>
    <mergeCell ref="T305:X305"/>
    <mergeCell ref="R305:S305"/>
    <mergeCell ref="AB305:AF305"/>
    <mergeCell ref="B410:AM410"/>
    <mergeCell ref="AD292:AG292"/>
    <mergeCell ref="K275:L275"/>
    <mergeCell ref="S285:U285"/>
    <mergeCell ref="K272:L272"/>
    <mergeCell ref="B269:E269"/>
    <mergeCell ref="B292:H292"/>
    <mergeCell ref="B238:D238"/>
    <mergeCell ref="B279:C279"/>
    <mergeCell ref="B280:C280"/>
    <mergeCell ref="AD250:AH250"/>
    <mergeCell ref="K291:L291"/>
    <mergeCell ref="AF49:AK49"/>
    <mergeCell ref="AL161:AM161"/>
    <mergeCell ref="AL163:AM163"/>
    <mergeCell ref="AL165:AM165"/>
    <mergeCell ref="AL177:AM177"/>
    <mergeCell ref="AL176:AM176"/>
    <mergeCell ref="B100:AM100"/>
    <mergeCell ref="N173:AE173"/>
    <mergeCell ref="B159:E159"/>
    <mergeCell ref="N162:AE162"/>
    <mergeCell ref="E163:M163"/>
    <mergeCell ref="Y160:AD160"/>
    <mergeCell ref="AE155:AM155"/>
    <mergeCell ref="E166:M166"/>
    <mergeCell ref="B166:D166"/>
    <mergeCell ref="AE154:AM154"/>
    <mergeCell ref="AL174:AM174"/>
    <mergeCell ref="AF240:AK240"/>
    <mergeCell ref="AL262:AM262"/>
    <mergeCell ref="AL261:AM261"/>
    <mergeCell ref="V285:X285"/>
    <mergeCell ref="B149:AK149"/>
    <mergeCell ref="V121:Z121"/>
    <mergeCell ref="H107:M107"/>
    <mergeCell ref="U112:Y112"/>
    <mergeCell ref="P113:T113"/>
    <mergeCell ref="B111:O111"/>
    <mergeCell ref="K117:Q117"/>
    <mergeCell ref="N163:AE163"/>
    <mergeCell ref="E164:M164"/>
    <mergeCell ref="AF166:AK166"/>
    <mergeCell ref="E172:M172"/>
    <mergeCell ref="B101:D101"/>
    <mergeCell ref="B165:D165"/>
    <mergeCell ref="U111:Y111"/>
    <mergeCell ref="AB107:AG107"/>
    <mergeCell ref="AF242:AK242"/>
    <mergeCell ref="AH291:AJ291"/>
    <mergeCell ref="B260:AM260"/>
    <mergeCell ref="Y291:Z291"/>
    <mergeCell ref="P268:AM269"/>
    <mergeCell ref="AC271:AD271"/>
    <mergeCell ref="F269:L269"/>
    <mergeCell ref="AD283:AF284"/>
    <mergeCell ref="AH289:AJ289"/>
    <mergeCell ref="Y285:Z285"/>
    <mergeCell ref="M289:N289"/>
    <mergeCell ref="AG266:AM266"/>
    <mergeCell ref="D272:I272"/>
    <mergeCell ref="B258:T258"/>
    <mergeCell ref="N243:AE243"/>
    <mergeCell ref="E263:M263"/>
    <mergeCell ref="N263:AE263"/>
    <mergeCell ref="AK294:AM294"/>
    <mergeCell ref="D274:I274"/>
    <mergeCell ref="M274:R274"/>
    <mergeCell ref="AL184:AM184"/>
    <mergeCell ref="E202:M202"/>
    <mergeCell ref="AF181:AK181"/>
    <mergeCell ref="B202:D202"/>
    <mergeCell ref="B189:AK189"/>
    <mergeCell ref="N188:AE188"/>
    <mergeCell ref="E216:M216"/>
    <mergeCell ref="AF214:AK214"/>
    <mergeCell ref="E198:M198"/>
    <mergeCell ref="N198:AE198"/>
    <mergeCell ref="B177:D177"/>
    <mergeCell ref="B197:H197"/>
    <mergeCell ref="AL59:AM59"/>
    <mergeCell ref="AL83:AM83"/>
    <mergeCell ref="B152:AK152"/>
    <mergeCell ref="AL152:AM152"/>
    <mergeCell ref="Y156:AD156"/>
    <mergeCell ref="R158:X158"/>
    <mergeCell ref="AE160:AM160"/>
    <mergeCell ref="F160:Q160"/>
    <mergeCell ref="N176:AE176"/>
    <mergeCell ref="N122:AF122"/>
    <mergeCell ref="M121:Q121"/>
    <mergeCell ref="B173:D173"/>
    <mergeCell ref="AF173:AK173"/>
    <mergeCell ref="B155:E155"/>
    <mergeCell ref="B182:D182"/>
    <mergeCell ref="AL173:AM173"/>
    <mergeCell ref="AF167:AK167"/>
    <mergeCell ref="AH106:AM106"/>
    <mergeCell ref="I147:Y147"/>
    <mergeCell ref="B105:G105"/>
    <mergeCell ref="P112:T112"/>
    <mergeCell ref="N107:T107"/>
    <mergeCell ref="E182:M182"/>
    <mergeCell ref="AL189:AM189"/>
    <mergeCell ref="B161:D161"/>
    <mergeCell ref="N166:AE166"/>
    <mergeCell ref="B199:D199"/>
    <mergeCell ref="N183:AE183"/>
    <mergeCell ref="AF185:AK185"/>
    <mergeCell ref="N175:AE175"/>
    <mergeCell ref="B181:D181"/>
    <mergeCell ref="AB136:AM136"/>
    <mergeCell ref="B303:AM303"/>
    <mergeCell ref="AD288:AG288"/>
    <mergeCell ref="AA296:AC296"/>
    <mergeCell ref="AF177:AK177"/>
    <mergeCell ref="AF182:AK182"/>
    <mergeCell ref="E174:M174"/>
    <mergeCell ref="B188:D188"/>
    <mergeCell ref="M292:N292"/>
    <mergeCell ref="B224:D224"/>
    <mergeCell ref="AL240:AM240"/>
    <mergeCell ref="AF231:AK231"/>
    <mergeCell ref="AF263:AK263"/>
    <mergeCell ref="N200:AE200"/>
    <mergeCell ref="B200:D200"/>
    <mergeCell ref="AF203:AK203"/>
    <mergeCell ref="AL203:AM203"/>
    <mergeCell ref="AL204:AM204"/>
    <mergeCell ref="AF220:AK220"/>
    <mergeCell ref="E220:M220"/>
    <mergeCell ref="N223:AE223"/>
    <mergeCell ref="E239:M239"/>
    <mergeCell ref="B204:D204"/>
    <mergeCell ref="AL210:AM210"/>
    <mergeCell ref="AL238:AM238"/>
    <mergeCell ref="E229:M229"/>
    <mergeCell ref="E231:M231"/>
    <mergeCell ref="E234:M234"/>
    <mergeCell ref="N234:AE234"/>
    <mergeCell ref="AL221:AM221"/>
    <mergeCell ref="B211:D211"/>
    <mergeCell ref="B220:D220"/>
    <mergeCell ref="G219:AM219"/>
    <mergeCell ref="N216:AE216"/>
    <mergeCell ref="G207:AM207"/>
    <mergeCell ref="AL220:AM220"/>
    <mergeCell ref="B228:F228"/>
    <mergeCell ref="G228:AM228"/>
    <mergeCell ref="E232:M232"/>
    <mergeCell ref="E215:M215"/>
    <mergeCell ref="B237:F237"/>
    <mergeCell ref="E213:M213"/>
    <mergeCell ref="AF208:AK208"/>
    <mergeCell ref="N211:AE211"/>
    <mergeCell ref="B209:D209"/>
    <mergeCell ref="E208:M208"/>
    <mergeCell ref="AF212:AK212"/>
    <mergeCell ref="AF211:AK211"/>
    <mergeCell ref="AF210:AK210"/>
    <mergeCell ref="AL225:AM225"/>
    <mergeCell ref="E241:M241"/>
    <mergeCell ref="AL211:AM211"/>
    <mergeCell ref="AF222:AK222"/>
    <mergeCell ref="N221:AE221"/>
    <mergeCell ref="AL216:AM216"/>
    <mergeCell ref="AF202:AK202"/>
    <mergeCell ref="E187:M187"/>
    <mergeCell ref="N177:AE177"/>
    <mergeCell ref="AL192:AM192"/>
    <mergeCell ref="B170:H170"/>
    <mergeCell ref="B162:D162"/>
    <mergeCell ref="B163:D163"/>
    <mergeCell ref="B257:T257"/>
    <mergeCell ref="AL232:AM232"/>
    <mergeCell ref="AF232:AK232"/>
    <mergeCell ref="AL231:AM231"/>
    <mergeCell ref="N232:AE232"/>
    <mergeCell ref="AL241:AM241"/>
    <mergeCell ref="AL256:AM256"/>
    <mergeCell ref="E221:M221"/>
    <mergeCell ref="B212:D212"/>
    <mergeCell ref="N220:AE220"/>
    <mergeCell ref="AF215:AK215"/>
    <mergeCell ref="B231:D231"/>
    <mergeCell ref="B215:D215"/>
    <mergeCell ref="AL214:AM214"/>
    <mergeCell ref="N225:AE225"/>
    <mergeCell ref="E214:M214"/>
    <mergeCell ref="N222:AE222"/>
    <mergeCell ref="B179:AM179"/>
    <mergeCell ref="B164:D164"/>
    <mergeCell ref="AF164:AK164"/>
    <mergeCell ref="L307:P307"/>
    <mergeCell ref="T307:X307"/>
    <mergeCell ref="B363:J363"/>
    <mergeCell ref="P362:X362"/>
    <mergeCell ref="D277:AM277"/>
    <mergeCell ref="B278:C278"/>
    <mergeCell ref="AC274:AD274"/>
    <mergeCell ref="K293:L293"/>
    <mergeCell ref="M284:O284"/>
    <mergeCell ref="AJ285:AM285"/>
    <mergeCell ref="AJ307:AM307"/>
    <mergeCell ref="AB307:AF307"/>
    <mergeCell ref="AG283:AI284"/>
    <mergeCell ref="AJ283:AM284"/>
    <mergeCell ref="E286:G286"/>
    <mergeCell ref="AH294:AJ294"/>
    <mergeCell ref="O295:P295"/>
    <mergeCell ref="M296:N296"/>
    <mergeCell ref="S295:T295"/>
    <mergeCell ref="I294:J294"/>
    <mergeCell ref="M290:N290"/>
    <mergeCell ref="K289:L289"/>
    <mergeCell ref="AF317:AG317"/>
    <mergeCell ref="D322:H322"/>
    <mergeCell ref="AH308:AI308"/>
    <mergeCell ref="R308:S308"/>
    <mergeCell ref="T308:X308"/>
    <mergeCell ref="F281:AM281"/>
    <mergeCell ref="B307:C307"/>
    <mergeCell ref="AJ305:AM305"/>
    <mergeCell ref="I291:J291"/>
    <mergeCell ref="R307:S307"/>
    <mergeCell ref="B369:J369"/>
    <mergeCell ref="K370:N370"/>
    <mergeCell ref="AH382:AJ382"/>
    <mergeCell ref="AF361:AI361"/>
    <mergeCell ref="Y368:AB368"/>
    <mergeCell ref="M297:N297"/>
    <mergeCell ref="B296:H296"/>
    <mergeCell ref="B342:H342"/>
    <mergeCell ref="B360:N360"/>
    <mergeCell ref="Q290:R290"/>
    <mergeCell ref="H351:J351"/>
    <mergeCell ref="AF316:AG316"/>
    <mergeCell ref="B317:C317"/>
    <mergeCell ref="D306:H306"/>
    <mergeCell ref="D305:H305"/>
    <mergeCell ref="B316:C316"/>
    <mergeCell ref="B318:C318"/>
    <mergeCell ref="AC311:AD311"/>
    <mergeCell ref="AI311:AJ311"/>
    <mergeCell ref="O291:P291"/>
    <mergeCell ref="Q296:R296"/>
    <mergeCell ref="L306:P306"/>
    <mergeCell ref="S294:T294"/>
    <mergeCell ref="O296:P296"/>
    <mergeCell ref="B297:H297"/>
    <mergeCell ref="K292:L292"/>
    <mergeCell ref="T306:X306"/>
    <mergeCell ref="Q297:R297"/>
    <mergeCell ref="AC368:AE368"/>
    <mergeCell ref="B367:J367"/>
    <mergeCell ref="AF368:AI368"/>
    <mergeCell ref="D307:H307"/>
    <mergeCell ref="B377:F377"/>
    <mergeCell ref="B378:F378"/>
    <mergeCell ref="B379:F379"/>
    <mergeCell ref="M381:Q381"/>
    <mergeCell ref="S381:U381"/>
    <mergeCell ref="S378:U378"/>
    <mergeCell ref="G378:K378"/>
    <mergeCell ref="B375:F375"/>
    <mergeCell ref="AB382:AD382"/>
    <mergeCell ref="E423:M423"/>
    <mergeCell ref="B415:AM415"/>
    <mergeCell ref="B412:AK412"/>
    <mergeCell ref="B394:AM394"/>
    <mergeCell ref="B395:AM395"/>
    <mergeCell ref="B396:AK396"/>
    <mergeCell ref="B397:AM397"/>
    <mergeCell ref="D389:F389"/>
    <mergeCell ref="B389:C389"/>
    <mergeCell ref="AH385:AJ385"/>
    <mergeCell ref="AE384:AG384"/>
    <mergeCell ref="B384:F384"/>
    <mergeCell ref="G383:K383"/>
    <mergeCell ref="AB381:AD381"/>
    <mergeCell ref="M379:Q379"/>
    <mergeCell ref="N414:AE414"/>
    <mergeCell ref="AL414:AM414"/>
    <mergeCell ref="B392:D392"/>
    <mergeCell ref="B388:C388"/>
    <mergeCell ref="D388:F388"/>
    <mergeCell ref="B414:D414"/>
    <mergeCell ref="S385:U385"/>
    <mergeCell ref="B385:R385"/>
    <mergeCell ref="V385:X385"/>
    <mergeCell ref="AH383:AJ383"/>
    <mergeCell ref="V382:X382"/>
    <mergeCell ref="S382:U382"/>
    <mergeCell ref="M383:Q383"/>
    <mergeCell ref="AH378:AJ378"/>
    <mergeCell ref="G381:K381"/>
    <mergeCell ref="Y377:AA377"/>
    <mergeCell ref="AB377:AD377"/>
    <mergeCell ref="M377:Q377"/>
    <mergeCell ref="Y375:AA375"/>
    <mergeCell ref="Y376:AA376"/>
    <mergeCell ref="V375:X375"/>
    <mergeCell ref="G376:K376"/>
    <mergeCell ref="G379:K379"/>
    <mergeCell ref="S377:U377"/>
    <mergeCell ref="Y382:AA382"/>
    <mergeCell ref="G375:K375"/>
    <mergeCell ref="AB378:AD378"/>
    <mergeCell ref="AB376:AD376"/>
    <mergeCell ref="B422:D422"/>
    <mergeCell ref="AT205:AT209"/>
    <mergeCell ref="B236:AM236"/>
    <mergeCell ref="B227:AM227"/>
    <mergeCell ref="B218:AM218"/>
    <mergeCell ref="B206:AM206"/>
    <mergeCell ref="N209:AE209"/>
    <mergeCell ref="E210:M210"/>
    <mergeCell ref="N210:AE210"/>
    <mergeCell ref="B216:D216"/>
    <mergeCell ref="AF216:AK216"/>
    <mergeCell ref="B225:D225"/>
    <mergeCell ref="AF225:AK225"/>
    <mergeCell ref="AF229:AK229"/>
    <mergeCell ref="AF233:AK233"/>
    <mergeCell ref="AL233:AM233"/>
    <mergeCell ref="E233:M233"/>
    <mergeCell ref="N233:AE233"/>
    <mergeCell ref="B229:D229"/>
    <mergeCell ref="N213:AE213"/>
    <mergeCell ref="AB385:AD385"/>
    <mergeCell ref="P368:X368"/>
    <mergeCell ref="AF363:AI363"/>
    <mergeCell ref="Y363:AB363"/>
    <mergeCell ref="AJ368:AM368"/>
    <mergeCell ref="AF365:AI365"/>
    <mergeCell ref="AJ363:AM363"/>
    <mergeCell ref="B365:J365"/>
    <mergeCell ref="B390:AM390"/>
    <mergeCell ref="B391:AM391"/>
    <mergeCell ref="AL423:AM423"/>
    <mergeCell ref="N422:AE422"/>
    <mergeCell ref="B373:AM373"/>
    <mergeCell ref="E392:M392"/>
    <mergeCell ref="N392:AE392"/>
    <mergeCell ref="AJ367:AM367"/>
    <mergeCell ref="E422:M422"/>
    <mergeCell ref="S383:U383"/>
    <mergeCell ref="AH381:AJ381"/>
    <mergeCell ref="S380:U380"/>
    <mergeCell ref="B376:F376"/>
    <mergeCell ref="AF367:AI367"/>
    <mergeCell ref="B381:F381"/>
    <mergeCell ref="B382:F382"/>
    <mergeCell ref="AH384:AJ384"/>
    <mergeCell ref="Y385:AA385"/>
    <mergeCell ref="G388:I388"/>
    <mergeCell ref="AJ388:AM388"/>
    <mergeCell ref="AF388:AI388"/>
    <mergeCell ref="V381:X381"/>
    <mergeCell ref="G384:K384"/>
    <mergeCell ref="AE376:AG376"/>
    <mergeCell ref="M382:Q382"/>
    <mergeCell ref="AH379:AJ379"/>
    <mergeCell ref="M374:Q375"/>
    <mergeCell ref="B368:N368"/>
    <mergeCell ref="AE379:AG379"/>
    <mergeCell ref="AF392:AK392"/>
    <mergeCell ref="AE378:AG378"/>
    <mergeCell ref="V383:X383"/>
    <mergeCell ref="AE385:AG385"/>
    <mergeCell ref="Q389:R389"/>
    <mergeCell ref="B480:AM480"/>
    <mergeCell ref="B293:H293"/>
    <mergeCell ref="B290:H290"/>
    <mergeCell ref="I293:J293"/>
    <mergeCell ref="I295:J295"/>
    <mergeCell ref="I292:J292"/>
    <mergeCell ref="B302:AM302"/>
    <mergeCell ref="K296:L296"/>
    <mergeCell ref="Q295:R295"/>
    <mergeCell ref="K294:L294"/>
    <mergeCell ref="O294:P294"/>
    <mergeCell ref="B444:AM444"/>
    <mergeCell ref="V316:W316"/>
    <mergeCell ref="V317:W317"/>
    <mergeCell ref="O292:P292"/>
    <mergeCell ref="K369:N369"/>
    <mergeCell ref="K362:N362"/>
    <mergeCell ref="P345:Q345"/>
    <mergeCell ref="P332:R332"/>
    <mergeCell ref="S376:U376"/>
    <mergeCell ref="AB375:AD375"/>
    <mergeCell ref="B359:AM359"/>
    <mergeCell ref="Y365:AB365"/>
    <mergeCell ref="AF362:AI362"/>
    <mergeCell ref="S389:V389"/>
    <mergeCell ref="G382:K382"/>
    <mergeCell ref="AC363:AE363"/>
    <mergeCell ref="P364:X364"/>
    <mergeCell ref="AJ364:AM364"/>
    <mergeCell ref="B366:J366"/>
    <mergeCell ref="P365:X365"/>
    <mergeCell ref="P367:X367"/>
    <mergeCell ref="AC364:AE364"/>
    <mergeCell ref="B329:AM329"/>
    <mergeCell ref="B333:H333"/>
    <mergeCell ref="P335:R335"/>
    <mergeCell ref="AH335:AJ335"/>
    <mergeCell ref="I333:K333"/>
    <mergeCell ref="B330:AM330"/>
    <mergeCell ref="Y366:AM366"/>
    <mergeCell ref="K366:N366"/>
    <mergeCell ref="V318:W318"/>
    <mergeCell ref="L322:P322"/>
    <mergeCell ref="X335:Z335"/>
    <mergeCell ref="X332:Z332"/>
    <mergeCell ref="Z322:AA322"/>
    <mergeCell ref="P360:AM360"/>
    <mergeCell ref="P363:X363"/>
    <mergeCell ref="B357:AM357"/>
    <mergeCell ref="K361:N361"/>
    <mergeCell ref="Y361:AB361"/>
    <mergeCell ref="X345:Y345"/>
    <mergeCell ref="B337:H337"/>
    <mergeCell ref="T322:X322"/>
    <mergeCell ref="N318:T318"/>
    <mergeCell ref="B327:H327"/>
    <mergeCell ref="B350:F350"/>
    <mergeCell ref="L341:Q341"/>
    <mergeCell ref="I327:AM327"/>
    <mergeCell ref="B319:C319"/>
    <mergeCell ref="D319:J319"/>
    <mergeCell ref="L319:M319"/>
    <mergeCell ref="L318:M318"/>
    <mergeCell ref="B341:H341"/>
    <mergeCell ref="T336:W336"/>
    <mergeCell ref="AA341:AB341"/>
    <mergeCell ref="I341:J341"/>
    <mergeCell ref="X354:Z354"/>
    <mergeCell ref="AA345:AI345"/>
    <mergeCell ref="P336:R336"/>
    <mergeCell ref="I337:K337"/>
    <mergeCell ref="AH332:AJ332"/>
    <mergeCell ref="G332:I332"/>
    <mergeCell ref="P284:R284"/>
    <mergeCell ref="E284:G284"/>
    <mergeCell ref="AA286:AC286"/>
    <mergeCell ref="P285:R285"/>
    <mergeCell ref="S293:T293"/>
    <mergeCell ref="P286:R286"/>
    <mergeCell ref="AB335:AG335"/>
    <mergeCell ref="B336:F336"/>
    <mergeCell ref="B339:AM339"/>
    <mergeCell ref="B340:AM340"/>
    <mergeCell ref="AA295:AC295"/>
    <mergeCell ref="M293:N293"/>
    <mergeCell ref="AH305:AI305"/>
    <mergeCell ref="U288:U299"/>
    <mergeCell ref="AH295:AJ295"/>
    <mergeCell ref="O297:P297"/>
    <mergeCell ref="K336:O336"/>
    <mergeCell ref="K297:L297"/>
    <mergeCell ref="S296:T296"/>
    <mergeCell ref="E285:G285"/>
    <mergeCell ref="AJ341:AK341"/>
    <mergeCell ref="J306:K306"/>
    <mergeCell ref="R306:S306"/>
    <mergeCell ref="AC367:AE367"/>
    <mergeCell ref="AF364:AI364"/>
    <mergeCell ref="B364:N364"/>
    <mergeCell ref="Y367:AB367"/>
    <mergeCell ref="U350:W350"/>
    <mergeCell ref="AJ345:AK345"/>
    <mergeCell ref="AC350:AE350"/>
    <mergeCell ref="B358:AM358"/>
    <mergeCell ref="R341:S341"/>
    <mergeCell ref="G350:I350"/>
    <mergeCell ref="M350:O350"/>
    <mergeCell ref="AK350:AM350"/>
    <mergeCell ref="B361:J361"/>
    <mergeCell ref="P361:X361"/>
    <mergeCell ref="AC365:AE365"/>
    <mergeCell ref="K365:N365"/>
    <mergeCell ref="K367:N367"/>
    <mergeCell ref="P349:Y349"/>
    <mergeCell ref="AJ362:AM362"/>
    <mergeCell ref="B362:J362"/>
    <mergeCell ref="J346:K346"/>
    <mergeCell ref="AJ365:AM365"/>
    <mergeCell ref="AJ361:AM361"/>
    <mergeCell ref="F354:H354"/>
    <mergeCell ref="P366:X366"/>
    <mergeCell ref="K350:L350"/>
    <mergeCell ref="Q350:T350"/>
    <mergeCell ref="Y350:AB350"/>
    <mergeCell ref="AG350:AJ350"/>
    <mergeCell ref="U341:Z341"/>
    <mergeCell ref="AD341:AI341"/>
    <mergeCell ref="I342:J342"/>
    <mergeCell ref="X319:AD319"/>
    <mergeCell ref="AF319:AG319"/>
    <mergeCell ref="U316:U319"/>
    <mergeCell ref="K316:K319"/>
    <mergeCell ref="B328:AM328"/>
    <mergeCell ref="M271:R271"/>
    <mergeCell ref="S289:T289"/>
    <mergeCell ref="AA293:AC293"/>
    <mergeCell ref="Y290:Z290"/>
    <mergeCell ref="V298:X298"/>
    <mergeCell ref="AA294:AC294"/>
    <mergeCell ref="J305:K305"/>
    <mergeCell ref="B291:H291"/>
    <mergeCell ref="K290:L290"/>
    <mergeCell ref="S290:T290"/>
    <mergeCell ref="S292:T292"/>
    <mergeCell ref="B305:C305"/>
    <mergeCell ref="X318:AD318"/>
    <mergeCell ref="V299:AG299"/>
    <mergeCell ref="V294:X294"/>
    <mergeCell ref="D317:J317"/>
    <mergeCell ref="L316:M316"/>
    <mergeCell ref="AB306:AF306"/>
    <mergeCell ref="D316:J316"/>
    <mergeCell ref="N316:T316"/>
    <mergeCell ref="X316:AD316"/>
    <mergeCell ref="L317:M317"/>
    <mergeCell ref="B306:C306"/>
    <mergeCell ref="K311:L311"/>
    <mergeCell ref="AB308:AF308"/>
    <mergeCell ref="H311:I311"/>
    <mergeCell ref="AH306:AI306"/>
    <mergeCell ref="S291:T291"/>
    <mergeCell ref="B286:D286"/>
    <mergeCell ref="B301:AM301"/>
    <mergeCell ref="AK295:AM295"/>
    <mergeCell ref="AK299:AM299"/>
    <mergeCell ref="B85:AK85"/>
    <mergeCell ref="AL85:AM85"/>
    <mergeCell ref="Z114:AB114"/>
    <mergeCell ref="AC114:AM114"/>
    <mergeCell ref="Z111:AB111"/>
    <mergeCell ref="Z112:AB112"/>
    <mergeCell ref="M272:R272"/>
    <mergeCell ref="B272:C272"/>
    <mergeCell ref="V275:AA275"/>
    <mergeCell ref="AC275:AD275"/>
    <mergeCell ref="B274:C274"/>
    <mergeCell ref="V272:AA272"/>
    <mergeCell ref="AC273:AD273"/>
    <mergeCell ref="T274:U274"/>
    <mergeCell ref="B106:G106"/>
    <mergeCell ref="H106:M106"/>
    <mergeCell ref="N106:T106"/>
    <mergeCell ref="B104:T104"/>
    <mergeCell ref="Q130:U130"/>
    <mergeCell ref="W251:AC251"/>
    <mergeCell ref="B250:P250"/>
    <mergeCell ref="T275:U275"/>
    <mergeCell ref="O288:T288"/>
    <mergeCell ref="AH288:AJ288"/>
    <mergeCell ref="E203:M203"/>
    <mergeCell ref="N187:AE187"/>
    <mergeCell ref="AF174:AK174"/>
    <mergeCell ref="V10:AK10"/>
    <mergeCell ref="V12:AK12"/>
    <mergeCell ref="D12:T12"/>
    <mergeCell ref="D14:T14"/>
    <mergeCell ref="V14:AK14"/>
    <mergeCell ref="U113:Y113"/>
    <mergeCell ref="P114:T114"/>
    <mergeCell ref="AL88:AM88"/>
    <mergeCell ref="AL82:AM82"/>
    <mergeCell ref="B82:AK82"/>
    <mergeCell ref="I170:Y170"/>
    <mergeCell ref="AL101:AM101"/>
    <mergeCell ref="AF101:AK101"/>
    <mergeCell ref="AL102:AM102"/>
    <mergeCell ref="Z170:AE170"/>
    <mergeCell ref="AF88:AK88"/>
    <mergeCell ref="N164:AE164"/>
    <mergeCell ref="AL137:AM137"/>
    <mergeCell ref="AL108:AM108"/>
    <mergeCell ref="AF68:AK68"/>
    <mergeCell ref="AL68:AM68"/>
    <mergeCell ref="B72:D72"/>
    <mergeCell ref="U83:AK83"/>
    <mergeCell ref="B144:AM144"/>
    <mergeCell ref="L169:O169"/>
    <mergeCell ref="AF102:AK102"/>
    <mergeCell ref="B147:H147"/>
    <mergeCell ref="B46:C46"/>
    <mergeCell ref="B57:L57"/>
    <mergeCell ref="E103:M103"/>
    <mergeCell ref="AL103:AM103"/>
    <mergeCell ref="AL167:AM167"/>
    <mergeCell ref="N102:AE102"/>
    <mergeCell ref="E141:M141"/>
    <mergeCell ref="B98:E98"/>
    <mergeCell ref="F98:J98"/>
    <mergeCell ref="B88:D88"/>
    <mergeCell ref="B90:AM90"/>
    <mergeCell ref="B208:D208"/>
    <mergeCell ref="N204:AE204"/>
    <mergeCell ref="X31:Y31"/>
    <mergeCell ref="B31:W31"/>
    <mergeCell ref="B32:AF32"/>
    <mergeCell ref="AG32:AH32"/>
    <mergeCell ref="AF33:AG33"/>
    <mergeCell ref="B34:AK34"/>
    <mergeCell ref="AL34:AM34"/>
    <mergeCell ref="B30:Q30"/>
    <mergeCell ref="R30:AC30"/>
    <mergeCell ref="AL49:AM49"/>
    <mergeCell ref="AL175:AM175"/>
    <mergeCell ref="P169:AM169"/>
    <mergeCell ref="AL149:AM149"/>
    <mergeCell ref="B156:E156"/>
    <mergeCell ref="F154:Q154"/>
    <mergeCell ref="F158:Q158"/>
    <mergeCell ref="F159:Q159"/>
    <mergeCell ref="N103:AE103"/>
    <mergeCell ref="E165:M165"/>
    <mergeCell ref="B180:H180"/>
    <mergeCell ref="I180:O180"/>
    <mergeCell ref="N202:AE202"/>
    <mergeCell ref="AF186:AK186"/>
    <mergeCell ref="B108:AK108"/>
    <mergeCell ref="K271:L271"/>
    <mergeCell ref="B51:C51"/>
    <mergeCell ref="D51:S51"/>
    <mergeCell ref="B207:F207"/>
    <mergeCell ref="G237:AM237"/>
    <mergeCell ref="E225:M225"/>
    <mergeCell ref="AL224:AM224"/>
    <mergeCell ref="E224:M224"/>
    <mergeCell ref="AK253:AM253"/>
    <mergeCell ref="B270:AM270"/>
    <mergeCell ref="N203:AE203"/>
    <mergeCell ref="B259:AM259"/>
    <mergeCell ref="B242:D242"/>
    <mergeCell ref="Q250:S250"/>
    <mergeCell ref="E64:K64"/>
    <mergeCell ref="AL64:AM64"/>
    <mergeCell ref="B68:D68"/>
    <mergeCell ref="N215:AE215"/>
    <mergeCell ref="AL208:AM208"/>
    <mergeCell ref="E230:M230"/>
    <mergeCell ref="L68:AE68"/>
    <mergeCell ref="S66:AJ66"/>
    <mergeCell ref="B78:AK78"/>
    <mergeCell ref="AL78:AM78"/>
    <mergeCell ref="B80:AK80"/>
    <mergeCell ref="AL80:AM80"/>
    <mergeCell ref="E161:M161"/>
    <mergeCell ref="N161:AE161"/>
    <mergeCell ref="B172:D172"/>
    <mergeCell ref="AL249:AM249"/>
    <mergeCell ref="B249:AK249"/>
    <mergeCell ref="B184:D184"/>
    <mergeCell ref="B9:AM9"/>
    <mergeCell ref="B10:C10"/>
    <mergeCell ref="B36:C36"/>
    <mergeCell ref="AL14:AM14"/>
    <mergeCell ref="B12:C12"/>
    <mergeCell ref="B14:C14"/>
    <mergeCell ref="B96:AM96"/>
    <mergeCell ref="V41:W41"/>
    <mergeCell ref="V44:W44"/>
    <mergeCell ref="D29:S29"/>
    <mergeCell ref="B37:S37"/>
    <mergeCell ref="D36:S36"/>
    <mergeCell ref="D40:S40"/>
    <mergeCell ref="D43:S43"/>
    <mergeCell ref="D46:S46"/>
    <mergeCell ref="B40:C40"/>
    <mergeCell ref="B43:C43"/>
    <mergeCell ref="B29:C29"/>
    <mergeCell ref="M57:N57"/>
    <mergeCell ref="B58:U58"/>
    <mergeCell ref="B49:D49"/>
    <mergeCell ref="B91:AM91"/>
    <mergeCell ref="B53:C53"/>
    <mergeCell ref="B63:Q63"/>
    <mergeCell ref="O57:AF57"/>
    <mergeCell ref="AD30:AE30"/>
    <mergeCell ref="R63:S63"/>
    <mergeCell ref="Q66:R66"/>
    <mergeCell ref="O70:P70"/>
    <mergeCell ref="D10:T10"/>
    <mergeCell ref="AL10:AM10"/>
    <mergeCell ref="AL12:AM12"/>
    <mergeCell ref="AG285:AI285"/>
    <mergeCell ref="M286:O286"/>
    <mergeCell ref="AH319:AM319"/>
    <mergeCell ref="B324:AM324"/>
    <mergeCell ref="B271:C271"/>
    <mergeCell ref="B3:R3"/>
    <mergeCell ref="S3:AM3"/>
    <mergeCell ref="B8:AM8"/>
    <mergeCell ref="B245:H245"/>
    <mergeCell ref="B418:M418"/>
    <mergeCell ref="AJ5:AM6"/>
    <mergeCell ref="AE271:AM271"/>
    <mergeCell ref="AE272:AM272"/>
    <mergeCell ref="AE273:AM273"/>
    <mergeCell ref="AE274:AM274"/>
    <mergeCell ref="AE275:AM275"/>
    <mergeCell ref="V58:Y58"/>
    <mergeCell ref="B59:AK59"/>
    <mergeCell ref="B103:D103"/>
    <mergeCell ref="E102:M102"/>
    <mergeCell ref="N101:AE101"/>
    <mergeCell ref="K98:N98"/>
    <mergeCell ref="O98:U98"/>
    <mergeCell ref="U97:X97"/>
    <mergeCell ref="Y97:AM97"/>
    <mergeCell ref="B140:P140"/>
    <mergeCell ref="Q140:V140"/>
    <mergeCell ref="Y48:Z48"/>
    <mergeCell ref="E101:M101"/>
    <mergeCell ref="AF103:AK103"/>
    <mergeCell ref="I99:Q99"/>
    <mergeCell ref="N266:AA266"/>
    <mergeCell ref="B265:AM265"/>
    <mergeCell ref="F268:L268"/>
    <mergeCell ref="B253:P253"/>
    <mergeCell ref="T251:V251"/>
    <mergeCell ref="AK252:AM252"/>
    <mergeCell ref="N262:AE262"/>
    <mergeCell ref="AF262:AK262"/>
    <mergeCell ref="B256:L256"/>
    <mergeCell ref="AB253:AG253"/>
    <mergeCell ref="AL119:AM119"/>
    <mergeCell ref="B64:D64"/>
    <mergeCell ref="X118:AE118"/>
    <mergeCell ref="X119:AE119"/>
    <mergeCell ref="L64:AE64"/>
    <mergeCell ref="AF64:AK64"/>
    <mergeCell ref="E68:K68"/>
    <mergeCell ref="T63:AK63"/>
    <mergeCell ref="B66:P66"/>
    <mergeCell ref="AL182:AM182"/>
    <mergeCell ref="E199:M199"/>
    <mergeCell ref="N199:AE199"/>
    <mergeCell ref="AL209:AM209"/>
    <mergeCell ref="AL199:AM199"/>
    <mergeCell ref="AF201:AK201"/>
    <mergeCell ref="E173:M173"/>
    <mergeCell ref="AF183:AK183"/>
    <mergeCell ref="V130:Y130"/>
    <mergeCell ref="F130:G130"/>
    <mergeCell ref="U104:AM104"/>
    <mergeCell ref="N239:AE239"/>
    <mergeCell ref="N137:AE137"/>
    <mergeCell ref="I146:O146"/>
    <mergeCell ref="AJ473:AM473"/>
    <mergeCell ref="B474:AE474"/>
    <mergeCell ref="AF474:AH474"/>
    <mergeCell ref="AJ474:AM474"/>
    <mergeCell ref="B461:AM461"/>
    <mergeCell ref="B462:AM462"/>
    <mergeCell ref="AF463:AH463"/>
    <mergeCell ref="AJ463:AM463"/>
    <mergeCell ref="B464:AE464"/>
    <mergeCell ref="AF464:AH464"/>
    <mergeCell ref="AJ464:AM464"/>
    <mergeCell ref="B465:AE465"/>
    <mergeCell ref="AF465:AH465"/>
    <mergeCell ref="AJ465:AM465"/>
    <mergeCell ref="B466:AE466"/>
    <mergeCell ref="AF466:AH466"/>
    <mergeCell ref="AJ466:AM466"/>
    <mergeCell ref="B467:AE467"/>
    <mergeCell ref="AF467:AH467"/>
    <mergeCell ref="AJ467:AM467"/>
    <mergeCell ref="B468:AE468"/>
    <mergeCell ref="AF468:AH468"/>
    <mergeCell ref="AJ468:AM468"/>
    <mergeCell ref="B463:AE463"/>
    <mergeCell ref="B475:AE475"/>
    <mergeCell ref="AF475:AH475"/>
    <mergeCell ref="AJ475:AM475"/>
    <mergeCell ref="B477:AM477"/>
    <mergeCell ref="B54:D54"/>
    <mergeCell ref="E54:K54"/>
    <mergeCell ref="L54:AE54"/>
    <mergeCell ref="AF54:AK54"/>
    <mergeCell ref="AL54:AM54"/>
    <mergeCell ref="B86:AK86"/>
    <mergeCell ref="AL86:AM86"/>
    <mergeCell ref="B87:D87"/>
    <mergeCell ref="E87:K87"/>
    <mergeCell ref="L87:AE87"/>
    <mergeCell ref="AF87:AK87"/>
    <mergeCell ref="AL87:AM87"/>
    <mergeCell ref="B469:AE469"/>
    <mergeCell ref="AF469:AH469"/>
    <mergeCell ref="AJ469:AM469"/>
    <mergeCell ref="B470:AE470"/>
    <mergeCell ref="AF470:AH470"/>
    <mergeCell ref="AJ470:AM470"/>
    <mergeCell ref="B471:AE471"/>
    <mergeCell ref="AF471:AH471"/>
    <mergeCell ref="AJ471:AM471"/>
    <mergeCell ref="B472:AE472"/>
    <mergeCell ref="AF472:AH472"/>
    <mergeCell ref="AJ472:AM472"/>
    <mergeCell ref="B473:AE473"/>
    <mergeCell ref="B79:AK79"/>
    <mergeCell ref="AL79:AM79"/>
    <mergeCell ref="AF473:AH473"/>
    <mergeCell ref="AR1:AU1"/>
    <mergeCell ref="B47:AM47"/>
    <mergeCell ref="E72:K72"/>
    <mergeCell ref="L72:AE72"/>
    <mergeCell ref="AF72:AK72"/>
    <mergeCell ref="AL72:AM72"/>
    <mergeCell ref="A287:XFD287"/>
    <mergeCell ref="B74:AK74"/>
    <mergeCell ref="AL74:AM74"/>
    <mergeCell ref="B75:D75"/>
    <mergeCell ref="E75:K75"/>
    <mergeCell ref="L75:AE75"/>
    <mergeCell ref="AF75:AK75"/>
    <mergeCell ref="AL75:AM75"/>
    <mergeCell ref="B102:D102"/>
    <mergeCell ref="AF118:AH118"/>
    <mergeCell ref="Z130:AC130"/>
    <mergeCell ref="B263:D263"/>
    <mergeCell ref="B267:M267"/>
    <mergeCell ref="T272:U272"/>
    <mergeCell ref="E261:M261"/>
    <mergeCell ref="B261:D261"/>
    <mergeCell ref="B252:P252"/>
    <mergeCell ref="AH253:AJ253"/>
    <mergeCell ref="AB267:AF267"/>
    <mergeCell ref="T273:U273"/>
    <mergeCell ref="B268:E268"/>
    <mergeCell ref="N261:AE261"/>
    <mergeCell ref="B151:AK151"/>
    <mergeCell ref="B83:T83"/>
    <mergeCell ref="D53:S53"/>
    <mergeCell ref="N242:AE242"/>
  </mergeCells>
  <phoneticPr fontId="91" type="noConversion"/>
  <conditionalFormatting sqref="AL122 AL49 V41 U42 S20 W19 AL148:AL160">
    <cfRule type="cellIs" dxfId="1060" priority="333" operator="equal">
      <formula>"No"</formula>
    </cfRule>
  </conditionalFormatting>
  <conditionalFormatting sqref="K445 K449 K452 K455">
    <cfRule type="cellIs" dxfId="1059" priority="329" operator="equal">
      <formula>"No"</formula>
    </cfRule>
  </conditionalFormatting>
  <conditionalFormatting sqref="AE149:AJ149">
    <cfRule type="cellIs" dxfId="1058" priority="282" operator="equal">
      <formula>"No"</formula>
    </cfRule>
  </conditionalFormatting>
  <conditionalFormatting sqref="AL432:AL433">
    <cfRule type="cellIs" dxfId="1057" priority="276" operator="equal">
      <formula>"No"</formula>
    </cfRule>
  </conditionalFormatting>
  <conditionalFormatting sqref="AL432:AL433">
    <cfRule type="cellIs" dxfId="1056" priority="275" operator="equal">
      <formula>"No"</formula>
    </cfRule>
  </conditionalFormatting>
  <conditionalFormatting sqref="AL261:AL263">
    <cfRule type="cellIs" dxfId="1055" priority="254" operator="equal">
      <formula>"No"</formula>
    </cfRule>
  </conditionalFormatting>
  <conditionalFormatting sqref="AL264">
    <cfRule type="cellIs" dxfId="1054" priority="253" operator="equal">
      <formula>"No"</formula>
    </cfRule>
  </conditionalFormatting>
  <conditionalFormatting sqref="AL459">
    <cfRule type="cellIs" dxfId="1053" priority="328" operator="equal">
      <formula>"No"</formula>
    </cfRule>
  </conditionalFormatting>
  <conditionalFormatting sqref="AL455 AL452">
    <cfRule type="cellIs" dxfId="1052" priority="327" operator="equal">
      <formula>"No"</formula>
    </cfRule>
  </conditionalFormatting>
  <conditionalFormatting sqref="AL445 AL449">
    <cfRule type="cellIs" dxfId="1051" priority="301" operator="equal">
      <formula>"No"</formula>
    </cfRule>
  </conditionalFormatting>
  <conditionalFormatting sqref="AL436">
    <cfRule type="cellIs" dxfId="1050" priority="300" operator="equal">
      <formula>"No"</formula>
    </cfRule>
  </conditionalFormatting>
  <conditionalFormatting sqref="AL419:AL426">
    <cfRule type="cellIs" dxfId="1049" priority="298" operator="equal">
      <formula>"No"</formula>
    </cfRule>
  </conditionalFormatting>
  <conditionalFormatting sqref="AE140">
    <cfRule type="cellIs" dxfId="1048" priority="263" operator="equal">
      <formula>"ERROR"</formula>
    </cfRule>
  </conditionalFormatting>
  <conditionalFormatting sqref="AL254:AM254">
    <cfRule type="cellIs" dxfId="1047" priority="256" operator="equal">
      <formula>"Yes"</formula>
    </cfRule>
  </conditionalFormatting>
  <conditionalFormatting sqref="AL179">
    <cfRule type="cellIs" dxfId="1046" priority="250" operator="equal">
      <formula>"No"</formula>
    </cfRule>
  </conditionalFormatting>
  <conditionalFormatting sqref="S285:S286 H285:H286 M285:M286 E285:E286">
    <cfRule type="expression" dxfId="1045" priority="214" stopIfTrue="1">
      <formula>$AU$231=TRUE</formula>
    </cfRule>
  </conditionalFormatting>
  <conditionalFormatting sqref="M289 B288 I289 J290:J295 L290:L295 N290:N295 P290:P295 R290:R295 T290:T295">
    <cfRule type="expression" dxfId="1044" priority="215" stopIfTrue="1">
      <formula>#REF!=TRUE</formula>
    </cfRule>
  </conditionalFormatting>
  <conditionalFormatting sqref="AG267">
    <cfRule type="expression" dxfId="1043" priority="216" stopIfTrue="1">
      <formula>#REF!="Yes"</formula>
    </cfRule>
  </conditionalFormatting>
  <conditionalFormatting sqref="O288">
    <cfRule type="expression" dxfId="1042" priority="211" stopIfTrue="1">
      <formula>#REF!=TRUE</formula>
    </cfRule>
  </conditionalFormatting>
  <conditionalFormatting sqref="I288">
    <cfRule type="expression" dxfId="1041" priority="212" stopIfTrue="1">
      <formula>#REF!=TRUE</formula>
    </cfRule>
  </conditionalFormatting>
  <conditionalFormatting sqref="J296:J297">
    <cfRule type="expression" dxfId="1039" priority="209" stopIfTrue="1">
      <formula>#REF!=TRUE</formula>
    </cfRule>
  </conditionalFormatting>
  <conditionalFormatting sqref="AL181:AL192">
    <cfRule type="cellIs" dxfId="1038" priority="165" operator="equal">
      <formula>"No"</formula>
    </cfRule>
  </conditionalFormatting>
  <conditionalFormatting sqref="AL198:AL204">
    <cfRule type="cellIs" dxfId="1037" priority="164" operator="equal">
      <formula>"No"</formula>
    </cfRule>
  </conditionalFormatting>
  <conditionalFormatting sqref="AL208:AL216">
    <cfRule type="cellIs" dxfId="1036" priority="163" operator="equal">
      <formula>"No"</formula>
    </cfRule>
  </conditionalFormatting>
  <conditionalFormatting sqref="AL249">
    <cfRule type="cellIs" dxfId="1035" priority="169" operator="equal">
      <formula>"No"</formula>
    </cfRule>
  </conditionalFormatting>
  <conditionalFormatting sqref="AL171:AL177">
    <cfRule type="cellIs" dxfId="1034" priority="168" operator="equal">
      <formula>"No"</formula>
    </cfRule>
  </conditionalFormatting>
  <conditionalFormatting sqref="AL161:AL167">
    <cfRule type="cellIs" dxfId="1032" priority="166" operator="equal">
      <formula>"No"</formula>
    </cfRule>
  </conditionalFormatting>
  <conditionalFormatting sqref="AL220:AL225">
    <cfRule type="cellIs" dxfId="1031" priority="162" operator="equal">
      <formula>"No"</formula>
    </cfRule>
  </conditionalFormatting>
  <conditionalFormatting sqref="AL229:AL234">
    <cfRule type="cellIs" dxfId="1030" priority="161" operator="equal">
      <formula>"No"</formula>
    </cfRule>
  </conditionalFormatting>
  <conditionalFormatting sqref="AL238:AL244">
    <cfRule type="cellIs" dxfId="1029" priority="160" operator="equal">
      <formula>"No"</formula>
    </cfRule>
  </conditionalFormatting>
  <conditionalFormatting sqref="AL414">
    <cfRule type="cellIs" dxfId="1028" priority="155" operator="equal">
      <formula>"No"</formula>
    </cfRule>
  </conditionalFormatting>
  <conditionalFormatting sqref="AL414">
    <cfRule type="cellIs" dxfId="1027" priority="154" operator="equal">
      <formula>"No"</formula>
    </cfRule>
  </conditionalFormatting>
  <conditionalFormatting sqref="AL413">
    <cfRule type="cellIs" dxfId="1026" priority="153" operator="equal">
      <formula>"No"</formula>
    </cfRule>
  </conditionalFormatting>
  <conditionalFormatting sqref="AL413">
    <cfRule type="cellIs" dxfId="1025" priority="152" operator="equal">
      <formula>"No"</formula>
    </cfRule>
  </conditionalFormatting>
  <conditionalFormatting sqref="AL442">
    <cfRule type="cellIs" dxfId="1024" priority="151" operator="equal">
      <formula>"No"</formula>
    </cfRule>
  </conditionalFormatting>
  <conditionalFormatting sqref="AL442">
    <cfRule type="cellIs" dxfId="1023" priority="150" operator="equal">
      <formula>"No"</formula>
    </cfRule>
  </conditionalFormatting>
  <conditionalFormatting sqref="AL392">
    <cfRule type="cellIs" dxfId="1022" priority="148" operator="equal">
      <formula>"No"</formula>
    </cfRule>
  </conditionalFormatting>
  <conditionalFormatting sqref="AL392">
    <cfRule type="cellIs" dxfId="1021" priority="147" operator="equal">
      <formula>"No"</formula>
    </cfRule>
  </conditionalFormatting>
  <conditionalFormatting sqref="AL137">
    <cfRule type="cellIs" dxfId="1019" priority="137" operator="equal">
      <formula>"No"</formula>
    </cfRule>
  </conditionalFormatting>
  <conditionalFormatting sqref="AL141">
    <cfRule type="cellIs" dxfId="1018" priority="136" operator="equal">
      <formula>"No"</formula>
    </cfRule>
  </conditionalFormatting>
  <conditionalFormatting sqref="AL101:AL103">
    <cfRule type="cellIs" dxfId="1017" priority="135" operator="equal">
      <formula>"No"</formula>
    </cfRule>
  </conditionalFormatting>
  <conditionalFormatting sqref="AL256:AM256">
    <cfRule type="cellIs" dxfId="1016" priority="430" operator="lessThan">
      <formula>#REF!</formula>
    </cfRule>
  </conditionalFormatting>
  <conditionalFormatting sqref="B118:E118 B119:D119 G118:G119 AI118:AI119 X118:X119 T118:T119 AF118:AF119 AL118:AM119">
    <cfRule type="expression" dxfId="1015" priority="118">
      <formula>$G$140="N/A"</formula>
    </cfRule>
  </conditionalFormatting>
  <conditionalFormatting sqref="M120 B121 B117 AA120:AB121 R120:V121">
    <cfRule type="expression" dxfId="1014" priority="115" stopIfTrue="1">
      <formula>$G$140="N/A"</formula>
    </cfRule>
  </conditionalFormatting>
  <conditionalFormatting sqref="M120 AA120:AB121 R120:V121">
    <cfRule type="expression" dxfId="1013" priority="116">
      <formula>$G$140=0.09</formula>
    </cfRule>
  </conditionalFormatting>
  <conditionalFormatting sqref="B121 B117">
    <cfRule type="expression" dxfId="1012" priority="114">
      <formula>$G$140=0.04</formula>
    </cfRule>
  </conditionalFormatting>
  <conditionalFormatting sqref="M121">
    <cfRule type="expression" dxfId="1011" priority="111" stopIfTrue="1">
      <formula>$G$140="N/A"</formula>
    </cfRule>
  </conditionalFormatting>
  <conditionalFormatting sqref="M121">
    <cfRule type="expression" dxfId="1010" priority="112">
      <formula>$G$140=0.09</formula>
    </cfRule>
  </conditionalFormatting>
  <conditionalFormatting sqref="E119">
    <cfRule type="expression" dxfId="1009" priority="110">
      <formula>$G$140="N/A"</formula>
    </cfRule>
  </conditionalFormatting>
  <conditionalFormatting sqref="AL14:AM14 B10:C10 B17:B18 B14:C14 B12:C12 B42 B35:B39 B22:B28">
    <cfRule type="cellIs" dxfId="1007" priority="100" operator="equal">
      <formula>"Yes"</formula>
    </cfRule>
  </conditionalFormatting>
  <conditionalFormatting sqref="B46:C46">
    <cfRule type="cellIs" dxfId="1006" priority="99" operator="equal">
      <formula>"Yes"</formula>
    </cfRule>
  </conditionalFormatting>
  <conditionalFormatting sqref="AL10:AM10 AL12:AM12">
    <cfRule type="cellIs" dxfId="1005" priority="94" operator="equal">
      <formula>"Yes"</formula>
    </cfRule>
  </conditionalFormatting>
  <conditionalFormatting sqref="V44">
    <cfRule type="cellIs" dxfId="1004" priority="92" operator="equal">
      <formula>"No"</formula>
    </cfRule>
  </conditionalFormatting>
  <conditionalFormatting sqref="V38">
    <cfRule type="cellIs" dxfId="1003" priority="90" operator="equal">
      <formula>"No"</formula>
    </cfRule>
  </conditionalFormatting>
  <conditionalFormatting sqref="Y48">
    <cfRule type="cellIs" dxfId="1002" priority="89" operator="equal">
      <formula>"No"</formula>
    </cfRule>
  </conditionalFormatting>
  <conditionalFormatting sqref="AD30">
    <cfRule type="cellIs" dxfId="1001" priority="88" operator="equal">
      <formula>"No"</formula>
    </cfRule>
  </conditionalFormatting>
  <conditionalFormatting sqref="AB124:AC124">
    <cfRule type="expression" dxfId="1000" priority="82">
      <formula>$P$124="No"</formula>
    </cfRule>
  </conditionalFormatting>
  <conditionalFormatting sqref="AL124:AM124">
    <cfRule type="expression" dxfId="999" priority="80">
      <formula>$AL$124&lt;$AB$124</formula>
    </cfRule>
    <cfRule type="expression" dxfId="998" priority="81">
      <formula>$P$124="No"</formula>
    </cfRule>
  </conditionalFormatting>
  <conditionalFormatting sqref="V126">
    <cfRule type="cellIs" dxfId="997" priority="79" operator="equal">
      <formula>"No"</formula>
    </cfRule>
  </conditionalFormatting>
  <conditionalFormatting sqref="AL59">
    <cfRule type="cellIs" dxfId="996" priority="77" operator="equal">
      <formula>"No"</formula>
    </cfRule>
  </conditionalFormatting>
  <conditionalFormatting sqref="AL78">
    <cfRule type="cellIs" dxfId="995" priority="74" operator="equal">
      <formula>"No"</formula>
    </cfRule>
  </conditionalFormatting>
  <conditionalFormatting sqref="AL78">
    <cfRule type="cellIs" dxfId="994" priority="73" operator="equal">
      <formula>"No"</formula>
    </cfRule>
  </conditionalFormatting>
  <conditionalFormatting sqref="AL439:AL440">
    <cfRule type="cellIs" dxfId="993" priority="70" operator="equal">
      <formula>"No"</formula>
    </cfRule>
  </conditionalFormatting>
  <conditionalFormatting sqref="B43:C43">
    <cfRule type="cellIs" dxfId="992" priority="69" operator="equal">
      <formula>"Yes"</formula>
    </cfRule>
  </conditionalFormatting>
  <conditionalFormatting sqref="B29:C29">
    <cfRule type="cellIs" dxfId="991" priority="68" operator="equal">
      <formula>"Yes"</formula>
    </cfRule>
  </conditionalFormatting>
  <conditionalFormatting sqref="B40:C40">
    <cfRule type="cellIs" dxfId="990" priority="67" operator="equal">
      <formula>"Yes"</formula>
    </cfRule>
  </conditionalFormatting>
  <conditionalFormatting sqref="B36:C36">
    <cfRule type="cellIs" dxfId="989" priority="66" operator="equal">
      <formula>"Yes"</formula>
    </cfRule>
  </conditionalFormatting>
  <conditionalFormatting sqref="B18:C18">
    <cfRule type="cellIs" dxfId="988" priority="62" operator="equal">
      <formula>"Yes"</formula>
    </cfRule>
  </conditionalFormatting>
  <conditionalFormatting sqref="AL21">
    <cfRule type="cellIs" dxfId="987" priority="60" operator="equal">
      <formula>"No"</formula>
    </cfRule>
  </conditionalFormatting>
  <conditionalFormatting sqref="AL22">
    <cfRule type="cellIs" dxfId="986" priority="59" operator="equal">
      <formula>"No"</formula>
    </cfRule>
  </conditionalFormatting>
  <conditionalFormatting sqref="V25">
    <cfRule type="cellIs" dxfId="985" priority="58" operator="equal">
      <formula>"No"</formula>
    </cfRule>
  </conditionalFormatting>
  <conditionalFormatting sqref="AL27">
    <cfRule type="cellIs" dxfId="984" priority="57" operator="equal">
      <formula>"No"</formula>
    </cfRule>
  </conditionalFormatting>
  <conditionalFormatting sqref="AL24">
    <cfRule type="cellIs" dxfId="983" priority="55" operator="equal">
      <formula>"No"</formula>
    </cfRule>
  </conditionalFormatting>
  <conditionalFormatting sqref="B120">
    <cfRule type="expression" dxfId="982" priority="53">
      <formula>$G$140=0.04</formula>
    </cfRule>
  </conditionalFormatting>
  <conditionalFormatting sqref="B120">
    <cfRule type="expression" dxfId="981" priority="54" stopIfTrue="1">
      <formula>$G$140="N/A"</formula>
    </cfRule>
  </conditionalFormatting>
  <conditionalFormatting sqref="X31">
    <cfRule type="cellIs" dxfId="980" priority="52" operator="equal">
      <formula>"No"</formula>
    </cfRule>
  </conditionalFormatting>
  <conditionalFormatting sqref="AG32">
    <cfRule type="cellIs" dxfId="979" priority="51" operator="equal">
      <formula>"No"</formula>
    </cfRule>
  </conditionalFormatting>
  <conditionalFormatting sqref="AF33">
    <cfRule type="cellIs" dxfId="978" priority="50" operator="equal">
      <formula>"No"</formula>
    </cfRule>
  </conditionalFormatting>
  <conditionalFormatting sqref="AL34">
    <cfRule type="cellIs" dxfId="977" priority="49" operator="equal">
      <formula>"No"</formula>
    </cfRule>
  </conditionalFormatting>
  <conditionalFormatting sqref="AQ8">
    <cfRule type="cellIs" dxfId="976" priority="47" operator="equal">
      <formula>"O"</formula>
    </cfRule>
    <cfRule type="cellIs" dxfId="975" priority="48" operator="equal">
      <formula>"x"</formula>
    </cfRule>
  </conditionalFormatting>
  <conditionalFormatting sqref="AL406">
    <cfRule type="cellIs" dxfId="974" priority="44" operator="equal">
      <formula>"No"</formula>
    </cfRule>
  </conditionalFormatting>
  <conditionalFormatting sqref="AL406">
    <cfRule type="cellIs" dxfId="973" priority="43" operator="equal">
      <formula>"No"</formula>
    </cfRule>
  </conditionalFormatting>
  <conditionalFormatting sqref="AL400">
    <cfRule type="cellIs" dxfId="972" priority="42" operator="equal">
      <formula>"No"</formula>
    </cfRule>
  </conditionalFormatting>
  <conditionalFormatting sqref="AL400">
    <cfRule type="cellIs" dxfId="971" priority="41" operator="equal">
      <formula>"No"</formula>
    </cfRule>
  </conditionalFormatting>
  <conditionalFormatting sqref="B51:C51">
    <cfRule type="cellIs" dxfId="970" priority="38" operator="equal">
      <formula>"Yes"</formula>
    </cfRule>
  </conditionalFormatting>
  <conditionalFormatting sqref="AL54">
    <cfRule type="cellIs" dxfId="969" priority="36" operator="equal">
      <formula>"No"</formula>
    </cfRule>
  </conditionalFormatting>
  <conditionalFormatting sqref="AL54">
    <cfRule type="cellIs" dxfId="968" priority="35" operator="equal">
      <formula>"No"</formula>
    </cfRule>
  </conditionalFormatting>
  <conditionalFormatting sqref="B53">
    <cfRule type="cellIs" dxfId="967" priority="32" operator="equal">
      <formula>"Yes"</formula>
    </cfRule>
  </conditionalFormatting>
  <conditionalFormatting sqref="B53:C53">
    <cfRule type="cellIs" dxfId="966" priority="31" operator="equal">
      <formula>"Yes"</formula>
    </cfRule>
  </conditionalFormatting>
  <conditionalFormatting sqref="AL64">
    <cfRule type="cellIs" dxfId="965" priority="30" operator="equal">
      <formula>"No"</formula>
    </cfRule>
  </conditionalFormatting>
  <conditionalFormatting sqref="AL64">
    <cfRule type="cellIs" dxfId="964" priority="29" operator="equal">
      <formula>"No"</formula>
    </cfRule>
  </conditionalFormatting>
  <conditionalFormatting sqref="AL68">
    <cfRule type="cellIs" dxfId="963" priority="28" operator="equal">
      <formula>"No"</formula>
    </cfRule>
  </conditionalFormatting>
  <conditionalFormatting sqref="AL68">
    <cfRule type="cellIs" dxfId="962" priority="27" operator="equal">
      <formula>"No"</formula>
    </cfRule>
  </conditionalFormatting>
  <conditionalFormatting sqref="AL72">
    <cfRule type="cellIs" dxfId="961" priority="26" operator="equal">
      <formula>"No"</formula>
    </cfRule>
  </conditionalFormatting>
  <conditionalFormatting sqref="AL72">
    <cfRule type="cellIs" dxfId="960" priority="25" operator="equal">
      <formula>"No"</formula>
    </cfRule>
  </conditionalFormatting>
  <conditionalFormatting sqref="AL75">
    <cfRule type="cellIs" dxfId="959" priority="24" operator="equal">
      <formula>"No"</formula>
    </cfRule>
  </conditionalFormatting>
  <conditionalFormatting sqref="AL75">
    <cfRule type="cellIs" dxfId="958" priority="23" operator="equal">
      <formula>"No"</formula>
    </cfRule>
  </conditionalFormatting>
  <conditionalFormatting sqref="B47">
    <cfRule type="cellIs" dxfId="957" priority="22" operator="equal">
      <formula>"Yes"</formula>
    </cfRule>
  </conditionalFormatting>
  <conditionalFormatting sqref="AL446">
    <cfRule type="cellIs" dxfId="956" priority="18" operator="equal">
      <formula>"No"</formula>
    </cfRule>
  </conditionalFormatting>
  <conditionalFormatting sqref="AL60">
    <cfRule type="cellIs" dxfId="955" priority="17" operator="equal">
      <formula>"No"</formula>
    </cfRule>
  </conditionalFormatting>
  <conditionalFormatting sqref="AL60">
    <cfRule type="cellIs" dxfId="954" priority="16" operator="equal">
      <formula>"No"</formula>
    </cfRule>
  </conditionalFormatting>
  <conditionalFormatting sqref="AL61">
    <cfRule type="cellIs" dxfId="953" priority="15" operator="equal">
      <formula>"No"</formula>
    </cfRule>
  </conditionalFormatting>
  <conditionalFormatting sqref="AL61">
    <cfRule type="cellIs" dxfId="952" priority="14" operator="equal">
      <formula>"No"</formula>
    </cfRule>
  </conditionalFormatting>
  <conditionalFormatting sqref="AL79:AL88">
    <cfRule type="cellIs" dxfId="945" priority="6" operator="equal">
      <formula>"No"</formula>
    </cfRule>
  </conditionalFormatting>
  <conditionalFormatting sqref="AL79:AL88">
    <cfRule type="cellIs" dxfId="944" priority="5" operator="equal">
      <formula>"No"</formula>
    </cfRule>
  </conditionalFormatting>
  <conditionalFormatting sqref="J285:J286">
    <cfRule type="expression" dxfId="2" priority="3" stopIfTrue="1">
      <formula>$AU$231=TRUE</formula>
    </cfRule>
  </conditionalFormatting>
  <conditionalFormatting sqref="P285:P286">
    <cfRule type="expression" dxfId="1" priority="2" stopIfTrue="1">
      <formula>$AU$231=TRUE</formula>
    </cfRule>
  </conditionalFormatting>
  <conditionalFormatting sqref="V285:V286">
    <cfRule type="expression" dxfId="0" priority="1" stopIfTrue="1">
      <formula>$AU$231=TRUE</formula>
    </cfRule>
  </conditionalFormatting>
  <dataValidations count="26">
    <dataValidation type="list" allowBlank="1" showInputMessage="1" showErrorMessage="1" sqref="S20 Q66:R66 B269 AL254:AM256 AB267 B36 V44:W44 B14 AL14 V25:W25 B40 B43 AK120:AM121 B29 Y48:Z48 AL12 AH149 V126:W126 AL71:AM71 M57:N57 AL10 B10 B12 AL412:AM414 B53 P124:P125 V38 V41:W41 B18 AL22 AL24:AM24 AD30:AE30 X31:Y31 AG32:AH32 AF33:AG33 AL34:AM34 AL406:AM406 AL400:AM400 B51 R63 AL74:AM74 B46 AL59:AM59 AL67:AM67 W19:X19 O70:P70" xr:uid="{00000000-0002-0000-0400-000000000000}">
      <formula1>"Yes,No"</formula1>
    </dataValidation>
    <dataValidation type="list" allowBlank="1" showInputMessage="1" showErrorMessage="1" sqref="AL419:AL426 AL60:AL61 K454:K455 AL428 K428 AL256 AL135 AL249 B322:C322 AL179 AL457 AL138 AL438:AL440 AG131 I132 Q132 AL435:AL436 K435:K436 AL444:AL446 K444:K445 K448:K449 AL448:AL449 AL451:AL452 K451:K452 AL454:AL455 AL78:AL88 AD132 AL108:AM108 AF316:AG319 B305:C308 J305:K308 Z305:AA308 AH305:AI308 K311:L311 T311:U311 R305:S308 B316:C319 J322:K322 V316:W319 B311:C311 Z112:AB114 R322:S322 L316:M319 AL261:AL264 Z322:AA322 AL54 K438:K439 AL64 AL68 AL72 AL75 AC311:AD311 AL148:AL160" xr:uid="{00000000-0002-0000-0400-000001000000}">
      <formula1>"Yes, No"</formula1>
    </dataValidation>
    <dataValidation type="list" allowBlank="1" showInputMessage="1" showErrorMessage="1" sqref="AL435:AM435 AL459:AM459 AL122:AM122 AL444:AM444 AL448:AM448 AL451:AM451 AL454:AM454 AL137 AL49 AF464:AF475 E118:E119 AL438:AM438 AL27 AL21 AL101:AL103" xr:uid="{00000000-0002-0000-0400-000002000000}">
      <formula1>"Yes,No,N/A"</formula1>
    </dataValidation>
    <dataValidation type="list" allowBlank="1" showInputMessage="1" showErrorMessage="1" sqref="AL141:AM141 AL181:AM192 AL220:AM225 AL208:AM216 AL229:AM234 AL198:AM204 AL171:AM177 AL238:AM244 AL161:AM167" xr:uid="{00000000-0002-0000-0400-000004000000}">
      <formula1>"Yes, No,N/A"</formula1>
    </dataValidation>
    <dataValidation type="list" allowBlank="1" showInputMessage="1" showErrorMessage="1" sqref="AE149:AG149" xr:uid="{00000000-0002-0000-0400-000005000000}">
      <formula1>"Did own project,Owns project,No"</formula1>
    </dataValidation>
    <dataValidation type="list" allowBlank="1" showInputMessage="1" showErrorMessage="1" sqref="Q389:R389 G389 AL60:AM61 AL413:AM414 AL392:AM392 AL75:AM75 AL137:AM137 AL49:AM49 AL432:AM433 B388:C388 B389 AL442:AM442 AL72:AM72 B271:C275 AL27:AM27 K271:L275 AL21:AM21 AL68:AM68 AC271:AD275 AL406:AM406 AL400:AM400 AL54:AM54 AL64:AM64 T271:U275" xr:uid="{00000000-0002-0000-0400-000006000000}">
      <formula1>"Yes, No, N/A"</formula1>
    </dataValidation>
    <dataValidation type="list" allowBlank="1" sqref="B251 G254:G255" xr:uid="{00000000-0002-0000-0400-000007000000}">
      <formula1>"Fee Title,Leasehold Interest,Enforceable Option to Lease or Purchase,Disposition and Development Agreement,Exclusive Right to Negotiate,Land Sales Contract"</formula1>
    </dataValidation>
    <dataValidation type="list" allowBlank="1" showInputMessage="1" showErrorMessage="1" sqref="F269" xr:uid="{00000000-0002-0000-0400-000009000000}">
      <formula1>"Private,Public"</formula1>
    </dataValidation>
    <dataValidation type="list" allowBlank="1" showInputMessage="1" showErrorMessage="1" sqref="M376:M384" xr:uid="{00000000-0002-0000-0400-00000A000000}">
      <formula1>"Owner,Tenant"</formula1>
    </dataValidation>
    <dataValidation type="list" allowBlank="1" showInputMessage="1" showErrorMessage="1" sqref="G376:G384" xr:uid="{00000000-0002-0000-0400-00000B000000}">
      <formula1>"Gas,Electric,Propane,Solar"</formula1>
    </dataValidation>
    <dataValidation type="list" allowBlank="1" showInputMessage="1" showErrorMessage="1" sqref="Y362:Y365 Y367:Y370" xr:uid="{00000000-0002-0000-0400-00000D000000}">
      <formula1>"NNN,Other"</formula1>
    </dataValidation>
    <dataValidation type="list" allowBlank="1" showInputMessage="1" showErrorMessage="1" sqref="AB136:AM136" xr:uid="{00000000-0002-0000-0400-00000E000000}">
      <formula1>"Non-metropolitan Counties,Rural Housing Service (RHS) Eligible Area,Small City Status, N/A"</formula1>
    </dataValidation>
    <dataValidation type="list" allowBlank="1" showInputMessage="1" showErrorMessage="1" sqref="V131" xr:uid="{00000000-0002-0000-0400-000013000000}">
      <formula1>"Dormitory,Congregate,Care,Group Home,Assisted Living,Housing Co-op,SRO,Shared Housing, N/A"</formula1>
    </dataValidation>
    <dataValidation type="list" allowBlank="1" showInputMessage="1" showErrorMessage="1" sqref="Z131" xr:uid="{00000000-0002-0000-0400-000014000000}">
      <formula1>"Permanent,Shared Housing,Transitional"</formula1>
    </dataValidation>
    <dataValidation type="list" allowBlank="1" showInputMessage="1" showErrorMessage="1" sqref="H116:H117" xr:uid="{00000000-0002-0000-0400-000015000000}">
      <formula1>"4%,9%,Hybrid,None"</formula1>
    </dataValidation>
    <dataValidation type="list" allowBlank="1" showInputMessage="1" showErrorMessage="1" sqref="AD131 AJ131" xr:uid="{00000000-0002-0000-0400-000016000000}">
      <formula1>"No,Permanent Only,Temporary Only,Temp. &amp; Perm."</formula1>
    </dataValidation>
    <dataValidation type="list" allowBlank="1" showInputMessage="1" showErrorMessage="1" sqref="Y155:Y160" xr:uid="{00000000-0002-0000-0400-000017000000}">
      <formula1>"Full time, Part time"</formula1>
    </dataValidation>
    <dataValidation type="list" allowBlank="1" showInputMessage="1" showErrorMessage="1" sqref="R120:U121" xr:uid="{00000000-0002-0000-0400-000019000000}">
      <formula1>"January,February,March,April,May,June,July,August,September,October,November,December"</formula1>
    </dataValidation>
    <dataValidation type="list" allowBlank="1" showInputMessage="1" showErrorMessage="1" sqref="AE140:AM140" xr:uid="{00000000-0002-0000-0400-000011000000}">
      <formula1>OFFSET(AO139,1,MATCH($AL$138,$AO$139:$AP$139,0)-1,COUNTA(OFFSET($AO$139,1,MATCH($AL$138,$AO$139:$AP$139,0)-1,8,1)),1)</formula1>
    </dataValidation>
    <dataValidation type="list" allowBlank="1" showInputMessage="1" showErrorMessage="1" sqref="I99" xr:uid="{00000000-0002-0000-0400-000003000000}">
      <formula1>"New Construction,Acquisition &amp; Rehabilitation,Rehabilitation,New Construction &amp; Acq/Rehab,Conversion"</formula1>
    </dataValidation>
    <dataValidation type="list" allowBlank="1" showInputMessage="1" showErrorMessage="1" sqref="V58:Y58" xr:uid="{3C281407-5F8B-4DC3-B5C3-B1D973BD3011}">
      <formula1>"Indian Country,Fee land"</formula1>
    </dataValidation>
    <dataValidation type="list" allowBlank="1" showInputMessage="1" showErrorMessage="1" sqref="B155:E160" xr:uid="{00000000-0002-0000-0400-00000F000000}">
      <formula1>"Employee, Consultant"</formula1>
    </dataValidation>
    <dataValidation type="list" allowBlank="1" showInputMessage="1" showErrorMessage="1" sqref="I147:Y150 I153:Y160" xr:uid="{0030D6DE-AC9D-454E-A5A3-6AAF09BF600E}">
      <formula1>ListEligibleSponsorTypes</formula1>
    </dataValidation>
    <dataValidation type="list" allowBlank="1" showInputMessage="1" showErrorMessage="1" sqref="AA289:AA298" xr:uid="{00000000-0002-0000-0400-000008000000}">
      <formula1>"Flat,Townhouse,Detached"</formula1>
    </dataValidation>
    <dataValidation type="list" allowBlank="1" showInputMessage="1" showErrorMessage="1" sqref="B26" xr:uid="{629EEF2F-C5D1-44DE-8CD3-45D00D4A03FF}">
      <formula1>"Defined by the U.S Census Bureau,In an unincorporated area within an urban service area designated in the local general plan for urban development &amp; served by sewer/water"</formula1>
    </dataValidation>
    <dataValidation type="list" allowBlank="1" showInputMessage="1" showErrorMessage="1" sqref="Q131:U131" xr:uid="{07568A1B-44E8-4020-976C-3AFDEF7124D6}">
      <formula1>"None,Frail Elderly,Elderly over 55,Elderly over 62,Some Elderly - 55+,Some Elderly - 62+,Students Only"</formula1>
    </dataValidation>
  </dataValidations>
  <hyperlinks>
    <hyperlink ref="AC135:AK135" r:id="rId1" display="Documentation of rural status" xr:uid="{00000000-0004-0000-0400-000000000000}"/>
    <hyperlink ref="N161:AE161" location="'Sponsor Certification'!A1" display="'Sponsor Certification'!A1" xr:uid="{00000000-0004-0000-0400-000001000000}"/>
    <hyperlink ref="N163:AE163" location="'Entity Org Docs'!A1" display="'Entity Org Docs'!A1" xr:uid="{00000000-0004-0000-0400-000002000000}"/>
    <hyperlink ref="N171:AE171" location="'Sponsor Certification'!A1" display="'Sponsor Certification'!A1" xr:uid="{00000000-0004-0000-0400-000003000000}"/>
    <hyperlink ref="N182:AE182" location="'Sponsor Certification'!A1" display="'Sponsor Certification'!A1" xr:uid="{00000000-0004-0000-0400-000004000000}"/>
    <hyperlink ref="N198:AE198" location="'Sponsor Certification'!A1" display="'Sponsor Certification'!A1" xr:uid="{00000000-0004-0000-0400-000005000000}"/>
    <hyperlink ref="N208:AE208" location="'Sponsor Certification'!A1" display="'Sponsor Certification'!A1" xr:uid="{00000000-0004-0000-0400-000006000000}"/>
    <hyperlink ref="N220:AE220" location="'Sponsor Certification'!A1" display="'Sponsor Certification'!A1" xr:uid="{00000000-0004-0000-0400-000007000000}"/>
    <hyperlink ref="N229:AE229" location="'Sponsor Certification'!A1" display="'Sponsor Certification'!A1" xr:uid="{00000000-0004-0000-0400-000008000000}"/>
    <hyperlink ref="N238:AE238" location="'Sponsor Certification'!A1" display="'Sponsor Certification'!A1" xr:uid="{00000000-0004-0000-0400-000009000000}"/>
    <hyperlink ref="N173:AE173" location="'Entity Org Docs'!A1" display="'Entity Org Docs'!A1" xr:uid="{00000000-0004-0000-0400-00000A000000}"/>
    <hyperlink ref="N184:AE184" location="'Entity Org Docs'!A1" display="'Entity Org Docs'!A1" xr:uid="{00000000-0004-0000-0400-00000B000000}"/>
    <hyperlink ref="N200:AE200" location="'Entity Org Docs'!A1" display="'Entity Org Docs'!A1" xr:uid="{00000000-0004-0000-0400-00000C000000}"/>
    <hyperlink ref="N209:AE209" location="'Entity Org Docs'!A1" display="'Entity Org Docs'!A1" xr:uid="{00000000-0004-0000-0400-00000D000000}"/>
    <hyperlink ref="N221:AE221" location="'Entity Org Docs'!A1" display="'Entity Org Docs'!A1" xr:uid="{00000000-0004-0000-0400-00000E000000}"/>
    <hyperlink ref="N230:AE230" location="'Entity Org Docs'!A1" display="'Entity Org Docs'!A1" xr:uid="{00000000-0004-0000-0400-00000F000000}"/>
    <hyperlink ref="N239:AE239" location="'Entity Org Docs'!A1" display="'Entity Org Docs'!A1" xr:uid="{00000000-0004-0000-0400-000010000000}"/>
    <hyperlink ref="N162:AE162" r:id="rId2" display="SECTION I:  APPLICATION SUMMARY" xr:uid="{00000000-0004-0000-0400-000011000000}"/>
    <hyperlink ref="N172:AE172" r:id="rId3" display="https://www.hcd.ca.gov/grants-funding/active-funding/mhp/docs/2020 Jan-Round-2-MHP-Loan Authorization-Template-Sponsor.docx" xr:uid="{00000000-0004-0000-0400-000012000000}"/>
    <hyperlink ref="N183:AE183" r:id="rId4" display="https://www.hcd.ca.gov/grants-funding/active-funding/mhp/docs/2020 Jan-Round-2-MHP-Loan Authorization-Template-Sponsor.docx" xr:uid="{00000000-0004-0000-0400-000013000000}"/>
    <hyperlink ref="N199:AE199" r:id="rId5" display="https://www.hcd.ca.gov/grants-funding/active-funding/mhp/docs/2020 Jan-Round-2-MHP-Loan Authorization-Template-Sponsor.docx" xr:uid="{00000000-0004-0000-0400-000014000000}"/>
    <hyperlink ref="N213:AE213" r:id="rId6" display="https://fiscal.ca.gov/wp-content/uploads/2019/08/GovtTINForm_000.pdf" xr:uid="{00000000-0004-0000-0400-000015000000}"/>
    <hyperlink ref="N212:AE212" r:id="rId7" location="gendocs" display="https://www.hcd.ca.gov/grants-funding/active-funding/mhp.shtml - gendocs" xr:uid="{00000000-0004-0000-0400-000016000000}"/>
    <hyperlink ref="AF138" r:id="rId8" xr:uid="{00000000-0004-0000-0400-000017000000}"/>
    <hyperlink ref="B23:T23" r:id="rId9" display="A jurisdiction’s current housing element compliance status is obtainable thru HCD’s website." xr:uid="{82BC00BC-FC46-400D-A268-B43443A83261}"/>
  </hyperlinks>
  <printOptions horizontalCentered="1"/>
  <pageMargins left="0" right="0.25" top="0" bottom="0" header="0.25" footer="0.25"/>
  <pageSetup scale="65" orientation="portrait" r:id="rId10"/>
  <headerFooter>
    <oddFooter>&amp;L&amp;F&amp;C&amp;P of &amp;N&amp;R &amp;A</oddFooter>
  </headerFooter>
  <rowBreaks count="4" manualBreakCount="4">
    <brk id="142" min="1" max="38" man="1"/>
    <brk id="264" min="1" max="38" man="1"/>
    <brk id="329" min="1" max="38" man="1"/>
    <brk id="417" min="1" max="38" man="1"/>
  </rowBreaks>
  <ignoredErrors>
    <ignoredError sqref="AI299:AJ299 AL289:AM289 AK291:AM294 AK289:AK290 AL290:AM290 AH289:AJ292 AL295:AM295 AK295 AI297:AJ297 AI296:AJ296 AI293:AJ293 AH294:AJ294 AH295 AI298:AJ298 AI295:AJ295 AH293 AH297 AH298 AH296 AL297:AM297 AL296:AM296 AL298:AM298 AK297 AK298 AK296" unlockedFormula="1"/>
  </ignoredErrors>
  <legacyDrawing r:id="rId1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1B000000}">
          <x14:formula1>
            <xm:f>Dropdowns!$B$7:$B$14</xm:f>
          </x14:formula1>
          <xm:sqref>AF170 AF148:AF150 AF153:AF160</xm:sqref>
        </x14:dataValidation>
        <x14:dataValidation type="list" allowBlank="1" showInputMessage="1" showErrorMessage="1" xr:uid="{00000000-0002-0000-0400-000018000000}">
          <x14:formula1>
            <xm:f>Lists!$Q$2:$Q$11</xm:f>
          </x14:formula1>
          <xm:sqref>I170:Y170</xm:sqref>
        </x14:dataValidation>
        <x14:dataValidation type="list" allowBlank="1" showInputMessage="1" showErrorMessage="1" xr:uid="{00000000-0002-0000-0400-00001A000000}">
          <x14:formula1>
            <xm:f>Dropdowns!$C$1:$C$58</xm:f>
          </x14:formula1>
          <xm:sqref>F98</xm:sqref>
        </x14:dataValidation>
        <x14:dataValidation type="list" allowBlank="1" showInputMessage="1" showErrorMessage="1" xr:uid="{6FF68ABC-E67E-4C31-8ABE-91DC238A6134}">
          <x14:formula1>
            <xm:f>Dropdowns!$B$5:$B$14</xm:f>
          </x14:formula1>
          <xm:sqref>AE147:AM147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
    <tabColor rgb="FFC00000"/>
  </sheetPr>
  <dimension ref="A2:AT191"/>
  <sheetViews>
    <sheetView showGridLines="0" topLeftCell="A178" zoomScaleNormal="100" zoomScaleSheetLayoutView="80" workbookViewId="0">
      <selection activeCell="AJ9" sqref="AJ9:AM9"/>
    </sheetView>
  </sheetViews>
  <sheetFormatPr defaultColWidth="4.6640625" defaultRowHeight="18" customHeight="1"/>
  <cols>
    <col min="1" max="1" width="20" style="14" customWidth="1"/>
    <col min="2" max="2" width="4.109375" style="14" customWidth="1"/>
    <col min="3" max="4" width="4.109375" style="23" customWidth="1"/>
    <col min="5" max="39" width="4.109375" style="14" customWidth="1"/>
    <col min="40" max="40" width="8.44140625" style="14" customWidth="1"/>
    <col min="41" max="41" width="7.5546875" style="14" customWidth="1"/>
    <col min="42" max="253" width="4.6640625" style="14"/>
    <col min="254" max="254" width="6.33203125" style="14" customWidth="1"/>
    <col min="255" max="255" width="6.5546875" style="14" customWidth="1"/>
    <col min="256" max="270" width="5.6640625" style="14" customWidth="1"/>
    <col min="271" max="509" width="4.6640625" style="14"/>
    <col min="510" max="510" width="6.33203125" style="14" customWidth="1"/>
    <col min="511" max="511" width="6.5546875" style="14" customWidth="1"/>
    <col min="512" max="526" width="5.6640625" style="14" customWidth="1"/>
    <col min="527" max="765" width="4.6640625" style="14"/>
    <col min="766" max="766" width="6.33203125" style="14" customWidth="1"/>
    <col min="767" max="767" width="6.5546875" style="14" customWidth="1"/>
    <col min="768" max="782" width="5.6640625" style="14" customWidth="1"/>
    <col min="783" max="1021" width="4.6640625" style="14"/>
    <col min="1022" max="1022" width="6.33203125" style="14" customWidth="1"/>
    <col min="1023" max="1023" width="6.5546875" style="14" customWidth="1"/>
    <col min="1024" max="1038" width="5.6640625" style="14" customWidth="1"/>
    <col min="1039" max="1277" width="4.6640625" style="14"/>
    <col min="1278" max="1278" width="6.33203125" style="14" customWidth="1"/>
    <col min="1279" max="1279" width="6.5546875" style="14" customWidth="1"/>
    <col min="1280" max="1294" width="5.6640625" style="14" customWidth="1"/>
    <col min="1295" max="1533" width="4.6640625" style="14"/>
    <col min="1534" max="1534" width="6.33203125" style="14" customWidth="1"/>
    <col min="1535" max="1535" width="6.5546875" style="14" customWidth="1"/>
    <col min="1536" max="1550" width="5.6640625" style="14" customWidth="1"/>
    <col min="1551" max="1789" width="4.6640625" style="14"/>
    <col min="1790" max="1790" width="6.33203125" style="14" customWidth="1"/>
    <col min="1791" max="1791" width="6.5546875" style="14" customWidth="1"/>
    <col min="1792" max="1806" width="5.6640625" style="14" customWidth="1"/>
    <col min="1807" max="2045" width="4.6640625" style="14"/>
    <col min="2046" max="2046" width="6.33203125" style="14" customWidth="1"/>
    <col min="2047" max="2047" width="6.5546875" style="14" customWidth="1"/>
    <col min="2048" max="2062" width="5.6640625" style="14" customWidth="1"/>
    <col min="2063" max="2301" width="4.6640625" style="14"/>
    <col min="2302" max="2302" width="6.33203125" style="14" customWidth="1"/>
    <col min="2303" max="2303" width="6.5546875" style="14" customWidth="1"/>
    <col min="2304" max="2318" width="5.6640625" style="14" customWidth="1"/>
    <col min="2319" max="2557" width="4.6640625" style="14"/>
    <col min="2558" max="2558" width="6.33203125" style="14" customWidth="1"/>
    <col min="2559" max="2559" width="6.5546875" style="14" customWidth="1"/>
    <col min="2560" max="2574" width="5.6640625" style="14" customWidth="1"/>
    <col min="2575" max="2813" width="4.6640625" style="14"/>
    <col min="2814" max="2814" width="6.33203125" style="14" customWidth="1"/>
    <col min="2815" max="2815" width="6.5546875" style="14" customWidth="1"/>
    <col min="2816" max="2830" width="5.6640625" style="14" customWidth="1"/>
    <col min="2831" max="3069" width="4.6640625" style="14"/>
    <col min="3070" max="3070" width="6.33203125" style="14" customWidth="1"/>
    <col min="3071" max="3071" width="6.5546875" style="14" customWidth="1"/>
    <col min="3072" max="3086" width="5.6640625" style="14" customWidth="1"/>
    <col min="3087" max="3325" width="4.6640625" style="14"/>
    <col min="3326" max="3326" width="6.33203125" style="14" customWidth="1"/>
    <col min="3327" max="3327" width="6.5546875" style="14" customWidth="1"/>
    <col min="3328" max="3342" width="5.6640625" style="14" customWidth="1"/>
    <col min="3343" max="3581" width="4.6640625" style="14"/>
    <col min="3582" max="3582" width="6.33203125" style="14" customWidth="1"/>
    <col min="3583" max="3583" width="6.5546875" style="14" customWidth="1"/>
    <col min="3584" max="3598" width="5.6640625" style="14" customWidth="1"/>
    <col min="3599" max="3837" width="4.6640625" style="14"/>
    <col min="3838" max="3838" width="6.33203125" style="14" customWidth="1"/>
    <col min="3839" max="3839" width="6.5546875" style="14" customWidth="1"/>
    <col min="3840" max="3854" width="5.6640625" style="14" customWidth="1"/>
    <col min="3855" max="4093" width="4.6640625" style="14"/>
    <col min="4094" max="4094" width="6.33203125" style="14" customWidth="1"/>
    <col min="4095" max="4095" width="6.5546875" style="14" customWidth="1"/>
    <col min="4096" max="4110" width="5.6640625" style="14" customWidth="1"/>
    <col min="4111" max="4349" width="4.6640625" style="14"/>
    <col min="4350" max="4350" width="6.33203125" style="14" customWidth="1"/>
    <col min="4351" max="4351" width="6.5546875" style="14" customWidth="1"/>
    <col min="4352" max="4366" width="5.6640625" style="14" customWidth="1"/>
    <col min="4367" max="4605" width="4.6640625" style="14"/>
    <col min="4606" max="4606" width="6.33203125" style="14" customWidth="1"/>
    <col min="4607" max="4607" width="6.5546875" style="14" customWidth="1"/>
    <col min="4608" max="4622" width="5.6640625" style="14" customWidth="1"/>
    <col min="4623" max="4861" width="4.6640625" style="14"/>
    <col min="4862" max="4862" width="6.33203125" style="14" customWidth="1"/>
    <col min="4863" max="4863" width="6.5546875" style="14" customWidth="1"/>
    <col min="4864" max="4878" width="5.6640625" style="14" customWidth="1"/>
    <col min="4879" max="5117" width="4.6640625" style="14"/>
    <col min="5118" max="5118" width="6.33203125" style="14" customWidth="1"/>
    <col min="5119" max="5119" width="6.5546875" style="14" customWidth="1"/>
    <col min="5120" max="5134" width="5.6640625" style="14" customWidth="1"/>
    <col min="5135" max="5373" width="4.6640625" style="14"/>
    <col min="5374" max="5374" width="6.33203125" style="14" customWidth="1"/>
    <col min="5375" max="5375" width="6.5546875" style="14" customWidth="1"/>
    <col min="5376" max="5390" width="5.6640625" style="14" customWidth="1"/>
    <col min="5391" max="5629" width="4.6640625" style="14"/>
    <col min="5630" max="5630" width="6.33203125" style="14" customWidth="1"/>
    <col min="5631" max="5631" width="6.5546875" style="14" customWidth="1"/>
    <col min="5632" max="5646" width="5.6640625" style="14" customWidth="1"/>
    <col min="5647" max="5885" width="4.6640625" style="14"/>
    <col min="5886" max="5886" width="6.33203125" style="14" customWidth="1"/>
    <col min="5887" max="5887" width="6.5546875" style="14" customWidth="1"/>
    <col min="5888" max="5902" width="5.6640625" style="14" customWidth="1"/>
    <col min="5903" max="6141" width="4.6640625" style="14"/>
    <col min="6142" max="6142" width="6.33203125" style="14" customWidth="1"/>
    <col min="6143" max="6143" width="6.5546875" style="14" customWidth="1"/>
    <col min="6144" max="6158" width="5.6640625" style="14" customWidth="1"/>
    <col min="6159" max="6397" width="4.6640625" style="14"/>
    <col min="6398" max="6398" width="6.33203125" style="14" customWidth="1"/>
    <col min="6399" max="6399" width="6.5546875" style="14" customWidth="1"/>
    <col min="6400" max="6414" width="5.6640625" style="14" customWidth="1"/>
    <col min="6415" max="6653" width="4.6640625" style="14"/>
    <col min="6654" max="6654" width="6.33203125" style="14" customWidth="1"/>
    <col min="6655" max="6655" width="6.5546875" style="14" customWidth="1"/>
    <col min="6656" max="6670" width="5.6640625" style="14" customWidth="1"/>
    <col min="6671" max="6909" width="4.6640625" style="14"/>
    <col min="6910" max="6910" width="6.33203125" style="14" customWidth="1"/>
    <col min="6911" max="6911" width="6.5546875" style="14" customWidth="1"/>
    <col min="6912" max="6926" width="5.6640625" style="14" customWidth="1"/>
    <col min="6927" max="7165" width="4.6640625" style="14"/>
    <col min="7166" max="7166" width="6.33203125" style="14" customWidth="1"/>
    <col min="7167" max="7167" width="6.5546875" style="14" customWidth="1"/>
    <col min="7168" max="7182" width="5.6640625" style="14" customWidth="1"/>
    <col min="7183" max="7421" width="4.6640625" style="14"/>
    <col min="7422" max="7422" width="6.33203125" style="14" customWidth="1"/>
    <col min="7423" max="7423" width="6.5546875" style="14" customWidth="1"/>
    <col min="7424" max="7438" width="5.6640625" style="14" customWidth="1"/>
    <col min="7439" max="7677" width="4.6640625" style="14"/>
    <col min="7678" max="7678" width="6.33203125" style="14" customWidth="1"/>
    <col min="7679" max="7679" width="6.5546875" style="14" customWidth="1"/>
    <col min="7680" max="7694" width="5.6640625" style="14" customWidth="1"/>
    <col min="7695" max="7933" width="4.6640625" style="14"/>
    <col min="7934" max="7934" width="6.33203125" style="14" customWidth="1"/>
    <col min="7935" max="7935" width="6.5546875" style="14" customWidth="1"/>
    <col min="7936" max="7950" width="5.6640625" style="14" customWidth="1"/>
    <col min="7951" max="8189" width="4.6640625" style="14"/>
    <col min="8190" max="8190" width="6.33203125" style="14" customWidth="1"/>
    <col min="8191" max="8191" width="6.5546875" style="14" customWidth="1"/>
    <col min="8192" max="8206" width="5.6640625" style="14" customWidth="1"/>
    <col min="8207" max="8445" width="4.6640625" style="14"/>
    <col min="8446" max="8446" width="6.33203125" style="14" customWidth="1"/>
    <col min="8447" max="8447" width="6.5546875" style="14" customWidth="1"/>
    <col min="8448" max="8462" width="5.6640625" style="14" customWidth="1"/>
    <col min="8463" max="8701" width="4.6640625" style="14"/>
    <col min="8702" max="8702" width="6.33203125" style="14" customWidth="1"/>
    <col min="8703" max="8703" width="6.5546875" style="14" customWidth="1"/>
    <col min="8704" max="8718" width="5.6640625" style="14" customWidth="1"/>
    <col min="8719" max="8957" width="4.6640625" style="14"/>
    <col min="8958" max="8958" width="6.33203125" style="14" customWidth="1"/>
    <col min="8959" max="8959" width="6.5546875" style="14" customWidth="1"/>
    <col min="8960" max="8974" width="5.6640625" style="14" customWidth="1"/>
    <col min="8975" max="9213" width="4.6640625" style="14"/>
    <col min="9214" max="9214" width="6.33203125" style="14" customWidth="1"/>
    <col min="9215" max="9215" width="6.5546875" style="14" customWidth="1"/>
    <col min="9216" max="9230" width="5.6640625" style="14" customWidth="1"/>
    <col min="9231" max="9469" width="4.6640625" style="14"/>
    <col min="9470" max="9470" width="6.33203125" style="14" customWidth="1"/>
    <col min="9471" max="9471" width="6.5546875" style="14" customWidth="1"/>
    <col min="9472" max="9486" width="5.6640625" style="14" customWidth="1"/>
    <col min="9487" max="9725" width="4.6640625" style="14"/>
    <col min="9726" max="9726" width="6.33203125" style="14" customWidth="1"/>
    <col min="9727" max="9727" width="6.5546875" style="14" customWidth="1"/>
    <col min="9728" max="9742" width="5.6640625" style="14" customWidth="1"/>
    <col min="9743" max="9981" width="4.6640625" style="14"/>
    <col min="9982" max="9982" width="6.33203125" style="14" customWidth="1"/>
    <col min="9983" max="9983" width="6.5546875" style="14" customWidth="1"/>
    <col min="9984" max="9998" width="5.6640625" style="14" customWidth="1"/>
    <col min="9999" max="10237" width="4.6640625" style="14"/>
    <col min="10238" max="10238" width="6.33203125" style="14" customWidth="1"/>
    <col min="10239" max="10239" width="6.5546875" style="14" customWidth="1"/>
    <col min="10240" max="10254" width="5.6640625" style="14" customWidth="1"/>
    <col min="10255" max="10493" width="4.6640625" style="14"/>
    <col min="10494" max="10494" width="6.33203125" style="14" customWidth="1"/>
    <col min="10495" max="10495" width="6.5546875" style="14" customWidth="1"/>
    <col min="10496" max="10510" width="5.6640625" style="14" customWidth="1"/>
    <col min="10511" max="10749" width="4.6640625" style="14"/>
    <col min="10750" max="10750" width="6.33203125" style="14" customWidth="1"/>
    <col min="10751" max="10751" width="6.5546875" style="14" customWidth="1"/>
    <col min="10752" max="10766" width="5.6640625" style="14" customWidth="1"/>
    <col min="10767" max="11005" width="4.6640625" style="14"/>
    <col min="11006" max="11006" width="6.33203125" style="14" customWidth="1"/>
    <col min="11007" max="11007" width="6.5546875" style="14" customWidth="1"/>
    <col min="11008" max="11022" width="5.6640625" style="14" customWidth="1"/>
    <col min="11023" max="11261" width="4.6640625" style="14"/>
    <col min="11262" max="11262" width="6.33203125" style="14" customWidth="1"/>
    <col min="11263" max="11263" width="6.5546875" style="14" customWidth="1"/>
    <col min="11264" max="11278" width="5.6640625" style="14" customWidth="1"/>
    <col min="11279" max="11517" width="4.6640625" style="14"/>
    <col min="11518" max="11518" width="6.33203125" style="14" customWidth="1"/>
    <col min="11519" max="11519" width="6.5546875" style="14" customWidth="1"/>
    <col min="11520" max="11534" width="5.6640625" style="14" customWidth="1"/>
    <col min="11535" max="11773" width="4.6640625" style="14"/>
    <col min="11774" max="11774" width="6.33203125" style="14" customWidth="1"/>
    <col min="11775" max="11775" width="6.5546875" style="14" customWidth="1"/>
    <col min="11776" max="11790" width="5.6640625" style="14" customWidth="1"/>
    <col min="11791" max="12029" width="4.6640625" style="14"/>
    <col min="12030" max="12030" width="6.33203125" style="14" customWidth="1"/>
    <col min="12031" max="12031" width="6.5546875" style="14" customWidth="1"/>
    <col min="12032" max="12046" width="5.6640625" style="14" customWidth="1"/>
    <col min="12047" max="12285" width="4.6640625" style="14"/>
    <col min="12286" max="12286" width="6.33203125" style="14" customWidth="1"/>
    <col min="12287" max="12287" width="6.5546875" style="14" customWidth="1"/>
    <col min="12288" max="12302" width="5.6640625" style="14" customWidth="1"/>
    <col min="12303" max="12541" width="4.6640625" style="14"/>
    <col min="12542" max="12542" width="6.33203125" style="14" customWidth="1"/>
    <col min="12543" max="12543" width="6.5546875" style="14" customWidth="1"/>
    <col min="12544" max="12558" width="5.6640625" style="14" customWidth="1"/>
    <col min="12559" max="12797" width="4.6640625" style="14"/>
    <col min="12798" max="12798" width="6.33203125" style="14" customWidth="1"/>
    <col min="12799" max="12799" width="6.5546875" style="14" customWidth="1"/>
    <col min="12800" max="12814" width="5.6640625" style="14" customWidth="1"/>
    <col min="12815" max="13053" width="4.6640625" style="14"/>
    <col min="13054" max="13054" width="6.33203125" style="14" customWidth="1"/>
    <col min="13055" max="13055" width="6.5546875" style="14" customWidth="1"/>
    <col min="13056" max="13070" width="5.6640625" style="14" customWidth="1"/>
    <col min="13071" max="13309" width="4.6640625" style="14"/>
    <col min="13310" max="13310" width="6.33203125" style="14" customWidth="1"/>
    <col min="13311" max="13311" width="6.5546875" style="14" customWidth="1"/>
    <col min="13312" max="13326" width="5.6640625" style="14" customWidth="1"/>
    <col min="13327" max="13565" width="4.6640625" style="14"/>
    <col min="13566" max="13566" width="6.33203125" style="14" customWidth="1"/>
    <col min="13567" max="13567" width="6.5546875" style="14" customWidth="1"/>
    <col min="13568" max="13582" width="5.6640625" style="14" customWidth="1"/>
    <col min="13583" max="13821" width="4.6640625" style="14"/>
    <col min="13822" max="13822" width="6.33203125" style="14" customWidth="1"/>
    <col min="13823" max="13823" width="6.5546875" style="14" customWidth="1"/>
    <col min="13824" max="13838" width="5.6640625" style="14" customWidth="1"/>
    <col min="13839" max="14077" width="4.6640625" style="14"/>
    <col min="14078" max="14078" width="6.33203125" style="14" customWidth="1"/>
    <col min="14079" max="14079" width="6.5546875" style="14" customWidth="1"/>
    <col min="14080" max="14094" width="5.6640625" style="14" customWidth="1"/>
    <col min="14095" max="14333" width="4.6640625" style="14"/>
    <col min="14334" max="14334" width="6.33203125" style="14" customWidth="1"/>
    <col min="14335" max="14335" width="6.5546875" style="14" customWidth="1"/>
    <col min="14336" max="14350" width="5.6640625" style="14" customWidth="1"/>
    <col min="14351" max="14589" width="4.6640625" style="14"/>
    <col min="14590" max="14590" width="6.33203125" style="14" customWidth="1"/>
    <col min="14591" max="14591" width="6.5546875" style="14" customWidth="1"/>
    <col min="14592" max="14606" width="5.6640625" style="14" customWidth="1"/>
    <col min="14607" max="14845" width="4.6640625" style="14"/>
    <col min="14846" max="14846" width="6.33203125" style="14" customWidth="1"/>
    <col min="14847" max="14847" width="6.5546875" style="14" customWidth="1"/>
    <col min="14848" max="14862" width="5.6640625" style="14" customWidth="1"/>
    <col min="14863" max="15101" width="4.6640625" style="14"/>
    <col min="15102" max="15102" width="6.33203125" style="14" customWidth="1"/>
    <col min="15103" max="15103" width="6.5546875" style="14" customWidth="1"/>
    <col min="15104" max="15118" width="5.6640625" style="14" customWidth="1"/>
    <col min="15119" max="15357" width="4.6640625" style="14"/>
    <col min="15358" max="15358" width="6.33203125" style="14" customWidth="1"/>
    <col min="15359" max="15359" width="6.5546875" style="14" customWidth="1"/>
    <col min="15360" max="15374" width="5.6640625" style="14" customWidth="1"/>
    <col min="15375" max="15613" width="4.6640625" style="14"/>
    <col min="15614" max="15614" width="6.33203125" style="14" customWidth="1"/>
    <col min="15615" max="15615" width="6.5546875" style="14" customWidth="1"/>
    <col min="15616" max="15630" width="5.6640625" style="14" customWidth="1"/>
    <col min="15631" max="15869" width="4.6640625" style="14"/>
    <col min="15870" max="15870" width="6.33203125" style="14" customWidth="1"/>
    <col min="15871" max="15871" width="6.5546875" style="14" customWidth="1"/>
    <col min="15872" max="15886" width="5.6640625" style="14" customWidth="1"/>
    <col min="15887" max="16125" width="4.6640625" style="14"/>
    <col min="16126" max="16126" width="6.33203125" style="14" customWidth="1"/>
    <col min="16127" max="16127" width="6.5546875" style="14" customWidth="1"/>
    <col min="16128" max="16142" width="5.6640625" style="14" customWidth="1"/>
    <col min="16143" max="16384" width="4.6640625" style="14"/>
  </cols>
  <sheetData>
    <row r="2" spans="1:41" ht="23.25" customHeight="1">
      <c r="A2" s="301"/>
      <c r="B2" s="2477" t="s">
        <v>1108</v>
      </c>
      <c r="C2" s="2478"/>
      <c r="D2" s="2478"/>
      <c r="E2" s="2478"/>
      <c r="F2" s="2478"/>
      <c r="G2" s="2478"/>
      <c r="H2" s="2478"/>
      <c r="I2" s="2478"/>
      <c r="J2" s="2478"/>
      <c r="K2" s="2478"/>
      <c r="L2" s="2478"/>
      <c r="M2" s="2478"/>
      <c r="N2" s="2478"/>
      <c r="O2" s="2478"/>
      <c r="P2" s="2478"/>
      <c r="Q2" s="2478"/>
      <c r="R2" s="2478"/>
      <c r="S2" s="2478"/>
      <c r="T2" s="2478"/>
      <c r="U2" s="2478"/>
      <c r="V2" s="2478"/>
      <c r="W2" s="2478"/>
      <c r="X2" s="2478"/>
      <c r="Y2" s="2478"/>
      <c r="Z2" s="2478"/>
      <c r="AA2" s="2478"/>
      <c r="AB2" s="2478"/>
      <c r="AC2" s="2478"/>
      <c r="AD2" s="2478"/>
      <c r="AE2" s="2478"/>
      <c r="AF2" s="2478"/>
      <c r="AG2" s="2478"/>
      <c r="AH2" s="2478"/>
      <c r="AI2" s="2478"/>
      <c r="AJ2" s="2478"/>
      <c r="AK2" s="2478"/>
      <c r="AL2" s="2478"/>
      <c r="AM2" s="2478"/>
    </row>
    <row r="3" spans="1:41" ht="9" customHeight="1">
      <c r="A3" s="301"/>
      <c r="B3" s="1573"/>
      <c r="C3" s="1573"/>
      <c r="D3" s="1573"/>
      <c r="E3" s="1573"/>
      <c r="F3" s="1573"/>
      <c r="G3" s="1573"/>
      <c r="H3" s="1573"/>
      <c r="I3" s="1573"/>
      <c r="J3" s="1573"/>
      <c r="K3" s="1573"/>
      <c r="L3" s="1573"/>
      <c r="M3" s="1573"/>
      <c r="N3" s="1573"/>
      <c r="O3" s="1573"/>
      <c r="P3" s="1573"/>
      <c r="Q3" s="1573"/>
      <c r="R3" s="1573"/>
      <c r="S3" s="1573"/>
      <c r="T3" s="1573"/>
      <c r="U3" s="1573"/>
      <c r="V3" s="1573"/>
      <c r="W3" s="1573"/>
      <c r="X3" s="1573"/>
      <c r="Y3" s="1573"/>
      <c r="Z3" s="1573"/>
      <c r="AA3" s="1573"/>
      <c r="AB3" s="1573"/>
      <c r="AC3" s="1573"/>
      <c r="AD3" s="1573"/>
      <c r="AE3" s="1573"/>
      <c r="AF3" s="1573"/>
      <c r="AG3" s="1573"/>
      <c r="AH3" s="1573"/>
      <c r="AI3" s="1573"/>
      <c r="AJ3" s="1573"/>
      <c r="AK3" s="1573"/>
      <c r="AL3" s="1573"/>
      <c r="AM3" s="1573"/>
    </row>
    <row r="4" spans="1:41" ht="18" customHeight="1">
      <c r="B4" s="2481" t="s">
        <v>1109</v>
      </c>
      <c r="C4" s="2481"/>
      <c r="D4" s="2481"/>
      <c r="E4" s="2481"/>
      <c r="F4" s="2481"/>
      <c r="G4" s="2481"/>
      <c r="H4" s="2481"/>
      <c r="I4" s="2481"/>
      <c r="J4" s="2481"/>
      <c r="K4" s="2481"/>
      <c r="L4" s="2481"/>
      <c r="M4" s="2481"/>
      <c r="N4" s="2481"/>
      <c r="O4" s="2481"/>
      <c r="P4" s="2481"/>
      <c r="Q4" s="2481"/>
      <c r="R4" s="2481"/>
      <c r="S4" s="2481"/>
      <c r="T4" s="2481"/>
      <c r="U4" s="2481"/>
      <c r="V4" s="2481"/>
      <c r="W4" s="2481"/>
      <c r="X4" s="2481"/>
      <c r="Y4" s="2481"/>
      <c r="Z4" s="2481"/>
      <c r="AA4" s="2481"/>
      <c r="AB4" s="2481"/>
      <c r="AC4" s="2481"/>
      <c r="AD4" s="2481"/>
      <c r="AE4" s="2481"/>
      <c r="AF4" s="2481"/>
      <c r="AG4" s="2481"/>
      <c r="AH4" s="2481"/>
      <c r="AI4" s="2481"/>
      <c r="AJ4" s="2481"/>
      <c r="AK4" s="2481"/>
      <c r="AL4" s="2481"/>
      <c r="AM4" s="2481"/>
    </row>
    <row r="5" spans="1:41" s="22" customFormat="1" ht="36" customHeight="1">
      <c r="B5" s="2482" t="s">
        <v>1110</v>
      </c>
      <c r="C5" s="2482"/>
      <c r="D5" s="2482"/>
      <c r="E5" s="2482"/>
      <c r="F5" s="2482"/>
      <c r="G5" s="2482"/>
      <c r="H5" s="2482"/>
      <c r="I5" s="2482"/>
      <c r="J5" s="2482"/>
      <c r="K5" s="2482"/>
      <c r="L5" s="2482"/>
      <c r="M5" s="2482"/>
      <c r="N5" s="2482"/>
      <c r="O5" s="2482"/>
      <c r="P5" s="2482"/>
      <c r="Q5" s="2482"/>
      <c r="R5" s="2482"/>
      <c r="S5" s="2482"/>
      <c r="T5" s="2482"/>
      <c r="U5" s="2482"/>
      <c r="V5" s="2482"/>
      <c r="W5" s="2482"/>
      <c r="X5" s="2482"/>
      <c r="Y5" s="2482"/>
      <c r="Z5" s="2482"/>
      <c r="AA5" s="2482"/>
      <c r="AB5" s="2482"/>
      <c r="AC5" s="2482"/>
      <c r="AD5" s="2482"/>
      <c r="AE5" s="2482"/>
      <c r="AF5" s="2482"/>
      <c r="AG5" s="2482"/>
      <c r="AH5" s="2482"/>
      <c r="AI5" s="2482"/>
      <c r="AJ5" s="2482"/>
      <c r="AK5" s="2482"/>
      <c r="AL5" s="2482"/>
      <c r="AM5" s="2482"/>
      <c r="AN5" s="176"/>
      <c r="AO5" s="169"/>
    </row>
    <row r="6" spans="1:41" s="22" customFormat="1" ht="36" customHeight="1">
      <c r="B6" s="2480" t="s">
        <v>1111</v>
      </c>
      <c r="C6" s="2480"/>
      <c r="D6" s="2480"/>
      <c r="E6" s="2480" t="s">
        <v>1112</v>
      </c>
      <c r="F6" s="2480"/>
      <c r="G6" s="2480"/>
      <c r="H6" s="2480"/>
      <c r="I6" s="2480"/>
      <c r="J6" s="2480"/>
      <c r="K6" s="2480"/>
      <c r="L6" s="2480"/>
      <c r="M6" s="2480"/>
      <c r="N6" s="2480" t="s">
        <v>1113</v>
      </c>
      <c r="O6" s="2480"/>
      <c r="P6" s="2480"/>
      <c r="Q6" s="2480"/>
      <c r="R6" s="2480"/>
      <c r="S6" s="2480"/>
      <c r="T6" s="2480"/>
      <c r="U6" s="2480"/>
      <c r="V6" s="2480"/>
      <c r="W6" s="2480"/>
      <c r="X6" s="2480"/>
      <c r="Y6" s="2480"/>
      <c r="Z6" s="2480"/>
      <c r="AA6" s="2480"/>
      <c r="AB6" s="2480"/>
      <c r="AC6" s="2480"/>
      <c r="AD6" s="2480"/>
      <c r="AE6" s="2480"/>
      <c r="AF6" s="2480"/>
      <c r="AG6" s="2480"/>
      <c r="AH6" s="2480"/>
      <c r="AI6" s="2480"/>
      <c r="AJ6" s="2480" t="s">
        <v>1114</v>
      </c>
      <c r="AK6" s="2480"/>
      <c r="AL6" s="2480"/>
      <c r="AM6" s="2480"/>
    </row>
    <row r="7" spans="1:41" s="22" customFormat="1" ht="18" customHeight="1">
      <c r="A7" s="970"/>
      <c r="B7" s="1851" t="s">
        <v>1115</v>
      </c>
      <c r="C7" s="1851"/>
      <c r="D7" s="1851"/>
      <c r="E7" s="2462" t="s">
        <v>1116</v>
      </c>
      <c r="F7" s="2462"/>
      <c r="G7" s="2462"/>
      <c r="H7" s="2462"/>
      <c r="I7" s="2462"/>
      <c r="J7" s="2462"/>
      <c r="K7" s="2462"/>
      <c r="L7" s="2462"/>
      <c r="M7" s="2462"/>
      <c r="N7" s="2465" t="s">
        <v>1117</v>
      </c>
      <c r="O7" s="2465"/>
      <c r="P7" s="2465"/>
      <c r="Q7" s="2465"/>
      <c r="R7" s="2465"/>
      <c r="S7" s="2465"/>
      <c r="T7" s="2465"/>
      <c r="U7" s="2465"/>
      <c r="V7" s="2465"/>
      <c r="W7" s="2465"/>
      <c r="X7" s="2465"/>
      <c r="Y7" s="2465"/>
      <c r="Z7" s="2465"/>
      <c r="AA7" s="2465"/>
      <c r="AB7" s="2465"/>
      <c r="AC7" s="2465"/>
      <c r="AD7" s="2465"/>
      <c r="AE7" s="2465"/>
      <c r="AF7" s="2465"/>
      <c r="AG7" s="2465"/>
      <c r="AH7" s="2465"/>
      <c r="AI7" s="2465"/>
      <c r="AJ7" s="1727"/>
      <c r="AK7" s="1727"/>
      <c r="AL7" s="1727"/>
      <c r="AM7" s="1727"/>
    </row>
    <row r="8" spans="1:41" s="22" customFormat="1" ht="18" customHeight="1">
      <c r="A8" s="970"/>
      <c r="B8" s="1851" t="s">
        <v>1115</v>
      </c>
      <c r="C8" s="1851"/>
      <c r="D8" s="1851"/>
      <c r="E8" s="2462" t="s">
        <v>1118</v>
      </c>
      <c r="F8" s="2462"/>
      <c r="G8" s="2462"/>
      <c r="H8" s="2462"/>
      <c r="I8" s="2462"/>
      <c r="J8" s="2462"/>
      <c r="K8" s="2462"/>
      <c r="L8" s="2462"/>
      <c r="M8" s="2462"/>
      <c r="N8" s="2465" t="s">
        <v>1119</v>
      </c>
      <c r="O8" s="2465"/>
      <c r="P8" s="2465"/>
      <c r="Q8" s="2465"/>
      <c r="R8" s="2465"/>
      <c r="S8" s="2465"/>
      <c r="T8" s="2465"/>
      <c r="U8" s="2465"/>
      <c r="V8" s="2465"/>
      <c r="W8" s="2465"/>
      <c r="X8" s="2465"/>
      <c r="Y8" s="2465"/>
      <c r="Z8" s="2465"/>
      <c r="AA8" s="2465"/>
      <c r="AB8" s="2465"/>
      <c r="AC8" s="2465"/>
      <c r="AD8" s="2465"/>
      <c r="AE8" s="2465"/>
      <c r="AF8" s="2465"/>
      <c r="AG8" s="2465"/>
      <c r="AH8" s="2465"/>
      <c r="AI8" s="2465"/>
      <c r="AJ8" s="1727"/>
      <c r="AK8" s="1727"/>
      <c r="AL8" s="1727"/>
      <c r="AM8" s="1727"/>
    </row>
    <row r="9" spans="1:41" ht="54" customHeight="1">
      <c r="A9" s="965"/>
      <c r="B9" s="1731" t="s">
        <v>1115</v>
      </c>
      <c r="C9" s="1732"/>
      <c r="D9" s="1733"/>
      <c r="E9" s="2462" t="s">
        <v>1120</v>
      </c>
      <c r="F9" s="2462"/>
      <c r="G9" s="2462"/>
      <c r="H9" s="2462"/>
      <c r="I9" s="2462"/>
      <c r="J9" s="2462"/>
      <c r="K9" s="2462"/>
      <c r="L9" s="2462"/>
      <c r="M9" s="2462"/>
      <c r="N9" s="2465" t="s">
        <v>1121</v>
      </c>
      <c r="O9" s="2465"/>
      <c r="P9" s="2465"/>
      <c r="Q9" s="2465"/>
      <c r="R9" s="2465"/>
      <c r="S9" s="2465"/>
      <c r="T9" s="2465"/>
      <c r="U9" s="2465"/>
      <c r="V9" s="2465"/>
      <c r="W9" s="2465"/>
      <c r="X9" s="2465"/>
      <c r="Y9" s="2465"/>
      <c r="Z9" s="2465"/>
      <c r="AA9" s="2465"/>
      <c r="AB9" s="2465"/>
      <c r="AC9" s="2465"/>
      <c r="AD9" s="2465"/>
      <c r="AE9" s="2465"/>
      <c r="AF9" s="2465"/>
      <c r="AG9" s="2465"/>
      <c r="AH9" s="2465"/>
      <c r="AI9" s="2465"/>
      <c r="AJ9" s="1727"/>
      <c r="AK9" s="1727"/>
      <c r="AL9" s="1727"/>
      <c r="AM9" s="1727"/>
      <c r="AN9" s="110"/>
    </row>
    <row r="10" spans="1:41" ht="18" customHeight="1">
      <c r="A10" s="301"/>
      <c r="B10" s="300"/>
      <c r="C10" s="300"/>
      <c r="D10" s="300"/>
      <c r="E10" s="300"/>
      <c r="F10" s="300"/>
      <c r="G10" s="300"/>
      <c r="H10" s="300"/>
      <c r="I10" s="300"/>
      <c r="J10" s="300"/>
      <c r="K10" s="300"/>
      <c r="L10" s="300"/>
      <c r="M10" s="300"/>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1"/>
    </row>
    <row r="11" spans="1:41" ht="18" customHeight="1">
      <c r="B11" s="2463" t="s">
        <v>1122</v>
      </c>
      <c r="C11" s="2463"/>
      <c r="D11" s="2463"/>
      <c r="E11" s="2463"/>
      <c r="F11" s="2463"/>
      <c r="G11" s="2463"/>
      <c r="H11" s="2463"/>
      <c r="I11" s="2463"/>
      <c r="J11" s="2463"/>
      <c r="K11" s="2463"/>
      <c r="L11" s="2463"/>
      <c r="M11" s="2463"/>
      <c r="N11" s="2463"/>
      <c r="O11" s="2463"/>
      <c r="P11" s="2463"/>
      <c r="Q11" s="2463"/>
      <c r="R11" s="2463"/>
      <c r="S11" s="2463"/>
      <c r="T11" s="2463"/>
      <c r="U11" s="2463"/>
      <c r="V11" s="2463"/>
      <c r="W11" s="2463"/>
      <c r="X11" s="2463"/>
      <c r="Y11" s="2463"/>
      <c r="Z11" s="2463"/>
      <c r="AA11" s="2463"/>
      <c r="AB11" s="2463"/>
      <c r="AC11" s="2463"/>
      <c r="AD11" s="2463"/>
      <c r="AE11" s="2463"/>
      <c r="AF11" s="2463"/>
      <c r="AG11" s="2463"/>
      <c r="AH11" s="2463"/>
      <c r="AI11" s="2463"/>
      <c r="AJ11" s="2463"/>
      <c r="AK11" s="2463"/>
      <c r="AL11" s="2463"/>
      <c r="AM11" s="2463"/>
    </row>
    <row r="12" spans="1:41" ht="18" customHeight="1">
      <c r="A12" s="965"/>
      <c r="B12" s="2105" t="s">
        <v>1115</v>
      </c>
      <c r="C12" s="2106"/>
      <c r="D12" s="2107"/>
      <c r="E12" s="2494" t="s">
        <v>1123</v>
      </c>
      <c r="F12" s="2494"/>
      <c r="G12" s="2494"/>
      <c r="H12" s="2494"/>
      <c r="I12" s="2494"/>
      <c r="J12" s="2494"/>
      <c r="K12" s="2494"/>
      <c r="L12" s="2494"/>
      <c r="M12" s="2494"/>
      <c r="N12" s="2493" t="s">
        <v>1124</v>
      </c>
      <c r="O12" s="2493"/>
      <c r="P12" s="2493"/>
      <c r="Q12" s="2493"/>
      <c r="R12" s="2493"/>
      <c r="S12" s="2493"/>
      <c r="T12" s="2493"/>
      <c r="U12" s="2493"/>
      <c r="V12" s="2493"/>
      <c r="W12" s="2493"/>
      <c r="X12" s="2493"/>
      <c r="Y12" s="2493"/>
      <c r="Z12" s="2493"/>
      <c r="AA12" s="2493"/>
      <c r="AB12" s="2493"/>
      <c r="AC12" s="2493"/>
      <c r="AD12" s="2493"/>
      <c r="AE12" s="2493"/>
      <c r="AF12" s="2493"/>
      <c r="AG12" s="2493"/>
      <c r="AH12" s="2493"/>
      <c r="AI12" s="2493"/>
      <c r="AJ12" s="2492"/>
      <c r="AK12" s="2492"/>
      <c r="AL12" s="2492"/>
      <c r="AM12" s="2492"/>
    </row>
    <row r="13" spans="1:41" ht="18" customHeight="1">
      <c r="A13" s="965"/>
      <c r="B13" s="1870" t="s">
        <v>1115</v>
      </c>
      <c r="C13" s="1871"/>
      <c r="D13" s="1872"/>
      <c r="E13" s="2488" t="s">
        <v>1125</v>
      </c>
      <c r="F13" s="2488"/>
      <c r="G13" s="2488"/>
      <c r="H13" s="2488"/>
      <c r="I13" s="2488"/>
      <c r="J13" s="2488"/>
      <c r="K13" s="2488"/>
      <c r="L13" s="2488"/>
      <c r="M13" s="2488"/>
      <c r="N13" s="2491" t="s">
        <v>1126</v>
      </c>
      <c r="O13" s="2491"/>
      <c r="P13" s="2491"/>
      <c r="Q13" s="2491"/>
      <c r="R13" s="2491"/>
      <c r="S13" s="2491"/>
      <c r="T13" s="2491"/>
      <c r="U13" s="2491"/>
      <c r="V13" s="2491"/>
      <c r="W13" s="2491"/>
      <c r="X13" s="2491"/>
      <c r="Y13" s="2491"/>
      <c r="Z13" s="2491"/>
      <c r="AA13" s="2491"/>
      <c r="AB13" s="2491"/>
      <c r="AC13" s="2491"/>
      <c r="AD13" s="2491"/>
      <c r="AE13" s="2491"/>
      <c r="AF13" s="2491"/>
      <c r="AG13" s="2491"/>
      <c r="AH13" s="2491"/>
      <c r="AI13" s="2491"/>
      <c r="AJ13" s="1727"/>
      <c r="AK13" s="1727"/>
      <c r="AL13" s="1727"/>
      <c r="AM13" s="1727"/>
      <c r="AN13" s="174"/>
      <c r="AO13" s="36"/>
    </row>
    <row r="14" spans="1:41" ht="18" customHeight="1">
      <c r="A14" s="965"/>
      <c r="B14" s="1870" t="s">
        <v>1115</v>
      </c>
      <c r="C14" s="1871"/>
      <c r="D14" s="1872"/>
      <c r="E14" s="2488" t="s">
        <v>1127</v>
      </c>
      <c r="F14" s="2488"/>
      <c r="G14" s="2488"/>
      <c r="H14" s="2488"/>
      <c r="I14" s="2488"/>
      <c r="J14" s="2488"/>
      <c r="K14" s="2488"/>
      <c r="L14" s="2488"/>
      <c r="M14" s="2488"/>
      <c r="N14" s="2491" t="s">
        <v>1128</v>
      </c>
      <c r="O14" s="2491"/>
      <c r="P14" s="2491"/>
      <c r="Q14" s="2491"/>
      <c r="R14" s="2491"/>
      <c r="S14" s="2491"/>
      <c r="T14" s="2491"/>
      <c r="U14" s="2491"/>
      <c r="V14" s="2491"/>
      <c r="W14" s="2491"/>
      <c r="X14" s="2491"/>
      <c r="Y14" s="2491"/>
      <c r="Z14" s="2491"/>
      <c r="AA14" s="2491"/>
      <c r="AB14" s="2491"/>
      <c r="AC14" s="2491"/>
      <c r="AD14" s="2491"/>
      <c r="AE14" s="2491"/>
      <c r="AF14" s="2491"/>
      <c r="AG14" s="2491"/>
      <c r="AH14" s="2491"/>
      <c r="AI14" s="2491"/>
      <c r="AJ14" s="1727"/>
      <c r="AK14" s="1727"/>
      <c r="AL14" s="1727"/>
      <c r="AM14" s="1727"/>
    </row>
    <row r="15" spans="1:41" ht="18" customHeight="1">
      <c r="A15" s="965"/>
      <c r="B15" s="1870" t="s">
        <v>1115</v>
      </c>
      <c r="C15" s="1871"/>
      <c r="D15" s="1872"/>
      <c r="E15" s="2488" t="s">
        <v>1129</v>
      </c>
      <c r="F15" s="2488"/>
      <c r="G15" s="2488"/>
      <c r="H15" s="2488"/>
      <c r="I15" s="2488"/>
      <c r="J15" s="2488"/>
      <c r="K15" s="2488"/>
      <c r="L15" s="2488"/>
      <c r="M15" s="2488"/>
      <c r="N15" s="2465" t="s">
        <v>1130</v>
      </c>
      <c r="O15" s="2465"/>
      <c r="P15" s="2465"/>
      <c r="Q15" s="2465"/>
      <c r="R15" s="2465"/>
      <c r="S15" s="2465"/>
      <c r="T15" s="2465"/>
      <c r="U15" s="2465"/>
      <c r="V15" s="2465"/>
      <c r="W15" s="2465"/>
      <c r="X15" s="2465"/>
      <c r="Y15" s="2465"/>
      <c r="Z15" s="2465"/>
      <c r="AA15" s="2465"/>
      <c r="AB15" s="2465"/>
      <c r="AC15" s="2465"/>
      <c r="AD15" s="2465"/>
      <c r="AE15" s="2465"/>
      <c r="AF15" s="2465"/>
      <c r="AG15" s="2465"/>
      <c r="AH15" s="2465"/>
      <c r="AI15" s="2465"/>
      <c r="AJ15" s="1727"/>
      <c r="AK15" s="1727"/>
      <c r="AL15" s="1727"/>
      <c r="AM15" s="1727"/>
    </row>
    <row r="16" spans="1:41" ht="18" customHeight="1">
      <c r="A16" s="965"/>
      <c r="B16" s="1870" t="s">
        <v>1115</v>
      </c>
      <c r="C16" s="1871"/>
      <c r="D16" s="1872"/>
      <c r="E16" s="2488" t="s">
        <v>1131</v>
      </c>
      <c r="F16" s="2488"/>
      <c r="G16" s="2488"/>
      <c r="H16" s="2488"/>
      <c r="I16" s="2488"/>
      <c r="J16" s="2488"/>
      <c r="K16" s="2488"/>
      <c r="L16" s="2488"/>
      <c r="M16" s="2488"/>
      <c r="N16" s="2465" t="s">
        <v>1132</v>
      </c>
      <c r="O16" s="2465"/>
      <c r="P16" s="2465"/>
      <c r="Q16" s="2465"/>
      <c r="R16" s="2465"/>
      <c r="S16" s="2465"/>
      <c r="T16" s="2465"/>
      <c r="U16" s="2465"/>
      <c r="V16" s="2465"/>
      <c r="W16" s="2465"/>
      <c r="X16" s="2465"/>
      <c r="Y16" s="2465"/>
      <c r="Z16" s="2465"/>
      <c r="AA16" s="2465"/>
      <c r="AB16" s="2465"/>
      <c r="AC16" s="2465"/>
      <c r="AD16" s="2465"/>
      <c r="AE16" s="2465"/>
      <c r="AF16" s="2465"/>
      <c r="AG16" s="2465"/>
      <c r="AH16" s="2465"/>
      <c r="AI16" s="2465"/>
      <c r="AJ16" s="1727"/>
      <c r="AK16" s="1727"/>
      <c r="AL16" s="1727"/>
      <c r="AM16" s="1727"/>
    </row>
    <row r="17" spans="1:41" ht="18" customHeight="1">
      <c r="A17" s="965"/>
      <c r="B17" s="1870" t="s">
        <v>1115</v>
      </c>
      <c r="C17" s="1871"/>
      <c r="D17" s="1872"/>
      <c r="E17" s="2488" t="s">
        <v>1133</v>
      </c>
      <c r="F17" s="2488"/>
      <c r="G17" s="2488"/>
      <c r="H17" s="2488"/>
      <c r="I17" s="2488"/>
      <c r="J17" s="2488"/>
      <c r="K17" s="2488"/>
      <c r="L17" s="2488"/>
      <c r="M17" s="2488"/>
      <c r="N17" s="2465" t="s">
        <v>1134</v>
      </c>
      <c r="O17" s="2465"/>
      <c r="P17" s="2465"/>
      <c r="Q17" s="2465"/>
      <c r="R17" s="2465"/>
      <c r="S17" s="2465"/>
      <c r="T17" s="2465"/>
      <c r="U17" s="2465"/>
      <c r="V17" s="2465"/>
      <c r="W17" s="2465"/>
      <c r="X17" s="2465"/>
      <c r="Y17" s="2465"/>
      <c r="Z17" s="2465"/>
      <c r="AA17" s="2465"/>
      <c r="AB17" s="2465"/>
      <c r="AC17" s="2465"/>
      <c r="AD17" s="2465"/>
      <c r="AE17" s="2465"/>
      <c r="AF17" s="2465"/>
      <c r="AG17" s="2465"/>
      <c r="AH17" s="2465"/>
      <c r="AI17" s="2465"/>
      <c r="AJ17" s="1727"/>
      <c r="AK17" s="1727"/>
      <c r="AL17" s="1727"/>
      <c r="AM17" s="1727"/>
    </row>
    <row r="18" spans="1:41" ht="18" customHeight="1">
      <c r="A18" s="965"/>
      <c r="B18" s="1870" t="s">
        <v>1115</v>
      </c>
      <c r="C18" s="1871"/>
      <c r="D18" s="1872"/>
      <c r="E18" s="2488" t="s">
        <v>1135</v>
      </c>
      <c r="F18" s="2488"/>
      <c r="G18" s="2488"/>
      <c r="H18" s="2488"/>
      <c r="I18" s="2488"/>
      <c r="J18" s="2488"/>
      <c r="K18" s="2488"/>
      <c r="L18" s="2488"/>
      <c r="M18" s="2488"/>
      <c r="N18" s="2465" t="s">
        <v>1136</v>
      </c>
      <c r="O18" s="2465"/>
      <c r="P18" s="2465"/>
      <c r="Q18" s="2465"/>
      <c r="R18" s="2465"/>
      <c r="S18" s="2465"/>
      <c r="T18" s="2465"/>
      <c r="U18" s="2465"/>
      <c r="V18" s="2465"/>
      <c r="W18" s="2465"/>
      <c r="X18" s="2465"/>
      <c r="Y18" s="2465"/>
      <c r="Z18" s="2465"/>
      <c r="AA18" s="2465"/>
      <c r="AB18" s="2465"/>
      <c r="AC18" s="2465"/>
      <c r="AD18" s="2465"/>
      <c r="AE18" s="2465"/>
      <c r="AF18" s="2465"/>
      <c r="AG18" s="2465"/>
      <c r="AH18" s="2465"/>
      <c r="AI18" s="2465"/>
      <c r="AJ18" s="1727"/>
      <c r="AK18" s="1727"/>
      <c r="AL18" s="1727"/>
      <c r="AM18" s="1727"/>
      <c r="AN18" s="24"/>
      <c r="AO18" s="110"/>
    </row>
    <row r="19" spans="1:41" ht="18" customHeight="1">
      <c r="A19" s="301"/>
      <c r="B19" s="2479"/>
      <c r="C19" s="2479"/>
      <c r="D19" s="2479"/>
      <c r="E19" s="2479"/>
      <c r="F19" s="2479"/>
      <c r="G19" s="2479"/>
      <c r="H19" s="2479"/>
      <c r="I19" s="2479"/>
      <c r="J19" s="2479"/>
      <c r="K19" s="2479"/>
      <c r="L19" s="2479"/>
      <c r="M19" s="2479"/>
      <c r="N19" s="2479"/>
      <c r="O19" s="2479"/>
      <c r="P19" s="2479"/>
      <c r="Q19" s="2479"/>
      <c r="R19" s="2479"/>
      <c r="S19" s="2479"/>
      <c r="T19" s="2479"/>
      <c r="U19" s="2479"/>
      <c r="V19" s="2479"/>
      <c r="W19" s="2479"/>
      <c r="X19" s="2479"/>
      <c r="Y19" s="2479"/>
      <c r="Z19" s="2479"/>
      <c r="AA19" s="2479"/>
      <c r="AB19" s="2479"/>
      <c r="AC19" s="2479"/>
      <c r="AD19" s="2479"/>
      <c r="AE19" s="2479"/>
      <c r="AF19" s="2479"/>
      <c r="AG19" s="2479"/>
      <c r="AH19" s="2479"/>
      <c r="AI19" s="2479"/>
      <c r="AJ19" s="2479"/>
      <c r="AK19" s="2479"/>
      <c r="AL19" s="2479"/>
      <c r="AM19" s="2479"/>
      <c r="AN19" s="24"/>
      <c r="AO19" s="110"/>
    </row>
    <row r="20" spans="1:41" ht="18" customHeight="1">
      <c r="B20" s="2463" t="s">
        <v>1137</v>
      </c>
      <c r="C20" s="2463"/>
      <c r="D20" s="2463"/>
      <c r="E20" s="2463"/>
      <c r="F20" s="2463"/>
      <c r="G20" s="2463"/>
      <c r="H20" s="2463"/>
      <c r="I20" s="2463"/>
      <c r="J20" s="2463"/>
      <c r="K20" s="2463"/>
      <c r="L20" s="2463"/>
      <c r="M20" s="2463"/>
      <c r="N20" s="2463"/>
      <c r="O20" s="2463"/>
      <c r="P20" s="2463"/>
      <c r="Q20" s="2463"/>
      <c r="R20" s="2463"/>
      <c r="S20" s="2463"/>
      <c r="T20" s="2463"/>
      <c r="U20" s="2463"/>
      <c r="V20" s="2463"/>
      <c r="W20" s="2463"/>
      <c r="X20" s="2463"/>
      <c r="Y20" s="2463"/>
      <c r="Z20" s="2463"/>
      <c r="AA20" s="2463"/>
      <c r="AB20" s="2463"/>
      <c r="AC20" s="2463"/>
      <c r="AD20" s="2463"/>
      <c r="AE20" s="2463"/>
      <c r="AF20" s="2463"/>
      <c r="AG20" s="2463"/>
      <c r="AH20" s="2463"/>
      <c r="AI20" s="2463"/>
      <c r="AJ20" s="2463"/>
      <c r="AK20" s="2463"/>
      <c r="AL20" s="2463"/>
      <c r="AM20" s="2463"/>
    </row>
    <row r="21" spans="1:41" ht="18" customHeight="1">
      <c r="A21" s="965"/>
      <c r="B21" s="1870" t="s">
        <v>1115</v>
      </c>
      <c r="C21" s="1871"/>
      <c r="D21" s="1872"/>
      <c r="E21" s="2488" t="s">
        <v>1138</v>
      </c>
      <c r="F21" s="2488"/>
      <c r="G21" s="2488"/>
      <c r="H21" s="2488"/>
      <c r="I21" s="2488"/>
      <c r="J21" s="2488"/>
      <c r="K21" s="2488"/>
      <c r="L21" s="2488"/>
      <c r="M21" s="2488"/>
      <c r="N21" s="2491" t="s">
        <v>1124</v>
      </c>
      <c r="O21" s="2491"/>
      <c r="P21" s="2491"/>
      <c r="Q21" s="2491"/>
      <c r="R21" s="2491"/>
      <c r="S21" s="2491"/>
      <c r="T21" s="2491"/>
      <c r="U21" s="2491"/>
      <c r="V21" s="2491"/>
      <c r="W21" s="2491"/>
      <c r="X21" s="2491"/>
      <c r="Y21" s="2491"/>
      <c r="Z21" s="2491"/>
      <c r="AA21" s="2491"/>
      <c r="AB21" s="2491"/>
      <c r="AC21" s="2491"/>
      <c r="AD21" s="2491"/>
      <c r="AE21" s="2491"/>
      <c r="AF21" s="2491"/>
      <c r="AG21" s="2491"/>
      <c r="AH21" s="2491"/>
      <c r="AI21" s="2491"/>
      <c r="AJ21" s="1727"/>
      <c r="AK21" s="1727"/>
      <c r="AL21" s="1727"/>
      <c r="AM21" s="1727"/>
    </row>
    <row r="22" spans="1:41" ht="18" customHeight="1">
      <c r="A22" s="965"/>
      <c r="B22" s="1870" t="s">
        <v>1115</v>
      </c>
      <c r="C22" s="1871"/>
      <c r="D22" s="1872"/>
      <c r="E22" s="2488" t="s">
        <v>1139</v>
      </c>
      <c r="F22" s="2488"/>
      <c r="G22" s="2488"/>
      <c r="H22" s="2488"/>
      <c r="I22" s="2488"/>
      <c r="J22" s="2488"/>
      <c r="K22" s="2488"/>
      <c r="L22" s="2488"/>
      <c r="M22" s="2488"/>
      <c r="N22" s="2491" t="s">
        <v>1126</v>
      </c>
      <c r="O22" s="2491"/>
      <c r="P22" s="2491"/>
      <c r="Q22" s="2491"/>
      <c r="R22" s="2491"/>
      <c r="S22" s="2491"/>
      <c r="T22" s="2491"/>
      <c r="U22" s="2491"/>
      <c r="V22" s="2491"/>
      <c r="W22" s="2491"/>
      <c r="X22" s="2491"/>
      <c r="Y22" s="2491"/>
      <c r="Z22" s="2491"/>
      <c r="AA22" s="2491"/>
      <c r="AB22" s="2491"/>
      <c r="AC22" s="2491"/>
      <c r="AD22" s="2491"/>
      <c r="AE22" s="2491"/>
      <c r="AF22" s="2491"/>
      <c r="AG22" s="2491"/>
      <c r="AH22" s="2491"/>
      <c r="AI22" s="2491"/>
      <c r="AJ22" s="1727"/>
      <c r="AK22" s="1727"/>
      <c r="AL22" s="1727"/>
      <c r="AM22" s="1727"/>
      <c r="AN22" s="174"/>
      <c r="AO22" s="36"/>
    </row>
    <row r="23" spans="1:41" ht="18" customHeight="1">
      <c r="A23" s="965"/>
      <c r="B23" s="1870" t="s">
        <v>1115</v>
      </c>
      <c r="C23" s="1871"/>
      <c r="D23" s="1872"/>
      <c r="E23" s="2488" t="s">
        <v>1140</v>
      </c>
      <c r="F23" s="2488"/>
      <c r="G23" s="2488"/>
      <c r="H23" s="2488"/>
      <c r="I23" s="2488"/>
      <c r="J23" s="2488"/>
      <c r="K23" s="2488"/>
      <c r="L23" s="2488"/>
      <c r="M23" s="2488"/>
      <c r="N23" s="2491" t="s">
        <v>1128</v>
      </c>
      <c r="O23" s="2491"/>
      <c r="P23" s="2491"/>
      <c r="Q23" s="2491"/>
      <c r="R23" s="2491"/>
      <c r="S23" s="2491"/>
      <c r="T23" s="2491"/>
      <c r="U23" s="2491"/>
      <c r="V23" s="2491"/>
      <c r="W23" s="2491"/>
      <c r="X23" s="2491"/>
      <c r="Y23" s="2491"/>
      <c r="Z23" s="2491"/>
      <c r="AA23" s="2491"/>
      <c r="AB23" s="2491"/>
      <c r="AC23" s="2491"/>
      <c r="AD23" s="2491"/>
      <c r="AE23" s="2491"/>
      <c r="AF23" s="2491"/>
      <c r="AG23" s="2491"/>
      <c r="AH23" s="2491"/>
      <c r="AI23" s="2491"/>
      <c r="AJ23" s="1727"/>
      <c r="AK23" s="1727"/>
      <c r="AL23" s="1727"/>
      <c r="AM23" s="1727"/>
    </row>
    <row r="24" spans="1:41" ht="18" customHeight="1">
      <c r="A24" s="965"/>
      <c r="B24" s="1870" t="s">
        <v>1115</v>
      </c>
      <c r="C24" s="1871"/>
      <c r="D24" s="1872"/>
      <c r="E24" s="2488" t="s">
        <v>1141</v>
      </c>
      <c r="F24" s="2488"/>
      <c r="G24" s="2488"/>
      <c r="H24" s="2488"/>
      <c r="I24" s="2488"/>
      <c r="J24" s="2488"/>
      <c r="K24" s="2488"/>
      <c r="L24" s="2488"/>
      <c r="M24" s="2488"/>
      <c r="N24" s="2465" t="s">
        <v>1130</v>
      </c>
      <c r="O24" s="2465"/>
      <c r="P24" s="2465"/>
      <c r="Q24" s="2465"/>
      <c r="R24" s="2465"/>
      <c r="S24" s="2465"/>
      <c r="T24" s="2465"/>
      <c r="U24" s="2465"/>
      <c r="V24" s="2465"/>
      <c r="W24" s="2465"/>
      <c r="X24" s="2465"/>
      <c r="Y24" s="2465"/>
      <c r="Z24" s="2465"/>
      <c r="AA24" s="2465"/>
      <c r="AB24" s="2465"/>
      <c r="AC24" s="2465"/>
      <c r="AD24" s="2465"/>
      <c r="AE24" s="2465"/>
      <c r="AF24" s="2465"/>
      <c r="AG24" s="2465"/>
      <c r="AH24" s="2465"/>
      <c r="AI24" s="2465"/>
      <c r="AJ24" s="1727"/>
      <c r="AK24" s="1727"/>
      <c r="AL24" s="1727"/>
      <c r="AM24" s="1727"/>
    </row>
    <row r="25" spans="1:41" ht="18" customHeight="1">
      <c r="A25" s="965"/>
      <c r="B25" s="1870" t="s">
        <v>1115</v>
      </c>
      <c r="C25" s="1871"/>
      <c r="D25" s="1872"/>
      <c r="E25" s="2488" t="s">
        <v>1142</v>
      </c>
      <c r="F25" s="2488"/>
      <c r="G25" s="2488"/>
      <c r="H25" s="2488"/>
      <c r="I25" s="2488"/>
      <c r="J25" s="2488"/>
      <c r="K25" s="2488"/>
      <c r="L25" s="2488"/>
      <c r="M25" s="2488"/>
      <c r="N25" s="2465" t="s">
        <v>1132</v>
      </c>
      <c r="O25" s="2465"/>
      <c r="P25" s="2465"/>
      <c r="Q25" s="2465"/>
      <c r="R25" s="2465"/>
      <c r="S25" s="2465"/>
      <c r="T25" s="2465"/>
      <c r="U25" s="2465"/>
      <c r="V25" s="2465"/>
      <c r="W25" s="2465"/>
      <c r="X25" s="2465"/>
      <c r="Y25" s="2465"/>
      <c r="Z25" s="2465"/>
      <c r="AA25" s="2465"/>
      <c r="AB25" s="2465"/>
      <c r="AC25" s="2465"/>
      <c r="AD25" s="2465"/>
      <c r="AE25" s="2465"/>
      <c r="AF25" s="2465"/>
      <c r="AG25" s="2465"/>
      <c r="AH25" s="2465"/>
      <c r="AI25" s="2465"/>
      <c r="AJ25" s="1727"/>
      <c r="AK25" s="1727"/>
      <c r="AL25" s="1727"/>
      <c r="AM25" s="1727"/>
    </row>
    <row r="26" spans="1:41" ht="18" customHeight="1">
      <c r="A26" s="965"/>
      <c r="B26" s="1870" t="s">
        <v>1115</v>
      </c>
      <c r="C26" s="1871"/>
      <c r="D26" s="1872"/>
      <c r="E26" s="2488" t="s">
        <v>1143</v>
      </c>
      <c r="F26" s="2488"/>
      <c r="G26" s="2488"/>
      <c r="H26" s="2488"/>
      <c r="I26" s="2488"/>
      <c r="J26" s="2488"/>
      <c r="K26" s="2488"/>
      <c r="L26" s="2488"/>
      <c r="M26" s="2488"/>
      <c r="N26" s="2465" t="s">
        <v>1144</v>
      </c>
      <c r="O26" s="2465"/>
      <c r="P26" s="2465"/>
      <c r="Q26" s="2465"/>
      <c r="R26" s="2465"/>
      <c r="S26" s="2465"/>
      <c r="T26" s="2465"/>
      <c r="U26" s="2465"/>
      <c r="V26" s="2465"/>
      <c r="W26" s="2465"/>
      <c r="X26" s="2465"/>
      <c r="Y26" s="2465"/>
      <c r="Z26" s="2465"/>
      <c r="AA26" s="2465"/>
      <c r="AB26" s="2465"/>
      <c r="AC26" s="2465"/>
      <c r="AD26" s="2465"/>
      <c r="AE26" s="2465"/>
      <c r="AF26" s="2465"/>
      <c r="AG26" s="2465"/>
      <c r="AH26" s="2465"/>
      <c r="AI26" s="2465"/>
      <c r="AJ26" s="1727"/>
      <c r="AK26" s="1727"/>
      <c r="AL26" s="1727"/>
      <c r="AM26" s="1727"/>
    </row>
    <row r="27" spans="1:41" ht="18" customHeight="1">
      <c r="A27" s="965"/>
      <c r="B27" s="1870" t="s">
        <v>1115</v>
      </c>
      <c r="C27" s="1871"/>
      <c r="D27" s="1872"/>
      <c r="E27" s="2488" t="s">
        <v>1145</v>
      </c>
      <c r="F27" s="2488"/>
      <c r="G27" s="2488"/>
      <c r="H27" s="2488"/>
      <c r="I27" s="2488"/>
      <c r="J27" s="2488"/>
      <c r="K27" s="2488"/>
      <c r="L27" s="2488"/>
      <c r="M27" s="2488"/>
      <c r="N27" s="2465" t="s">
        <v>1146</v>
      </c>
      <c r="O27" s="2465"/>
      <c r="P27" s="2465"/>
      <c r="Q27" s="2465"/>
      <c r="R27" s="2465"/>
      <c r="S27" s="2465"/>
      <c r="T27" s="2465"/>
      <c r="U27" s="2465"/>
      <c r="V27" s="2465"/>
      <c r="W27" s="2465"/>
      <c r="X27" s="2465"/>
      <c r="Y27" s="2465"/>
      <c r="Z27" s="2465"/>
      <c r="AA27" s="2465"/>
      <c r="AB27" s="2465"/>
      <c r="AC27" s="2465"/>
      <c r="AD27" s="2465"/>
      <c r="AE27" s="2465"/>
      <c r="AF27" s="2465"/>
      <c r="AG27" s="2465"/>
      <c r="AH27" s="2465"/>
      <c r="AI27" s="2465"/>
      <c r="AJ27" s="1727"/>
      <c r="AK27" s="1727"/>
      <c r="AL27" s="1727"/>
      <c r="AM27" s="1727"/>
    </row>
    <row r="28" spans="1:41" ht="18" customHeight="1">
      <c r="A28" s="301"/>
      <c r="B28" s="2479"/>
      <c r="C28" s="2479"/>
      <c r="D28" s="2479"/>
      <c r="E28" s="2479"/>
      <c r="F28" s="2479"/>
      <c r="G28" s="2479"/>
      <c r="H28" s="2479"/>
      <c r="I28" s="2479"/>
      <c r="J28" s="2479"/>
      <c r="K28" s="2479"/>
      <c r="L28" s="2479"/>
      <c r="M28" s="2479"/>
      <c r="N28" s="2479"/>
      <c r="O28" s="2479"/>
      <c r="P28" s="2479"/>
      <c r="Q28" s="2479"/>
      <c r="R28" s="2479"/>
      <c r="S28" s="2479"/>
      <c r="T28" s="2479"/>
      <c r="U28" s="2479"/>
      <c r="V28" s="2479"/>
      <c r="W28" s="2479"/>
      <c r="X28" s="2479"/>
      <c r="Y28" s="2479"/>
      <c r="Z28" s="2479"/>
      <c r="AA28" s="2479"/>
      <c r="AB28" s="2479"/>
      <c r="AC28" s="2479"/>
      <c r="AD28" s="2479"/>
      <c r="AE28" s="2479"/>
      <c r="AF28" s="2479"/>
      <c r="AG28" s="2479"/>
      <c r="AH28" s="2479"/>
      <c r="AI28" s="2479"/>
      <c r="AJ28" s="2479"/>
      <c r="AK28" s="2479"/>
      <c r="AL28" s="2479"/>
      <c r="AM28" s="2479"/>
    </row>
    <row r="29" spans="1:41" ht="18" customHeight="1">
      <c r="B29" s="2463" t="s">
        <v>1147</v>
      </c>
      <c r="C29" s="2463"/>
      <c r="D29" s="2463"/>
      <c r="E29" s="2463"/>
      <c r="F29" s="2463"/>
      <c r="G29" s="2463"/>
      <c r="H29" s="2463"/>
      <c r="I29" s="2463"/>
      <c r="J29" s="2463"/>
      <c r="K29" s="2463"/>
      <c r="L29" s="2463"/>
      <c r="M29" s="2463"/>
      <c r="N29" s="2463"/>
      <c r="O29" s="2463"/>
      <c r="P29" s="2463"/>
      <c r="Q29" s="2463"/>
      <c r="R29" s="2463"/>
      <c r="S29" s="2463"/>
      <c r="T29" s="2463"/>
      <c r="U29" s="2463"/>
      <c r="V29" s="2463"/>
      <c r="W29" s="2463"/>
      <c r="X29" s="2463"/>
      <c r="Y29" s="2463"/>
      <c r="Z29" s="2463"/>
      <c r="AA29" s="2463"/>
      <c r="AB29" s="2463"/>
      <c r="AC29" s="2463"/>
      <c r="AD29" s="2463"/>
      <c r="AE29" s="2463"/>
      <c r="AF29" s="2463"/>
      <c r="AG29" s="2463"/>
      <c r="AH29" s="2463"/>
      <c r="AI29" s="2463"/>
      <c r="AJ29" s="2463"/>
      <c r="AK29" s="2463"/>
      <c r="AL29" s="2463"/>
      <c r="AM29" s="2463"/>
    </row>
    <row r="30" spans="1:41" ht="18" customHeight="1">
      <c r="A30" s="965"/>
      <c r="B30" s="1870" t="s">
        <v>1115</v>
      </c>
      <c r="C30" s="1871"/>
      <c r="D30" s="1872"/>
      <c r="E30" s="2488" t="s">
        <v>1148</v>
      </c>
      <c r="F30" s="2488"/>
      <c r="G30" s="2488"/>
      <c r="H30" s="2488"/>
      <c r="I30" s="2488"/>
      <c r="J30" s="2488"/>
      <c r="K30" s="2488"/>
      <c r="L30" s="2488"/>
      <c r="M30" s="2488"/>
      <c r="N30" s="2465" t="s">
        <v>1149</v>
      </c>
      <c r="O30" s="2465"/>
      <c r="P30" s="2465"/>
      <c r="Q30" s="2465"/>
      <c r="R30" s="2465"/>
      <c r="S30" s="2465"/>
      <c r="T30" s="2465"/>
      <c r="U30" s="2465"/>
      <c r="V30" s="2465"/>
      <c r="W30" s="2465"/>
      <c r="X30" s="2465"/>
      <c r="Y30" s="2465"/>
      <c r="Z30" s="2465"/>
      <c r="AA30" s="2465"/>
      <c r="AB30" s="2465"/>
      <c r="AC30" s="2465"/>
      <c r="AD30" s="2465"/>
      <c r="AE30" s="2465"/>
      <c r="AF30" s="2465"/>
      <c r="AG30" s="2465"/>
      <c r="AH30" s="2465"/>
      <c r="AI30" s="2465"/>
      <c r="AJ30" s="1727"/>
      <c r="AK30" s="1727"/>
      <c r="AL30" s="1727"/>
      <c r="AM30" s="1727"/>
    </row>
    <row r="31" spans="1:41" ht="18" customHeight="1">
      <c r="A31" s="965"/>
      <c r="B31" s="1870" t="s">
        <v>1115</v>
      </c>
      <c r="C31" s="1871"/>
      <c r="D31" s="1872"/>
      <c r="E31" s="2488" t="s">
        <v>1150</v>
      </c>
      <c r="F31" s="2488"/>
      <c r="G31" s="2488"/>
      <c r="H31" s="2488"/>
      <c r="I31" s="2488"/>
      <c r="J31" s="2488"/>
      <c r="K31" s="2488"/>
      <c r="L31" s="2488"/>
      <c r="M31" s="2488"/>
      <c r="N31" s="2491" t="s">
        <v>1124</v>
      </c>
      <c r="O31" s="2491"/>
      <c r="P31" s="2491"/>
      <c r="Q31" s="2491"/>
      <c r="R31" s="2491"/>
      <c r="S31" s="2491"/>
      <c r="T31" s="2491"/>
      <c r="U31" s="2491"/>
      <c r="V31" s="2491"/>
      <c r="W31" s="2491"/>
      <c r="X31" s="2491"/>
      <c r="Y31" s="2491"/>
      <c r="Z31" s="2491"/>
      <c r="AA31" s="2491"/>
      <c r="AB31" s="2491"/>
      <c r="AC31" s="2491"/>
      <c r="AD31" s="2491"/>
      <c r="AE31" s="2491"/>
      <c r="AF31" s="2491"/>
      <c r="AG31" s="2491"/>
      <c r="AH31" s="2491"/>
      <c r="AI31" s="2491"/>
      <c r="AJ31" s="1727"/>
      <c r="AK31" s="1727"/>
      <c r="AL31" s="1727"/>
      <c r="AM31" s="1727"/>
    </row>
    <row r="32" spans="1:41" ht="18" customHeight="1">
      <c r="A32" s="965"/>
      <c r="B32" s="1870" t="s">
        <v>1115</v>
      </c>
      <c r="C32" s="1871"/>
      <c r="D32" s="1872"/>
      <c r="E32" s="2488" t="s">
        <v>1151</v>
      </c>
      <c r="F32" s="2488"/>
      <c r="G32" s="2488"/>
      <c r="H32" s="2488"/>
      <c r="I32" s="2488"/>
      <c r="J32" s="2488"/>
      <c r="K32" s="2488"/>
      <c r="L32" s="2488"/>
      <c r="M32" s="2488"/>
      <c r="N32" s="2491" t="s">
        <v>1126</v>
      </c>
      <c r="O32" s="2491"/>
      <c r="P32" s="2491"/>
      <c r="Q32" s="2491"/>
      <c r="R32" s="2491"/>
      <c r="S32" s="2491"/>
      <c r="T32" s="2491"/>
      <c r="U32" s="2491"/>
      <c r="V32" s="2491"/>
      <c r="W32" s="2491"/>
      <c r="X32" s="2491"/>
      <c r="Y32" s="2491"/>
      <c r="Z32" s="2491"/>
      <c r="AA32" s="2491"/>
      <c r="AB32" s="2491"/>
      <c r="AC32" s="2491"/>
      <c r="AD32" s="2491"/>
      <c r="AE32" s="2491"/>
      <c r="AF32" s="2491"/>
      <c r="AG32" s="2491"/>
      <c r="AH32" s="2491"/>
      <c r="AI32" s="2491"/>
      <c r="AJ32" s="1727"/>
      <c r="AK32" s="1727"/>
      <c r="AL32" s="1727"/>
      <c r="AM32" s="1727"/>
      <c r="AN32" s="174"/>
      <c r="AO32" s="36"/>
    </row>
    <row r="33" spans="1:41" ht="18" customHeight="1">
      <c r="A33" s="965"/>
      <c r="B33" s="1870" t="s">
        <v>1115</v>
      </c>
      <c r="C33" s="1871"/>
      <c r="D33" s="1872"/>
      <c r="E33" s="2488" t="s">
        <v>1152</v>
      </c>
      <c r="F33" s="2488"/>
      <c r="G33" s="2488"/>
      <c r="H33" s="2488"/>
      <c r="I33" s="2488"/>
      <c r="J33" s="2488"/>
      <c r="K33" s="2488"/>
      <c r="L33" s="2488"/>
      <c r="M33" s="2488"/>
      <c r="N33" s="2491" t="s">
        <v>1128</v>
      </c>
      <c r="O33" s="2491"/>
      <c r="P33" s="2491"/>
      <c r="Q33" s="2491"/>
      <c r="R33" s="2491"/>
      <c r="S33" s="2491"/>
      <c r="T33" s="2491"/>
      <c r="U33" s="2491"/>
      <c r="V33" s="2491"/>
      <c r="W33" s="2491"/>
      <c r="X33" s="2491"/>
      <c r="Y33" s="2491"/>
      <c r="Z33" s="2491"/>
      <c r="AA33" s="2491"/>
      <c r="AB33" s="2491"/>
      <c r="AC33" s="2491"/>
      <c r="AD33" s="2491"/>
      <c r="AE33" s="2491"/>
      <c r="AF33" s="2491"/>
      <c r="AG33" s="2491"/>
      <c r="AH33" s="2491"/>
      <c r="AI33" s="2491"/>
      <c r="AJ33" s="1727"/>
      <c r="AK33" s="1727"/>
      <c r="AL33" s="1727"/>
      <c r="AM33" s="1727"/>
    </row>
    <row r="34" spans="1:41" ht="18" customHeight="1">
      <c r="A34" s="965"/>
      <c r="B34" s="1870" t="s">
        <v>1115</v>
      </c>
      <c r="C34" s="1871"/>
      <c r="D34" s="1872"/>
      <c r="E34" s="2488" t="s">
        <v>1153</v>
      </c>
      <c r="F34" s="2488"/>
      <c r="G34" s="2488"/>
      <c r="H34" s="2488"/>
      <c r="I34" s="2488"/>
      <c r="J34" s="2488"/>
      <c r="K34" s="2488"/>
      <c r="L34" s="2488"/>
      <c r="M34" s="2488"/>
      <c r="N34" s="2465" t="s">
        <v>1130</v>
      </c>
      <c r="O34" s="2465"/>
      <c r="P34" s="2465"/>
      <c r="Q34" s="2465"/>
      <c r="R34" s="2465"/>
      <c r="S34" s="2465"/>
      <c r="T34" s="2465"/>
      <c r="U34" s="2465"/>
      <c r="V34" s="2465"/>
      <c r="W34" s="2465"/>
      <c r="X34" s="2465"/>
      <c r="Y34" s="2465"/>
      <c r="Z34" s="2465"/>
      <c r="AA34" s="2465"/>
      <c r="AB34" s="2465"/>
      <c r="AC34" s="2465"/>
      <c r="AD34" s="2465"/>
      <c r="AE34" s="2465"/>
      <c r="AF34" s="2465"/>
      <c r="AG34" s="2465"/>
      <c r="AH34" s="2465"/>
      <c r="AI34" s="2465"/>
      <c r="AJ34" s="1727"/>
      <c r="AK34" s="1727"/>
      <c r="AL34" s="1727"/>
      <c r="AM34" s="1727"/>
      <c r="AN34" s="16"/>
    </row>
    <row r="35" spans="1:41" ht="18" customHeight="1">
      <c r="A35" s="965"/>
      <c r="B35" s="1870" t="s">
        <v>1115</v>
      </c>
      <c r="C35" s="1871"/>
      <c r="D35" s="1872"/>
      <c r="E35" s="2488" t="s">
        <v>1154</v>
      </c>
      <c r="F35" s="2488"/>
      <c r="G35" s="2488"/>
      <c r="H35" s="2488"/>
      <c r="I35" s="2488"/>
      <c r="J35" s="2488"/>
      <c r="K35" s="2488"/>
      <c r="L35" s="2488"/>
      <c r="M35" s="2488"/>
      <c r="N35" s="2465" t="s">
        <v>1132</v>
      </c>
      <c r="O35" s="2465"/>
      <c r="P35" s="2465"/>
      <c r="Q35" s="2465"/>
      <c r="R35" s="2465"/>
      <c r="S35" s="2465"/>
      <c r="T35" s="2465"/>
      <c r="U35" s="2465"/>
      <c r="V35" s="2465"/>
      <c r="W35" s="2465"/>
      <c r="X35" s="2465"/>
      <c r="Y35" s="2465"/>
      <c r="Z35" s="2465"/>
      <c r="AA35" s="2465"/>
      <c r="AB35" s="2465"/>
      <c r="AC35" s="2465"/>
      <c r="AD35" s="2465"/>
      <c r="AE35" s="2465"/>
      <c r="AF35" s="2465"/>
      <c r="AG35" s="2465"/>
      <c r="AH35" s="2465"/>
      <c r="AI35" s="2465"/>
      <c r="AJ35" s="1727"/>
      <c r="AK35" s="1727"/>
      <c r="AL35" s="1727"/>
      <c r="AM35" s="1727"/>
    </row>
    <row r="36" spans="1:41" ht="18" customHeight="1">
      <c r="A36" s="965"/>
      <c r="B36" s="1870" t="s">
        <v>1115</v>
      </c>
      <c r="C36" s="1871"/>
      <c r="D36" s="1872"/>
      <c r="E36" s="2488" t="s">
        <v>1155</v>
      </c>
      <c r="F36" s="2488"/>
      <c r="G36" s="2488"/>
      <c r="H36" s="2488"/>
      <c r="I36" s="2488"/>
      <c r="J36" s="2488"/>
      <c r="K36" s="2488"/>
      <c r="L36" s="2488"/>
      <c r="M36" s="2488"/>
      <c r="N36" s="2465" t="s">
        <v>1144</v>
      </c>
      <c r="O36" s="2465"/>
      <c r="P36" s="2465"/>
      <c r="Q36" s="2465"/>
      <c r="R36" s="2465"/>
      <c r="S36" s="2465"/>
      <c r="T36" s="2465"/>
      <c r="U36" s="2465"/>
      <c r="V36" s="2465"/>
      <c r="W36" s="2465"/>
      <c r="X36" s="2465"/>
      <c r="Y36" s="2465"/>
      <c r="Z36" s="2465"/>
      <c r="AA36" s="2465"/>
      <c r="AB36" s="2465"/>
      <c r="AC36" s="2465"/>
      <c r="AD36" s="2465"/>
      <c r="AE36" s="2465"/>
      <c r="AF36" s="2465"/>
      <c r="AG36" s="2465"/>
      <c r="AH36" s="2465"/>
      <c r="AI36" s="2465"/>
      <c r="AJ36" s="1727"/>
      <c r="AK36" s="1727"/>
      <c r="AL36" s="1727"/>
      <c r="AM36" s="1727"/>
    </row>
    <row r="37" spans="1:41" ht="18" customHeight="1">
      <c r="A37" s="965"/>
      <c r="B37" s="1870" t="s">
        <v>1115</v>
      </c>
      <c r="C37" s="1871"/>
      <c r="D37" s="1872"/>
      <c r="E37" s="2488" t="s">
        <v>1156</v>
      </c>
      <c r="F37" s="2488"/>
      <c r="G37" s="2488"/>
      <c r="H37" s="2488"/>
      <c r="I37" s="2488"/>
      <c r="J37" s="2488"/>
      <c r="K37" s="2488"/>
      <c r="L37" s="2488"/>
      <c r="M37" s="2488"/>
      <c r="N37" s="2465" t="s">
        <v>1136</v>
      </c>
      <c r="O37" s="2465"/>
      <c r="P37" s="2465"/>
      <c r="Q37" s="2465"/>
      <c r="R37" s="2465"/>
      <c r="S37" s="2465"/>
      <c r="T37" s="2465"/>
      <c r="U37" s="2465"/>
      <c r="V37" s="2465"/>
      <c r="W37" s="2465"/>
      <c r="X37" s="2465"/>
      <c r="Y37" s="2465"/>
      <c r="Z37" s="2465"/>
      <c r="AA37" s="2465"/>
      <c r="AB37" s="2465"/>
      <c r="AC37" s="2465"/>
      <c r="AD37" s="2465"/>
      <c r="AE37" s="2465"/>
      <c r="AF37" s="2465"/>
      <c r="AG37" s="2465"/>
      <c r="AH37" s="2465"/>
      <c r="AI37" s="2465"/>
      <c r="AJ37" s="1727"/>
      <c r="AK37" s="1727"/>
      <c r="AL37" s="1727"/>
      <c r="AM37" s="1727"/>
    </row>
    <row r="38" spans="1:41" ht="18.75" customHeight="1">
      <c r="A38" s="301"/>
      <c r="B38" s="2479"/>
      <c r="C38" s="2479"/>
      <c r="D38" s="2479"/>
      <c r="E38" s="2479"/>
      <c r="F38" s="2479"/>
      <c r="G38" s="2479"/>
      <c r="H38" s="2479"/>
      <c r="I38" s="2479"/>
      <c r="J38" s="2479"/>
      <c r="K38" s="2479"/>
      <c r="L38" s="2479"/>
      <c r="M38" s="2479"/>
      <c r="N38" s="2479"/>
      <c r="O38" s="2479"/>
      <c r="P38" s="2479"/>
      <c r="Q38" s="2479"/>
      <c r="R38" s="2479"/>
      <c r="S38" s="2479"/>
      <c r="T38" s="2479"/>
      <c r="U38" s="2479"/>
      <c r="V38" s="2479"/>
      <c r="W38" s="2479"/>
      <c r="X38" s="2479"/>
      <c r="Y38" s="2479"/>
      <c r="Z38" s="2479"/>
      <c r="AA38" s="2479"/>
      <c r="AB38" s="2479"/>
      <c r="AC38" s="2479"/>
      <c r="AD38" s="2479"/>
      <c r="AE38" s="2479"/>
      <c r="AF38" s="2479"/>
      <c r="AG38" s="2479"/>
      <c r="AH38" s="2479"/>
      <c r="AI38" s="2479"/>
      <c r="AJ38" s="2479"/>
      <c r="AK38" s="2479"/>
      <c r="AL38" s="2479"/>
      <c r="AM38" s="2479"/>
    </row>
    <row r="39" spans="1:41" ht="18" customHeight="1">
      <c r="B39" s="2463" t="s">
        <v>1157</v>
      </c>
      <c r="C39" s="2463"/>
      <c r="D39" s="2463"/>
      <c r="E39" s="2463"/>
      <c r="F39" s="2463"/>
      <c r="G39" s="2463"/>
      <c r="H39" s="2463"/>
      <c r="I39" s="2463"/>
      <c r="J39" s="2463"/>
      <c r="K39" s="2463"/>
      <c r="L39" s="2463"/>
      <c r="M39" s="2463"/>
      <c r="N39" s="2463"/>
      <c r="O39" s="2463"/>
      <c r="P39" s="2463"/>
      <c r="Q39" s="2463"/>
      <c r="R39" s="2463"/>
      <c r="S39" s="2463"/>
      <c r="T39" s="2463"/>
      <c r="U39" s="2463"/>
      <c r="V39" s="2463"/>
      <c r="W39" s="2463"/>
      <c r="X39" s="2463"/>
      <c r="Y39" s="2463"/>
      <c r="Z39" s="2463"/>
      <c r="AA39" s="2463"/>
      <c r="AB39" s="2463"/>
      <c r="AC39" s="2463"/>
      <c r="AD39" s="2463"/>
      <c r="AE39" s="2463"/>
      <c r="AF39" s="2463"/>
      <c r="AG39" s="2463"/>
      <c r="AH39" s="2463"/>
      <c r="AI39" s="2463"/>
      <c r="AJ39" s="2463"/>
      <c r="AK39" s="2463"/>
      <c r="AL39" s="2463"/>
      <c r="AM39" s="2463"/>
    </row>
    <row r="40" spans="1:41" ht="18" customHeight="1">
      <c r="A40" s="965"/>
      <c r="B40" s="1870" t="s">
        <v>1115</v>
      </c>
      <c r="C40" s="1871"/>
      <c r="D40" s="1872"/>
      <c r="E40" s="2488" t="s">
        <v>1158</v>
      </c>
      <c r="F40" s="2488"/>
      <c r="G40" s="2488"/>
      <c r="H40" s="2488"/>
      <c r="I40" s="2488"/>
      <c r="J40" s="2488"/>
      <c r="K40" s="2488"/>
      <c r="L40" s="2488"/>
      <c r="M40" s="2488"/>
      <c r="N40" s="2491" t="s">
        <v>1124</v>
      </c>
      <c r="O40" s="2491"/>
      <c r="P40" s="2491"/>
      <c r="Q40" s="2491"/>
      <c r="R40" s="2491"/>
      <c r="S40" s="2491"/>
      <c r="T40" s="2491"/>
      <c r="U40" s="2491"/>
      <c r="V40" s="2491"/>
      <c r="W40" s="2491"/>
      <c r="X40" s="2491"/>
      <c r="Y40" s="2491"/>
      <c r="Z40" s="2491"/>
      <c r="AA40" s="2491"/>
      <c r="AB40" s="2491"/>
      <c r="AC40" s="2491"/>
      <c r="AD40" s="2491"/>
      <c r="AE40" s="2491"/>
      <c r="AF40" s="2491"/>
      <c r="AG40" s="2491"/>
      <c r="AH40" s="2491"/>
      <c r="AI40" s="2491"/>
      <c r="AJ40" s="1727"/>
      <c r="AK40" s="1727"/>
      <c r="AL40" s="1727"/>
      <c r="AM40" s="1727"/>
    </row>
    <row r="41" spans="1:41" ht="18" customHeight="1">
      <c r="A41" s="965"/>
      <c r="B41" s="1870" t="s">
        <v>1115</v>
      </c>
      <c r="C41" s="1871"/>
      <c r="D41" s="1872"/>
      <c r="E41" s="2488" t="s">
        <v>1159</v>
      </c>
      <c r="F41" s="2488"/>
      <c r="G41" s="2488"/>
      <c r="H41" s="2488"/>
      <c r="I41" s="2488"/>
      <c r="J41" s="2488"/>
      <c r="K41" s="2488"/>
      <c r="L41" s="2488"/>
      <c r="M41" s="2488"/>
      <c r="N41" s="2491" t="s">
        <v>1126</v>
      </c>
      <c r="O41" s="2491"/>
      <c r="P41" s="2491"/>
      <c r="Q41" s="2491"/>
      <c r="R41" s="2491"/>
      <c r="S41" s="2491"/>
      <c r="T41" s="2491"/>
      <c r="U41" s="2491"/>
      <c r="V41" s="2491"/>
      <c r="W41" s="2491"/>
      <c r="X41" s="2491"/>
      <c r="Y41" s="2491"/>
      <c r="Z41" s="2491"/>
      <c r="AA41" s="2491"/>
      <c r="AB41" s="2491"/>
      <c r="AC41" s="2491"/>
      <c r="AD41" s="2491"/>
      <c r="AE41" s="2491"/>
      <c r="AF41" s="2491"/>
      <c r="AG41" s="2491"/>
      <c r="AH41" s="2491"/>
      <c r="AI41" s="2491"/>
      <c r="AJ41" s="1727"/>
      <c r="AK41" s="1727"/>
      <c r="AL41" s="1727"/>
      <c r="AM41" s="1727"/>
      <c r="AN41" s="174"/>
      <c r="AO41" s="36"/>
    </row>
    <row r="42" spans="1:41" ht="18" customHeight="1">
      <c r="A42" s="965"/>
      <c r="B42" s="1870" t="s">
        <v>1115</v>
      </c>
      <c r="C42" s="1871"/>
      <c r="D42" s="1872"/>
      <c r="E42" s="2488" t="s">
        <v>1160</v>
      </c>
      <c r="F42" s="2488"/>
      <c r="G42" s="2488"/>
      <c r="H42" s="2488"/>
      <c r="I42" s="2488"/>
      <c r="J42" s="2488"/>
      <c r="K42" s="2488"/>
      <c r="L42" s="2488"/>
      <c r="M42" s="2488"/>
      <c r="N42" s="2491" t="s">
        <v>1128</v>
      </c>
      <c r="O42" s="2491"/>
      <c r="P42" s="2491"/>
      <c r="Q42" s="2491"/>
      <c r="R42" s="2491"/>
      <c r="S42" s="2491"/>
      <c r="T42" s="2491"/>
      <c r="U42" s="2491"/>
      <c r="V42" s="2491"/>
      <c r="W42" s="2491"/>
      <c r="X42" s="2491"/>
      <c r="Y42" s="2491"/>
      <c r="Z42" s="2491"/>
      <c r="AA42" s="2491"/>
      <c r="AB42" s="2491"/>
      <c r="AC42" s="2491"/>
      <c r="AD42" s="2491"/>
      <c r="AE42" s="2491"/>
      <c r="AF42" s="2491"/>
      <c r="AG42" s="2491"/>
      <c r="AH42" s="2491"/>
      <c r="AI42" s="2491"/>
      <c r="AJ42" s="1727"/>
      <c r="AK42" s="1727"/>
      <c r="AL42" s="1727"/>
      <c r="AM42" s="1727"/>
    </row>
    <row r="43" spans="1:41" ht="18" customHeight="1">
      <c r="A43" s="965"/>
      <c r="B43" s="1870" t="s">
        <v>1115</v>
      </c>
      <c r="C43" s="1871"/>
      <c r="D43" s="1872"/>
      <c r="E43" s="2488" t="s">
        <v>1161</v>
      </c>
      <c r="F43" s="2488"/>
      <c r="G43" s="2488"/>
      <c r="H43" s="2488"/>
      <c r="I43" s="2488"/>
      <c r="J43" s="2488"/>
      <c r="K43" s="2488"/>
      <c r="L43" s="2488"/>
      <c r="M43" s="2488"/>
      <c r="N43" s="2465" t="s">
        <v>1130</v>
      </c>
      <c r="O43" s="2465"/>
      <c r="P43" s="2465"/>
      <c r="Q43" s="2465"/>
      <c r="R43" s="2465"/>
      <c r="S43" s="2465"/>
      <c r="T43" s="2465"/>
      <c r="U43" s="2465"/>
      <c r="V43" s="2465"/>
      <c r="W43" s="2465"/>
      <c r="X43" s="2465"/>
      <c r="Y43" s="2465"/>
      <c r="Z43" s="2465"/>
      <c r="AA43" s="2465"/>
      <c r="AB43" s="2465"/>
      <c r="AC43" s="2465"/>
      <c r="AD43" s="2465"/>
      <c r="AE43" s="2465"/>
      <c r="AF43" s="2465"/>
      <c r="AG43" s="2465"/>
      <c r="AH43" s="2465"/>
      <c r="AI43" s="2465"/>
      <c r="AJ43" s="1727"/>
      <c r="AK43" s="1727"/>
      <c r="AL43" s="1727"/>
      <c r="AM43" s="1727"/>
      <c r="AN43" s="16"/>
    </row>
    <row r="44" spans="1:41" ht="18" customHeight="1">
      <c r="A44" s="965"/>
      <c r="B44" s="1870" t="s">
        <v>1115</v>
      </c>
      <c r="C44" s="1871"/>
      <c r="D44" s="1872"/>
      <c r="E44" s="2488" t="s">
        <v>1162</v>
      </c>
      <c r="F44" s="2488"/>
      <c r="G44" s="2488"/>
      <c r="H44" s="2488"/>
      <c r="I44" s="2488"/>
      <c r="J44" s="2488"/>
      <c r="K44" s="2488"/>
      <c r="L44" s="2488"/>
      <c r="M44" s="2488"/>
      <c r="N44" s="2465" t="s">
        <v>1132</v>
      </c>
      <c r="O44" s="2465"/>
      <c r="P44" s="2465"/>
      <c r="Q44" s="2465"/>
      <c r="R44" s="2465"/>
      <c r="S44" s="2465"/>
      <c r="T44" s="2465"/>
      <c r="U44" s="2465"/>
      <c r="V44" s="2465"/>
      <c r="W44" s="2465"/>
      <c r="X44" s="2465"/>
      <c r="Y44" s="2465"/>
      <c r="Z44" s="2465"/>
      <c r="AA44" s="2465"/>
      <c r="AB44" s="2465"/>
      <c r="AC44" s="2465"/>
      <c r="AD44" s="2465"/>
      <c r="AE44" s="2465"/>
      <c r="AF44" s="2465"/>
      <c r="AG44" s="2465"/>
      <c r="AH44" s="2465"/>
      <c r="AI44" s="2465"/>
      <c r="AJ44" s="1727"/>
      <c r="AK44" s="1727"/>
      <c r="AL44" s="1727"/>
      <c r="AM44" s="1727"/>
    </row>
    <row r="45" spans="1:41" ht="18" customHeight="1">
      <c r="A45" s="965"/>
      <c r="B45" s="1870" t="s">
        <v>1115</v>
      </c>
      <c r="C45" s="1871"/>
      <c r="D45" s="1872"/>
      <c r="E45" s="2488" t="s">
        <v>1163</v>
      </c>
      <c r="F45" s="2488"/>
      <c r="G45" s="2488"/>
      <c r="H45" s="2488"/>
      <c r="I45" s="2488"/>
      <c r="J45" s="2488"/>
      <c r="K45" s="2488"/>
      <c r="L45" s="2488"/>
      <c r="M45" s="2488"/>
      <c r="N45" s="2465" t="s">
        <v>1144</v>
      </c>
      <c r="O45" s="2465"/>
      <c r="P45" s="2465"/>
      <c r="Q45" s="2465"/>
      <c r="R45" s="2465"/>
      <c r="S45" s="2465"/>
      <c r="T45" s="2465"/>
      <c r="U45" s="2465"/>
      <c r="V45" s="2465"/>
      <c r="W45" s="2465"/>
      <c r="X45" s="2465"/>
      <c r="Y45" s="2465"/>
      <c r="Z45" s="2465"/>
      <c r="AA45" s="2465"/>
      <c r="AB45" s="2465"/>
      <c r="AC45" s="2465"/>
      <c r="AD45" s="2465"/>
      <c r="AE45" s="2465"/>
      <c r="AF45" s="2465"/>
      <c r="AG45" s="2465"/>
      <c r="AH45" s="2465"/>
      <c r="AI45" s="2465"/>
      <c r="AJ45" s="1727"/>
      <c r="AK45" s="1727"/>
      <c r="AL45" s="1727"/>
      <c r="AM45" s="1727"/>
    </row>
    <row r="46" spans="1:41" ht="18" customHeight="1">
      <c r="A46" s="965"/>
      <c r="B46" s="1870" t="s">
        <v>1115</v>
      </c>
      <c r="C46" s="1871"/>
      <c r="D46" s="1872"/>
      <c r="E46" s="2488" t="s">
        <v>1164</v>
      </c>
      <c r="F46" s="2488"/>
      <c r="G46" s="2488"/>
      <c r="H46" s="2488"/>
      <c r="I46" s="2488"/>
      <c r="J46" s="2488"/>
      <c r="K46" s="2488"/>
      <c r="L46" s="2488"/>
      <c r="M46" s="2488"/>
      <c r="N46" s="2465" t="s">
        <v>1146</v>
      </c>
      <c r="O46" s="2465"/>
      <c r="P46" s="2465"/>
      <c r="Q46" s="2465"/>
      <c r="R46" s="2465"/>
      <c r="S46" s="2465"/>
      <c r="T46" s="2465"/>
      <c r="U46" s="2465"/>
      <c r="V46" s="2465"/>
      <c r="W46" s="2465"/>
      <c r="X46" s="2465"/>
      <c r="Y46" s="2465"/>
      <c r="Z46" s="2465"/>
      <c r="AA46" s="2465"/>
      <c r="AB46" s="2465"/>
      <c r="AC46" s="2465"/>
      <c r="AD46" s="2465"/>
      <c r="AE46" s="2465"/>
      <c r="AF46" s="2465"/>
      <c r="AG46" s="2465"/>
      <c r="AH46" s="2465"/>
      <c r="AI46" s="2465"/>
      <c r="AJ46" s="1727"/>
      <c r="AK46" s="1727"/>
      <c r="AL46" s="1727"/>
      <c r="AM46" s="1727"/>
    </row>
    <row r="47" spans="1:41" ht="18" customHeight="1">
      <c r="A47" s="301"/>
      <c r="B47" s="2479"/>
      <c r="C47" s="2479"/>
      <c r="D47" s="2479"/>
      <c r="E47" s="2479"/>
      <c r="F47" s="2479"/>
      <c r="G47" s="2479"/>
      <c r="H47" s="2479"/>
      <c r="I47" s="2479"/>
      <c r="J47" s="2479"/>
      <c r="K47" s="2479"/>
      <c r="L47" s="2479"/>
      <c r="M47" s="2479"/>
      <c r="N47" s="2479"/>
      <c r="O47" s="2479"/>
      <c r="P47" s="2479"/>
      <c r="Q47" s="2479"/>
      <c r="R47" s="2479"/>
      <c r="S47" s="2479"/>
      <c r="T47" s="2479"/>
      <c r="U47" s="2479"/>
      <c r="V47" s="2479"/>
      <c r="W47" s="2479"/>
      <c r="X47" s="2479"/>
      <c r="Y47" s="2479"/>
      <c r="Z47" s="2479"/>
      <c r="AA47" s="2479"/>
      <c r="AB47" s="2479"/>
      <c r="AC47" s="2479"/>
      <c r="AD47" s="2479"/>
      <c r="AE47" s="2479"/>
      <c r="AF47" s="2479"/>
      <c r="AG47" s="2479"/>
      <c r="AH47" s="2479"/>
      <c r="AI47" s="2479"/>
      <c r="AJ47" s="2479"/>
      <c r="AK47" s="2479"/>
      <c r="AL47" s="2479"/>
      <c r="AM47" s="2479"/>
      <c r="AN47" s="16"/>
    </row>
    <row r="48" spans="1:41" ht="18" customHeight="1">
      <c r="B48" s="2463" t="s">
        <v>1165</v>
      </c>
      <c r="C48" s="2463"/>
      <c r="D48" s="2463"/>
      <c r="E48" s="2463"/>
      <c r="F48" s="2463"/>
      <c r="G48" s="2463"/>
      <c r="H48" s="2463"/>
      <c r="I48" s="2463"/>
      <c r="J48" s="2463"/>
      <c r="K48" s="2463"/>
      <c r="L48" s="2463"/>
      <c r="M48" s="2463"/>
      <c r="N48" s="2463"/>
      <c r="O48" s="2463"/>
      <c r="P48" s="2463"/>
      <c r="Q48" s="2463"/>
      <c r="R48" s="2463"/>
      <c r="S48" s="2463"/>
      <c r="T48" s="2463"/>
      <c r="U48" s="2463"/>
      <c r="V48" s="2463"/>
      <c r="W48" s="2463"/>
      <c r="X48" s="2463"/>
      <c r="Y48" s="2463"/>
      <c r="Z48" s="2463"/>
      <c r="AA48" s="2463"/>
      <c r="AB48" s="2463"/>
      <c r="AC48" s="2463"/>
      <c r="AD48" s="2463"/>
      <c r="AE48" s="2463"/>
      <c r="AF48" s="2463"/>
      <c r="AG48" s="2463"/>
      <c r="AH48" s="2463"/>
      <c r="AI48" s="2463"/>
      <c r="AJ48" s="2463"/>
      <c r="AK48" s="2463"/>
      <c r="AL48" s="2463"/>
      <c r="AM48" s="2463"/>
      <c r="AN48" s="16"/>
    </row>
    <row r="49" spans="1:43" ht="18" customHeight="1">
      <c r="A49" s="965"/>
      <c r="B49" s="1870"/>
      <c r="C49" s="1871"/>
      <c r="D49" s="1872"/>
      <c r="E49" s="2488" t="s">
        <v>1166</v>
      </c>
      <c r="F49" s="2488"/>
      <c r="G49" s="2488"/>
      <c r="H49" s="2488"/>
      <c r="I49" s="2488"/>
      <c r="J49" s="2488"/>
      <c r="K49" s="2488"/>
      <c r="L49" s="2488"/>
      <c r="M49" s="2488"/>
      <c r="N49" s="2465" t="s">
        <v>1167</v>
      </c>
      <c r="O49" s="2465"/>
      <c r="P49" s="2465"/>
      <c r="Q49" s="2465"/>
      <c r="R49" s="2465"/>
      <c r="S49" s="2465"/>
      <c r="T49" s="2465"/>
      <c r="U49" s="2465"/>
      <c r="V49" s="2465"/>
      <c r="W49" s="2465"/>
      <c r="X49" s="2465"/>
      <c r="Y49" s="2465"/>
      <c r="Z49" s="2465"/>
      <c r="AA49" s="2465"/>
      <c r="AB49" s="2465"/>
      <c r="AC49" s="2465"/>
      <c r="AD49" s="2465"/>
      <c r="AE49" s="2465"/>
      <c r="AF49" s="2465"/>
      <c r="AG49" s="2465"/>
      <c r="AH49" s="2465"/>
      <c r="AI49" s="2465"/>
      <c r="AJ49" s="1727"/>
      <c r="AK49" s="1727"/>
      <c r="AL49" s="1727"/>
      <c r="AM49" s="1727"/>
      <c r="AN49" s="252"/>
    </row>
    <row r="50" spans="1:43" ht="18" customHeight="1">
      <c r="A50" s="965"/>
      <c r="B50" s="1870"/>
      <c r="C50" s="1871"/>
      <c r="D50" s="1872"/>
      <c r="E50" s="2488" t="s">
        <v>1168</v>
      </c>
      <c r="F50" s="2488"/>
      <c r="G50" s="2488"/>
      <c r="H50" s="2488"/>
      <c r="I50" s="2488"/>
      <c r="J50" s="2488"/>
      <c r="K50" s="2488"/>
      <c r="L50" s="2488"/>
      <c r="M50" s="2488"/>
      <c r="N50" s="2465" t="s">
        <v>1169</v>
      </c>
      <c r="O50" s="2465"/>
      <c r="P50" s="2465"/>
      <c r="Q50" s="2465"/>
      <c r="R50" s="2465"/>
      <c r="S50" s="2465"/>
      <c r="T50" s="2465"/>
      <c r="U50" s="2465"/>
      <c r="V50" s="2465"/>
      <c r="W50" s="2465"/>
      <c r="X50" s="2465"/>
      <c r="Y50" s="2465"/>
      <c r="Z50" s="2465"/>
      <c r="AA50" s="2465"/>
      <c r="AB50" s="2465"/>
      <c r="AC50" s="2465"/>
      <c r="AD50" s="2465"/>
      <c r="AE50" s="2465"/>
      <c r="AF50" s="2465"/>
      <c r="AG50" s="2465"/>
      <c r="AH50" s="2465"/>
      <c r="AI50" s="2465"/>
      <c r="AJ50" s="1727"/>
      <c r="AK50" s="1727"/>
      <c r="AL50" s="1727"/>
      <c r="AM50" s="1727"/>
      <c r="AN50" s="252"/>
    </row>
    <row r="51" spans="1:43" ht="18" customHeight="1">
      <c r="A51" s="301"/>
      <c r="B51" s="2479"/>
      <c r="C51" s="2479"/>
      <c r="D51" s="2479"/>
      <c r="E51" s="2479"/>
      <c r="F51" s="2479"/>
      <c r="G51" s="2479"/>
      <c r="H51" s="2479"/>
      <c r="I51" s="2479"/>
      <c r="J51" s="2479"/>
      <c r="K51" s="2479"/>
      <c r="L51" s="2479"/>
      <c r="M51" s="2479"/>
      <c r="N51" s="2479"/>
      <c r="O51" s="2479"/>
      <c r="P51" s="2479"/>
      <c r="Q51" s="2479"/>
      <c r="R51" s="2479"/>
      <c r="S51" s="2479"/>
      <c r="T51" s="2479"/>
      <c r="U51" s="2479"/>
      <c r="V51" s="2479"/>
      <c r="W51" s="2479"/>
      <c r="X51" s="2479"/>
      <c r="Y51" s="2479"/>
      <c r="Z51" s="2479"/>
      <c r="AA51" s="2479"/>
      <c r="AB51" s="2479"/>
      <c r="AC51" s="2479"/>
      <c r="AD51" s="2479"/>
      <c r="AE51" s="2479"/>
      <c r="AF51" s="2479"/>
      <c r="AG51" s="2479"/>
      <c r="AH51" s="2479"/>
      <c r="AI51" s="2479"/>
      <c r="AJ51" s="2479"/>
      <c r="AK51" s="2479"/>
      <c r="AL51" s="2479"/>
      <c r="AM51" s="2479"/>
      <c r="AN51" s="252"/>
    </row>
    <row r="52" spans="1:43" ht="18" customHeight="1">
      <c r="B52" s="2463" t="s">
        <v>1170</v>
      </c>
      <c r="C52" s="2463"/>
      <c r="D52" s="2463"/>
      <c r="E52" s="2463"/>
      <c r="F52" s="2463"/>
      <c r="G52" s="2463"/>
      <c r="H52" s="2463"/>
      <c r="I52" s="2463"/>
      <c r="J52" s="2463"/>
      <c r="K52" s="2463"/>
      <c r="L52" s="2463"/>
      <c r="M52" s="2463"/>
      <c r="N52" s="2463"/>
      <c r="O52" s="2463"/>
      <c r="P52" s="2463"/>
      <c r="Q52" s="2463"/>
      <c r="R52" s="2463"/>
      <c r="S52" s="2463"/>
      <c r="T52" s="2463"/>
      <c r="U52" s="2463"/>
      <c r="V52" s="2463"/>
      <c r="W52" s="2463"/>
      <c r="X52" s="2463"/>
      <c r="Y52" s="2463"/>
      <c r="Z52" s="2463"/>
      <c r="AA52" s="2463"/>
      <c r="AB52" s="2463"/>
      <c r="AC52" s="2463"/>
      <c r="AD52" s="2463"/>
      <c r="AE52" s="2463"/>
      <c r="AF52" s="2463"/>
      <c r="AG52" s="2463"/>
      <c r="AH52" s="2463"/>
      <c r="AI52" s="2463"/>
      <c r="AJ52" s="2463"/>
      <c r="AK52" s="2463"/>
      <c r="AL52" s="2463"/>
      <c r="AM52" s="2463"/>
    </row>
    <row r="53" spans="1:43" ht="18" customHeight="1">
      <c r="A53" s="965"/>
      <c r="B53" s="1870"/>
      <c r="C53" s="1871"/>
      <c r="D53" s="1872"/>
      <c r="E53" s="2488" t="s">
        <v>1171</v>
      </c>
      <c r="F53" s="2488"/>
      <c r="G53" s="2488"/>
      <c r="H53" s="2488"/>
      <c r="I53" s="2488"/>
      <c r="J53" s="2488"/>
      <c r="K53" s="2488"/>
      <c r="L53" s="2488"/>
      <c r="M53" s="2488"/>
      <c r="N53" s="2491" t="s">
        <v>1124</v>
      </c>
      <c r="O53" s="2491"/>
      <c r="P53" s="2491"/>
      <c r="Q53" s="2491"/>
      <c r="R53" s="2491"/>
      <c r="S53" s="2491"/>
      <c r="T53" s="2491"/>
      <c r="U53" s="2491"/>
      <c r="V53" s="2491"/>
      <c r="W53" s="2491"/>
      <c r="X53" s="2491"/>
      <c r="Y53" s="2491"/>
      <c r="Z53" s="2491"/>
      <c r="AA53" s="2491"/>
      <c r="AB53" s="2491"/>
      <c r="AC53" s="2491"/>
      <c r="AD53" s="2491"/>
      <c r="AE53" s="2491"/>
      <c r="AF53" s="2491"/>
      <c r="AG53" s="2491"/>
      <c r="AH53" s="2491"/>
      <c r="AI53" s="2491"/>
      <c r="AJ53" s="1727"/>
      <c r="AK53" s="1727"/>
      <c r="AL53" s="1727"/>
      <c r="AM53" s="1727"/>
    </row>
    <row r="54" spans="1:43" ht="18" customHeight="1">
      <c r="A54" s="965"/>
      <c r="B54" s="1870"/>
      <c r="C54" s="1871"/>
      <c r="D54" s="1872"/>
      <c r="E54" s="2488" t="s">
        <v>1172</v>
      </c>
      <c r="F54" s="2488"/>
      <c r="G54" s="2488"/>
      <c r="H54" s="2488"/>
      <c r="I54" s="2488"/>
      <c r="J54" s="2488"/>
      <c r="K54" s="2488"/>
      <c r="L54" s="2488"/>
      <c r="M54" s="2488"/>
      <c r="N54" s="2491" t="s">
        <v>1128</v>
      </c>
      <c r="O54" s="2491"/>
      <c r="P54" s="2491"/>
      <c r="Q54" s="2491"/>
      <c r="R54" s="2491"/>
      <c r="S54" s="2491"/>
      <c r="T54" s="2491"/>
      <c r="U54" s="2491"/>
      <c r="V54" s="2491"/>
      <c r="W54" s="2491"/>
      <c r="X54" s="2491"/>
      <c r="Y54" s="2491"/>
      <c r="Z54" s="2491"/>
      <c r="AA54" s="2491"/>
      <c r="AB54" s="2491"/>
      <c r="AC54" s="2491"/>
      <c r="AD54" s="2491"/>
      <c r="AE54" s="2491"/>
      <c r="AF54" s="2491"/>
      <c r="AG54" s="2491"/>
      <c r="AH54" s="2491"/>
      <c r="AI54" s="2491"/>
      <c r="AJ54" s="1727"/>
      <c r="AK54" s="1727"/>
      <c r="AL54" s="1727"/>
      <c r="AM54" s="1727"/>
    </row>
    <row r="55" spans="1:43" ht="18" customHeight="1">
      <c r="A55" s="965"/>
      <c r="B55" s="1870"/>
      <c r="C55" s="1871"/>
      <c r="D55" s="1872"/>
      <c r="E55" s="2488" t="s">
        <v>1173</v>
      </c>
      <c r="F55" s="2488"/>
      <c r="G55" s="2488"/>
      <c r="H55" s="2488"/>
      <c r="I55" s="2488"/>
      <c r="J55" s="2488"/>
      <c r="K55" s="2488"/>
      <c r="L55" s="2488"/>
      <c r="M55" s="2488"/>
      <c r="N55" s="2465" t="s">
        <v>1174</v>
      </c>
      <c r="O55" s="2465"/>
      <c r="P55" s="2465"/>
      <c r="Q55" s="2465"/>
      <c r="R55" s="2465"/>
      <c r="S55" s="2465"/>
      <c r="T55" s="2465"/>
      <c r="U55" s="2465"/>
      <c r="V55" s="2465"/>
      <c r="W55" s="2465"/>
      <c r="X55" s="2465"/>
      <c r="Y55" s="2465"/>
      <c r="Z55" s="2465"/>
      <c r="AA55" s="2465"/>
      <c r="AB55" s="2465"/>
      <c r="AC55" s="2465"/>
      <c r="AD55" s="2465"/>
      <c r="AE55" s="2465"/>
      <c r="AF55" s="2465"/>
      <c r="AG55" s="2465"/>
      <c r="AH55" s="2465"/>
      <c r="AI55" s="2465"/>
      <c r="AJ55" s="1727"/>
      <c r="AK55" s="1727"/>
      <c r="AL55" s="1727"/>
      <c r="AM55" s="1727"/>
    </row>
    <row r="56" spans="1:43" ht="18" customHeight="1">
      <c r="A56" s="965"/>
      <c r="B56" s="1870"/>
      <c r="C56" s="1871"/>
      <c r="D56" s="1872"/>
      <c r="E56" s="2488" t="s">
        <v>1175</v>
      </c>
      <c r="F56" s="2488"/>
      <c r="G56" s="2488"/>
      <c r="H56" s="2488"/>
      <c r="I56" s="2488"/>
      <c r="J56" s="2488"/>
      <c r="K56" s="2488"/>
      <c r="L56" s="2488"/>
      <c r="M56" s="2488"/>
      <c r="N56" s="2465" t="s">
        <v>1132</v>
      </c>
      <c r="O56" s="2465"/>
      <c r="P56" s="2465"/>
      <c r="Q56" s="2465"/>
      <c r="R56" s="2465"/>
      <c r="S56" s="2465"/>
      <c r="T56" s="2465"/>
      <c r="U56" s="2465"/>
      <c r="V56" s="2465"/>
      <c r="W56" s="2465"/>
      <c r="X56" s="2465"/>
      <c r="Y56" s="2465"/>
      <c r="Z56" s="2465"/>
      <c r="AA56" s="2465"/>
      <c r="AB56" s="2465"/>
      <c r="AC56" s="2465"/>
      <c r="AD56" s="2465"/>
      <c r="AE56" s="2465"/>
      <c r="AF56" s="2465"/>
      <c r="AG56" s="2465"/>
      <c r="AH56" s="2465"/>
      <c r="AI56" s="2465"/>
      <c r="AJ56" s="1727"/>
      <c r="AK56" s="1727"/>
      <c r="AL56" s="1727"/>
      <c r="AM56" s="1727"/>
    </row>
    <row r="57" spans="1:43" ht="36" customHeight="1">
      <c r="A57" s="965"/>
      <c r="B57" s="1870"/>
      <c r="C57" s="1871"/>
      <c r="D57" s="1872"/>
      <c r="E57" s="2488" t="s">
        <v>1176</v>
      </c>
      <c r="F57" s="2488"/>
      <c r="G57" s="2488"/>
      <c r="H57" s="2488"/>
      <c r="I57" s="2488"/>
      <c r="J57" s="2488"/>
      <c r="K57" s="2488"/>
      <c r="L57" s="2488"/>
      <c r="M57" s="2488"/>
      <c r="N57" s="2491" t="s">
        <v>1177</v>
      </c>
      <c r="O57" s="2491"/>
      <c r="P57" s="2491"/>
      <c r="Q57" s="2491"/>
      <c r="R57" s="2491"/>
      <c r="S57" s="2491"/>
      <c r="T57" s="2491"/>
      <c r="U57" s="2491"/>
      <c r="V57" s="2491"/>
      <c r="W57" s="2491"/>
      <c r="X57" s="2491"/>
      <c r="Y57" s="2491"/>
      <c r="Z57" s="2491"/>
      <c r="AA57" s="2491"/>
      <c r="AB57" s="2491"/>
      <c r="AC57" s="2491"/>
      <c r="AD57" s="2491"/>
      <c r="AE57" s="2491"/>
      <c r="AF57" s="2491"/>
      <c r="AG57" s="2491"/>
      <c r="AH57" s="2491"/>
      <c r="AI57" s="2491"/>
      <c r="AJ57" s="1727"/>
      <c r="AK57" s="1727"/>
      <c r="AL57" s="1727"/>
      <c r="AM57" s="1727"/>
      <c r="AN57" s="174"/>
      <c r="AO57" s="170"/>
      <c r="AP57" s="24"/>
      <c r="AQ57" s="24"/>
    </row>
    <row r="58" spans="1:43" ht="18" customHeight="1">
      <c r="A58" s="965"/>
      <c r="B58" s="1870"/>
      <c r="C58" s="1871"/>
      <c r="D58" s="1872"/>
      <c r="E58" s="2488" t="s">
        <v>1178</v>
      </c>
      <c r="F58" s="2488"/>
      <c r="G58" s="2488"/>
      <c r="H58" s="2488"/>
      <c r="I58" s="2488"/>
      <c r="J58" s="2488"/>
      <c r="K58" s="2488"/>
      <c r="L58" s="2488"/>
      <c r="M58" s="2488"/>
      <c r="N58" s="2491" t="s">
        <v>1179</v>
      </c>
      <c r="O58" s="2491"/>
      <c r="P58" s="2491"/>
      <c r="Q58" s="2491"/>
      <c r="R58" s="2491"/>
      <c r="S58" s="2491"/>
      <c r="T58" s="2491"/>
      <c r="U58" s="2491"/>
      <c r="V58" s="2491"/>
      <c r="W58" s="2491"/>
      <c r="X58" s="2491"/>
      <c r="Y58" s="2491"/>
      <c r="Z58" s="2491"/>
      <c r="AA58" s="2491"/>
      <c r="AB58" s="2491"/>
      <c r="AC58" s="2491"/>
      <c r="AD58" s="2491"/>
      <c r="AE58" s="2491"/>
      <c r="AF58" s="2491"/>
      <c r="AG58" s="2491"/>
      <c r="AH58" s="2491"/>
      <c r="AI58" s="2491"/>
      <c r="AJ58" s="1727"/>
      <c r="AK58" s="1727"/>
      <c r="AL58" s="1727"/>
      <c r="AM58" s="1727"/>
      <c r="AN58" s="174"/>
      <c r="AO58" s="36"/>
      <c r="AP58" s="24"/>
      <c r="AQ58" s="24"/>
    </row>
    <row r="59" spans="1:43" ht="18" customHeight="1">
      <c r="A59" s="965"/>
      <c r="B59" s="1870"/>
      <c r="C59" s="1871"/>
      <c r="D59" s="1872"/>
      <c r="E59" s="2488" t="s">
        <v>1180</v>
      </c>
      <c r="F59" s="2488"/>
      <c r="G59" s="2488"/>
      <c r="H59" s="2488"/>
      <c r="I59" s="2488"/>
      <c r="J59" s="2488"/>
      <c r="K59" s="2488"/>
      <c r="L59" s="2488"/>
      <c r="M59" s="2488"/>
      <c r="N59" s="2465" t="s">
        <v>1181</v>
      </c>
      <c r="O59" s="2465"/>
      <c r="P59" s="2465"/>
      <c r="Q59" s="2465"/>
      <c r="R59" s="2465"/>
      <c r="S59" s="2465"/>
      <c r="T59" s="2465"/>
      <c r="U59" s="2465"/>
      <c r="V59" s="2465"/>
      <c r="W59" s="2465"/>
      <c r="X59" s="2465"/>
      <c r="Y59" s="2465"/>
      <c r="Z59" s="2465"/>
      <c r="AA59" s="2465"/>
      <c r="AB59" s="2465"/>
      <c r="AC59" s="2465"/>
      <c r="AD59" s="2465"/>
      <c r="AE59" s="2465"/>
      <c r="AF59" s="2465"/>
      <c r="AG59" s="2465"/>
      <c r="AH59" s="2465"/>
      <c r="AI59" s="2465"/>
      <c r="AJ59" s="1727"/>
      <c r="AK59" s="1727"/>
      <c r="AL59" s="1727"/>
      <c r="AM59" s="1727"/>
    </row>
    <row r="60" spans="1:43" ht="18" customHeight="1">
      <c r="A60" s="965"/>
      <c r="B60" s="1870"/>
      <c r="C60" s="1871"/>
      <c r="D60" s="1872"/>
      <c r="E60" s="2488" t="s">
        <v>1182</v>
      </c>
      <c r="F60" s="2488"/>
      <c r="G60" s="2488"/>
      <c r="H60" s="2488"/>
      <c r="I60" s="2488"/>
      <c r="J60" s="2488"/>
      <c r="K60" s="2488"/>
      <c r="L60" s="2488"/>
      <c r="M60" s="2488"/>
      <c r="N60" s="2465" t="s">
        <v>1144</v>
      </c>
      <c r="O60" s="2465"/>
      <c r="P60" s="2465"/>
      <c r="Q60" s="2465"/>
      <c r="R60" s="2465"/>
      <c r="S60" s="2465"/>
      <c r="T60" s="2465"/>
      <c r="U60" s="2465"/>
      <c r="V60" s="2465"/>
      <c r="W60" s="2465"/>
      <c r="X60" s="2465"/>
      <c r="Y60" s="2465"/>
      <c r="Z60" s="2465"/>
      <c r="AA60" s="2465"/>
      <c r="AB60" s="2465"/>
      <c r="AC60" s="2465"/>
      <c r="AD60" s="2465"/>
      <c r="AE60" s="2465"/>
      <c r="AF60" s="2465"/>
      <c r="AG60" s="2465"/>
      <c r="AH60" s="2465"/>
      <c r="AI60" s="2465"/>
      <c r="AJ60" s="1727"/>
      <c r="AK60" s="1727"/>
      <c r="AL60" s="1727"/>
      <c r="AM60" s="1727"/>
    </row>
    <row r="61" spans="1:43" ht="36" customHeight="1">
      <c r="A61" s="965"/>
      <c r="B61" s="1870"/>
      <c r="C61" s="1871"/>
      <c r="D61" s="1872"/>
      <c r="E61" s="2488" t="s">
        <v>1183</v>
      </c>
      <c r="F61" s="2488"/>
      <c r="G61" s="2488"/>
      <c r="H61" s="2488"/>
      <c r="I61" s="2488"/>
      <c r="J61" s="2488"/>
      <c r="K61" s="2488"/>
      <c r="L61" s="2488"/>
      <c r="M61" s="2488"/>
      <c r="N61" s="2465" t="s">
        <v>1184</v>
      </c>
      <c r="O61" s="2465"/>
      <c r="P61" s="2465"/>
      <c r="Q61" s="2465"/>
      <c r="R61" s="2465"/>
      <c r="S61" s="2465"/>
      <c r="T61" s="2465"/>
      <c r="U61" s="2465"/>
      <c r="V61" s="2465"/>
      <c r="W61" s="2465"/>
      <c r="X61" s="2465"/>
      <c r="Y61" s="2465"/>
      <c r="Z61" s="2465"/>
      <c r="AA61" s="2465"/>
      <c r="AB61" s="2465"/>
      <c r="AC61" s="2465"/>
      <c r="AD61" s="2465"/>
      <c r="AE61" s="2465"/>
      <c r="AF61" s="2465"/>
      <c r="AG61" s="2465"/>
      <c r="AH61" s="2465"/>
      <c r="AI61" s="2465"/>
      <c r="AJ61" s="1727"/>
      <c r="AK61" s="1727"/>
      <c r="AL61" s="1727"/>
      <c r="AM61" s="1727"/>
    </row>
    <row r="62" spans="1:43" ht="18" customHeight="1">
      <c r="A62" s="301"/>
      <c r="B62" s="2479"/>
      <c r="C62" s="2479"/>
      <c r="D62" s="2479"/>
      <c r="E62" s="2479"/>
      <c r="F62" s="2479"/>
      <c r="G62" s="2479"/>
      <c r="H62" s="2479"/>
      <c r="I62" s="2479"/>
      <c r="J62" s="2479"/>
      <c r="K62" s="2479"/>
      <c r="L62" s="2479"/>
      <c r="M62" s="2479"/>
      <c r="N62" s="2479"/>
      <c r="O62" s="2479"/>
      <c r="P62" s="2479"/>
      <c r="Q62" s="2479"/>
      <c r="R62" s="2479"/>
      <c r="S62" s="2479"/>
      <c r="T62" s="2479"/>
      <c r="U62" s="2479"/>
      <c r="V62" s="2479"/>
      <c r="W62" s="2479"/>
      <c r="X62" s="2479"/>
      <c r="Y62" s="2479"/>
      <c r="Z62" s="2479"/>
      <c r="AA62" s="2479"/>
      <c r="AB62" s="2479"/>
      <c r="AC62" s="2479"/>
      <c r="AD62" s="2479"/>
      <c r="AE62" s="2479"/>
      <c r="AF62" s="2479"/>
      <c r="AG62" s="2479"/>
      <c r="AH62" s="2479"/>
      <c r="AI62" s="2479"/>
      <c r="AJ62" s="2479"/>
      <c r="AK62" s="2479"/>
      <c r="AL62" s="2479"/>
      <c r="AM62" s="2479"/>
    </row>
    <row r="63" spans="1:43" ht="18" customHeight="1">
      <c r="B63" s="2463" t="s">
        <v>1185</v>
      </c>
      <c r="C63" s="2463"/>
      <c r="D63" s="2463"/>
      <c r="E63" s="2463"/>
      <c r="F63" s="2463"/>
      <c r="G63" s="2463"/>
      <c r="H63" s="2463"/>
      <c r="I63" s="2463"/>
      <c r="J63" s="2463"/>
      <c r="K63" s="2463"/>
      <c r="L63" s="2463"/>
      <c r="M63" s="2463"/>
      <c r="N63" s="2463"/>
      <c r="O63" s="2463"/>
      <c r="P63" s="2463"/>
      <c r="Q63" s="2463"/>
      <c r="R63" s="2463"/>
      <c r="S63" s="2463"/>
      <c r="T63" s="2463"/>
      <c r="U63" s="2463"/>
      <c r="V63" s="2463"/>
      <c r="W63" s="2463"/>
      <c r="X63" s="2463"/>
      <c r="Y63" s="2463"/>
      <c r="Z63" s="2463"/>
      <c r="AA63" s="2463"/>
      <c r="AB63" s="2463"/>
      <c r="AC63" s="2463"/>
      <c r="AD63" s="2463"/>
      <c r="AE63" s="2463"/>
      <c r="AF63" s="2463"/>
      <c r="AG63" s="2463"/>
      <c r="AH63" s="2463"/>
      <c r="AI63" s="2463"/>
      <c r="AJ63" s="2463"/>
      <c r="AK63" s="2463"/>
      <c r="AL63" s="2463"/>
      <c r="AM63" s="2463"/>
    </row>
    <row r="64" spans="1:43" ht="18" customHeight="1">
      <c r="A64" s="965"/>
      <c r="B64" s="1870"/>
      <c r="C64" s="1871"/>
      <c r="D64" s="1872"/>
      <c r="E64" s="2488" t="s">
        <v>1186</v>
      </c>
      <c r="F64" s="2488"/>
      <c r="G64" s="2488"/>
      <c r="H64" s="2488"/>
      <c r="I64" s="2488"/>
      <c r="J64" s="2488"/>
      <c r="K64" s="2488"/>
      <c r="L64" s="2488"/>
      <c r="M64" s="2488"/>
      <c r="N64" s="2491" t="s">
        <v>1124</v>
      </c>
      <c r="O64" s="2491"/>
      <c r="P64" s="2491"/>
      <c r="Q64" s="2491"/>
      <c r="R64" s="2491"/>
      <c r="S64" s="2491"/>
      <c r="T64" s="2491"/>
      <c r="U64" s="2491"/>
      <c r="V64" s="2491"/>
      <c r="W64" s="2491"/>
      <c r="X64" s="2491"/>
      <c r="Y64" s="2491"/>
      <c r="Z64" s="2491"/>
      <c r="AA64" s="2491"/>
      <c r="AB64" s="2491"/>
      <c r="AC64" s="2491"/>
      <c r="AD64" s="2491"/>
      <c r="AE64" s="2491"/>
      <c r="AF64" s="2491"/>
      <c r="AG64" s="2491"/>
      <c r="AH64" s="2491"/>
      <c r="AI64" s="2491"/>
      <c r="AJ64" s="1727"/>
      <c r="AK64" s="1727"/>
      <c r="AL64" s="1727"/>
      <c r="AM64" s="1727"/>
    </row>
    <row r="65" spans="1:39" ht="18" customHeight="1">
      <c r="A65" s="965"/>
      <c r="B65" s="1870"/>
      <c r="C65" s="1871"/>
      <c r="D65" s="1872"/>
      <c r="E65" s="2488" t="s">
        <v>1187</v>
      </c>
      <c r="F65" s="2488"/>
      <c r="G65" s="2488"/>
      <c r="H65" s="2488"/>
      <c r="I65" s="2488"/>
      <c r="J65" s="2488"/>
      <c r="K65" s="2488"/>
      <c r="L65" s="2488"/>
      <c r="M65" s="2488"/>
      <c r="N65" s="2491" t="s">
        <v>1128</v>
      </c>
      <c r="O65" s="2491"/>
      <c r="P65" s="2491"/>
      <c r="Q65" s="2491"/>
      <c r="R65" s="2491"/>
      <c r="S65" s="2491"/>
      <c r="T65" s="2491"/>
      <c r="U65" s="2491"/>
      <c r="V65" s="2491"/>
      <c r="W65" s="2491"/>
      <c r="X65" s="2491"/>
      <c r="Y65" s="2491"/>
      <c r="Z65" s="2491"/>
      <c r="AA65" s="2491"/>
      <c r="AB65" s="2491"/>
      <c r="AC65" s="2491"/>
      <c r="AD65" s="2491"/>
      <c r="AE65" s="2491"/>
      <c r="AF65" s="2491"/>
      <c r="AG65" s="2491"/>
      <c r="AH65" s="2491"/>
      <c r="AI65" s="2491"/>
      <c r="AJ65" s="1727"/>
      <c r="AK65" s="1727"/>
      <c r="AL65" s="1727"/>
      <c r="AM65" s="1727"/>
    </row>
    <row r="66" spans="1:39" ht="18" customHeight="1">
      <c r="A66" s="965"/>
      <c r="B66" s="1870"/>
      <c r="C66" s="1871"/>
      <c r="D66" s="1872"/>
      <c r="E66" s="2488" t="s">
        <v>1188</v>
      </c>
      <c r="F66" s="2488"/>
      <c r="G66" s="2488"/>
      <c r="H66" s="2488"/>
      <c r="I66" s="2488"/>
      <c r="J66" s="2488"/>
      <c r="K66" s="2488"/>
      <c r="L66" s="2488"/>
      <c r="M66" s="2488"/>
      <c r="N66" s="2465" t="s">
        <v>1189</v>
      </c>
      <c r="O66" s="2465"/>
      <c r="P66" s="2465"/>
      <c r="Q66" s="2465"/>
      <c r="R66" s="2465"/>
      <c r="S66" s="2465"/>
      <c r="T66" s="2465"/>
      <c r="U66" s="2465"/>
      <c r="V66" s="2465"/>
      <c r="W66" s="2465"/>
      <c r="X66" s="2465"/>
      <c r="Y66" s="2465"/>
      <c r="Z66" s="2465"/>
      <c r="AA66" s="2465"/>
      <c r="AB66" s="2465"/>
      <c r="AC66" s="2465"/>
      <c r="AD66" s="2465"/>
      <c r="AE66" s="2465"/>
      <c r="AF66" s="2465"/>
      <c r="AG66" s="2465"/>
      <c r="AH66" s="2465"/>
      <c r="AI66" s="2465"/>
      <c r="AJ66" s="1727"/>
      <c r="AK66" s="1727"/>
      <c r="AL66" s="1727"/>
      <c r="AM66" s="1727"/>
    </row>
    <row r="67" spans="1:39" ht="18" customHeight="1">
      <c r="A67" s="965"/>
      <c r="B67" s="1870"/>
      <c r="C67" s="1871"/>
      <c r="D67" s="1872"/>
      <c r="E67" s="2488" t="s">
        <v>1190</v>
      </c>
      <c r="F67" s="2488"/>
      <c r="G67" s="2488"/>
      <c r="H67" s="2488"/>
      <c r="I67" s="2488"/>
      <c r="J67" s="2488"/>
      <c r="K67" s="2488"/>
      <c r="L67" s="2488"/>
      <c r="M67" s="2488"/>
      <c r="N67" s="2465" t="s">
        <v>1132</v>
      </c>
      <c r="O67" s="2465"/>
      <c r="P67" s="2465"/>
      <c r="Q67" s="2465"/>
      <c r="R67" s="2465"/>
      <c r="S67" s="2465"/>
      <c r="T67" s="2465"/>
      <c r="U67" s="2465"/>
      <c r="V67" s="2465"/>
      <c r="W67" s="2465"/>
      <c r="X67" s="2465"/>
      <c r="Y67" s="2465"/>
      <c r="Z67" s="2465"/>
      <c r="AA67" s="2465"/>
      <c r="AB67" s="2465"/>
      <c r="AC67" s="2465"/>
      <c r="AD67" s="2465"/>
      <c r="AE67" s="2465"/>
      <c r="AF67" s="2465"/>
      <c r="AG67" s="2465"/>
      <c r="AH67" s="2465"/>
      <c r="AI67" s="2465"/>
      <c r="AJ67" s="1727"/>
      <c r="AK67" s="1727"/>
      <c r="AL67" s="1727"/>
      <c r="AM67" s="1727"/>
    </row>
    <row r="68" spans="1:39" ht="18" customHeight="1">
      <c r="A68" s="965"/>
      <c r="B68" s="1870"/>
      <c r="C68" s="1871"/>
      <c r="D68" s="1872"/>
      <c r="E68" s="2488" t="s">
        <v>1191</v>
      </c>
      <c r="F68" s="2488"/>
      <c r="G68" s="2488"/>
      <c r="H68" s="2488"/>
      <c r="I68" s="2488"/>
      <c r="J68" s="2488"/>
      <c r="K68" s="2488"/>
      <c r="L68" s="2488"/>
      <c r="M68" s="2488"/>
      <c r="N68" s="2465" t="s">
        <v>1144</v>
      </c>
      <c r="O68" s="2465"/>
      <c r="P68" s="2465"/>
      <c r="Q68" s="2465"/>
      <c r="R68" s="2465"/>
      <c r="S68" s="2465"/>
      <c r="T68" s="2465"/>
      <c r="U68" s="2465"/>
      <c r="V68" s="2465"/>
      <c r="W68" s="2465"/>
      <c r="X68" s="2465"/>
      <c r="Y68" s="2465"/>
      <c r="Z68" s="2465"/>
      <c r="AA68" s="2465"/>
      <c r="AB68" s="2465"/>
      <c r="AC68" s="2465"/>
      <c r="AD68" s="2465"/>
      <c r="AE68" s="2465"/>
      <c r="AF68" s="2465"/>
      <c r="AG68" s="2465"/>
      <c r="AH68" s="2465"/>
      <c r="AI68" s="2465"/>
      <c r="AJ68" s="1727"/>
      <c r="AK68" s="1727"/>
      <c r="AL68" s="1727"/>
      <c r="AM68" s="1727"/>
    </row>
    <row r="69" spans="1:39" ht="36" customHeight="1">
      <c r="A69" s="965"/>
      <c r="B69" s="1870"/>
      <c r="C69" s="1871"/>
      <c r="D69" s="1872"/>
      <c r="E69" s="2488" t="s">
        <v>1192</v>
      </c>
      <c r="F69" s="2488"/>
      <c r="G69" s="2488"/>
      <c r="H69" s="2488"/>
      <c r="I69" s="2488"/>
      <c r="J69" s="2488"/>
      <c r="K69" s="2488"/>
      <c r="L69" s="2488"/>
      <c r="M69" s="2488"/>
      <c r="N69" s="2465" t="s">
        <v>1184</v>
      </c>
      <c r="O69" s="2465"/>
      <c r="P69" s="2465"/>
      <c r="Q69" s="2465"/>
      <c r="R69" s="2465"/>
      <c r="S69" s="2465"/>
      <c r="T69" s="2465"/>
      <c r="U69" s="2465"/>
      <c r="V69" s="2465"/>
      <c r="W69" s="2465"/>
      <c r="X69" s="2465"/>
      <c r="Y69" s="2465"/>
      <c r="Z69" s="2465"/>
      <c r="AA69" s="2465"/>
      <c r="AB69" s="2465"/>
      <c r="AC69" s="2465"/>
      <c r="AD69" s="2465"/>
      <c r="AE69" s="2465"/>
      <c r="AF69" s="2465"/>
      <c r="AG69" s="2465"/>
      <c r="AH69" s="2465"/>
      <c r="AI69" s="2465"/>
      <c r="AJ69" s="1727"/>
      <c r="AK69" s="1727"/>
      <c r="AL69" s="1727"/>
      <c r="AM69" s="1727"/>
    </row>
    <row r="70" spans="1:39" ht="18" customHeight="1">
      <c r="A70" s="301"/>
      <c r="B70" s="2479"/>
      <c r="C70" s="2479"/>
      <c r="D70" s="2479"/>
      <c r="E70" s="2479"/>
      <c r="F70" s="2479"/>
      <c r="G70" s="2479"/>
      <c r="H70" s="2479"/>
      <c r="I70" s="2479"/>
      <c r="J70" s="2479"/>
      <c r="K70" s="2479"/>
      <c r="L70" s="2479"/>
      <c r="M70" s="2479"/>
      <c r="N70" s="2479"/>
      <c r="O70" s="2479"/>
      <c r="P70" s="2479"/>
      <c r="Q70" s="2479"/>
      <c r="R70" s="2479"/>
      <c r="S70" s="2479"/>
      <c r="T70" s="2479"/>
      <c r="U70" s="2479"/>
      <c r="V70" s="2479"/>
      <c r="W70" s="2479"/>
      <c r="X70" s="2479"/>
      <c r="Y70" s="2479"/>
      <c r="Z70" s="2479"/>
      <c r="AA70" s="2479"/>
      <c r="AB70" s="2479"/>
      <c r="AC70" s="2479"/>
      <c r="AD70" s="2479"/>
      <c r="AE70" s="2479"/>
      <c r="AF70" s="2479"/>
      <c r="AG70" s="2479"/>
      <c r="AH70" s="2479"/>
      <c r="AI70" s="2479"/>
      <c r="AJ70" s="2479"/>
      <c r="AK70" s="2479"/>
      <c r="AL70" s="2479"/>
      <c r="AM70" s="2479"/>
    </row>
    <row r="71" spans="1:39" ht="18" customHeight="1">
      <c r="B71" s="2463" t="s">
        <v>1193</v>
      </c>
      <c r="C71" s="2463"/>
      <c r="D71" s="2463"/>
      <c r="E71" s="2463"/>
      <c r="F71" s="2463"/>
      <c r="G71" s="2463"/>
      <c r="H71" s="2463"/>
      <c r="I71" s="2463"/>
      <c r="J71" s="2463"/>
      <c r="K71" s="2463"/>
      <c r="L71" s="2463"/>
      <c r="M71" s="2463"/>
      <c r="N71" s="2463"/>
      <c r="O71" s="2463"/>
      <c r="P71" s="2463"/>
      <c r="Q71" s="2463"/>
      <c r="R71" s="2463"/>
      <c r="S71" s="2463"/>
      <c r="T71" s="2463"/>
      <c r="U71" s="2463"/>
      <c r="V71" s="2463"/>
      <c r="W71" s="2463"/>
      <c r="X71" s="2463"/>
      <c r="Y71" s="2463"/>
      <c r="Z71" s="2463"/>
      <c r="AA71" s="2463"/>
      <c r="AB71" s="2463"/>
      <c r="AC71" s="2463"/>
      <c r="AD71" s="2463"/>
      <c r="AE71" s="2463"/>
      <c r="AF71" s="2463"/>
      <c r="AG71" s="2463"/>
      <c r="AH71" s="2463"/>
      <c r="AI71" s="2463"/>
      <c r="AJ71" s="2463"/>
      <c r="AK71" s="2463"/>
      <c r="AL71" s="2463"/>
      <c r="AM71" s="2463"/>
    </row>
    <row r="72" spans="1:39" ht="18" customHeight="1">
      <c r="A72" s="965"/>
      <c r="B72" s="1870"/>
      <c r="C72" s="1871"/>
      <c r="D72" s="1872"/>
      <c r="E72" s="2488" t="s">
        <v>1194</v>
      </c>
      <c r="F72" s="2488"/>
      <c r="G72" s="2488"/>
      <c r="H72" s="2488"/>
      <c r="I72" s="2488"/>
      <c r="J72" s="2488"/>
      <c r="K72" s="2488"/>
      <c r="L72" s="2488"/>
      <c r="M72" s="2488"/>
      <c r="N72" s="2491" t="s">
        <v>1124</v>
      </c>
      <c r="O72" s="2491"/>
      <c r="P72" s="2491"/>
      <c r="Q72" s="2491"/>
      <c r="R72" s="2491"/>
      <c r="S72" s="2491"/>
      <c r="T72" s="2491"/>
      <c r="U72" s="2491"/>
      <c r="V72" s="2491"/>
      <c r="W72" s="2491"/>
      <c r="X72" s="2491"/>
      <c r="Y72" s="2491"/>
      <c r="Z72" s="2491"/>
      <c r="AA72" s="2491"/>
      <c r="AB72" s="2491"/>
      <c r="AC72" s="2491"/>
      <c r="AD72" s="2491"/>
      <c r="AE72" s="2491"/>
      <c r="AF72" s="2491"/>
      <c r="AG72" s="2491"/>
      <c r="AH72" s="2491"/>
      <c r="AI72" s="2491"/>
      <c r="AJ72" s="1727"/>
      <c r="AK72" s="1727"/>
      <c r="AL72" s="1727"/>
      <c r="AM72" s="1727"/>
    </row>
    <row r="73" spans="1:39" ht="18" customHeight="1">
      <c r="A73" s="965"/>
      <c r="B73" s="1870"/>
      <c r="C73" s="1871"/>
      <c r="D73" s="1872"/>
      <c r="E73" s="2488" t="s">
        <v>1195</v>
      </c>
      <c r="F73" s="2488"/>
      <c r="G73" s="2488"/>
      <c r="H73" s="2488"/>
      <c r="I73" s="2488"/>
      <c r="J73" s="2488"/>
      <c r="K73" s="2488"/>
      <c r="L73" s="2488"/>
      <c r="M73" s="2488"/>
      <c r="N73" s="2491" t="s">
        <v>1128</v>
      </c>
      <c r="O73" s="2491"/>
      <c r="P73" s="2491"/>
      <c r="Q73" s="2491"/>
      <c r="R73" s="2491"/>
      <c r="S73" s="2491"/>
      <c r="T73" s="2491"/>
      <c r="U73" s="2491"/>
      <c r="V73" s="2491"/>
      <c r="W73" s="2491"/>
      <c r="X73" s="2491"/>
      <c r="Y73" s="2491"/>
      <c r="Z73" s="2491"/>
      <c r="AA73" s="2491"/>
      <c r="AB73" s="2491"/>
      <c r="AC73" s="2491"/>
      <c r="AD73" s="2491"/>
      <c r="AE73" s="2491"/>
      <c r="AF73" s="2491"/>
      <c r="AG73" s="2491"/>
      <c r="AH73" s="2491"/>
      <c r="AI73" s="2491"/>
      <c r="AJ73" s="1727"/>
      <c r="AK73" s="1727"/>
      <c r="AL73" s="1727"/>
      <c r="AM73" s="1727"/>
    </row>
    <row r="74" spans="1:39" ht="18" customHeight="1">
      <c r="A74" s="965"/>
      <c r="B74" s="1870"/>
      <c r="C74" s="1871"/>
      <c r="D74" s="1872"/>
      <c r="E74" s="2488" t="s">
        <v>1196</v>
      </c>
      <c r="F74" s="2488"/>
      <c r="G74" s="2488"/>
      <c r="H74" s="2488"/>
      <c r="I74" s="2488"/>
      <c r="J74" s="2488"/>
      <c r="K74" s="2488"/>
      <c r="L74" s="2488"/>
      <c r="M74" s="2488"/>
      <c r="N74" s="2465" t="s">
        <v>1197</v>
      </c>
      <c r="O74" s="2465"/>
      <c r="P74" s="2465"/>
      <c r="Q74" s="2465"/>
      <c r="R74" s="2465"/>
      <c r="S74" s="2465"/>
      <c r="T74" s="2465"/>
      <c r="U74" s="2465"/>
      <c r="V74" s="2465"/>
      <c r="W74" s="2465"/>
      <c r="X74" s="2465"/>
      <c r="Y74" s="2465"/>
      <c r="Z74" s="2465"/>
      <c r="AA74" s="2465"/>
      <c r="AB74" s="2465"/>
      <c r="AC74" s="2465"/>
      <c r="AD74" s="2465"/>
      <c r="AE74" s="2465"/>
      <c r="AF74" s="2465"/>
      <c r="AG74" s="2465"/>
      <c r="AH74" s="2465"/>
      <c r="AI74" s="2465"/>
      <c r="AJ74" s="1727"/>
      <c r="AK74" s="1727"/>
      <c r="AL74" s="1727"/>
      <c r="AM74" s="1727"/>
    </row>
    <row r="75" spans="1:39" ht="18" customHeight="1">
      <c r="A75" s="965"/>
      <c r="B75" s="1870"/>
      <c r="C75" s="1871"/>
      <c r="D75" s="1872"/>
      <c r="E75" s="2488" t="s">
        <v>1198</v>
      </c>
      <c r="F75" s="2488"/>
      <c r="G75" s="2488"/>
      <c r="H75" s="2488"/>
      <c r="I75" s="2488"/>
      <c r="J75" s="2488"/>
      <c r="K75" s="2488"/>
      <c r="L75" s="2488"/>
      <c r="M75" s="2488"/>
      <c r="N75" s="2465" t="s">
        <v>1132</v>
      </c>
      <c r="O75" s="2465"/>
      <c r="P75" s="2465"/>
      <c r="Q75" s="2465"/>
      <c r="R75" s="2465"/>
      <c r="S75" s="2465"/>
      <c r="T75" s="2465"/>
      <c r="U75" s="2465"/>
      <c r="V75" s="2465"/>
      <c r="W75" s="2465"/>
      <c r="X75" s="2465"/>
      <c r="Y75" s="2465"/>
      <c r="Z75" s="2465"/>
      <c r="AA75" s="2465"/>
      <c r="AB75" s="2465"/>
      <c r="AC75" s="2465"/>
      <c r="AD75" s="2465"/>
      <c r="AE75" s="2465"/>
      <c r="AF75" s="2465"/>
      <c r="AG75" s="2465"/>
      <c r="AH75" s="2465"/>
      <c r="AI75" s="2465"/>
      <c r="AJ75" s="1727"/>
      <c r="AK75" s="1727"/>
      <c r="AL75" s="1727"/>
      <c r="AM75" s="1727"/>
    </row>
    <row r="76" spans="1:39" ht="18" customHeight="1">
      <c r="A76" s="965"/>
      <c r="B76" s="1870"/>
      <c r="C76" s="1871"/>
      <c r="D76" s="1872"/>
      <c r="E76" s="2488" t="s">
        <v>1199</v>
      </c>
      <c r="F76" s="2488"/>
      <c r="G76" s="2488"/>
      <c r="H76" s="2488"/>
      <c r="I76" s="2488"/>
      <c r="J76" s="2488"/>
      <c r="K76" s="2488"/>
      <c r="L76" s="2488"/>
      <c r="M76" s="2488"/>
      <c r="N76" s="2465" t="s">
        <v>1144</v>
      </c>
      <c r="O76" s="2465"/>
      <c r="P76" s="2465"/>
      <c r="Q76" s="2465"/>
      <c r="R76" s="2465"/>
      <c r="S76" s="2465"/>
      <c r="T76" s="2465"/>
      <c r="U76" s="2465"/>
      <c r="V76" s="2465"/>
      <c r="W76" s="2465"/>
      <c r="X76" s="2465"/>
      <c r="Y76" s="2465"/>
      <c r="Z76" s="2465"/>
      <c r="AA76" s="2465"/>
      <c r="AB76" s="2465"/>
      <c r="AC76" s="2465"/>
      <c r="AD76" s="2465"/>
      <c r="AE76" s="2465"/>
      <c r="AF76" s="2465"/>
      <c r="AG76" s="2465"/>
      <c r="AH76" s="2465"/>
      <c r="AI76" s="2465"/>
      <c r="AJ76" s="1727"/>
      <c r="AK76" s="1727"/>
      <c r="AL76" s="1727"/>
      <c r="AM76" s="1727"/>
    </row>
    <row r="77" spans="1:39" ht="36" customHeight="1">
      <c r="A77" s="965"/>
      <c r="B77" s="1870"/>
      <c r="C77" s="1871"/>
      <c r="D77" s="1872"/>
      <c r="E77" s="2488" t="s">
        <v>1200</v>
      </c>
      <c r="F77" s="2488"/>
      <c r="G77" s="2488"/>
      <c r="H77" s="2488"/>
      <c r="I77" s="2488"/>
      <c r="J77" s="2488"/>
      <c r="K77" s="2488"/>
      <c r="L77" s="2488"/>
      <c r="M77" s="2488"/>
      <c r="N77" s="2465" t="s">
        <v>1184</v>
      </c>
      <c r="O77" s="2465"/>
      <c r="P77" s="2465"/>
      <c r="Q77" s="2465"/>
      <c r="R77" s="2465"/>
      <c r="S77" s="2465"/>
      <c r="T77" s="2465"/>
      <c r="U77" s="2465"/>
      <c r="V77" s="2465"/>
      <c r="W77" s="2465"/>
      <c r="X77" s="2465"/>
      <c r="Y77" s="2465"/>
      <c r="Z77" s="2465"/>
      <c r="AA77" s="2465"/>
      <c r="AB77" s="2465"/>
      <c r="AC77" s="2465"/>
      <c r="AD77" s="2465"/>
      <c r="AE77" s="2465"/>
      <c r="AF77" s="2465"/>
      <c r="AG77" s="2465"/>
      <c r="AH77" s="2465"/>
      <c r="AI77" s="2465"/>
      <c r="AJ77" s="1727"/>
      <c r="AK77" s="1727"/>
      <c r="AL77" s="1727"/>
      <c r="AM77" s="1727"/>
    </row>
    <row r="78" spans="1:39" ht="18" customHeight="1">
      <c r="A78" s="301"/>
      <c r="B78" s="2479"/>
      <c r="C78" s="2479"/>
      <c r="D78" s="2479"/>
      <c r="E78" s="2479"/>
      <c r="F78" s="2479"/>
      <c r="G78" s="2479"/>
      <c r="H78" s="2479"/>
      <c r="I78" s="2479"/>
      <c r="J78" s="2479"/>
      <c r="K78" s="2479"/>
      <c r="L78" s="2479"/>
      <c r="M78" s="2479"/>
      <c r="N78" s="2479"/>
      <c r="O78" s="2479"/>
      <c r="P78" s="2479"/>
      <c r="Q78" s="2479"/>
      <c r="R78" s="2479"/>
      <c r="S78" s="2479"/>
      <c r="T78" s="2479"/>
      <c r="U78" s="2479"/>
      <c r="V78" s="2479"/>
      <c r="W78" s="2479"/>
      <c r="X78" s="2479"/>
      <c r="Y78" s="2479"/>
      <c r="Z78" s="2479"/>
      <c r="AA78" s="2479"/>
      <c r="AB78" s="2479"/>
      <c r="AC78" s="2479"/>
      <c r="AD78" s="2479"/>
      <c r="AE78" s="2479"/>
      <c r="AF78" s="2479"/>
      <c r="AG78" s="2479"/>
      <c r="AH78" s="2479"/>
      <c r="AI78" s="2479"/>
      <c r="AJ78" s="2479"/>
      <c r="AK78" s="2479"/>
      <c r="AL78" s="2479"/>
      <c r="AM78" s="2479"/>
    </row>
    <row r="79" spans="1:39" ht="18" customHeight="1">
      <c r="B79" s="2463" t="s">
        <v>1201</v>
      </c>
      <c r="C79" s="2463"/>
      <c r="D79" s="2463"/>
      <c r="E79" s="2463"/>
      <c r="F79" s="2463"/>
      <c r="G79" s="2463"/>
      <c r="H79" s="2463"/>
      <c r="I79" s="2463"/>
      <c r="J79" s="2463"/>
      <c r="K79" s="2463"/>
      <c r="L79" s="2463"/>
      <c r="M79" s="2463"/>
      <c r="N79" s="2463"/>
      <c r="O79" s="2463"/>
      <c r="P79" s="2463"/>
      <c r="Q79" s="2463"/>
      <c r="R79" s="2463"/>
      <c r="S79" s="2463"/>
      <c r="T79" s="2463"/>
      <c r="U79" s="2463"/>
      <c r="V79" s="2463"/>
      <c r="W79" s="2463"/>
      <c r="X79" s="2463"/>
      <c r="Y79" s="2463"/>
      <c r="Z79" s="2463"/>
      <c r="AA79" s="2463"/>
      <c r="AB79" s="2463"/>
      <c r="AC79" s="2463"/>
      <c r="AD79" s="2463"/>
      <c r="AE79" s="2463"/>
      <c r="AF79" s="2463"/>
      <c r="AG79" s="2463"/>
      <c r="AH79" s="2463"/>
      <c r="AI79" s="2463"/>
      <c r="AJ79" s="2463"/>
      <c r="AK79" s="2463"/>
      <c r="AL79" s="2463"/>
      <c r="AM79" s="2463"/>
    </row>
    <row r="80" spans="1:39" ht="18" customHeight="1">
      <c r="A80" s="965"/>
      <c r="B80" s="1870"/>
      <c r="C80" s="1871"/>
      <c r="D80" s="1872"/>
      <c r="E80" s="2488" t="s">
        <v>1202</v>
      </c>
      <c r="F80" s="2488"/>
      <c r="G80" s="2488"/>
      <c r="H80" s="2488"/>
      <c r="I80" s="2488"/>
      <c r="J80" s="2488"/>
      <c r="K80" s="2488"/>
      <c r="L80" s="2488"/>
      <c r="M80" s="2488"/>
      <c r="N80" s="2491" t="s">
        <v>1124</v>
      </c>
      <c r="O80" s="2491"/>
      <c r="P80" s="2491"/>
      <c r="Q80" s="2491"/>
      <c r="R80" s="2491"/>
      <c r="S80" s="2491"/>
      <c r="T80" s="2491"/>
      <c r="U80" s="2491"/>
      <c r="V80" s="2491"/>
      <c r="W80" s="2491"/>
      <c r="X80" s="2491"/>
      <c r="Y80" s="2491"/>
      <c r="Z80" s="2491"/>
      <c r="AA80" s="2491"/>
      <c r="AB80" s="2491"/>
      <c r="AC80" s="2491"/>
      <c r="AD80" s="2491"/>
      <c r="AE80" s="2491"/>
      <c r="AF80" s="2491"/>
      <c r="AG80" s="2491"/>
      <c r="AH80" s="2491"/>
      <c r="AI80" s="2491"/>
      <c r="AJ80" s="1727"/>
      <c r="AK80" s="1727"/>
      <c r="AL80" s="1727"/>
      <c r="AM80" s="1727"/>
    </row>
    <row r="81" spans="1:40" ht="18" customHeight="1">
      <c r="A81" s="965"/>
      <c r="B81" s="1870"/>
      <c r="C81" s="1871"/>
      <c r="D81" s="1872"/>
      <c r="E81" s="2488" t="s">
        <v>1203</v>
      </c>
      <c r="F81" s="2488"/>
      <c r="G81" s="2488"/>
      <c r="H81" s="2488"/>
      <c r="I81" s="2488"/>
      <c r="J81" s="2488"/>
      <c r="K81" s="2488"/>
      <c r="L81" s="2488"/>
      <c r="M81" s="2488"/>
      <c r="N81" s="2491" t="s">
        <v>1128</v>
      </c>
      <c r="O81" s="2491"/>
      <c r="P81" s="2491"/>
      <c r="Q81" s="2491"/>
      <c r="R81" s="2491"/>
      <c r="S81" s="2491"/>
      <c r="T81" s="2491"/>
      <c r="U81" s="2491"/>
      <c r="V81" s="2491"/>
      <c r="W81" s="2491"/>
      <c r="X81" s="2491"/>
      <c r="Y81" s="2491"/>
      <c r="Z81" s="2491"/>
      <c r="AA81" s="2491"/>
      <c r="AB81" s="2491"/>
      <c r="AC81" s="2491"/>
      <c r="AD81" s="2491"/>
      <c r="AE81" s="2491"/>
      <c r="AF81" s="2491"/>
      <c r="AG81" s="2491"/>
      <c r="AH81" s="2491"/>
      <c r="AI81" s="2491"/>
      <c r="AJ81" s="1727"/>
      <c r="AK81" s="1727"/>
      <c r="AL81" s="1727"/>
      <c r="AM81" s="1727"/>
    </row>
    <row r="82" spans="1:40" ht="18" customHeight="1">
      <c r="A82" s="965"/>
      <c r="B82" s="1870"/>
      <c r="C82" s="1871"/>
      <c r="D82" s="1872"/>
      <c r="E82" s="2488" t="s">
        <v>1204</v>
      </c>
      <c r="F82" s="2488"/>
      <c r="G82" s="2488"/>
      <c r="H82" s="2488"/>
      <c r="I82" s="2488"/>
      <c r="J82" s="2488"/>
      <c r="K82" s="2488"/>
      <c r="L82" s="2488"/>
      <c r="M82" s="2488"/>
      <c r="N82" s="2465" t="s">
        <v>1197</v>
      </c>
      <c r="O82" s="2465"/>
      <c r="P82" s="2465"/>
      <c r="Q82" s="2465"/>
      <c r="R82" s="2465"/>
      <c r="S82" s="2465"/>
      <c r="T82" s="2465"/>
      <c r="U82" s="2465"/>
      <c r="V82" s="2465"/>
      <c r="W82" s="2465"/>
      <c r="X82" s="2465"/>
      <c r="Y82" s="2465"/>
      <c r="Z82" s="2465"/>
      <c r="AA82" s="2465"/>
      <c r="AB82" s="2465"/>
      <c r="AC82" s="2465"/>
      <c r="AD82" s="2465"/>
      <c r="AE82" s="2465"/>
      <c r="AF82" s="2465"/>
      <c r="AG82" s="2465"/>
      <c r="AH82" s="2465"/>
      <c r="AI82" s="2465"/>
      <c r="AJ82" s="1727"/>
      <c r="AK82" s="1727"/>
      <c r="AL82" s="1727"/>
      <c r="AM82" s="1727"/>
    </row>
    <row r="83" spans="1:40" ht="18" customHeight="1">
      <c r="A83" s="965"/>
      <c r="B83" s="1870"/>
      <c r="C83" s="1871"/>
      <c r="D83" s="1872"/>
      <c r="E83" s="2488" t="s">
        <v>1205</v>
      </c>
      <c r="F83" s="2488"/>
      <c r="G83" s="2488"/>
      <c r="H83" s="2488"/>
      <c r="I83" s="2488"/>
      <c r="J83" s="2488"/>
      <c r="K83" s="2488"/>
      <c r="L83" s="2488"/>
      <c r="M83" s="2488"/>
      <c r="N83" s="2465" t="s">
        <v>1132</v>
      </c>
      <c r="O83" s="2465"/>
      <c r="P83" s="2465"/>
      <c r="Q83" s="2465"/>
      <c r="R83" s="2465"/>
      <c r="S83" s="2465"/>
      <c r="T83" s="2465"/>
      <c r="U83" s="2465"/>
      <c r="V83" s="2465"/>
      <c r="W83" s="2465"/>
      <c r="X83" s="2465"/>
      <c r="Y83" s="2465"/>
      <c r="Z83" s="2465"/>
      <c r="AA83" s="2465"/>
      <c r="AB83" s="2465"/>
      <c r="AC83" s="2465"/>
      <c r="AD83" s="2465"/>
      <c r="AE83" s="2465"/>
      <c r="AF83" s="2465"/>
      <c r="AG83" s="2465"/>
      <c r="AH83" s="2465"/>
      <c r="AI83" s="2465"/>
      <c r="AJ83" s="1727"/>
      <c r="AK83" s="1727"/>
      <c r="AL83" s="1727"/>
      <c r="AM83" s="1727"/>
    </row>
    <row r="84" spans="1:40" ht="18" customHeight="1">
      <c r="A84" s="965"/>
      <c r="B84" s="1870"/>
      <c r="C84" s="1871"/>
      <c r="D84" s="1872"/>
      <c r="E84" s="2488" t="s">
        <v>1206</v>
      </c>
      <c r="F84" s="2488"/>
      <c r="G84" s="2488"/>
      <c r="H84" s="2488"/>
      <c r="I84" s="2488"/>
      <c r="J84" s="2488"/>
      <c r="K84" s="2488"/>
      <c r="L84" s="2488"/>
      <c r="M84" s="2488"/>
      <c r="N84" s="2465" t="s">
        <v>1144</v>
      </c>
      <c r="O84" s="2465"/>
      <c r="P84" s="2465"/>
      <c r="Q84" s="2465"/>
      <c r="R84" s="2465"/>
      <c r="S84" s="2465"/>
      <c r="T84" s="2465"/>
      <c r="U84" s="2465"/>
      <c r="V84" s="2465"/>
      <c r="W84" s="2465"/>
      <c r="X84" s="2465"/>
      <c r="Y84" s="2465"/>
      <c r="Z84" s="2465"/>
      <c r="AA84" s="2465"/>
      <c r="AB84" s="2465"/>
      <c r="AC84" s="2465"/>
      <c r="AD84" s="2465"/>
      <c r="AE84" s="2465"/>
      <c r="AF84" s="2465"/>
      <c r="AG84" s="2465"/>
      <c r="AH84" s="2465"/>
      <c r="AI84" s="2465"/>
      <c r="AJ84" s="1727"/>
      <c r="AK84" s="1727"/>
      <c r="AL84" s="1727"/>
      <c r="AM84" s="1727"/>
    </row>
    <row r="85" spans="1:40" ht="30.75" customHeight="1">
      <c r="A85" s="965"/>
      <c r="B85" s="1870"/>
      <c r="C85" s="1871"/>
      <c r="D85" s="1872"/>
      <c r="E85" s="2488" t="s">
        <v>1207</v>
      </c>
      <c r="F85" s="2488"/>
      <c r="G85" s="2488"/>
      <c r="H85" s="2488"/>
      <c r="I85" s="2488"/>
      <c r="J85" s="2488"/>
      <c r="K85" s="2488"/>
      <c r="L85" s="2488"/>
      <c r="M85" s="2488"/>
      <c r="N85" s="2465" t="s">
        <v>1184</v>
      </c>
      <c r="O85" s="2465"/>
      <c r="P85" s="2465"/>
      <c r="Q85" s="2465"/>
      <c r="R85" s="2465"/>
      <c r="S85" s="2465"/>
      <c r="T85" s="2465"/>
      <c r="U85" s="2465"/>
      <c r="V85" s="2465"/>
      <c r="W85" s="2465"/>
      <c r="X85" s="2465"/>
      <c r="Y85" s="2465"/>
      <c r="Z85" s="2465"/>
      <c r="AA85" s="2465"/>
      <c r="AB85" s="2465"/>
      <c r="AC85" s="2465"/>
      <c r="AD85" s="2465"/>
      <c r="AE85" s="2465"/>
      <c r="AF85" s="2465"/>
      <c r="AG85" s="2465"/>
      <c r="AH85" s="2465"/>
      <c r="AI85" s="2465"/>
      <c r="AJ85" s="1727"/>
      <c r="AK85" s="1727"/>
      <c r="AL85" s="1727"/>
      <c r="AM85" s="1727"/>
    </row>
    <row r="86" spans="1:40" ht="18" customHeight="1">
      <c r="B86" s="2464"/>
      <c r="C86" s="2464"/>
      <c r="D86" s="2464"/>
      <c r="E86" s="2464"/>
      <c r="F86" s="2464"/>
      <c r="G86" s="2464"/>
      <c r="H86" s="2464"/>
      <c r="I86" s="2464"/>
      <c r="J86" s="2464"/>
      <c r="K86" s="2464"/>
      <c r="L86" s="2464"/>
      <c r="M86" s="2464"/>
      <c r="N86" s="2464"/>
      <c r="O86" s="2464"/>
      <c r="P86" s="2464"/>
      <c r="Q86" s="2464"/>
      <c r="R86" s="2464"/>
      <c r="S86" s="2464"/>
      <c r="T86" s="2464"/>
      <c r="U86" s="2464"/>
      <c r="V86" s="2464"/>
      <c r="W86" s="2464"/>
      <c r="X86" s="2464"/>
      <c r="Y86" s="2464"/>
      <c r="Z86" s="2464"/>
      <c r="AA86" s="2464"/>
      <c r="AB86" s="2464"/>
      <c r="AC86" s="2464"/>
      <c r="AD86" s="2464"/>
      <c r="AE86" s="2464"/>
      <c r="AF86" s="2464"/>
      <c r="AG86" s="2464"/>
      <c r="AH86" s="2464"/>
      <c r="AI86" s="2464"/>
      <c r="AJ86" s="2464"/>
      <c r="AK86" s="2464"/>
      <c r="AL86" s="2464"/>
      <c r="AM86" s="2464"/>
    </row>
    <row r="87" spans="1:40" ht="18" customHeight="1">
      <c r="B87" s="2463" t="s">
        <v>1208</v>
      </c>
      <c r="C87" s="2463"/>
      <c r="D87" s="2463"/>
      <c r="E87" s="2463"/>
      <c r="F87" s="2463"/>
      <c r="G87" s="2463"/>
      <c r="H87" s="2463"/>
      <c r="I87" s="2463"/>
      <c r="J87" s="2463"/>
      <c r="K87" s="2463"/>
      <c r="L87" s="2463"/>
      <c r="M87" s="2463"/>
      <c r="N87" s="2463"/>
      <c r="O87" s="2463"/>
      <c r="P87" s="2463"/>
      <c r="Q87" s="2463"/>
      <c r="R87" s="2463"/>
      <c r="S87" s="2463"/>
      <c r="T87" s="2463"/>
      <c r="U87" s="2463"/>
      <c r="V87" s="2463"/>
      <c r="W87" s="2463"/>
      <c r="X87" s="2463"/>
      <c r="Y87" s="2463"/>
      <c r="Z87" s="2463"/>
      <c r="AA87" s="2463"/>
      <c r="AB87" s="2463"/>
      <c r="AC87" s="2463"/>
      <c r="AD87" s="2463"/>
      <c r="AE87" s="2463"/>
      <c r="AF87" s="2463"/>
      <c r="AG87" s="2463"/>
      <c r="AH87" s="2463"/>
      <c r="AI87" s="2463"/>
      <c r="AJ87" s="2463"/>
      <c r="AK87" s="2463"/>
      <c r="AL87" s="2463"/>
      <c r="AM87" s="2463"/>
    </row>
    <row r="88" spans="1:40" ht="18" customHeight="1">
      <c r="A88" s="965"/>
      <c r="B88" s="2171" t="s">
        <v>1115</v>
      </c>
      <c r="C88" s="2172"/>
      <c r="D88" s="2496"/>
      <c r="E88" s="2494" t="s">
        <v>1209</v>
      </c>
      <c r="F88" s="2494"/>
      <c r="G88" s="2494"/>
      <c r="H88" s="2494"/>
      <c r="I88" s="2494"/>
      <c r="J88" s="2494"/>
      <c r="K88" s="2494"/>
      <c r="L88" s="2494"/>
      <c r="M88" s="2494"/>
      <c r="N88" s="2495" t="s">
        <v>1210</v>
      </c>
      <c r="O88" s="2495"/>
      <c r="P88" s="2495"/>
      <c r="Q88" s="2495"/>
      <c r="R88" s="2495"/>
      <c r="S88" s="2495"/>
      <c r="T88" s="2495"/>
      <c r="U88" s="2495"/>
      <c r="V88" s="2495"/>
      <c r="W88" s="2495"/>
      <c r="X88" s="2495"/>
      <c r="Y88" s="2495"/>
      <c r="Z88" s="2495"/>
      <c r="AA88" s="2495"/>
      <c r="AB88" s="2495"/>
      <c r="AC88" s="2495"/>
      <c r="AD88" s="2495"/>
      <c r="AE88" s="2495"/>
      <c r="AF88" s="2495"/>
      <c r="AG88" s="2495"/>
      <c r="AH88" s="2495"/>
      <c r="AI88" s="2495"/>
      <c r="AJ88" s="2492"/>
      <c r="AK88" s="2492"/>
      <c r="AL88" s="2492"/>
      <c r="AM88" s="2492"/>
    </row>
    <row r="89" spans="1:40" ht="18" customHeight="1">
      <c r="A89" s="965"/>
      <c r="B89" s="1731" t="s">
        <v>1115</v>
      </c>
      <c r="C89" s="1732"/>
      <c r="D89" s="1733"/>
      <c r="E89" s="2488" t="s">
        <v>1211</v>
      </c>
      <c r="F89" s="2488"/>
      <c r="G89" s="2488"/>
      <c r="H89" s="2488"/>
      <c r="I89" s="2488"/>
      <c r="J89" s="2488"/>
      <c r="K89" s="2488"/>
      <c r="L89" s="2488"/>
      <c r="M89" s="2488"/>
      <c r="N89" s="2465" t="s">
        <v>1212</v>
      </c>
      <c r="O89" s="2465"/>
      <c r="P89" s="2465"/>
      <c r="Q89" s="2465"/>
      <c r="R89" s="2465"/>
      <c r="S89" s="2465"/>
      <c r="T89" s="2465"/>
      <c r="U89" s="2465"/>
      <c r="V89" s="2465"/>
      <c r="W89" s="2465"/>
      <c r="X89" s="2465"/>
      <c r="Y89" s="2465"/>
      <c r="Z89" s="2465"/>
      <c r="AA89" s="2465"/>
      <c r="AB89" s="2465"/>
      <c r="AC89" s="2465"/>
      <c r="AD89" s="2465"/>
      <c r="AE89" s="2465"/>
      <c r="AF89" s="2465"/>
      <c r="AG89" s="2465"/>
      <c r="AH89" s="2465"/>
      <c r="AI89" s="2465"/>
      <c r="AJ89" s="1727"/>
      <c r="AK89" s="1727"/>
      <c r="AL89" s="1727"/>
      <c r="AM89" s="1727"/>
      <c r="AN89" s="36"/>
    </row>
    <row r="90" spans="1:40" ht="18" customHeight="1">
      <c r="B90" s="2464"/>
      <c r="C90" s="2464"/>
      <c r="D90" s="2464"/>
      <c r="E90" s="2464"/>
      <c r="F90" s="2464"/>
      <c r="G90" s="2464"/>
      <c r="H90" s="2464"/>
      <c r="I90" s="2464"/>
      <c r="J90" s="2464"/>
      <c r="K90" s="2464"/>
      <c r="L90" s="2464"/>
      <c r="M90" s="2464"/>
      <c r="N90" s="2464"/>
      <c r="O90" s="2464"/>
      <c r="P90" s="2464"/>
      <c r="Q90" s="2464"/>
      <c r="R90" s="2464"/>
      <c r="S90" s="2464"/>
      <c r="T90" s="2464"/>
      <c r="U90" s="2464"/>
      <c r="V90" s="2464"/>
      <c r="W90" s="2464"/>
      <c r="X90" s="2464"/>
      <c r="Y90" s="2464"/>
      <c r="Z90" s="2464"/>
      <c r="AA90" s="2464"/>
      <c r="AB90" s="2464"/>
      <c r="AC90" s="2464"/>
      <c r="AD90" s="2464"/>
      <c r="AE90" s="2464"/>
      <c r="AF90" s="2464"/>
      <c r="AG90" s="2464"/>
      <c r="AH90" s="2464"/>
      <c r="AI90" s="2464"/>
      <c r="AJ90" s="2464"/>
      <c r="AK90" s="2464"/>
      <c r="AL90" s="2464"/>
      <c r="AM90" s="2464"/>
      <c r="AN90" s="36"/>
    </row>
    <row r="91" spans="1:40" ht="18" customHeight="1">
      <c r="B91" s="2463" t="s">
        <v>1213</v>
      </c>
      <c r="C91" s="2463"/>
      <c r="D91" s="2463"/>
      <c r="E91" s="2463"/>
      <c r="F91" s="2463"/>
      <c r="G91" s="2463"/>
      <c r="H91" s="2463"/>
      <c r="I91" s="2463"/>
      <c r="J91" s="2463"/>
      <c r="K91" s="2463"/>
      <c r="L91" s="2463"/>
      <c r="M91" s="2463"/>
      <c r="N91" s="2463"/>
      <c r="O91" s="2463"/>
      <c r="P91" s="2463"/>
      <c r="Q91" s="2463"/>
      <c r="R91" s="2463"/>
      <c r="S91" s="2463"/>
      <c r="T91" s="2463"/>
      <c r="U91" s="2463"/>
      <c r="V91" s="2463"/>
      <c r="W91" s="2463"/>
      <c r="X91" s="2463"/>
      <c r="Y91" s="2463"/>
      <c r="Z91" s="2463"/>
      <c r="AA91" s="2463"/>
      <c r="AB91" s="2463"/>
      <c r="AC91" s="2463"/>
      <c r="AD91" s="2463"/>
      <c r="AE91" s="2463"/>
      <c r="AF91" s="2463"/>
      <c r="AG91" s="2463"/>
      <c r="AH91" s="2463"/>
      <c r="AI91" s="2463"/>
      <c r="AJ91" s="2463"/>
      <c r="AK91" s="2463"/>
      <c r="AL91" s="2463"/>
      <c r="AM91" s="2463"/>
    </row>
    <row r="92" spans="1:40" ht="18" customHeight="1">
      <c r="A92" s="965"/>
      <c r="B92" s="2171" t="s">
        <v>1115</v>
      </c>
      <c r="C92" s="2172"/>
      <c r="D92" s="2496"/>
      <c r="E92" s="2494" t="s">
        <v>1214</v>
      </c>
      <c r="F92" s="2494"/>
      <c r="G92" s="2494"/>
      <c r="H92" s="2494"/>
      <c r="I92" s="2494"/>
      <c r="J92" s="2494"/>
      <c r="K92" s="2494"/>
      <c r="L92" s="2494"/>
      <c r="M92" s="2494"/>
      <c r="N92" s="2495" t="s">
        <v>1215</v>
      </c>
      <c r="O92" s="2495"/>
      <c r="P92" s="2495"/>
      <c r="Q92" s="2495"/>
      <c r="R92" s="2495"/>
      <c r="S92" s="2495"/>
      <c r="T92" s="2495"/>
      <c r="U92" s="2495"/>
      <c r="V92" s="2495"/>
      <c r="W92" s="2495"/>
      <c r="X92" s="2495"/>
      <c r="Y92" s="2495"/>
      <c r="Z92" s="2495"/>
      <c r="AA92" s="2495"/>
      <c r="AB92" s="2495"/>
      <c r="AC92" s="2495"/>
      <c r="AD92" s="2495"/>
      <c r="AE92" s="2495"/>
      <c r="AF92" s="2495"/>
      <c r="AG92" s="2495"/>
      <c r="AH92" s="2495"/>
      <c r="AI92" s="2495"/>
      <c r="AJ92" s="2492"/>
      <c r="AK92" s="2492"/>
      <c r="AL92" s="2492"/>
      <c r="AM92" s="2492"/>
      <c r="AN92" s="110"/>
    </row>
    <row r="93" spans="1:40" ht="18" customHeight="1">
      <c r="A93" s="965"/>
      <c r="B93" s="1731" t="s">
        <v>1115</v>
      </c>
      <c r="C93" s="1732"/>
      <c r="D93" s="1733"/>
      <c r="E93" s="2488" t="s">
        <v>1216</v>
      </c>
      <c r="F93" s="2488"/>
      <c r="G93" s="2488"/>
      <c r="H93" s="2488"/>
      <c r="I93" s="2488"/>
      <c r="J93" s="2488"/>
      <c r="K93" s="2488"/>
      <c r="L93" s="2488"/>
      <c r="M93" s="2488"/>
      <c r="N93" s="2465" t="s">
        <v>1217</v>
      </c>
      <c r="O93" s="2465"/>
      <c r="P93" s="2465"/>
      <c r="Q93" s="2465"/>
      <c r="R93" s="2465"/>
      <c r="S93" s="2465"/>
      <c r="T93" s="2465"/>
      <c r="U93" s="2465"/>
      <c r="V93" s="2465"/>
      <c r="W93" s="2465"/>
      <c r="X93" s="2465"/>
      <c r="Y93" s="2465"/>
      <c r="Z93" s="2465"/>
      <c r="AA93" s="2465"/>
      <c r="AB93" s="2465"/>
      <c r="AC93" s="2465"/>
      <c r="AD93" s="2465"/>
      <c r="AE93" s="2465"/>
      <c r="AF93" s="2465"/>
      <c r="AG93" s="2465"/>
      <c r="AH93" s="2465"/>
      <c r="AI93" s="2465"/>
      <c r="AJ93" s="1727"/>
      <c r="AK93" s="1727"/>
      <c r="AL93" s="1727"/>
      <c r="AM93" s="1727"/>
      <c r="AN93" s="110"/>
    </row>
    <row r="94" spans="1:40" ht="36" customHeight="1">
      <c r="A94" s="965"/>
      <c r="B94" s="1731" t="s">
        <v>1218</v>
      </c>
      <c r="C94" s="1732"/>
      <c r="D94" s="1733"/>
      <c r="E94" s="2488" t="s">
        <v>1219</v>
      </c>
      <c r="F94" s="2488"/>
      <c r="G94" s="2488"/>
      <c r="H94" s="2488"/>
      <c r="I94" s="2488"/>
      <c r="J94" s="2488"/>
      <c r="K94" s="2488"/>
      <c r="L94" s="2488"/>
      <c r="M94" s="2488"/>
      <c r="N94" s="2465" t="s">
        <v>1220</v>
      </c>
      <c r="O94" s="2465"/>
      <c r="P94" s="2465"/>
      <c r="Q94" s="2465"/>
      <c r="R94" s="2465"/>
      <c r="S94" s="2465"/>
      <c r="T94" s="2465"/>
      <c r="U94" s="2465"/>
      <c r="V94" s="2465"/>
      <c r="W94" s="2465"/>
      <c r="X94" s="2465"/>
      <c r="Y94" s="2465"/>
      <c r="Z94" s="2465"/>
      <c r="AA94" s="2465"/>
      <c r="AB94" s="2465"/>
      <c r="AC94" s="2465"/>
      <c r="AD94" s="2465"/>
      <c r="AE94" s="2465"/>
      <c r="AF94" s="2465"/>
      <c r="AG94" s="2465"/>
      <c r="AH94" s="2465"/>
      <c r="AI94" s="2465"/>
      <c r="AJ94" s="1727"/>
      <c r="AK94" s="1727"/>
      <c r="AL94" s="1727"/>
      <c r="AM94" s="1727"/>
    </row>
    <row r="95" spans="1:40" ht="18" customHeight="1">
      <c r="A95" s="965"/>
      <c r="B95" s="1870"/>
      <c r="C95" s="1871"/>
      <c r="D95" s="1872"/>
      <c r="E95" s="2488" t="s">
        <v>1221</v>
      </c>
      <c r="F95" s="2488"/>
      <c r="G95" s="2488"/>
      <c r="H95" s="2488"/>
      <c r="I95" s="2488"/>
      <c r="J95" s="2488"/>
      <c r="K95" s="2488"/>
      <c r="L95" s="2488"/>
      <c r="M95" s="2488"/>
      <c r="N95" s="2465" t="s">
        <v>1222</v>
      </c>
      <c r="O95" s="2465"/>
      <c r="P95" s="2465"/>
      <c r="Q95" s="2465"/>
      <c r="R95" s="2465"/>
      <c r="S95" s="2465"/>
      <c r="T95" s="2465"/>
      <c r="U95" s="2465"/>
      <c r="V95" s="2465"/>
      <c r="W95" s="2465"/>
      <c r="X95" s="2465"/>
      <c r="Y95" s="2465"/>
      <c r="Z95" s="2465"/>
      <c r="AA95" s="2465"/>
      <c r="AB95" s="2465"/>
      <c r="AC95" s="2465"/>
      <c r="AD95" s="2465"/>
      <c r="AE95" s="2465"/>
      <c r="AF95" s="2465"/>
      <c r="AG95" s="2465"/>
      <c r="AH95" s="2465"/>
      <c r="AI95" s="2465"/>
      <c r="AJ95" s="1727"/>
      <c r="AK95" s="1727"/>
      <c r="AL95" s="1727"/>
      <c r="AM95" s="1727"/>
      <c r="AN95" s="24"/>
    </row>
    <row r="96" spans="1:40" ht="90" customHeight="1">
      <c r="A96" s="965"/>
      <c r="B96" s="1731"/>
      <c r="C96" s="1732"/>
      <c r="D96" s="1733"/>
      <c r="E96" s="2488" t="s">
        <v>1223</v>
      </c>
      <c r="F96" s="2488"/>
      <c r="G96" s="2488"/>
      <c r="H96" s="2488"/>
      <c r="I96" s="2488"/>
      <c r="J96" s="2488"/>
      <c r="K96" s="2488"/>
      <c r="L96" s="2488"/>
      <c r="M96" s="2488"/>
      <c r="N96" s="2465" t="s">
        <v>1224</v>
      </c>
      <c r="O96" s="2465"/>
      <c r="P96" s="2465"/>
      <c r="Q96" s="2465"/>
      <c r="R96" s="2465"/>
      <c r="S96" s="2465"/>
      <c r="T96" s="2465"/>
      <c r="U96" s="2465"/>
      <c r="V96" s="2465"/>
      <c r="W96" s="2465"/>
      <c r="X96" s="2465"/>
      <c r="Y96" s="2465"/>
      <c r="Z96" s="2465"/>
      <c r="AA96" s="2465"/>
      <c r="AB96" s="2465"/>
      <c r="AC96" s="2465"/>
      <c r="AD96" s="2465"/>
      <c r="AE96" s="2465"/>
      <c r="AF96" s="2465"/>
      <c r="AG96" s="2465"/>
      <c r="AH96" s="2465"/>
      <c r="AI96" s="2465"/>
      <c r="AJ96" s="1727"/>
      <c r="AK96" s="1727"/>
      <c r="AL96" s="1727"/>
      <c r="AM96" s="1727"/>
      <c r="AN96" s="16"/>
    </row>
    <row r="97" spans="1:41" ht="18" customHeight="1">
      <c r="B97" s="2464"/>
      <c r="C97" s="2464"/>
      <c r="D97" s="2464"/>
      <c r="E97" s="2464"/>
      <c r="F97" s="2464"/>
      <c r="G97" s="2464"/>
      <c r="H97" s="2464"/>
      <c r="I97" s="2464"/>
      <c r="J97" s="2464"/>
      <c r="K97" s="2464"/>
      <c r="L97" s="2464"/>
      <c r="M97" s="2464"/>
      <c r="N97" s="2464"/>
      <c r="O97" s="2464"/>
      <c r="P97" s="2464"/>
      <c r="Q97" s="2464"/>
      <c r="R97" s="2464"/>
      <c r="S97" s="2464"/>
      <c r="T97" s="2464"/>
      <c r="U97" s="2464"/>
      <c r="V97" s="2464"/>
      <c r="W97" s="2464"/>
      <c r="X97" s="2464"/>
      <c r="Y97" s="2464"/>
      <c r="Z97" s="2464"/>
      <c r="AA97" s="2464"/>
      <c r="AB97" s="2464"/>
      <c r="AC97" s="2464"/>
      <c r="AD97" s="2464"/>
      <c r="AE97" s="2464"/>
      <c r="AF97" s="2464"/>
      <c r="AG97" s="2464"/>
      <c r="AH97" s="2464"/>
      <c r="AI97" s="2464"/>
      <c r="AJ97" s="2464"/>
      <c r="AK97" s="2464"/>
      <c r="AL97" s="2464"/>
      <c r="AM97" s="2464"/>
      <c r="AN97" s="16"/>
    </row>
    <row r="98" spans="1:41" ht="18" customHeight="1">
      <c r="B98" s="2463" t="s">
        <v>1225</v>
      </c>
      <c r="C98" s="2463"/>
      <c r="D98" s="2463"/>
      <c r="E98" s="2463"/>
      <c r="F98" s="2463"/>
      <c r="G98" s="2463"/>
      <c r="H98" s="2463"/>
      <c r="I98" s="2463"/>
      <c r="J98" s="2463"/>
      <c r="K98" s="2463"/>
      <c r="L98" s="2463"/>
      <c r="M98" s="2463"/>
      <c r="N98" s="2463"/>
      <c r="O98" s="2463"/>
      <c r="P98" s="2463"/>
      <c r="Q98" s="2463"/>
      <c r="R98" s="2463"/>
      <c r="S98" s="2463"/>
      <c r="T98" s="2463"/>
      <c r="U98" s="2463"/>
      <c r="V98" s="2463"/>
      <c r="W98" s="2463"/>
      <c r="X98" s="2463"/>
      <c r="Y98" s="2463"/>
      <c r="Z98" s="2463"/>
      <c r="AA98" s="2463"/>
      <c r="AB98" s="2463"/>
      <c r="AC98" s="2463"/>
      <c r="AD98" s="2463"/>
      <c r="AE98" s="2463"/>
      <c r="AF98" s="2463"/>
      <c r="AG98" s="2463"/>
      <c r="AH98" s="2463"/>
      <c r="AI98" s="2463"/>
      <c r="AJ98" s="2463"/>
      <c r="AK98" s="2463"/>
      <c r="AL98" s="2463"/>
      <c r="AM98" s="2463"/>
    </row>
    <row r="99" spans="1:41" ht="36" customHeight="1">
      <c r="A99" s="965"/>
      <c r="B99" s="1731" t="s">
        <v>1115</v>
      </c>
      <c r="C99" s="1732"/>
      <c r="D99" s="1733"/>
      <c r="E99" s="2462" t="s">
        <v>1226</v>
      </c>
      <c r="F99" s="2462"/>
      <c r="G99" s="2462"/>
      <c r="H99" s="2462"/>
      <c r="I99" s="2462"/>
      <c r="J99" s="2462"/>
      <c r="K99" s="2462"/>
      <c r="L99" s="2462"/>
      <c r="M99" s="2462"/>
      <c r="N99" s="2465" t="s">
        <v>1227</v>
      </c>
      <c r="O99" s="2465"/>
      <c r="P99" s="2465"/>
      <c r="Q99" s="2465"/>
      <c r="R99" s="2465"/>
      <c r="S99" s="2465"/>
      <c r="T99" s="2465"/>
      <c r="U99" s="2465"/>
      <c r="V99" s="2465"/>
      <c r="W99" s="2465"/>
      <c r="X99" s="2465"/>
      <c r="Y99" s="2465"/>
      <c r="Z99" s="2465"/>
      <c r="AA99" s="2465"/>
      <c r="AB99" s="2465"/>
      <c r="AC99" s="2465"/>
      <c r="AD99" s="2465"/>
      <c r="AE99" s="2465"/>
      <c r="AF99" s="2465"/>
      <c r="AG99" s="2465"/>
      <c r="AH99" s="2465"/>
      <c r="AI99" s="2465"/>
      <c r="AJ99" s="1727"/>
      <c r="AK99" s="1727"/>
      <c r="AL99" s="1727"/>
      <c r="AM99" s="1727"/>
    </row>
    <row r="100" spans="1:41" ht="36" customHeight="1">
      <c r="A100" s="965"/>
      <c r="B100" s="2447" t="s">
        <v>1228</v>
      </c>
      <c r="C100" s="2448"/>
      <c r="D100" s="2449"/>
      <c r="E100" s="2488" t="s">
        <v>1229</v>
      </c>
      <c r="F100" s="2488"/>
      <c r="G100" s="2488"/>
      <c r="H100" s="2488"/>
      <c r="I100" s="2488"/>
      <c r="J100" s="2488"/>
      <c r="K100" s="2488"/>
      <c r="L100" s="2488"/>
      <c r="M100" s="2488"/>
      <c r="N100" s="2497" t="s">
        <v>1230</v>
      </c>
      <c r="O100" s="2497"/>
      <c r="P100" s="2497"/>
      <c r="Q100" s="2497"/>
      <c r="R100" s="2497"/>
      <c r="S100" s="2497"/>
      <c r="T100" s="2497"/>
      <c r="U100" s="2497"/>
      <c r="V100" s="2497"/>
      <c r="W100" s="2497"/>
      <c r="X100" s="2497"/>
      <c r="Y100" s="2497"/>
      <c r="Z100" s="2497"/>
      <c r="AA100" s="2497"/>
      <c r="AB100" s="2497"/>
      <c r="AC100" s="2497"/>
      <c r="AD100" s="2497"/>
      <c r="AE100" s="2497"/>
      <c r="AF100" s="2497"/>
      <c r="AG100" s="2497"/>
      <c r="AH100" s="2497"/>
      <c r="AI100" s="2497"/>
      <c r="AJ100" s="1727"/>
      <c r="AK100" s="1727"/>
      <c r="AL100" s="1727"/>
      <c r="AM100" s="1727"/>
    </row>
    <row r="101" spans="1:41" ht="36" customHeight="1">
      <c r="A101" s="965"/>
      <c r="B101" s="2447" t="s">
        <v>1228</v>
      </c>
      <c r="C101" s="2448"/>
      <c r="D101" s="2449"/>
      <c r="E101" s="2488" t="s">
        <v>1231</v>
      </c>
      <c r="F101" s="2488"/>
      <c r="G101" s="2488"/>
      <c r="H101" s="2488"/>
      <c r="I101" s="2488"/>
      <c r="J101" s="2488"/>
      <c r="K101" s="2488"/>
      <c r="L101" s="2488"/>
      <c r="M101" s="2488"/>
      <c r="N101" s="2497" t="s">
        <v>1232</v>
      </c>
      <c r="O101" s="2497"/>
      <c r="P101" s="2497"/>
      <c r="Q101" s="2497"/>
      <c r="R101" s="2497"/>
      <c r="S101" s="2497"/>
      <c r="T101" s="2497"/>
      <c r="U101" s="2497"/>
      <c r="V101" s="2497"/>
      <c r="W101" s="2497"/>
      <c r="X101" s="2497"/>
      <c r="Y101" s="2497"/>
      <c r="Z101" s="2497"/>
      <c r="AA101" s="2497"/>
      <c r="AB101" s="2497"/>
      <c r="AC101" s="2497"/>
      <c r="AD101" s="2497"/>
      <c r="AE101" s="2497"/>
      <c r="AF101" s="2497"/>
      <c r="AG101" s="2497"/>
      <c r="AH101" s="2497"/>
      <c r="AI101" s="2497"/>
      <c r="AJ101" s="1727"/>
      <c r="AK101" s="1727"/>
      <c r="AL101" s="1727"/>
      <c r="AM101" s="1727"/>
    </row>
    <row r="102" spans="1:41" ht="18" customHeight="1">
      <c r="A102" s="965"/>
      <c r="B102" s="2447" t="s">
        <v>1228</v>
      </c>
      <c r="C102" s="2448"/>
      <c r="D102" s="2449"/>
      <c r="E102" s="2488" t="s">
        <v>1233</v>
      </c>
      <c r="F102" s="2488"/>
      <c r="G102" s="2488"/>
      <c r="H102" s="2488"/>
      <c r="I102" s="2488"/>
      <c r="J102" s="2488"/>
      <c r="K102" s="2488"/>
      <c r="L102" s="2488"/>
      <c r="M102" s="2488"/>
      <c r="N102" s="2497" t="s">
        <v>1234</v>
      </c>
      <c r="O102" s="2497"/>
      <c r="P102" s="2497"/>
      <c r="Q102" s="2497"/>
      <c r="R102" s="2497"/>
      <c r="S102" s="2497"/>
      <c r="T102" s="2497"/>
      <c r="U102" s="2497"/>
      <c r="V102" s="2497"/>
      <c r="W102" s="2497"/>
      <c r="X102" s="2497"/>
      <c r="Y102" s="2497"/>
      <c r="Z102" s="2497"/>
      <c r="AA102" s="2497"/>
      <c r="AB102" s="2497"/>
      <c r="AC102" s="2497"/>
      <c r="AD102" s="2497"/>
      <c r="AE102" s="2497"/>
      <c r="AF102" s="2497"/>
      <c r="AG102" s="2497"/>
      <c r="AH102" s="2497"/>
      <c r="AI102" s="2497"/>
      <c r="AJ102" s="1727"/>
      <c r="AK102" s="1727"/>
      <c r="AL102" s="1727"/>
      <c r="AM102" s="1727"/>
    </row>
    <row r="103" spans="1:41" ht="54" customHeight="1">
      <c r="A103" s="965"/>
      <c r="B103" s="2447" t="s">
        <v>1228</v>
      </c>
      <c r="C103" s="2448"/>
      <c r="D103" s="2449"/>
      <c r="E103" s="2488" t="s">
        <v>1235</v>
      </c>
      <c r="F103" s="2488"/>
      <c r="G103" s="2488"/>
      <c r="H103" s="2488"/>
      <c r="I103" s="2488"/>
      <c r="J103" s="2488"/>
      <c r="K103" s="2488"/>
      <c r="L103" s="2488"/>
      <c r="M103" s="2488"/>
      <c r="N103" s="2497" t="s">
        <v>1236</v>
      </c>
      <c r="O103" s="2497"/>
      <c r="P103" s="2497"/>
      <c r="Q103" s="2497"/>
      <c r="R103" s="2497"/>
      <c r="S103" s="2497"/>
      <c r="T103" s="2497"/>
      <c r="U103" s="2497"/>
      <c r="V103" s="2497"/>
      <c r="W103" s="2497"/>
      <c r="X103" s="2497"/>
      <c r="Y103" s="2497"/>
      <c r="Z103" s="2497"/>
      <c r="AA103" s="2497"/>
      <c r="AB103" s="2497"/>
      <c r="AC103" s="2497"/>
      <c r="AD103" s="2497"/>
      <c r="AE103" s="2497"/>
      <c r="AF103" s="2497"/>
      <c r="AG103" s="2497"/>
      <c r="AH103" s="2497"/>
      <c r="AI103" s="2497"/>
      <c r="AJ103" s="1727"/>
      <c r="AK103" s="1727"/>
      <c r="AL103" s="1727"/>
      <c r="AM103" s="1727"/>
    </row>
    <row r="104" spans="1:41" ht="18" customHeight="1">
      <c r="A104" s="965"/>
      <c r="B104" s="2456"/>
      <c r="C104" s="2457"/>
      <c r="D104" s="2458"/>
      <c r="E104" s="2461" t="s">
        <v>1237</v>
      </c>
      <c r="F104" s="2461"/>
      <c r="G104" s="2461"/>
      <c r="H104" s="2461"/>
      <c r="I104" s="2461"/>
      <c r="J104" s="2461"/>
      <c r="K104" s="2461"/>
      <c r="L104" s="2461"/>
      <c r="M104" s="2461"/>
      <c r="N104" s="2466" t="s">
        <v>1238</v>
      </c>
      <c r="O104" s="2466"/>
      <c r="P104" s="2466"/>
      <c r="Q104" s="2466"/>
      <c r="R104" s="2466"/>
      <c r="S104" s="2466"/>
      <c r="T104" s="2466"/>
      <c r="U104" s="2466"/>
      <c r="V104" s="2466"/>
      <c r="W104" s="2466"/>
      <c r="X104" s="2466"/>
      <c r="Y104" s="2466"/>
      <c r="Z104" s="2466"/>
      <c r="AA104" s="2466"/>
      <c r="AB104" s="2466"/>
      <c r="AC104" s="2466"/>
      <c r="AD104" s="2466"/>
      <c r="AE104" s="2466"/>
      <c r="AF104" s="2466"/>
      <c r="AG104" s="2466"/>
      <c r="AH104" s="2466"/>
      <c r="AI104" s="2466"/>
      <c r="AJ104" s="1727"/>
      <c r="AK104" s="1727"/>
      <c r="AL104" s="1727"/>
      <c r="AM104" s="1727"/>
    </row>
    <row r="105" spans="1:41" ht="18" customHeight="1">
      <c r="A105" s="965"/>
      <c r="B105" s="2456"/>
      <c r="C105" s="2457"/>
      <c r="D105" s="2458"/>
      <c r="E105" s="2461" t="s">
        <v>1239</v>
      </c>
      <c r="F105" s="2461"/>
      <c r="G105" s="2461"/>
      <c r="H105" s="2461"/>
      <c r="I105" s="2461"/>
      <c r="J105" s="2461"/>
      <c r="K105" s="2461"/>
      <c r="L105" s="2461"/>
      <c r="M105" s="2461"/>
      <c r="N105" s="2498" t="s">
        <v>1240</v>
      </c>
      <c r="O105" s="2498"/>
      <c r="P105" s="2498"/>
      <c r="Q105" s="2498"/>
      <c r="R105" s="2498"/>
      <c r="S105" s="2498"/>
      <c r="T105" s="2498"/>
      <c r="U105" s="2498"/>
      <c r="V105" s="2498"/>
      <c r="W105" s="2498"/>
      <c r="X105" s="2498"/>
      <c r="Y105" s="2498"/>
      <c r="Z105" s="2498"/>
      <c r="AA105" s="2498"/>
      <c r="AB105" s="2498"/>
      <c r="AC105" s="2498"/>
      <c r="AD105" s="2498"/>
      <c r="AE105" s="2498"/>
      <c r="AF105" s="2498"/>
      <c r="AG105" s="2498"/>
      <c r="AH105" s="2498"/>
      <c r="AI105" s="2498"/>
      <c r="AJ105" s="1727"/>
      <c r="AK105" s="1727"/>
      <c r="AL105" s="1727"/>
      <c r="AM105" s="1727"/>
    </row>
    <row r="106" spans="1:41" ht="36" customHeight="1">
      <c r="A106" s="965"/>
      <c r="B106" s="2456"/>
      <c r="C106" s="2457"/>
      <c r="D106" s="2458"/>
      <c r="E106" s="2461" t="s">
        <v>1241</v>
      </c>
      <c r="F106" s="2461"/>
      <c r="G106" s="2461"/>
      <c r="H106" s="2461"/>
      <c r="I106" s="2461"/>
      <c r="J106" s="2461"/>
      <c r="K106" s="2461"/>
      <c r="L106" s="2461"/>
      <c r="M106" s="2461"/>
      <c r="N106" s="2466" t="s">
        <v>1242</v>
      </c>
      <c r="O106" s="2466"/>
      <c r="P106" s="2466"/>
      <c r="Q106" s="2466"/>
      <c r="R106" s="2466"/>
      <c r="S106" s="2466"/>
      <c r="T106" s="2466"/>
      <c r="U106" s="2466"/>
      <c r="V106" s="2466"/>
      <c r="W106" s="2466"/>
      <c r="X106" s="2466"/>
      <c r="Y106" s="2466"/>
      <c r="Z106" s="2466"/>
      <c r="AA106" s="2466"/>
      <c r="AB106" s="2466"/>
      <c r="AC106" s="2466"/>
      <c r="AD106" s="2466"/>
      <c r="AE106" s="2466"/>
      <c r="AF106" s="2466"/>
      <c r="AG106" s="2466"/>
      <c r="AH106" s="2466"/>
      <c r="AI106" s="2466"/>
      <c r="AJ106" s="1727"/>
      <c r="AK106" s="1727"/>
      <c r="AL106" s="1727"/>
      <c r="AM106" s="1727"/>
      <c r="AN106" s="16"/>
    </row>
    <row r="107" spans="1:41" ht="18" customHeight="1">
      <c r="B107" s="2456" t="s">
        <v>1115</v>
      </c>
      <c r="C107" s="2457"/>
      <c r="D107" s="2458"/>
      <c r="E107" s="2461" t="s">
        <v>1243</v>
      </c>
      <c r="F107" s="2461"/>
      <c r="G107" s="2461"/>
      <c r="H107" s="2461"/>
      <c r="I107" s="2461"/>
      <c r="J107" s="2461"/>
      <c r="K107" s="2461"/>
      <c r="L107" s="2461"/>
      <c r="M107" s="2461"/>
      <c r="N107" s="2466" t="s">
        <v>1244</v>
      </c>
      <c r="O107" s="2466"/>
      <c r="P107" s="2466"/>
      <c r="Q107" s="2466"/>
      <c r="R107" s="2466"/>
      <c r="S107" s="2466"/>
      <c r="T107" s="2466"/>
      <c r="U107" s="2466"/>
      <c r="V107" s="2466"/>
      <c r="W107" s="2466"/>
      <c r="X107" s="2466"/>
      <c r="Y107" s="2466"/>
      <c r="Z107" s="2466"/>
      <c r="AA107" s="2466"/>
      <c r="AB107" s="2466"/>
      <c r="AC107" s="2466"/>
      <c r="AD107" s="2466"/>
      <c r="AE107" s="2466"/>
      <c r="AF107" s="2466"/>
      <c r="AG107" s="2466"/>
      <c r="AH107" s="2466"/>
      <c r="AI107" s="2466"/>
      <c r="AJ107" s="1727"/>
      <c r="AK107" s="1727"/>
      <c r="AL107" s="1727"/>
      <c r="AM107" s="1727"/>
      <c r="AN107" s="16"/>
    </row>
    <row r="108" spans="1:41" ht="18" customHeight="1">
      <c r="B108" s="2456" t="s">
        <v>1115</v>
      </c>
      <c r="C108" s="2457"/>
      <c r="D108" s="2458"/>
      <c r="E108" s="2461" t="s">
        <v>1245</v>
      </c>
      <c r="F108" s="2461"/>
      <c r="G108" s="2461"/>
      <c r="H108" s="2461"/>
      <c r="I108" s="2461"/>
      <c r="J108" s="2461"/>
      <c r="K108" s="2461"/>
      <c r="L108" s="2461"/>
      <c r="M108" s="2461"/>
      <c r="N108" s="2466" t="s">
        <v>1246</v>
      </c>
      <c r="O108" s="2466"/>
      <c r="P108" s="2466"/>
      <c r="Q108" s="2466"/>
      <c r="R108" s="2466"/>
      <c r="S108" s="2466"/>
      <c r="T108" s="2466"/>
      <c r="U108" s="2466"/>
      <c r="V108" s="2466"/>
      <c r="W108" s="2466"/>
      <c r="X108" s="2466"/>
      <c r="Y108" s="2466"/>
      <c r="Z108" s="2466"/>
      <c r="AA108" s="2466"/>
      <c r="AB108" s="2466"/>
      <c r="AC108" s="2466"/>
      <c r="AD108" s="2466"/>
      <c r="AE108" s="2466"/>
      <c r="AF108" s="2466"/>
      <c r="AG108" s="2466"/>
      <c r="AH108" s="2466"/>
      <c r="AI108" s="2466"/>
      <c r="AJ108" s="1727"/>
      <c r="AK108" s="1727"/>
      <c r="AL108" s="1727"/>
      <c r="AM108" s="1727"/>
      <c r="AN108" s="16"/>
    </row>
    <row r="109" spans="1:41" ht="54" customHeight="1">
      <c r="A109" s="965"/>
      <c r="B109" s="2456" t="s">
        <v>1115</v>
      </c>
      <c r="C109" s="2457"/>
      <c r="D109" s="2458"/>
      <c r="E109" s="2461" t="s">
        <v>1247</v>
      </c>
      <c r="F109" s="2461"/>
      <c r="G109" s="2461"/>
      <c r="H109" s="2461"/>
      <c r="I109" s="2461"/>
      <c r="J109" s="2461"/>
      <c r="K109" s="2461"/>
      <c r="L109" s="2461"/>
      <c r="M109" s="2461"/>
      <c r="N109" s="2466" t="s">
        <v>1248</v>
      </c>
      <c r="O109" s="2466"/>
      <c r="P109" s="2466"/>
      <c r="Q109" s="2466"/>
      <c r="R109" s="2466"/>
      <c r="S109" s="2466"/>
      <c r="T109" s="2466"/>
      <c r="U109" s="2466"/>
      <c r="V109" s="2466"/>
      <c r="W109" s="2466"/>
      <c r="X109" s="2466"/>
      <c r="Y109" s="2466"/>
      <c r="Z109" s="2466"/>
      <c r="AA109" s="2466"/>
      <c r="AB109" s="2466"/>
      <c r="AC109" s="2466"/>
      <c r="AD109" s="2466"/>
      <c r="AE109" s="2466"/>
      <c r="AF109" s="2466"/>
      <c r="AG109" s="2466"/>
      <c r="AH109" s="2466"/>
      <c r="AI109" s="2466"/>
      <c r="AJ109" s="1727"/>
      <c r="AK109" s="1727"/>
      <c r="AL109" s="1727"/>
      <c r="AM109" s="1727"/>
      <c r="AN109" s="2483"/>
      <c r="AO109" s="2484"/>
    </row>
    <row r="110" spans="1:41" ht="18" customHeight="1">
      <c r="B110" s="2464"/>
      <c r="C110" s="2464"/>
      <c r="D110" s="2464"/>
      <c r="E110" s="2464"/>
      <c r="F110" s="2464"/>
      <c r="G110" s="2464"/>
      <c r="H110" s="2464"/>
      <c r="I110" s="2464"/>
      <c r="J110" s="2464"/>
      <c r="K110" s="2464"/>
      <c r="L110" s="2464"/>
      <c r="M110" s="2464"/>
      <c r="N110" s="2464"/>
      <c r="O110" s="2464"/>
      <c r="P110" s="2464"/>
      <c r="Q110" s="2464"/>
      <c r="R110" s="2464"/>
      <c r="S110" s="2464"/>
      <c r="T110" s="2464"/>
      <c r="U110" s="2464"/>
      <c r="V110" s="2464"/>
      <c r="W110" s="2464"/>
      <c r="X110" s="2464"/>
      <c r="Y110" s="2464"/>
      <c r="Z110" s="2464"/>
      <c r="AA110" s="2464"/>
      <c r="AB110" s="2464"/>
      <c r="AC110" s="2464"/>
      <c r="AD110" s="2464"/>
      <c r="AE110" s="2464"/>
      <c r="AF110" s="2464"/>
      <c r="AG110" s="2464"/>
      <c r="AH110" s="2464"/>
      <c r="AI110" s="2464"/>
      <c r="AJ110" s="2464"/>
      <c r="AK110" s="2464"/>
      <c r="AL110" s="2464"/>
      <c r="AM110" s="2464"/>
      <c r="AN110" s="302"/>
      <c r="AO110" s="1499"/>
    </row>
    <row r="111" spans="1:41" ht="18" customHeight="1">
      <c r="B111" s="2463" t="s">
        <v>1249</v>
      </c>
      <c r="C111" s="2463"/>
      <c r="D111" s="2463"/>
      <c r="E111" s="2463"/>
      <c r="F111" s="2463"/>
      <c r="G111" s="2463"/>
      <c r="H111" s="2463"/>
      <c r="I111" s="2463"/>
      <c r="J111" s="2463"/>
      <c r="K111" s="2463"/>
      <c r="L111" s="2463"/>
      <c r="M111" s="2463"/>
      <c r="N111" s="2463"/>
      <c r="O111" s="2463"/>
      <c r="P111" s="2463"/>
      <c r="Q111" s="2463"/>
      <c r="R111" s="2463"/>
      <c r="S111" s="2463"/>
      <c r="T111" s="2463"/>
      <c r="U111" s="2463"/>
      <c r="V111" s="2463"/>
      <c r="W111" s="2463"/>
      <c r="X111" s="2463"/>
      <c r="Y111" s="2463"/>
      <c r="Z111" s="2463"/>
      <c r="AA111" s="2463"/>
      <c r="AB111" s="2463"/>
      <c r="AC111" s="2463"/>
      <c r="AD111" s="2463"/>
      <c r="AE111" s="2463"/>
      <c r="AF111" s="2463"/>
      <c r="AG111" s="2463"/>
      <c r="AH111" s="2463"/>
      <c r="AI111" s="2463"/>
      <c r="AJ111" s="2463"/>
      <c r="AK111" s="2463"/>
      <c r="AL111" s="2463"/>
      <c r="AM111" s="2463"/>
    </row>
    <row r="112" spans="1:41" ht="18" customHeight="1">
      <c r="A112" s="965"/>
      <c r="B112" s="1731"/>
      <c r="C112" s="1732"/>
      <c r="D112" s="1733"/>
      <c r="E112" s="2462" t="s">
        <v>1250</v>
      </c>
      <c r="F112" s="2462"/>
      <c r="G112" s="2462"/>
      <c r="H112" s="2462"/>
      <c r="I112" s="2462"/>
      <c r="J112" s="2462"/>
      <c r="K112" s="2462"/>
      <c r="L112" s="2462"/>
      <c r="M112" s="2462"/>
      <c r="N112" s="2465" t="s">
        <v>1251</v>
      </c>
      <c r="O112" s="2465"/>
      <c r="P112" s="2465"/>
      <c r="Q112" s="2465"/>
      <c r="R112" s="2465"/>
      <c r="S112" s="2465"/>
      <c r="T112" s="2465"/>
      <c r="U112" s="2465"/>
      <c r="V112" s="2465"/>
      <c r="W112" s="2465"/>
      <c r="X112" s="2465"/>
      <c r="Y112" s="2465"/>
      <c r="Z112" s="2465"/>
      <c r="AA112" s="2465"/>
      <c r="AB112" s="2465"/>
      <c r="AC112" s="2465"/>
      <c r="AD112" s="2465"/>
      <c r="AE112" s="2465"/>
      <c r="AF112" s="2465"/>
      <c r="AG112" s="2465"/>
      <c r="AH112" s="2465"/>
      <c r="AI112" s="2465"/>
      <c r="AJ112" s="1727"/>
      <c r="AK112" s="1727"/>
      <c r="AL112" s="1727"/>
      <c r="AM112" s="1727"/>
    </row>
    <row r="113" spans="1:46" ht="18" customHeight="1">
      <c r="A113" s="965"/>
      <c r="B113" s="1870"/>
      <c r="C113" s="1871"/>
      <c r="D113" s="1872"/>
      <c r="E113" s="2488" t="s">
        <v>1252</v>
      </c>
      <c r="F113" s="2488"/>
      <c r="G113" s="2488"/>
      <c r="H113" s="2488"/>
      <c r="I113" s="2488"/>
      <c r="J113" s="2488"/>
      <c r="K113" s="2488"/>
      <c r="L113" s="2488"/>
      <c r="M113" s="2488"/>
      <c r="N113" s="2465" t="s">
        <v>1253</v>
      </c>
      <c r="O113" s="2465"/>
      <c r="P113" s="2465"/>
      <c r="Q113" s="2465"/>
      <c r="R113" s="2465"/>
      <c r="S113" s="2465"/>
      <c r="T113" s="2465"/>
      <c r="U113" s="2465"/>
      <c r="V113" s="2465"/>
      <c r="W113" s="2465"/>
      <c r="X113" s="2465"/>
      <c r="Y113" s="2465"/>
      <c r="Z113" s="2465"/>
      <c r="AA113" s="2465"/>
      <c r="AB113" s="2465"/>
      <c r="AC113" s="2465"/>
      <c r="AD113" s="2465"/>
      <c r="AE113" s="2465"/>
      <c r="AF113" s="2465"/>
      <c r="AG113" s="2465"/>
      <c r="AH113" s="2465"/>
      <c r="AI113" s="2465"/>
      <c r="AJ113" s="1727"/>
      <c r="AK113" s="1727"/>
      <c r="AL113" s="1727"/>
      <c r="AM113" s="1727"/>
    </row>
    <row r="114" spans="1:46" ht="36" customHeight="1">
      <c r="A114" s="965"/>
      <c r="B114" s="1870"/>
      <c r="C114" s="1871"/>
      <c r="D114" s="1872"/>
      <c r="E114" s="2488" t="s">
        <v>1254</v>
      </c>
      <c r="F114" s="2488"/>
      <c r="G114" s="2488"/>
      <c r="H114" s="2488"/>
      <c r="I114" s="2488"/>
      <c r="J114" s="2488"/>
      <c r="K114" s="2488"/>
      <c r="L114" s="2488"/>
      <c r="M114" s="2488"/>
      <c r="N114" s="1859" t="s">
        <v>1255</v>
      </c>
      <c r="O114" s="1859"/>
      <c r="P114" s="1859"/>
      <c r="Q114" s="1859"/>
      <c r="R114" s="1859"/>
      <c r="S114" s="1859"/>
      <c r="T114" s="1859"/>
      <c r="U114" s="1859"/>
      <c r="V114" s="1859"/>
      <c r="W114" s="1859"/>
      <c r="X114" s="1859"/>
      <c r="Y114" s="1859"/>
      <c r="Z114" s="1859"/>
      <c r="AA114" s="1859"/>
      <c r="AB114" s="1859"/>
      <c r="AC114" s="1859"/>
      <c r="AD114" s="1859"/>
      <c r="AE114" s="1859"/>
      <c r="AF114" s="1859"/>
      <c r="AG114" s="1859"/>
      <c r="AH114" s="1859"/>
      <c r="AI114" s="1859"/>
      <c r="AJ114" s="1727"/>
      <c r="AK114" s="1727"/>
      <c r="AL114" s="1727"/>
      <c r="AM114" s="1727"/>
    </row>
    <row r="115" spans="1:46" ht="36" customHeight="1">
      <c r="A115" s="965"/>
      <c r="B115" s="1870"/>
      <c r="C115" s="1871"/>
      <c r="D115" s="1872"/>
      <c r="E115" s="2488" t="s">
        <v>1256</v>
      </c>
      <c r="F115" s="2488"/>
      <c r="G115" s="2488"/>
      <c r="H115" s="2488"/>
      <c r="I115" s="2488"/>
      <c r="J115" s="2488"/>
      <c r="K115" s="2488"/>
      <c r="L115" s="2488"/>
      <c r="M115" s="2488"/>
      <c r="N115" s="1859" t="s">
        <v>1257</v>
      </c>
      <c r="O115" s="1859"/>
      <c r="P115" s="1859"/>
      <c r="Q115" s="1859"/>
      <c r="R115" s="1859"/>
      <c r="S115" s="1859"/>
      <c r="T115" s="1859"/>
      <c r="U115" s="1859"/>
      <c r="V115" s="1859"/>
      <c r="W115" s="1859"/>
      <c r="X115" s="1859"/>
      <c r="Y115" s="1859"/>
      <c r="Z115" s="1859"/>
      <c r="AA115" s="1859"/>
      <c r="AB115" s="1859"/>
      <c r="AC115" s="1859"/>
      <c r="AD115" s="1859"/>
      <c r="AE115" s="1859"/>
      <c r="AF115" s="1859"/>
      <c r="AG115" s="1859"/>
      <c r="AH115" s="1859"/>
      <c r="AI115" s="1859"/>
      <c r="AJ115" s="1727"/>
      <c r="AK115" s="1727"/>
      <c r="AL115" s="1727"/>
      <c r="AM115" s="1727"/>
    </row>
    <row r="116" spans="1:46" ht="18" customHeight="1">
      <c r="A116" s="965"/>
      <c r="B116" s="1731"/>
      <c r="C116" s="1732"/>
      <c r="D116" s="1733"/>
      <c r="E116" s="2462" t="s">
        <v>1258</v>
      </c>
      <c r="F116" s="2462"/>
      <c r="G116" s="2462"/>
      <c r="H116" s="2462"/>
      <c r="I116" s="2462"/>
      <c r="J116" s="2462"/>
      <c r="K116" s="2462"/>
      <c r="L116" s="2462"/>
      <c r="M116" s="2462"/>
      <c r="N116" s="2474" t="s">
        <v>1259</v>
      </c>
      <c r="O116" s="2475"/>
      <c r="P116" s="2475"/>
      <c r="Q116" s="2475"/>
      <c r="R116" s="2475"/>
      <c r="S116" s="2475"/>
      <c r="T116" s="2475"/>
      <c r="U116" s="2475"/>
      <c r="V116" s="2475"/>
      <c r="W116" s="2475"/>
      <c r="X116" s="2476"/>
      <c r="Y116" s="2471" t="s">
        <v>766</v>
      </c>
      <c r="Z116" s="2472"/>
      <c r="AA116" s="2472"/>
      <c r="AB116" s="2472"/>
      <c r="AC116" s="2472"/>
      <c r="AD116" s="2472"/>
      <c r="AE116" s="2472"/>
      <c r="AF116" s="2472"/>
      <c r="AG116" s="2472"/>
      <c r="AH116" s="2472"/>
      <c r="AI116" s="2473"/>
      <c r="AJ116" s="1727"/>
      <c r="AK116" s="1727"/>
      <c r="AL116" s="1727"/>
      <c r="AM116" s="1727"/>
    </row>
    <row r="117" spans="1:46" ht="18" customHeight="1">
      <c r="B117" s="2464"/>
      <c r="C117" s="2464"/>
      <c r="D117" s="2464"/>
      <c r="E117" s="2464"/>
      <c r="F117" s="2464"/>
      <c r="G117" s="2464"/>
      <c r="H117" s="2464"/>
      <c r="I117" s="2464"/>
      <c r="J117" s="2464"/>
      <c r="K117" s="2464"/>
      <c r="L117" s="2464"/>
      <c r="M117" s="2464"/>
      <c r="N117" s="2464"/>
      <c r="O117" s="2464"/>
      <c r="P117" s="2464"/>
      <c r="Q117" s="2464"/>
      <c r="R117" s="2464"/>
      <c r="S117" s="2464"/>
      <c r="T117" s="2464"/>
      <c r="U117" s="2464"/>
      <c r="V117" s="2464"/>
      <c r="W117" s="2464"/>
      <c r="X117" s="2464"/>
      <c r="Y117" s="2464"/>
      <c r="Z117" s="2464"/>
      <c r="AA117" s="2464"/>
      <c r="AB117" s="2464"/>
      <c r="AC117" s="2464"/>
      <c r="AD117" s="2464"/>
      <c r="AE117" s="2464"/>
      <c r="AF117" s="2464"/>
      <c r="AG117" s="2464"/>
      <c r="AH117" s="2464"/>
      <c r="AI117" s="2464"/>
      <c r="AJ117" s="2464"/>
      <c r="AK117" s="2464"/>
      <c r="AL117" s="2464"/>
      <c r="AM117" s="2464"/>
    </row>
    <row r="118" spans="1:46" ht="18" customHeight="1">
      <c r="B118" s="2463" t="s">
        <v>1260</v>
      </c>
      <c r="C118" s="2463"/>
      <c r="D118" s="2463"/>
      <c r="E118" s="2463"/>
      <c r="F118" s="2463"/>
      <c r="G118" s="2463"/>
      <c r="H118" s="2463"/>
      <c r="I118" s="2463"/>
      <c r="J118" s="2463"/>
      <c r="K118" s="2463"/>
      <c r="L118" s="2463"/>
      <c r="M118" s="2463"/>
      <c r="N118" s="2463"/>
      <c r="O118" s="2463"/>
      <c r="P118" s="2463"/>
      <c r="Q118" s="2463"/>
      <c r="R118" s="2463"/>
      <c r="S118" s="2463"/>
      <c r="T118" s="2463"/>
      <c r="U118" s="2463"/>
      <c r="V118" s="2463"/>
      <c r="W118" s="2463"/>
      <c r="X118" s="2463"/>
      <c r="Y118" s="2463"/>
      <c r="Z118" s="2463"/>
      <c r="AA118" s="2463"/>
      <c r="AB118" s="2463"/>
      <c r="AC118" s="2463"/>
      <c r="AD118" s="2463"/>
      <c r="AE118" s="2463"/>
      <c r="AF118" s="2463"/>
      <c r="AG118" s="2463"/>
      <c r="AH118" s="2463"/>
      <c r="AI118" s="2463"/>
      <c r="AJ118" s="2463"/>
      <c r="AK118" s="2463"/>
      <c r="AL118" s="2463"/>
      <c r="AM118" s="2463"/>
      <c r="AN118" s="16"/>
    </row>
    <row r="119" spans="1:46" ht="18" customHeight="1">
      <c r="A119" s="966" t="s">
        <v>1261</v>
      </c>
      <c r="B119" s="1731"/>
      <c r="C119" s="1732"/>
      <c r="D119" s="1733"/>
      <c r="E119" s="2462" t="s">
        <v>1262</v>
      </c>
      <c r="F119" s="2462"/>
      <c r="G119" s="2462"/>
      <c r="H119" s="2462"/>
      <c r="I119" s="2462"/>
      <c r="J119" s="2462"/>
      <c r="K119" s="2462"/>
      <c r="L119" s="2462"/>
      <c r="M119" s="2462"/>
      <c r="N119" s="2465" t="s">
        <v>1263</v>
      </c>
      <c r="O119" s="2465"/>
      <c r="P119" s="2465"/>
      <c r="Q119" s="2465"/>
      <c r="R119" s="2465"/>
      <c r="S119" s="2465"/>
      <c r="T119" s="2465"/>
      <c r="U119" s="2465"/>
      <c r="V119" s="2465"/>
      <c r="W119" s="2465"/>
      <c r="X119" s="2465"/>
      <c r="Y119" s="2465"/>
      <c r="Z119" s="2465"/>
      <c r="AA119" s="2465"/>
      <c r="AB119" s="2465"/>
      <c r="AC119" s="2465"/>
      <c r="AD119" s="2465"/>
      <c r="AE119" s="2465"/>
      <c r="AF119" s="2465"/>
      <c r="AG119" s="2465"/>
      <c r="AH119" s="2465"/>
      <c r="AI119" s="2465"/>
      <c r="AJ119" s="1727"/>
      <c r="AK119" s="1727"/>
      <c r="AL119" s="1727"/>
      <c r="AM119" s="1727"/>
    </row>
    <row r="120" spans="1:46" ht="18" customHeight="1">
      <c r="A120" s="966" t="s">
        <v>1261</v>
      </c>
      <c r="B120" s="1731"/>
      <c r="C120" s="1732"/>
      <c r="D120" s="1733"/>
      <c r="E120" s="2462" t="s">
        <v>1264</v>
      </c>
      <c r="F120" s="2462"/>
      <c r="G120" s="2462"/>
      <c r="H120" s="2462"/>
      <c r="I120" s="2462"/>
      <c r="J120" s="2462"/>
      <c r="K120" s="2462"/>
      <c r="L120" s="2462"/>
      <c r="M120" s="2462"/>
      <c r="N120" s="2465" t="s">
        <v>1265</v>
      </c>
      <c r="O120" s="2465"/>
      <c r="P120" s="2465"/>
      <c r="Q120" s="2465"/>
      <c r="R120" s="2465"/>
      <c r="S120" s="2465"/>
      <c r="T120" s="2465"/>
      <c r="U120" s="2465"/>
      <c r="V120" s="2465"/>
      <c r="W120" s="2465"/>
      <c r="X120" s="2465"/>
      <c r="Y120" s="2465"/>
      <c r="Z120" s="2465"/>
      <c r="AA120" s="2465"/>
      <c r="AB120" s="2465"/>
      <c r="AC120" s="2465"/>
      <c r="AD120" s="2465"/>
      <c r="AE120" s="2465"/>
      <c r="AF120" s="2465"/>
      <c r="AG120" s="2465"/>
      <c r="AH120" s="2465"/>
      <c r="AI120" s="2465"/>
      <c r="AJ120" s="1727"/>
      <c r="AK120" s="1727"/>
      <c r="AL120" s="1727"/>
      <c r="AM120" s="1727"/>
      <c r="AT120" s="110"/>
    </row>
    <row r="121" spans="1:46" ht="18" customHeight="1">
      <c r="A121" s="966" t="s">
        <v>1261</v>
      </c>
      <c r="B121" s="1731"/>
      <c r="C121" s="1732"/>
      <c r="D121" s="1733"/>
      <c r="E121" s="2462" t="s">
        <v>1266</v>
      </c>
      <c r="F121" s="2462"/>
      <c r="G121" s="2462"/>
      <c r="H121" s="2462"/>
      <c r="I121" s="2462"/>
      <c r="J121" s="2462"/>
      <c r="K121" s="2462"/>
      <c r="L121" s="2462"/>
      <c r="M121" s="2462"/>
      <c r="N121" s="2465" t="s">
        <v>1267</v>
      </c>
      <c r="O121" s="2465"/>
      <c r="P121" s="2465"/>
      <c r="Q121" s="2465"/>
      <c r="R121" s="2465"/>
      <c r="S121" s="2465"/>
      <c r="T121" s="2465"/>
      <c r="U121" s="2465"/>
      <c r="V121" s="2465"/>
      <c r="W121" s="2465"/>
      <c r="X121" s="2465"/>
      <c r="Y121" s="2465"/>
      <c r="Z121" s="2465"/>
      <c r="AA121" s="2465"/>
      <c r="AB121" s="2465"/>
      <c r="AC121" s="2465"/>
      <c r="AD121" s="2465"/>
      <c r="AE121" s="2465"/>
      <c r="AF121" s="2465"/>
      <c r="AG121" s="2465"/>
      <c r="AH121" s="2465"/>
      <c r="AI121" s="2465"/>
      <c r="AJ121" s="1727"/>
      <c r="AK121" s="1727"/>
      <c r="AL121" s="1727"/>
      <c r="AM121" s="1727"/>
      <c r="AT121" s="110"/>
    </row>
    <row r="122" spans="1:46" ht="18" customHeight="1">
      <c r="B122" s="2464"/>
      <c r="C122" s="2464"/>
      <c r="D122" s="2464"/>
      <c r="E122" s="2464"/>
      <c r="F122" s="2464"/>
      <c r="G122" s="2464"/>
      <c r="H122" s="2464"/>
      <c r="I122" s="2464"/>
      <c r="J122" s="2464"/>
      <c r="K122" s="2464"/>
      <c r="L122" s="2464"/>
      <c r="M122" s="2464"/>
      <c r="N122" s="2464"/>
      <c r="O122" s="2464"/>
      <c r="P122" s="2464"/>
      <c r="Q122" s="2464"/>
      <c r="R122" s="2464"/>
      <c r="S122" s="2464"/>
      <c r="T122" s="2464"/>
      <c r="U122" s="2464"/>
      <c r="V122" s="2464"/>
      <c r="W122" s="2464"/>
      <c r="X122" s="2464"/>
      <c r="Y122" s="2464"/>
      <c r="Z122" s="2464"/>
      <c r="AA122" s="2464"/>
      <c r="AB122" s="2464"/>
      <c r="AC122" s="2464"/>
      <c r="AD122" s="2464"/>
      <c r="AE122" s="2464"/>
      <c r="AF122" s="2464"/>
      <c r="AG122" s="2464"/>
      <c r="AH122" s="2464"/>
      <c r="AI122" s="2464"/>
      <c r="AJ122" s="2464"/>
      <c r="AK122" s="2464"/>
      <c r="AL122" s="2464"/>
      <c r="AM122" s="2464"/>
      <c r="AT122" s="110"/>
    </row>
    <row r="123" spans="1:46" ht="18" customHeight="1">
      <c r="B123" s="2463" t="s">
        <v>1268</v>
      </c>
      <c r="C123" s="2463"/>
      <c r="D123" s="2463"/>
      <c r="E123" s="2463"/>
      <c r="F123" s="2463"/>
      <c r="G123" s="2463"/>
      <c r="H123" s="2463"/>
      <c r="I123" s="2463"/>
      <c r="J123" s="2463"/>
      <c r="K123" s="2463"/>
      <c r="L123" s="2463"/>
      <c r="M123" s="2463"/>
      <c r="N123" s="2463"/>
      <c r="O123" s="2463"/>
      <c r="P123" s="2463"/>
      <c r="Q123" s="2463"/>
      <c r="R123" s="2463"/>
      <c r="S123" s="2463"/>
      <c r="T123" s="2463"/>
      <c r="U123" s="2463"/>
      <c r="V123" s="2463"/>
      <c r="W123" s="2463"/>
      <c r="X123" s="2463"/>
      <c r="Y123" s="2463"/>
      <c r="Z123" s="2463"/>
      <c r="AA123" s="2463"/>
      <c r="AB123" s="2463"/>
      <c r="AC123" s="2463"/>
      <c r="AD123" s="2463"/>
      <c r="AE123" s="2463"/>
      <c r="AF123" s="2463"/>
      <c r="AG123" s="2463"/>
      <c r="AH123" s="2463"/>
      <c r="AI123" s="2463"/>
      <c r="AJ123" s="2463"/>
      <c r="AK123" s="2463"/>
      <c r="AL123" s="2463"/>
      <c r="AM123" s="2463"/>
      <c r="AO123" s="16"/>
      <c r="AP123" s="110"/>
    </row>
    <row r="124" spans="1:46" ht="18" customHeight="1">
      <c r="A124" s="965"/>
      <c r="B124" s="1731" t="s">
        <v>1269</v>
      </c>
      <c r="C124" s="1732"/>
      <c r="D124" s="1733"/>
      <c r="E124" s="2462" t="s">
        <v>1270</v>
      </c>
      <c r="F124" s="2462"/>
      <c r="G124" s="2462"/>
      <c r="H124" s="2462"/>
      <c r="I124" s="2462"/>
      <c r="J124" s="2462"/>
      <c r="K124" s="2462"/>
      <c r="L124" s="2462"/>
      <c r="M124" s="2462"/>
      <c r="N124" s="2465" t="s">
        <v>1271</v>
      </c>
      <c r="O124" s="2465"/>
      <c r="P124" s="2465"/>
      <c r="Q124" s="2465"/>
      <c r="R124" s="2465"/>
      <c r="S124" s="2465"/>
      <c r="T124" s="2465"/>
      <c r="U124" s="2465"/>
      <c r="V124" s="2465"/>
      <c r="W124" s="2465"/>
      <c r="X124" s="2465"/>
      <c r="Y124" s="2465"/>
      <c r="Z124" s="2465"/>
      <c r="AA124" s="2465"/>
      <c r="AB124" s="2465"/>
      <c r="AC124" s="2465"/>
      <c r="AD124" s="2465"/>
      <c r="AE124" s="2465"/>
      <c r="AF124" s="2465"/>
      <c r="AG124" s="2465"/>
      <c r="AH124" s="2465"/>
      <c r="AI124" s="2465"/>
      <c r="AJ124" s="1727"/>
      <c r="AK124" s="1727"/>
      <c r="AL124" s="1727"/>
      <c r="AM124" s="1727"/>
    </row>
    <row r="125" spans="1:46" ht="18" customHeight="1">
      <c r="A125" s="965"/>
      <c r="B125" s="1731" t="s">
        <v>1269</v>
      </c>
      <c r="C125" s="1732"/>
      <c r="D125" s="1733"/>
      <c r="E125" s="2462" t="s">
        <v>1272</v>
      </c>
      <c r="F125" s="2462"/>
      <c r="G125" s="2462"/>
      <c r="H125" s="2462"/>
      <c r="I125" s="2462"/>
      <c r="J125" s="2462"/>
      <c r="K125" s="2462"/>
      <c r="L125" s="2462"/>
      <c r="M125" s="2462"/>
      <c r="N125" s="2465" t="s">
        <v>1273</v>
      </c>
      <c r="O125" s="2465"/>
      <c r="P125" s="2465"/>
      <c r="Q125" s="2465"/>
      <c r="R125" s="2465"/>
      <c r="S125" s="2465"/>
      <c r="T125" s="2465"/>
      <c r="U125" s="2465"/>
      <c r="V125" s="2465"/>
      <c r="W125" s="2465"/>
      <c r="X125" s="2465"/>
      <c r="Y125" s="2465"/>
      <c r="Z125" s="2465"/>
      <c r="AA125" s="2465"/>
      <c r="AB125" s="2465"/>
      <c r="AC125" s="2465"/>
      <c r="AD125" s="2465"/>
      <c r="AE125" s="2465"/>
      <c r="AF125" s="2465"/>
      <c r="AG125" s="2465"/>
      <c r="AH125" s="2465"/>
      <c r="AI125" s="2465"/>
      <c r="AJ125" s="1727"/>
      <c r="AK125" s="1727"/>
      <c r="AL125" s="1727"/>
      <c r="AM125" s="1727"/>
    </row>
    <row r="126" spans="1:46" ht="18" customHeight="1">
      <c r="A126" s="965"/>
      <c r="B126" s="1731" t="s">
        <v>1269</v>
      </c>
      <c r="C126" s="1732"/>
      <c r="D126" s="1733"/>
      <c r="E126" s="2462" t="s">
        <v>1274</v>
      </c>
      <c r="F126" s="2462"/>
      <c r="G126" s="2462"/>
      <c r="H126" s="2462"/>
      <c r="I126" s="2462"/>
      <c r="J126" s="2462"/>
      <c r="K126" s="2462"/>
      <c r="L126" s="2462"/>
      <c r="M126" s="2462"/>
      <c r="N126" s="2465" t="s">
        <v>1275</v>
      </c>
      <c r="O126" s="2465"/>
      <c r="P126" s="2465"/>
      <c r="Q126" s="2465"/>
      <c r="R126" s="2465"/>
      <c r="S126" s="2465"/>
      <c r="T126" s="2465"/>
      <c r="U126" s="2465"/>
      <c r="V126" s="2465"/>
      <c r="W126" s="2465"/>
      <c r="X126" s="2465"/>
      <c r="Y126" s="2465"/>
      <c r="Z126" s="2465"/>
      <c r="AA126" s="2465"/>
      <c r="AB126" s="2465"/>
      <c r="AC126" s="2465"/>
      <c r="AD126" s="2465"/>
      <c r="AE126" s="2465"/>
      <c r="AF126" s="2465"/>
      <c r="AG126" s="2465"/>
      <c r="AH126" s="2465"/>
      <c r="AI126" s="2465"/>
      <c r="AJ126" s="1727"/>
      <c r="AK126" s="1727"/>
      <c r="AL126" s="1727"/>
      <c r="AM126" s="1727"/>
    </row>
    <row r="127" spans="1:46" ht="18" customHeight="1">
      <c r="B127" s="1497"/>
      <c r="C127" s="1497"/>
      <c r="D127" s="1497"/>
      <c r="E127" s="1497"/>
      <c r="F127" s="1497"/>
      <c r="G127" s="1497"/>
      <c r="H127" s="1497"/>
      <c r="I127" s="1497"/>
      <c r="J127" s="1497"/>
      <c r="K127" s="1497"/>
      <c r="L127" s="1497"/>
      <c r="M127" s="1497"/>
      <c r="N127" s="1497"/>
      <c r="O127" s="1497"/>
      <c r="P127" s="1497"/>
      <c r="Q127" s="1497"/>
      <c r="R127" s="1497"/>
      <c r="S127" s="1497"/>
      <c r="T127" s="1497"/>
      <c r="U127" s="1497"/>
      <c r="V127" s="1497"/>
      <c r="W127" s="1497"/>
      <c r="X127" s="1497"/>
      <c r="Y127" s="1497"/>
      <c r="Z127" s="1497"/>
      <c r="AA127" s="1497"/>
      <c r="AB127" s="1497"/>
      <c r="AC127" s="1497"/>
      <c r="AD127" s="1497"/>
      <c r="AE127" s="1497"/>
      <c r="AF127" s="1497"/>
      <c r="AG127" s="1497"/>
      <c r="AH127" s="1497"/>
      <c r="AI127" s="1497"/>
      <c r="AJ127" s="1497"/>
      <c r="AK127" s="1497"/>
      <c r="AL127" s="1497"/>
      <c r="AM127" s="1497"/>
    </row>
    <row r="128" spans="1:46" ht="18" customHeight="1">
      <c r="B128" s="2463" t="s">
        <v>1276</v>
      </c>
      <c r="C128" s="2463"/>
      <c r="D128" s="2463"/>
      <c r="E128" s="2463"/>
      <c r="F128" s="2463"/>
      <c r="G128" s="2463"/>
      <c r="H128" s="2463"/>
      <c r="I128" s="2463"/>
      <c r="J128" s="2463"/>
      <c r="K128" s="2463"/>
      <c r="L128" s="2463"/>
      <c r="M128" s="2463"/>
      <c r="N128" s="2463"/>
      <c r="O128" s="2463"/>
      <c r="P128" s="2463"/>
      <c r="Q128" s="2463"/>
      <c r="R128" s="2463"/>
      <c r="S128" s="2463"/>
      <c r="T128" s="2463"/>
      <c r="U128" s="2463"/>
      <c r="V128" s="2463"/>
      <c r="W128" s="2463"/>
      <c r="X128" s="2463"/>
      <c r="Y128" s="2463"/>
      <c r="Z128" s="2463"/>
      <c r="AA128" s="2463"/>
      <c r="AB128" s="2463"/>
      <c r="AC128" s="2463"/>
      <c r="AD128" s="2463"/>
      <c r="AE128" s="2463"/>
      <c r="AF128" s="2463"/>
      <c r="AG128" s="2463"/>
      <c r="AH128" s="2463"/>
      <c r="AI128" s="2463"/>
      <c r="AJ128" s="2463"/>
      <c r="AK128" s="2463"/>
      <c r="AL128" s="2463"/>
      <c r="AM128" s="2463"/>
    </row>
    <row r="129" spans="1:42" ht="36" customHeight="1">
      <c r="A129" s="965"/>
      <c r="B129" s="2447" t="s">
        <v>1115</v>
      </c>
      <c r="C129" s="2448"/>
      <c r="D129" s="2449"/>
      <c r="E129" s="2499" t="s">
        <v>1277</v>
      </c>
      <c r="F129" s="2499"/>
      <c r="G129" s="2499"/>
      <c r="H129" s="2499"/>
      <c r="I129" s="2499"/>
      <c r="J129" s="2499"/>
      <c r="K129" s="2499"/>
      <c r="L129" s="2499"/>
      <c r="M129" s="2499"/>
      <c r="N129" s="2210" t="s">
        <v>1278</v>
      </c>
      <c r="O129" s="2210"/>
      <c r="P129" s="2210"/>
      <c r="Q129" s="2210"/>
      <c r="R129" s="2210"/>
      <c r="S129" s="2210"/>
      <c r="T129" s="2210"/>
      <c r="U129" s="2210"/>
      <c r="V129" s="2210"/>
      <c r="W129" s="2210"/>
      <c r="X129" s="2210"/>
      <c r="Y129" s="2210"/>
      <c r="Z129" s="2210"/>
      <c r="AA129" s="2210"/>
      <c r="AB129" s="2210"/>
      <c r="AC129" s="2210"/>
      <c r="AD129" s="2210"/>
      <c r="AE129" s="2210"/>
      <c r="AF129" s="2210"/>
      <c r="AG129" s="2210"/>
      <c r="AH129" s="2210"/>
      <c r="AI129" s="2210"/>
      <c r="AJ129" s="1727"/>
      <c r="AK129" s="1727"/>
      <c r="AL129" s="1727"/>
      <c r="AM129" s="1727"/>
    </row>
    <row r="130" spans="1:42" ht="36" customHeight="1">
      <c r="A130" s="318"/>
      <c r="B130" s="2459" t="s">
        <v>1115</v>
      </c>
      <c r="C130" s="2459"/>
      <c r="D130" s="2460"/>
      <c r="E130" s="2454" t="s">
        <v>1279</v>
      </c>
      <c r="F130" s="2454"/>
      <c r="G130" s="2454"/>
      <c r="H130" s="2454"/>
      <c r="I130" s="2454"/>
      <c r="J130" s="2454"/>
      <c r="K130" s="2454"/>
      <c r="L130" s="2454"/>
      <c r="M130" s="2454"/>
      <c r="N130" s="2468" t="s">
        <v>1280</v>
      </c>
      <c r="O130" s="2468"/>
      <c r="P130" s="2468"/>
      <c r="Q130" s="2468"/>
      <c r="R130" s="2468"/>
      <c r="S130" s="2468"/>
      <c r="T130" s="2468"/>
      <c r="U130" s="2468"/>
      <c r="V130" s="2468"/>
      <c r="W130" s="2468"/>
      <c r="X130" s="2468"/>
      <c r="Y130" s="2468"/>
      <c r="Z130" s="2468"/>
      <c r="AA130" s="2468"/>
      <c r="AB130" s="2468"/>
      <c r="AC130" s="2468"/>
      <c r="AD130" s="2468"/>
      <c r="AE130" s="2468"/>
      <c r="AF130" s="2468"/>
      <c r="AG130" s="2468"/>
      <c r="AH130" s="2468"/>
      <c r="AI130" s="2468"/>
      <c r="AJ130" s="1727"/>
      <c r="AK130" s="1727"/>
      <c r="AL130" s="1727"/>
      <c r="AM130" s="1727"/>
      <c r="AN130" s="24"/>
      <c r="AO130" s="110"/>
    </row>
    <row r="131" spans="1:42" ht="18" customHeight="1">
      <c r="A131" s="965"/>
      <c r="B131" s="1731" t="s">
        <v>1115</v>
      </c>
      <c r="C131" s="1732"/>
      <c r="D131" s="1733"/>
      <c r="E131" s="2467" t="s">
        <v>1281</v>
      </c>
      <c r="F131" s="2467"/>
      <c r="G131" s="2467"/>
      <c r="H131" s="2467"/>
      <c r="I131" s="2467"/>
      <c r="J131" s="2467"/>
      <c r="K131" s="2467"/>
      <c r="L131" s="2467"/>
      <c r="M131" s="2467"/>
      <c r="N131" s="2487" t="s">
        <v>1282</v>
      </c>
      <c r="O131" s="2487"/>
      <c r="P131" s="2487"/>
      <c r="Q131" s="2487"/>
      <c r="R131" s="2487"/>
      <c r="S131" s="2487"/>
      <c r="T131" s="2487"/>
      <c r="U131" s="2487"/>
      <c r="V131" s="2487"/>
      <c r="W131" s="2487"/>
      <c r="X131" s="2487"/>
      <c r="Y131" s="2487"/>
      <c r="Z131" s="2487"/>
      <c r="AA131" s="2487"/>
      <c r="AB131" s="2487"/>
      <c r="AC131" s="2487"/>
      <c r="AD131" s="2487"/>
      <c r="AE131" s="2487"/>
      <c r="AF131" s="2487"/>
      <c r="AG131" s="2487"/>
      <c r="AH131" s="2487"/>
      <c r="AI131" s="2487"/>
      <c r="AJ131" s="1727"/>
      <c r="AK131" s="1727"/>
      <c r="AL131" s="1727"/>
      <c r="AM131" s="1727"/>
      <c r="AN131" s="16"/>
    </row>
    <row r="132" spans="1:42" ht="18" customHeight="1">
      <c r="A132" s="965"/>
      <c r="B132" s="1731" t="s">
        <v>1115</v>
      </c>
      <c r="C132" s="1732"/>
      <c r="D132" s="1733"/>
      <c r="E132" s="2467" t="s">
        <v>1283</v>
      </c>
      <c r="F132" s="2467"/>
      <c r="G132" s="2467"/>
      <c r="H132" s="2467"/>
      <c r="I132" s="2467"/>
      <c r="J132" s="2467"/>
      <c r="K132" s="2467"/>
      <c r="L132" s="2467"/>
      <c r="M132" s="2467"/>
      <c r="N132" s="2487" t="s">
        <v>1284</v>
      </c>
      <c r="O132" s="2487"/>
      <c r="P132" s="2487"/>
      <c r="Q132" s="2487"/>
      <c r="R132" s="2487"/>
      <c r="S132" s="2487"/>
      <c r="T132" s="2487"/>
      <c r="U132" s="2487"/>
      <c r="V132" s="2487"/>
      <c r="W132" s="2487"/>
      <c r="X132" s="2487"/>
      <c r="Y132" s="2487"/>
      <c r="Z132" s="2487"/>
      <c r="AA132" s="2487"/>
      <c r="AB132" s="2487"/>
      <c r="AC132" s="2487"/>
      <c r="AD132" s="2487"/>
      <c r="AE132" s="2487"/>
      <c r="AF132" s="2487"/>
      <c r="AG132" s="2487"/>
      <c r="AH132" s="2487"/>
      <c r="AI132" s="2487"/>
      <c r="AJ132" s="1727"/>
      <c r="AK132" s="1727"/>
      <c r="AL132" s="1727"/>
      <c r="AM132" s="1727"/>
      <c r="AN132" s="16"/>
    </row>
    <row r="133" spans="1:42" ht="18" customHeight="1">
      <c r="A133" s="965"/>
      <c r="B133" s="1731" t="s">
        <v>1285</v>
      </c>
      <c r="C133" s="1732"/>
      <c r="D133" s="1733"/>
      <c r="E133" s="2467" t="s">
        <v>1286</v>
      </c>
      <c r="F133" s="2467"/>
      <c r="G133" s="2467"/>
      <c r="H133" s="2467"/>
      <c r="I133" s="2467"/>
      <c r="J133" s="2467"/>
      <c r="K133" s="2467"/>
      <c r="L133" s="2467"/>
      <c r="M133" s="2467"/>
      <c r="N133" s="2468" t="s">
        <v>1287</v>
      </c>
      <c r="O133" s="2468"/>
      <c r="P133" s="2468"/>
      <c r="Q133" s="2468"/>
      <c r="R133" s="2468"/>
      <c r="S133" s="2468"/>
      <c r="T133" s="2468"/>
      <c r="U133" s="2468"/>
      <c r="V133" s="2468"/>
      <c r="W133" s="2468"/>
      <c r="X133" s="2468"/>
      <c r="Y133" s="2468"/>
      <c r="Z133" s="2468"/>
      <c r="AA133" s="2468"/>
      <c r="AB133" s="2468"/>
      <c r="AC133" s="2468"/>
      <c r="AD133" s="2468"/>
      <c r="AE133" s="2468"/>
      <c r="AF133" s="2468"/>
      <c r="AG133" s="2468"/>
      <c r="AH133" s="2468"/>
      <c r="AI133" s="2468"/>
      <c r="AJ133" s="1727"/>
      <c r="AK133" s="1727"/>
      <c r="AL133" s="1727"/>
      <c r="AM133" s="1727"/>
    </row>
    <row r="134" spans="1:42" ht="18" customHeight="1">
      <c r="A134" s="965"/>
      <c r="B134" s="1731" t="s">
        <v>1285</v>
      </c>
      <c r="C134" s="1732"/>
      <c r="D134" s="1733"/>
      <c r="E134" s="2467" t="s">
        <v>1288</v>
      </c>
      <c r="F134" s="2467"/>
      <c r="G134" s="2467"/>
      <c r="H134" s="2467"/>
      <c r="I134" s="2467"/>
      <c r="J134" s="2467"/>
      <c r="K134" s="2467"/>
      <c r="L134" s="2467"/>
      <c r="M134" s="2467"/>
      <c r="N134" s="2468" t="s">
        <v>1289</v>
      </c>
      <c r="O134" s="2468"/>
      <c r="P134" s="2468"/>
      <c r="Q134" s="2468"/>
      <c r="R134" s="2468"/>
      <c r="S134" s="2468"/>
      <c r="T134" s="2468"/>
      <c r="U134" s="2468"/>
      <c r="V134" s="2468"/>
      <c r="W134" s="2468"/>
      <c r="X134" s="2468"/>
      <c r="Y134" s="2468"/>
      <c r="Z134" s="2468"/>
      <c r="AA134" s="2468"/>
      <c r="AB134" s="2468"/>
      <c r="AC134" s="2468"/>
      <c r="AD134" s="2468"/>
      <c r="AE134" s="2468"/>
      <c r="AF134" s="2468"/>
      <c r="AG134" s="2468"/>
      <c r="AH134" s="2468"/>
      <c r="AI134" s="2468"/>
      <c r="AJ134" s="1727"/>
      <c r="AK134" s="1727"/>
      <c r="AL134" s="1727"/>
      <c r="AM134" s="1727"/>
    </row>
    <row r="135" spans="1:42" ht="18" customHeight="1">
      <c r="A135" s="965"/>
      <c r="B135" s="1731" t="s">
        <v>1285</v>
      </c>
      <c r="C135" s="1732"/>
      <c r="D135" s="1733"/>
      <c r="E135" s="2467" t="s">
        <v>1290</v>
      </c>
      <c r="F135" s="2467"/>
      <c r="G135" s="2467"/>
      <c r="H135" s="2467"/>
      <c r="I135" s="2467"/>
      <c r="J135" s="2467"/>
      <c r="K135" s="2467"/>
      <c r="L135" s="2467"/>
      <c r="M135" s="2467"/>
      <c r="N135" s="2468" t="s">
        <v>1291</v>
      </c>
      <c r="O135" s="2468"/>
      <c r="P135" s="2468"/>
      <c r="Q135" s="2468"/>
      <c r="R135" s="2468"/>
      <c r="S135" s="2468"/>
      <c r="T135" s="2468"/>
      <c r="U135" s="2468"/>
      <c r="V135" s="2468"/>
      <c r="W135" s="2468"/>
      <c r="X135" s="2468"/>
      <c r="Y135" s="2468"/>
      <c r="Z135" s="2468"/>
      <c r="AA135" s="2468"/>
      <c r="AB135" s="2468"/>
      <c r="AC135" s="2468"/>
      <c r="AD135" s="2468"/>
      <c r="AE135" s="2468"/>
      <c r="AF135" s="2468"/>
      <c r="AG135" s="2468"/>
      <c r="AH135" s="2468"/>
      <c r="AI135" s="2468"/>
      <c r="AJ135" s="1727"/>
      <c r="AK135" s="1727"/>
      <c r="AL135" s="1727"/>
      <c r="AM135" s="1727"/>
    </row>
    <row r="136" spans="1:42" ht="18" customHeight="1">
      <c r="A136" s="965"/>
      <c r="B136" s="1731"/>
      <c r="C136" s="1732"/>
      <c r="D136" s="1733"/>
      <c r="E136" s="2467" t="s">
        <v>1292</v>
      </c>
      <c r="F136" s="2467"/>
      <c r="G136" s="2467"/>
      <c r="H136" s="2467"/>
      <c r="I136" s="2467"/>
      <c r="J136" s="2467"/>
      <c r="K136" s="2467"/>
      <c r="L136" s="2467"/>
      <c r="M136" s="2467"/>
      <c r="N136" s="2487" t="s">
        <v>1293</v>
      </c>
      <c r="O136" s="2487"/>
      <c r="P136" s="2487"/>
      <c r="Q136" s="2487"/>
      <c r="R136" s="2487"/>
      <c r="S136" s="2487"/>
      <c r="T136" s="2487"/>
      <c r="U136" s="2487"/>
      <c r="V136" s="2487"/>
      <c r="W136" s="2487"/>
      <c r="X136" s="2487"/>
      <c r="Y136" s="2487"/>
      <c r="Z136" s="2487"/>
      <c r="AA136" s="2487"/>
      <c r="AB136" s="2487"/>
      <c r="AC136" s="2487"/>
      <c r="AD136" s="2487"/>
      <c r="AE136" s="2487"/>
      <c r="AF136" s="2487"/>
      <c r="AG136" s="2487"/>
      <c r="AH136" s="2487"/>
      <c r="AI136" s="2487"/>
      <c r="AJ136" s="1727"/>
      <c r="AK136" s="1727"/>
      <c r="AL136" s="1727"/>
      <c r="AM136" s="1727"/>
    </row>
    <row r="137" spans="1:42" ht="36" customHeight="1">
      <c r="A137" s="965"/>
      <c r="B137" s="2456" t="s">
        <v>1115</v>
      </c>
      <c r="C137" s="2457"/>
      <c r="D137" s="2458"/>
      <c r="E137" s="2455" t="s">
        <v>1294</v>
      </c>
      <c r="F137" s="2455"/>
      <c r="G137" s="2455"/>
      <c r="H137" s="2455"/>
      <c r="I137" s="2455"/>
      <c r="J137" s="2455"/>
      <c r="K137" s="2455"/>
      <c r="L137" s="2455"/>
      <c r="M137" s="2455"/>
      <c r="N137" s="2469" t="s">
        <v>1295</v>
      </c>
      <c r="O137" s="2470"/>
      <c r="P137" s="2470"/>
      <c r="Q137" s="2470"/>
      <c r="R137" s="2470"/>
      <c r="S137" s="2470"/>
      <c r="T137" s="2470"/>
      <c r="U137" s="2470"/>
      <c r="V137" s="2470"/>
      <c r="W137" s="2470"/>
      <c r="X137" s="2470"/>
      <c r="Y137" s="2470"/>
      <c r="Z137" s="2470"/>
      <c r="AA137" s="2470"/>
      <c r="AB137" s="2470"/>
      <c r="AC137" s="2470"/>
      <c r="AD137" s="2470"/>
      <c r="AE137" s="2470"/>
      <c r="AF137" s="2470"/>
      <c r="AG137" s="2470"/>
      <c r="AH137" s="2470"/>
      <c r="AI137" s="2470"/>
      <c r="AJ137" s="1727"/>
      <c r="AK137" s="1727"/>
      <c r="AL137" s="1727"/>
      <c r="AM137" s="1727"/>
      <c r="AN137" s="151"/>
    </row>
    <row r="138" spans="1:42" ht="18" customHeight="1">
      <c r="A138" s="318"/>
      <c r="B138" s="2459"/>
      <c r="C138" s="2459"/>
      <c r="D138" s="2460"/>
      <c r="E138" s="2454" t="s">
        <v>1296</v>
      </c>
      <c r="F138" s="2454"/>
      <c r="G138" s="2454"/>
      <c r="H138" s="2454"/>
      <c r="I138" s="2454"/>
      <c r="J138" s="2454"/>
      <c r="K138" s="2454"/>
      <c r="L138" s="2454"/>
      <c r="M138" s="2454"/>
      <c r="N138" s="2468" t="s">
        <v>1297</v>
      </c>
      <c r="O138" s="2468"/>
      <c r="P138" s="2468"/>
      <c r="Q138" s="2468"/>
      <c r="R138" s="2468"/>
      <c r="S138" s="2468"/>
      <c r="T138" s="2468"/>
      <c r="U138" s="2468"/>
      <c r="V138" s="2468"/>
      <c r="W138" s="2468"/>
      <c r="X138" s="2468"/>
      <c r="Y138" s="2468"/>
      <c r="Z138" s="2468"/>
      <c r="AA138" s="2468"/>
      <c r="AB138" s="2468"/>
      <c r="AC138" s="2468"/>
      <c r="AD138" s="2468"/>
      <c r="AE138" s="2468"/>
      <c r="AF138" s="2468"/>
      <c r="AG138" s="2468"/>
      <c r="AH138" s="2468"/>
      <c r="AI138" s="2468"/>
      <c r="AJ138" s="1727"/>
      <c r="AK138" s="1727"/>
      <c r="AL138" s="1727"/>
      <c r="AM138" s="1727"/>
      <c r="AN138" s="25"/>
    </row>
    <row r="139" spans="1:42" ht="18" customHeight="1">
      <c r="A139" s="318"/>
      <c r="B139" s="2459"/>
      <c r="C139" s="2459"/>
      <c r="D139" s="2460"/>
      <c r="E139" s="2454" t="s">
        <v>1298</v>
      </c>
      <c r="F139" s="2454"/>
      <c r="G139" s="2454"/>
      <c r="H139" s="2454"/>
      <c r="I139" s="2454"/>
      <c r="J139" s="2454"/>
      <c r="K139" s="2454"/>
      <c r="L139" s="2454"/>
      <c r="M139" s="2454"/>
      <c r="N139" s="2468" t="s">
        <v>1299</v>
      </c>
      <c r="O139" s="2468"/>
      <c r="P139" s="2468"/>
      <c r="Q139" s="2468"/>
      <c r="R139" s="2468"/>
      <c r="S139" s="2468"/>
      <c r="T139" s="2468"/>
      <c r="U139" s="2468"/>
      <c r="V139" s="2468"/>
      <c r="W139" s="2468"/>
      <c r="X139" s="2468"/>
      <c r="Y139" s="2468"/>
      <c r="Z139" s="2468"/>
      <c r="AA139" s="2468"/>
      <c r="AB139" s="2468"/>
      <c r="AC139" s="2468"/>
      <c r="AD139" s="2468"/>
      <c r="AE139" s="2468"/>
      <c r="AF139" s="2468"/>
      <c r="AG139" s="2468"/>
      <c r="AH139" s="2468"/>
      <c r="AI139" s="2468"/>
      <c r="AJ139" s="1727"/>
      <c r="AK139" s="1727"/>
      <c r="AL139" s="1727"/>
      <c r="AM139" s="1727"/>
      <c r="AN139" s="24"/>
    </row>
    <row r="140" spans="1:42" ht="18" customHeight="1">
      <c r="A140" s="965"/>
      <c r="B140" s="2456"/>
      <c r="C140" s="2457"/>
      <c r="D140" s="2458"/>
      <c r="E140" s="2455" t="s">
        <v>1300</v>
      </c>
      <c r="F140" s="2455"/>
      <c r="G140" s="2455"/>
      <c r="H140" s="2455"/>
      <c r="I140" s="2455"/>
      <c r="J140" s="2455"/>
      <c r="K140" s="2455"/>
      <c r="L140" s="2455"/>
      <c r="M140" s="2455"/>
      <c r="N140" s="2470" t="s">
        <v>1301</v>
      </c>
      <c r="O140" s="2470"/>
      <c r="P140" s="2470"/>
      <c r="Q140" s="2470"/>
      <c r="R140" s="2470"/>
      <c r="S140" s="2470"/>
      <c r="T140" s="2470"/>
      <c r="U140" s="2470"/>
      <c r="V140" s="2470"/>
      <c r="W140" s="2470"/>
      <c r="X140" s="2470"/>
      <c r="Y140" s="2470"/>
      <c r="Z140" s="2470"/>
      <c r="AA140" s="2470"/>
      <c r="AB140" s="2470"/>
      <c r="AC140" s="2470"/>
      <c r="AD140" s="2470"/>
      <c r="AE140" s="2470"/>
      <c r="AF140" s="2470"/>
      <c r="AG140" s="2470"/>
      <c r="AH140" s="2470"/>
      <c r="AI140" s="2470"/>
      <c r="AJ140" s="1727"/>
      <c r="AK140" s="1727"/>
      <c r="AL140" s="1727"/>
      <c r="AM140" s="1727"/>
      <c r="AN140" s="2485"/>
      <c r="AO140" s="150"/>
      <c r="AP140" s="150"/>
    </row>
    <row r="141" spans="1:42" ht="36" customHeight="1">
      <c r="A141" s="965"/>
      <c r="B141" s="2456"/>
      <c r="C141" s="2457"/>
      <c r="D141" s="2458"/>
      <c r="E141" s="2455" t="s">
        <v>1302</v>
      </c>
      <c r="F141" s="2455"/>
      <c r="G141" s="2455"/>
      <c r="H141" s="2455"/>
      <c r="I141" s="2455"/>
      <c r="J141" s="2455"/>
      <c r="K141" s="2455"/>
      <c r="L141" s="2455"/>
      <c r="M141" s="2455"/>
      <c r="N141" s="2470" t="s">
        <v>1303</v>
      </c>
      <c r="O141" s="2470"/>
      <c r="P141" s="2470"/>
      <c r="Q141" s="2470"/>
      <c r="R141" s="2470"/>
      <c r="S141" s="2470"/>
      <c r="T141" s="2470"/>
      <c r="U141" s="2470"/>
      <c r="V141" s="2470"/>
      <c r="W141" s="2470"/>
      <c r="X141" s="2470"/>
      <c r="Y141" s="2470"/>
      <c r="Z141" s="2470"/>
      <c r="AA141" s="2470"/>
      <c r="AB141" s="2470"/>
      <c r="AC141" s="2470"/>
      <c r="AD141" s="2470"/>
      <c r="AE141" s="2470"/>
      <c r="AF141" s="2470"/>
      <c r="AG141" s="2470"/>
      <c r="AH141" s="2470"/>
      <c r="AI141" s="2470"/>
      <c r="AJ141" s="1727"/>
      <c r="AK141" s="1727"/>
      <c r="AL141" s="1727"/>
      <c r="AM141" s="1727"/>
      <c r="AN141" s="2486"/>
    </row>
    <row r="142" spans="1:42" ht="80.25" customHeight="1">
      <c r="A142" s="965"/>
      <c r="B142" s="2447"/>
      <c r="C142" s="2448"/>
      <c r="D142" s="2449"/>
      <c r="E142" s="2499" t="s">
        <v>1304</v>
      </c>
      <c r="F142" s="2499"/>
      <c r="G142" s="2499"/>
      <c r="H142" s="2499"/>
      <c r="I142" s="2499"/>
      <c r="J142" s="2499"/>
      <c r="K142" s="2499"/>
      <c r="L142" s="2499"/>
      <c r="M142" s="2499"/>
      <c r="N142" s="2470" t="s">
        <v>1305</v>
      </c>
      <c r="O142" s="2470"/>
      <c r="P142" s="2470"/>
      <c r="Q142" s="2470"/>
      <c r="R142" s="2470"/>
      <c r="S142" s="2470"/>
      <c r="T142" s="2470"/>
      <c r="U142" s="2470"/>
      <c r="V142" s="2470"/>
      <c r="W142" s="2470"/>
      <c r="X142" s="2470"/>
      <c r="Y142" s="2470"/>
      <c r="Z142" s="2470"/>
      <c r="AA142" s="2470"/>
      <c r="AB142" s="2470"/>
      <c r="AC142" s="2470"/>
      <c r="AD142" s="2470"/>
      <c r="AE142" s="2470"/>
      <c r="AF142" s="2470"/>
      <c r="AG142" s="2470"/>
      <c r="AH142" s="2470"/>
      <c r="AI142" s="2470"/>
      <c r="AJ142" s="1727"/>
      <c r="AK142" s="1727"/>
      <c r="AL142" s="1727"/>
      <c r="AM142" s="1727"/>
    </row>
    <row r="143" spans="1:42" ht="18" customHeight="1">
      <c r="A143" s="318"/>
      <c r="B143" s="2459"/>
      <c r="C143" s="2459"/>
      <c r="D143" s="2460"/>
      <c r="E143" s="2454" t="s">
        <v>1306</v>
      </c>
      <c r="F143" s="2500"/>
      <c r="G143" s="2500"/>
      <c r="H143" s="2500"/>
      <c r="I143" s="2500"/>
      <c r="J143" s="2500"/>
      <c r="K143" s="2500"/>
      <c r="L143" s="2500"/>
      <c r="M143" s="2500"/>
      <c r="N143" s="2468" t="s">
        <v>1307</v>
      </c>
      <c r="O143" s="2490"/>
      <c r="P143" s="2490"/>
      <c r="Q143" s="2490"/>
      <c r="R143" s="2490"/>
      <c r="S143" s="2490"/>
      <c r="T143" s="2490"/>
      <c r="U143" s="2490"/>
      <c r="V143" s="2490"/>
      <c r="W143" s="2490"/>
      <c r="X143" s="2490"/>
      <c r="Y143" s="2490"/>
      <c r="Z143" s="2490"/>
      <c r="AA143" s="2490"/>
      <c r="AB143" s="2490"/>
      <c r="AC143" s="2490"/>
      <c r="AD143" s="2490"/>
      <c r="AE143" s="2490"/>
      <c r="AF143" s="2490"/>
      <c r="AG143" s="2490"/>
      <c r="AH143" s="2490"/>
      <c r="AI143" s="2490"/>
      <c r="AJ143" s="1727"/>
      <c r="AK143" s="1727"/>
      <c r="AL143" s="1727"/>
      <c r="AM143" s="1727"/>
      <c r="AN143" s="152"/>
    </row>
    <row r="144" spans="1:42" ht="36" customHeight="1">
      <c r="A144" s="972" t="s">
        <v>509</v>
      </c>
      <c r="B144" s="2501"/>
      <c r="C144" s="2459"/>
      <c r="D144" s="2460"/>
      <c r="E144" s="2454" t="s">
        <v>1308</v>
      </c>
      <c r="F144" s="2500"/>
      <c r="G144" s="2500"/>
      <c r="H144" s="2500"/>
      <c r="I144" s="2500"/>
      <c r="J144" s="2500"/>
      <c r="K144" s="2500"/>
      <c r="L144" s="2500"/>
      <c r="M144" s="2500"/>
      <c r="N144" s="2468" t="s">
        <v>1309</v>
      </c>
      <c r="O144" s="2490"/>
      <c r="P144" s="2490"/>
      <c r="Q144" s="2490"/>
      <c r="R144" s="2490"/>
      <c r="S144" s="2490"/>
      <c r="T144" s="2490"/>
      <c r="U144" s="2490"/>
      <c r="V144" s="2490"/>
      <c r="W144" s="2490"/>
      <c r="X144" s="2490"/>
      <c r="Y144" s="2490"/>
      <c r="Z144" s="2490"/>
      <c r="AA144" s="2490"/>
      <c r="AB144" s="2490"/>
      <c r="AC144" s="2490"/>
      <c r="AD144" s="2490"/>
      <c r="AE144" s="2490"/>
      <c r="AF144" s="2490"/>
      <c r="AG144" s="2490"/>
      <c r="AH144" s="2490"/>
      <c r="AI144" s="2490"/>
      <c r="AJ144" s="1727"/>
      <c r="AK144" s="1727"/>
      <c r="AL144" s="1727"/>
      <c r="AM144" s="1727"/>
      <c r="AN144" s="152"/>
    </row>
    <row r="145" spans="1:39" ht="36" customHeight="1">
      <c r="A145" s="965"/>
      <c r="B145" s="2447"/>
      <c r="C145" s="2448"/>
      <c r="D145" s="2449"/>
      <c r="E145" s="2499" t="s">
        <v>1310</v>
      </c>
      <c r="F145" s="2499"/>
      <c r="G145" s="2499"/>
      <c r="H145" s="2499"/>
      <c r="I145" s="2499"/>
      <c r="J145" s="2499"/>
      <c r="K145" s="2499"/>
      <c r="L145" s="2499"/>
      <c r="M145" s="2499"/>
      <c r="N145" s="2470" t="s">
        <v>1311</v>
      </c>
      <c r="O145" s="2470"/>
      <c r="P145" s="2470"/>
      <c r="Q145" s="2470"/>
      <c r="R145" s="2470"/>
      <c r="S145" s="2470"/>
      <c r="T145" s="2470"/>
      <c r="U145" s="2470"/>
      <c r="V145" s="2470"/>
      <c r="W145" s="2470"/>
      <c r="X145" s="2470"/>
      <c r="Y145" s="2470"/>
      <c r="Z145" s="2470"/>
      <c r="AA145" s="2470"/>
      <c r="AB145" s="2470"/>
      <c r="AC145" s="2470"/>
      <c r="AD145" s="2470"/>
      <c r="AE145" s="2470"/>
      <c r="AF145" s="2470"/>
      <c r="AG145" s="2470"/>
      <c r="AH145" s="2470"/>
      <c r="AI145" s="2470"/>
      <c r="AJ145" s="1727"/>
      <c r="AK145" s="1727"/>
      <c r="AL145" s="1727"/>
      <c r="AM145" s="1727"/>
    </row>
    <row r="146" spans="1:39" ht="36" customHeight="1">
      <c r="A146" s="965"/>
      <c r="B146" s="2447"/>
      <c r="C146" s="2448"/>
      <c r="D146" s="2449"/>
      <c r="E146" s="2499" t="s">
        <v>1312</v>
      </c>
      <c r="F146" s="2499"/>
      <c r="G146" s="2499"/>
      <c r="H146" s="2499"/>
      <c r="I146" s="2499"/>
      <c r="J146" s="2499"/>
      <c r="K146" s="2499"/>
      <c r="L146" s="2499"/>
      <c r="M146" s="2499"/>
      <c r="N146" s="2470" t="s">
        <v>1313</v>
      </c>
      <c r="O146" s="2470"/>
      <c r="P146" s="2470"/>
      <c r="Q146" s="2470"/>
      <c r="R146" s="2470"/>
      <c r="S146" s="2470"/>
      <c r="T146" s="2470"/>
      <c r="U146" s="2470"/>
      <c r="V146" s="2470"/>
      <c r="W146" s="2470"/>
      <c r="X146" s="2470"/>
      <c r="Y146" s="2470"/>
      <c r="Z146" s="2470"/>
      <c r="AA146" s="2470"/>
      <c r="AB146" s="2470"/>
      <c r="AC146" s="2470"/>
      <c r="AD146" s="2470"/>
      <c r="AE146" s="2470"/>
      <c r="AF146" s="2470"/>
      <c r="AG146" s="2470"/>
      <c r="AH146" s="2470"/>
      <c r="AI146" s="2470"/>
      <c r="AJ146" s="1727"/>
      <c r="AK146" s="1727"/>
      <c r="AL146" s="1727"/>
      <c r="AM146" s="1727"/>
    </row>
    <row r="147" spans="1:39" ht="36" customHeight="1">
      <c r="A147" s="965"/>
      <c r="B147" s="2447"/>
      <c r="C147" s="2448"/>
      <c r="D147" s="2449"/>
      <c r="E147" s="1766" t="s">
        <v>1314</v>
      </c>
      <c r="F147" s="1766"/>
      <c r="G147" s="1766"/>
      <c r="H147" s="1766"/>
      <c r="I147" s="1766"/>
      <c r="J147" s="1766"/>
      <c r="K147" s="1766"/>
      <c r="L147" s="1766"/>
      <c r="M147" s="1766"/>
      <c r="N147" s="1859" t="s">
        <v>1315</v>
      </c>
      <c r="O147" s="1859"/>
      <c r="P147" s="1859"/>
      <c r="Q147" s="1859"/>
      <c r="R147" s="1859"/>
      <c r="S147" s="1859"/>
      <c r="T147" s="1859"/>
      <c r="U147" s="1859"/>
      <c r="V147" s="1859"/>
      <c r="W147" s="1859"/>
      <c r="X147" s="1859"/>
      <c r="Y147" s="1859"/>
      <c r="Z147" s="1859"/>
      <c r="AA147" s="1859"/>
      <c r="AB147" s="1859"/>
      <c r="AC147" s="1859"/>
      <c r="AD147" s="1859"/>
      <c r="AE147" s="1859"/>
      <c r="AF147" s="1859"/>
      <c r="AG147" s="1859"/>
      <c r="AH147" s="1859"/>
      <c r="AI147" s="1859"/>
      <c r="AJ147" s="1727"/>
      <c r="AK147" s="1727"/>
      <c r="AL147" s="1727"/>
      <c r="AM147" s="1727"/>
    </row>
    <row r="148" spans="1:39" ht="18" customHeight="1">
      <c r="A148" s="966" t="s">
        <v>509</v>
      </c>
      <c r="B148" s="2447"/>
      <c r="C148" s="2448"/>
      <c r="D148" s="2449"/>
      <c r="E148" s="2451" t="s">
        <v>1316</v>
      </c>
      <c r="F148" s="2452"/>
      <c r="G148" s="2452"/>
      <c r="H148" s="2452"/>
      <c r="I148" s="2452"/>
      <c r="J148" s="2452"/>
      <c r="K148" s="2452"/>
      <c r="L148" s="2452"/>
      <c r="M148" s="2453"/>
      <c r="N148" s="2392" t="s">
        <v>1317</v>
      </c>
      <c r="O148" s="2393"/>
      <c r="P148" s="2393"/>
      <c r="Q148" s="2393"/>
      <c r="R148" s="2393"/>
      <c r="S148" s="2393"/>
      <c r="T148" s="2393"/>
      <c r="U148" s="2393"/>
      <c r="V148" s="2393"/>
      <c r="W148" s="2393"/>
      <c r="X148" s="2393"/>
      <c r="Y148" s="2393"/>
      <c r="Z148" s="2393"/>
      <c r="AA148" s="2393"/>
      <c r="AB148" s="2393"/>
      <c r="AC148" s="2393"/>
      <c r="AD148" s="2393"/>
      <c r="AE148" s="2393"/>
      <c r="AF148" s="2393"/>
      <c r="AG148" s="2393"/>
      <c r="AH148" s="2393"/>
      <c r="AI148" s="2394"/>
      <c r="AJ148" s="1727"/>
      <c r="AK148" s="1727"/>
      <c r="AL148" s="1727"/>
      <c r="AM148" s="1727"/>
    </row>
    <row r="149" spans="1:39" ht="18" customHeight="1">
      <c r="A149" s="966" t="s">
        <v>509</v>
      </c>
      <c r="B149" s="2447"/>
      <c r="C149" s="2448"/>
      <c r="D149" s="2449"/>
      <c r="E149" s="2451" t="s">
        <v>1318</v>
      </c>
      <c r="F149" s="2452"/>
      <c r="G149" s="2452"/>
      <c r="H149" s="2452"/>
      <c r="I149" s="2452"/>
      <c r="J149" s="2452"/>
      <c r="K149" s="2452"/>
      <c r="L149" s="2452"/>
      <c r="M149" s="2453"/>
      <c r="N149" s="1718" t="s">
        <v>1319</v>
      </c>
      <c r="O149" s="1719"/>
      <c r="P149" s="1719"/>
      <c r="Q149" s="1719"/>
      <c r="R149" s="1719"/>
      <c r="S149" s="1719"/>
      <c r="T149" s="1719"/>
      <c r="U149" s="1719"/>
      <c r="V149" s="1719"/>
      <c r="W149" s="1719"/>
      <c r="X149" s="1719"/>
      <c r="Y149" s="1719"/>
      <c r="Z149" s="1719"/>
      <c r="AA149" s="1719"/>
      <c r="AB149" s="1719"/>
      <c r="AC149" s="1719"/>
      <c r="AD149" s="1719"/>
      <c r="AE149" s="1719"/>
      <c r="AF149" s="1719"/>
      <c r="AG149" s="1719"/>
      <c r="AH149" s="1719"/>
      <c r="AI149" s="1720"/>
      <c r="AJ149" s="1727"/>
      <c r="AK149" s="1727"/>
      <c r="AL149" s="1727"/>
      <c r="AM149" s="1727"/>
    </row>
    <row r="150" spans="1:39" ht="36" customHeight="1">
      <c r="A150" s="967" t="s">
        <v>513</v>
      </c>
      <c r="B150" s="2447"/>
      <c r="C150" s="2448"/>
      <c r="D150" s="2449"/>
      <c r="E150" s="2451" t="s">
        <v>1320</v>
      </c>
      <c r="F150" s="2452"/>
      <c r="G150" s="2452"/>
      <c r="H150" s="2452"/>
      <c r="I150" s="2452"/>
      <c r="J150" s="2452"/>
      <c r="K150" s="2452"/>
      <c r="L150" s="2452"/>
      <c r="M150" s="2453"/>
      <c r="N150" s="1718" t="s">
        <v>1321</v>
      </c>
      <c r="O150" s="1719"/>
      <c r="P150" s="1719"/>
      <c r="Q150" s="1719"/>
      <c r="R150" s="1719"/>
      <c r="S150" s="1719"/>
      <c r="T150" s="1719"/>
      <c r="U150" s="1719"/>
      <c r="V150" s="1719"/>
      <c r="W150" s="1719"/>
      <c r="X150" s="1719"/>
      <c r="Y150" s="1719"/>
      <c r="Z150" s="1719"/>
      <c r="AA150" s="1719"/>
      <c r="AB150" s="1719"/>
      <c r="AC150" s="1719"/>
      <c r="AD150" s="1719"/>
      <c r="AE150" s="1719"/>
      <c r="AF150" s="1719"/>
      <c r="AG150" s="1719"/>
      <c r="AH150" s="1719"/>
      <c r="AI150" s="1720"/>
      <c r="AJ150" s="1727"/>
      <c r="AK150" s="1727"/>
      <c r="AL150" s="1727"/>
      <c r="AM150" s="1727"/>
    </row>
    <row r="151" spans="1:39" ht="36" customHeight="1">
      <c r="A151" s="968" t="s">
        <v>1322</v>
      </c>
      <c r="B151" s="2447"/>
      <c r="C151" s="2448"/>
      <c r="D151" s="2449"/>
      <c r="E151" s="2451" t="s">
        <v>1323</v>
      </c>
      <c r="F151" s="2452"/>
      <c r="G151" s="2452"/>
      <c r="H151" s="2452"/>
      <c r="I151" s="2452"/>
      <c r="J151" s="2452"/>
      <c r="K151" s="2452"/>
      <c r="L151" s="2452"/>
      <c r="M151" s="2453"/>
      <c r="N151" s="1718" t="str">
        <f>CONCATENATE("Attached documentation satisfying"," ",'Project Overview'!$T$63)</f>
        <v xml:space="preserve">Attached documentation satisfying MHP §7301(yy)  IIG §302(aa)  FWHG §7202(ff)  </v>
      </c>
      <c r="O151" s="1719"/>
      <c r="P151" s="1719"/>
      <c r="Q151" s="1719"/>
      <c r="R151" s="1719"/>
      <c r="S151" s="1719"/>
      <c r="T151" s="1719"/>
      <c r="U151" s="1719"/>
      <c r="V151" s="1719"/>
      <c r="W151" s="1719"/>
      <c r="X151" s="1719"/>
      <c r="Y151" s="1719"/>
      <c r="Z151" s="1719"/>
      <c r="AA151" s="1719"/>
      <c r="AB151" s="1719"/>
      <c r="AC151" s="1719"/>
      <c r="AD151" s="1719"/>
      <c r="AE151" s="1719"/>
      <c r="AF151" s="1719"/>
      <c r="AG151" s="1719"/>
      <c r="AH151" s="1719"/>
      <c r="AI151" s="1720"/>
      <c r="AJ151" s="1727"/>
      <c r="AK151" s="1727"/>
      <c r="AL151" s="1727"/>
      <c r="AM151" s="1727"/>
    </row>
    <row r="152" spans="1:39" ht="36" customHeight="1">
      <c r="A152" s="968" t="s">
        <v>1324</v>
      </c>
      <c r="B152" s="2447"/>
      <c r="C152" s="2448"/>
      <c r="D152" s="2449"/>
      <c r="E152" s="2451" t="s">
        <v>1325</v>
      </c>
      <c r="F152" s="2452"/>
      <c r="G152" s="2452"/>
      <c r="H152" s="2452"/>
      <c r="I152" s="2452"/>
      <c r="J152" s="2452"/>
      <c r="K152" s="2452"/>
      <c r="L152" s="2452"/>
      <c r="M152" s="2453"/>
      <c r="N152" s="1718" t="str">
        <f>CONCATENATE("Attached documentation satisfying"," ",'Project Overview'!$S$66)</f>
        <v xml:space="preserve">Attached documentation satisfying MHP §7301(t)  IIG §302(aa)  FWHG §7202(ff)  </v>
      </c>
      <c r="O152" s="1719"/>
      <c r="P152" s="1719"/>
      <c r="Q152" s="1719"/>
      <c r="R152" s="1719"/>
      <c r="S152" s="1719"/>
      <c r="T152" s="1719"/>
      <c r="U152" s="1719"/>
      <c r="V152" s="1719"/>
      <c r="W152" s="1719"/>
      <c r="X152" s="1719"/>
      <c r="Y152" s="1719"/>
      <c r="Z152" s="1719"/>
      <c r="AA152" s="1719"/>
      <c r="AB152" s="1719"/>
      <c r="AC152" s="1719"/>
      <c r="AD152" s="1719"/>
      <c r="AE152" s="1719"/>
      <c r="AF152" s="1719"/>
      <c r="AG152" s="1719"/>
      <c r="AH152" s="1719"/>
      <c r="AI152" s="1720"/>
      <c r="AJ152" s="1727"/>
      <c r="AK152" s="1727"/>
      <c r="AL152" s="1727"/>
      <c r="AM152" s="1727"/>
    </row>
    <row r="153" spans="1:39" ht="36" customHeight="1">
      <c r="A153" s="968" t="s">
        <v>1326</v>
      </c>
      <c r="B153" s="2447"/>
      <c r="C153" s="2448"/>
      <c r="D153" s="2449"/>
      <c r="E153" s="2451" t="s">
        <v>1327</v>
      </c>
      <c r="F153" s="2452"/>
      <c r="G153" s="2452"/>
      <c r="H153" s="2452"/>
      <c r="I153" s="2452"/>
      <c r="J153" s="2452"/>
      <c r="K153" s="2452"/>
      <c r="L153" s="2452"/>
      <c r="M153" s="2453"/>
      <c r="N153" s="1718" t="str">
        <f>CONCATENATE("Attached documentation satisfying"," ",'Project Overview'!$Q$70)</f>
        <v xml:space="preserve">Attached documentation satisfying MHP §7301(bb)  IIG §302(aa)  FWHG §7202(ff)  </v>
      </c>
      <c r="O153" s="1719"/>
      <c r="P153" s="1719"/>
      <c r="Q153" s="1719"/>
      <c r="R153" s="1719"/>
      <c r="S153" s="1719"/>
      <c r="T153" s="1719"/>
      <c r="U153" s="1719"/>
      <c r="V153" s="1719"/>
      <c r="W153" s="1719"/>
      <c r="X153" s="1719"/>
      <c r="Y153" s="1719"/>
      <c r="Z153" s="1719"/>
      <c r="AA153" s="1719"/>
      <c r="AB153" s="1719"/>
      <c r="AC153" s="1719"/>
      <c r="AD153" s="1719"/>
      <c r="AE153" s="1719"/>
      <c r="AF153" s="1719"/>
      <c r="AG153" s="1719"/>
      <c r="AH153" s="1719"/>
      <c r="AI153" s="1720"/>
      <c r="AJ153" s="1727"/>
      <c r="AK153" s="1727"/>
      <c r="AL153" s="1727"/>
      <c r="AM153" s="1727"/>
    </row>
    <row r="154" spans="1:39" ht="18" customHeight="1">
      <c r="A154" s="968" t="s">
        <v>1328</v>
      </c>
      <c r="B154" s="2447"/>
      <c r="C154" s="2448"/>
      <c r="D154" s="2449"/>
      <c r="E154" s="2451" t="s">
        <v>1329</v>
      </c>
      <c r="F154" s="2452"/>
      <c r="G154" s="2452"/>
      <c r="H154" s="2452"/>
      <c r="I154" s="2452"/>
      <c r="J154" s="2452"/>
      <c r="K154" s="2452"/>
      <c r="L154" s="2452"/>
      <c r="M154" s="2453"/>
      <c r="N154" s="1718" t="s">
        <v>1330</v>
      </c>
      <c r="O154" s="1719"/>
      <c r="P154" s="1719"/>
      <c r="Q154" s="1719"/>
      <c r="R154" s="1719"/>
      <c r="S154" s="1719"/>
      <c r="T154" s="1719"/>
      <c r="U154" s="1719"/>
      <c r="V154" s="1719"/>
      <c r="W154" s="1719"/>
      <c r="X154" s="1719"/>
      <c r="Y154" s="1719"/>
      <c r="Z154" s="1719"/>
      <c r="AA154" s="1719"/>
      <c r="AB154" s="1719"/>
      <c r="AC154" s="1719"/>
      <c r="AD154" s="1719"/>
      <c r="AE154" s="1719"/>
      <c r="AF154" s="1719"/>
      <c r="AG154" s="1719"/>
      <c r="AH154" s="1719"/>
      <c r="AI154" s="1720"/>
      <c r="AJ154" s="1727"/>
      <c r="AK154" s="1727"/>
      <c r="AL154" s="1727"/>
      <c r="AM154" s="1727"/>
    </row>
    <row r="155" spans="1:39" ht="18" customHeight="1">
      <c r="A155" s="968" t="s">
        <v>1331</v>
      </c>
      <c r="B155" s="2447"/>
      <c r="C155" s="2448"/>
      <c r="D155" s="2449"/>
      <c r="E155" s="2451" t="s">
        <v>1332</v>
      </c>
      <c r="F155" s="2452"/>
      <c r="G155" s="2452"/>
      <c r="H155" s="2452"/>
      <c r="I155" s="2452"/>
      <c r="J155" s="2452"/>
      <c r="K155" s="2452"/>
      <c r="L155" s="2452"/>
      <c r="M155" s="2453"/>
      <c r="N155" s="1718" t="s">
        <v>1333</v>
      </c>
      <c r="O155" s="1719"/>
      <c r="P155" s="1719"/>
      <c r="Q155" s="1719"/>
      <c r="R155" s="1719"/>
      <c r="S155" s="1719"/>
      <c r="T155" s="1719"/>
      <c r="U155" s="1719"/>
      <c r="V155" s="1719"/>
      <c r="W155" s="1719"/>
      <c r="X155" s="1719"/>
      <c r="Y155" s="1719"/>
      <c r="Z155" s="1719"/>
      <c r="AA155" s="1719"/>
      <c r="AB155" s="1719"/>
      <c r="AC155" s="1719"/>
      <c r="AD155" s="1719"/>
      <c r="AE155" s="1719"/>
      <c r="AF155" s="1719"/>
      <c r="AG155" s="1719"/>
      <c r="AH155" s="1719"/>
      <c r="AI155" s="1720"/>
      <c r="AJ155" s="1727"/>
      <c r="AK155" s="1727"/>
      <c r="AL155" s="1727"/>
      <c r="AM155" s="1727"/>
    </row>
    <row r="156" spans="1:39" ht="18" customHeight="1">
      <c r="A156" s="968" t="s">
        <v>1334</v>
      </c>
      <c r="B156" s="2447"/>
      <c r="C156" s="2448"/>
      <c r="D156" s="2449"/>
      <c r="E156" s="2327" t="s">
        <v>1335</v>
      </c>
      <c r="F156" s="2328"/>
      <c r="G156" s="2328"/>
      <c r="H156" s="2328"/>
      <c r="I156" s="2328"/>
      <c r="J156" s="2328"/>
      <c r="K156" s="2328"/>
      <c r="L156" s="2328"/>
      <c r="M156" s="2329"/>
      <c r="N156" s="1718" t="s">
        <v>1336</v>
      </c>
      <c r="O156" s="1719"/>
      <c r="P156" s="1719"/>
      <c r="Q156" s="1719"/>
      <c r="R156" s="1719"/>
      <c r="S156" s="1719"/>
      <c r="T156" s="1719"/>
      <c r="U156" s="1719"/>
      <c r="V156" s="1719"/>
      <c r="W156" s="1719"/>
      <c r="X156" s="1719"/>
      <c r="Y156" s="1719"/>
      <c r="Z156" s="1719"/>
      <c r="AA156" s="1719"/>
      <c r="AB156" s="1719"/>
      <c r="AC156" s="1719"/>
      <c r="AD156" s="1719"/>
      <c r="AE156" s="1719"/>
      <c r="AF156" s="1719"/>
      <c r="AG156" s="1719"/>
      <c r="AH156" s="1719"/>
      <c r="AI156" s="1720"/>
      <c r="AJ156" s="1727"/>
      <c r="AK156" s="1727"/>
      <c r="AL156" s="1727"/>
      <c r="AM156" s="1727"/>
    </row>
    <row r="157" spans="1:39" ht="36" customHeight="1">
      <c r="A157" s="968"/>
      <c r="B157" s="2447"/>
      <c r="C157" s="2448"/>
      <c r="D157" s="2449"/>
      <c r="E157" s="2327" t="s">
        <v>1337</v>
      </c>
      <c r="F157" s="2328"/>
      <c r="G157" s="2328"/>
      <c r="H157" s="2328"/>
      <c r="I157" s="2328"/>
      <c r="J157" s="2328"/>
      <c r="K157" s="2328"/>
      <c r="L157" s="2328"/>
      <c r="M157" s="2329"/>
      <c r="N157" s="1718" t="s">
        <v>1338</v>
      </c>
      <c r="O157" s="1719"/>
      <c r="P157" s="1719"/>
      <c r="Q157" s="1719"/>
      <c r="R157" s="1719"/>
      <c r="S157" s="1719"/>
      <c r="T157" s="1719"/>
      <c r="U157" s="1719"/>
      <c r="V157" s="1719"/>
      <c r="W157" s="1719"/>
      <c r="X157" s="1719"/>
      <c r="Y157" s="1719"/>
      <c r="Z157" s="1719"/>
      <c r="AA157" s="1719"/>
      <c r="AB157" s="1719"/>
      <c r="AC157" s="1719"/>
      <c r="AD157" s="1719"/>
      <c r="AE157" s="1719"/>
      <c r="AF157" s="1719"/>
      <c r="AG157" s="1719"/>
      <c r="AH157" s="1719"/>
      <c r="AI157" s="1720"/>
      <c r="AJ157" s="1727"/>
      <c r="AK157" s="1727"/>
      <c r="AL157" s="1727"/>
      <c r="AM157" s="1727"/>
    </row>
    <row r="158" spans="1:39" ht="36" customHeight="1">
      <c r="A158" s="968"/>
      <c r="B158" s="2447"/>
      <c r="C158" s="2448"/>
      <c r="D158" s="2449"/>
      <c r="E158" s="2327" t="s">
        <v>1339</v>
      </c>
      <c r="F158" s="2328"/>
      <c r="G158" s="2328"/>
      <c r="H158" s="2328"/>
      <c r="I158" s="2328"/>
      <c r="J158" s="2328"/>
      <c r="K158" s="2328"/>
      <c r="L158" s="2328"/>
      <c r="M158" s="2329"/>
      <c r="N158" s="1718" t="s">
        <v>1340</v>
      </c>
      <c r="O158" s="1719"/>
      <c r="P158" s="1719"/>
      <c r="Q158" s="1719"/>
      <c r="R158" s="1719"/>
      <c r="S158" s="1719"/>
      <c r="T158" s="1719"/>
      <c r="U158" s="1719"/>
      <c r="V158" s="1719"/>
      <c r="W158" s="1719"/>
      <c r="X158" s="1719"/>
      <c r="Y158" s="1719"/>
      <c r="Z158" s="1719"/>
      <c r="AA158" s="1719"/>
      <c r="AB158" s="1719"/>
      <c r="AC158" s="1719"/>
      <c r="AD158" s="1719"/>
      <c r="AE158" s="1719"/>
      <c r="AF158" s="1719"/>
      <c r="AG158" s="1719"/>
      <c r="AH158" s="1719"/>
      <c r="AI158" s="1720"/>
      <c r="AJ158" s="1727"/>
      <c r="AK158" s="1727"/>
      <c r="AL158" s="1727"/>
      <c r="AM158" s="1727"/>
    </row>
    <row r="159" spans="1:39" ht="36" customHeight="1">
      <c r="A159" s="968" t="s">
        <v>1341</v>
      </c>
      <c r="B159" s="2447"/>
      <c r="C159" s="2448"/>
      <c r="D159" s="2449"/>
      <c r="E159" s="2327" t="s">
        <v>1342</v>
      </c>
      <c r="F159" s="2328"/>
      <c r="G159" s="2328"/>
      <c r="H159" s="2328"/>
      <c r="I159" s="2328"/>
      <c r="J159" s="2328"/>
      <c r="K159" s="2328"/>
      <c r="L159" s="2328"/>
      <c r="M159" s="2329"/>
      <c r="N159" s="1718" t="str">
        <f>CONCATENATE("At time of applocation, provide contract agreement between"," ",Scoring!$W$112," "," and", " ",Scoring!$N$123)</f>
        <v xml:space="preserve">At time of applocation, provide contract agreement between   and </v>
      </c>
      <c r="O159" s="1719"/>
      <c r="P159" s="1719"/>
      <c r="Q159" s="1719"/>
      <c r="R159" s="1719"/>
      <c r="S159" s="1719"/>
      <c r="T159" s="1719"/>
      <c r="U159" s="1719"/>
      <c r="V159" s="1719"/>
      <c r="W159" s="1719"/>
      <c r="X159" s="1719"/>
      <c r="Y159" s="1719"/>
      <c r="Z159" s="1719"/>
      <c r="AA159" s="1719"/>
      <c r="AB159" s="1719"/>
      <c r="AC159" s="1719"/>
      <c r="AD159" s="1719"/>
      <c r="AE159" s="1719"/>
      <c r="AF159" s="1719"/>
      <c r="AG159" s="1719"/>
      <c r="AH159" s="1719"/>
      <c r="AI159" s="1720"/>
      <c r="AJ159" s="1727"/>
      <c r="AK159" s="1727"/>
      <c r="AL159" s="1727"/>
      <c r="AM159" s="1727"/>
    </row>
    <row r="160" spans="1:39" ht="18" customHeight="1">
      <c r="A160" s="968"/>
      <c r="B160" s="2447"/>
      <c r="C160" s="2448"/>
      <c r="D160" s="2449"/>
      <c r="E160" s="2327" t="s">
        <v>1343</v>
      </c>
      <c r="F160" s="2328"/>
      <c r="G160" s="2328"/>
      <c r="H160" s="2328"/>
      <c r="I160" s="2328"/>
      <c r="J160" s="2328"/>
      <c r="K160" s="2328"/>
      <c r="L160" s="2328"/>
      <c r="M160" s="2329"/>
      <c r="N160" s="1718" t="s">
        <v>1344</v>
      </c>
      <c r="O160" s="1719"/>
      <c r="P160" s="1719"/>
      <c r="Q160" s="1719"/>
      <c r="R160" s="1719"/>
      <c r="S160" s="1719"/>
      <c r="T160" s="1719"/>
      <c r="U160" s="1719"/>
      <c r="V160" s="1719"/>
      <c r="W160" s="1719"/>
      <c r="X160" s="1719"/>
      <c r="Y160" s="1719"/>
      <c r="Z160" s="1719"/>
      <c r="AA160" s="1719"/>
      <c r="AB160" s="1719"/>
      <c r="AC160" s="1719"/>
      <c r="AD160" s="1719"/>
      <c r="AE160" s="1719"/>
      <c r="AF160" s="1719"/>
      <c r="AG160" s="1719"/>
      <c r="AH160" s="1719"/>
      <c r="AI160" s="1720"/>
      <c r="AJ160" s="1727"/>
      <c r="AK160" s="1727"/>
      <c r="AL160" s="1727"/>
      <c r="AM160" s="1727"/>
    </row>
    <row r="161" spans="1:39" ht="18" customHeight="1">
      <c r="A161" s="968"/>
      <c r="B161" s="2447"/>
      <c r="C161" s="2448"/>
      <c r="D161" s="2449"/>
      <c r="E161" s="2327" t="s">
        <v>1345</v>
      </c>
      <c r="F161" s="2328"/>
      <c r="G161" s="2328"/>
      <c r="H161" s="2328"/>
      <c r="I161" s="2328"/>
      <c r="J161" s="2328"/>
      <c r="K161" s="2328"/>
      <c r="L161" s="2328"/>
      <c r="M161" s="2329"/>
      <c r="N161" s="2450" t="s">
        <v>1346</v>
      </c>
      <c r="O161" s="1719"/>
      <c r="P161" s="1719"/>
      <c r="Q161" s="1719"/>
      <c r="R161" s="1719"/>
      <c r="S161" s="1719"/>
      <c r="T161" s="1719"/>
      <c r="U161" s="1719"/>
      <c r="V161" s="1719"/>
      <c r="W161" s="1719"/>
      <c r="X161" s="1719"/>
      <c r="Y161" s="1719"/>
      <c r="Z161" s="1719"/>
      <c r="AA161" s="1719"/>
      <c r="AB161" s="1719"/>
      <c r="AC161" s="1719"/>
      <c r="AD161" s="1719"/>
      <c r="AE161" s="1719"/>
      <c r="AF161" s="1719"/>
      <c r="AG161" s="1719"/>
      <c r="AH161" s="1719"/>
      <c r="AI161" s="1720"/>
      <c r="AJ161" s="1727"/>
      <c r="AK161" s="1727"/>
      <c r="AL161" s="1727"/>
      <c r="AM161" s="1727"/>
    </row>
    <row r="162" spans="1:39" ht="36" customHeight="1">
      <c r="A162" s="968"/>
      <c r="B162" s="2447"/>
      <c r="C162" s="2448"/>
      <c r="D162" s="2449"/>
      <c r="E162" s="2327" t="s">
        <v>1347</v>
      </c>
      <c r="F162" s="2328"/>
      <c r="G162" s="2328"/>
      <c r="H162" s="2328"/>
      <c r="I162" s="2328"/>
      <c r="J162" s="2328"/>
      <c r="K162" s="2328"/>
      <c r="L162" s="2328"/>
      <c r="M162" s="2329"/>
      <c r="N162" s="1718" t="s">
        <v>1348</v>
      </c>
      <c r="O162" s="1719"/>
      <c r="P162" s="1719"/>
      <c r="Q162" s="1719"/>
      <c r="R162" s="1719"/>
      <c r="S162" s="1719"/>
      <c r="T162" s="1719"/>
      <c r="U162" s="1719"/>
      <c r="V162" s="1719"/>
      <c r="W162" s="1719"/>
      <c r="X162" s="1719"/>
      <c r="Y162" s="1719"/>
      <c r="Z162" s="1719"/>
      <c r="AA162" s="1719"/>
      <c r="AB162" s="1719"/>
      <c r="AC162" s="1719"/>
      <c r="AD162" s="1719"/>
      <c r="AE162" s="1719"/>
      <c r="AF162" s="1719"/>
      <c r="AG162" s="1719"/>
      <c r="AH162" s="1719"/>
      <c r="AI162" s="1720"/>
      <c r="AJ162" s="1727"/>
      <c r="AK162" s="1727"/>
      <c r="AL162" s="1727"/>
      <c r="AM162" s="1727"/>
    </row>
    <row r="163" spans="1:39" ht="54" customHeight="1">
      <c r="A163" s="968"/>
      <c r="B163" s="2447"/>
      <c r="C163" s="2448"/>
      <c r="D163" s="2449"/>
      <c r="E163" s="2327" t="s">
        <v>1349</v>
      </c>
      <c r="F163" s="2328"/>
      <c r="G163" s="2328"/>
      <c r="H163" s="2328"/>
      <c r="I163" s="2328"/>
      <c r="J163" s="2328"/>
      <c r="K163" s="2328"/>
      <c r="L163" s="2328"/>
      <c r="M163" s="2329"/>
      <c r="N163" s="1718" t="s">
        <v>1350</v>
      </c>
      <c r="O163" s="1719"/>
      <c r="P163" s="1719"/>
      <c r="Q163" s="1719"/>
      <c r="R163" s="1719"/>
      <c r="S163" s="1719"/>
      <c r="T163" s="1719"/>
      <c r="U163" s="1719"/>
      <c r="V163" s="1719"/>
      <c r="W163" s="1719"/>
      <c r="X163" s="1719"/>
      <c r="Y163" s="1719"/>
      <c r="Z163" s="1719"/>
      <c r="AA163" s="1719"/>
      <c r="AB163" s="1719"/>
      <c r="AC163" s="1719"/>
      <c r="AD163" s="1719"/>
      <c r="AE163" s="1719"/>
      <c r="AF163" s="1719"/>
      <c r="AG163" s="1719"/>
      <c r="AH163" s="1719"/>
      <c r="AI163" s="1720"/>
      <c r="AJ163" s="1727"/>
      <c r="AK163" s="1727"/>
      <c r="AL163" s="1727"/>
      <c r="AM163" s="1727"/>
    </row>
    <row r="164" spans="1:39" ht="54" customHeight="1">
      <c r="A164" s="968"/>
      <c r="B164" s="2447"/>
      <c r="C164" s="2448"/>
      <c r="D164" s="2449"/>
      <c r="E164" s="2327" t="s">
        <v>1351</v>
      </c>
      <c r="F164" s="2328"/>
      <c r="G164" s="2328"/>
      <c r="H164" s="2328"/>
      <c r="I164" s="2328"/>
      <c r="J164" s="2328"/>
      <c r="K164" s="2328"/>
      <c r="L164" s="2328"/>
      <c r="M164" s="2329"/>
      <c r="N164" s="1718" t="s">
        <v>1352</v>
      </c>
      <c r="O164" s="1719"/>
      <c r="P164" s="1719"/>
      <c r="Q164" s="1719"/>
      <c r="R164" s="1719"/>
      <c r="S164" s="1719"/>
      <c r="T164" s="1719"/>
      <c r="U164" s="1719"/>
      <c r="V164" s="1719"/>
      <c r="W164" s="1719"/>
      <c r="X164" s="1719"/>
      <c r="Y164" s="1719"/>
      <c r="Z164" s="1719"/>
      <c r="AA164" s="1719"/>
      <c r="AB164" s="1719"/>
      <c r="AC164" s="1719"/>
      <c r="AD164" s="1719"/>
      <c r="AE164" s="1719"/>
      <c r="AF164" s="1719"/>
      <c r="AG164" s="1719"/>
      <c r="AH164" s="1719"/>
      <c r="AI164" s="1720"/>
      <c r="AJ164" s="1727"/>
      <c r="AK164" s="1727"/>
      <c r="AL164" s="1727"/>
      <c r="AM164" s="1727"/>
    </row>
    <row r="165" spans="1:39" ht="36" customHeight="1">
      <c r="A165" s="968"/>
      <c r="B165" s="2447"/>
      <c r="C165" s="2448"/>
      <c r="D165" s="2449"/>
      <c r="E165" s="2327" t="s">
        <v>1353</v>
      </c>
      <c r="F165" s="2328"/>
      <c r="G165" s="2328"/>
      <c r="H165" s="2328"/>
      <c r="I165" s="2328"/>
      <c r="J165" s="2328"/>
      <c r="K165" s="2328"/>
      <c r="L165" s="2328"/>
      <c r="M165" s="2329"/>
      <c r="N165" s="1718" t="s">
        <v>1354</v>
      </c>
      <c r="O165" s="1719"/>
      <c r="P165" s="1719"/>
      <c r="Q165" s="1719"/>
      <c r="R165" s="1719"/>
      <c r="S165" s="1719"/>
      <c r="T165" s="1719"/>
      <c r="U165" s="1719"/>
      <c r="V165" s="1719"/>
      <c r="W165" s="1719"/>
      <c r="X165" s="1719"/>
      <c r="Y165" s="1719"/>
      <c r="Z165" s="1719"/>
      <c r="AA165" s="1719"/>
      <c r="AB165" s="1719"/>
      <c r="AC165" s="1719"/>
      <c r="AD165" s="1719"/>
      <c r="AE165" s="1719"/>
      <c r="AF165" s="1719"/>
      <c r="AG165" s="1719"/>
      <c r="AH165" s="1719"/>
      <c r="AI165" s="1720"/>
      <c r="AJ165" s="1727"/>
      <c r="AK165" s="1727"/>
      <c r="AL165" s="1727"/>
      <c r="AM165" s="1727"/>
    </row>
    <row r="166" spans="1:39" ht="36" customHeight="1">
      <c r="A166" s="968"/>
      <c r="B166" s="2447"/>
      <c r="C166" s="2448"/>
      <c r="D166" s="2449"/>
      <c r="E166" s="2327" t="s">
        <v>1355</v>
      </c>
      <c r="F166" s="2328"/>
      <c r="G166" s="2328"/>
      <c r="H166" s="2328"/>
      <c r="I166" s="2328"/>
      <c r="J166" s="2328"/>
      <c r="K166" s="2328"/>
      <c r="L166" s="2328"/>
      <c r="M166" s="2329"/>
      <c r="N166" s="1718" t="s">
        <v>1356</v>
      </c>
      <c r="O166" s="1719"/>
      <c r="P166" s="1719"/>
      <c r="Q166" s="1719"/>
      <c r="R166" s="1719"/>
      <c r="S166" s="1719"/>
      <c r="T166" s="1719"/>
      <c r="U166" s="1719"/>
      <c r="V166" s="1719"/>
      <c r="W166" s="1719"/>
      <c r="X166" s="1719"/>
      <c r="Y166" s="1719"/>
      <c r="Z166" s="1719"/>
      <c r="AA166" s="1719"/>
      <c r="AB166" s="1719"/>
      <c r="AC166" s="1719"/>
      <c r="AD166" s="1719"/>
      <c r="AE166" s="1719"/>
      <c r="AF166" s="1719"/>
      <c r="AG166" s="1719"/>
      <c r="AH166" s="1719"/>
      <c r="AI166" s="1720"/>
      <c r="AJ166" s="1727"/>
      <c r="AK166" s="1727"/>
      <c r="AL166" s="1727"/>
      <c r="AM166" s="1727"/>
    </row>
    <row r="167" spans="1:39" ht="36" customHeight="1">
      <c r="A167" s="968"/>
      <c r="B167" s="2447"/>
      <c r="C167" s="2448"/>
      <c r="D167" s="2449"/>
      <c r="E167" s="2327" t="s">
        <v>1357</v>
      </c>
      <c r="F167" s="2328"/>
      <c r="G167" s="2328"/>
      <c r="H167" s="2328"/>
      <c r="I167" s="2328"/>
      <c r="J167" s="2328"/>
      <c r="K167" s="2328"/>
      <c r="L167" s="2328"/>
      <c r="M167" s="2329"/>
      <c r="N167" s="1718" t="s">
        <v>1356</v>
      </c>
      <c r="O167" s="1719"/>
      <c r="P167" s="1719"/>
      <c r="Q167" s="1719"/>
      <c r="R167" s="1719"/>
      <c r="S167" s="1719"/>
      <c r="T167" s="1719"/>
      <c r="U167" s="1719"/>
      <c r="V167" s="1719"/>
      <c r="W167" s="1719"/>
      <c r="X167" s="1719"/>
      <c r="Y167" s="1719"/>
      <c r="Z167" s="1719"/>
      <c r="AA167" s="1719"/>
      <c r="AB167" s="1719"/>
      <c r="AC167" s="1719"/>
      <c r="AD167" s="1719"/>
      <c r="AE167" s="1719"/>
      <c r="AF167" s="1719"/>
      <c r="AG167" s="1719"/>
      <c r="AH167" s="1719"/>
      <c r="AI167" s="1720"/>
      <c r="AJ167" s="1727"/>
      <c r="AK167" s="1727"/>
      <c r="AL167" s="1727"/>
      <c r="AM167" s="1727"/>
    </row>
    <row r="168" spans="1:39" ht="54" customHeight="1">
      <c r="A168" s="968"/>
      <c r="B168" s="2447"/>
      <c r="C168" s="2448"/>
      <c r="D168" s="2449"/>
      <c r="E168" s="2327" t="s">
        <v>1358</v>
      </c>
      <c r="F168" s="2328"/>
      <c r="G168" s="2328"/>
      <c r="H168" s="2328"/>
      <c r="I168" s="2328"/>
      <c r="J168" s="2328"/>
      <c r="K168" s="2328"/>
      <c r="L168" s="2328"/>
      <c r="M168" s="2329"/>
      <c r="N168" s="1718" t="s">
        <v>1359</v>
      </c>
      <c r="O168" s="1719"/>
      <c r="P168" s="1719"/>
      <c r="Q168" s="1719"/>
      <c r="R168" s="1719"/>
      <c r="S168" s="1719"/>
      <c r="T168" s="1719"/>
      <c r="U168" s="1719"/>
      <c r="V168" s="1719"/>
      <c r="W168" s="1719"/>
      <c r="X168" s="1719"/>
      <c r="Y168" s="1719"/>
      <c r="Z168" s="1719"/>
      <c r="AA168" s="1719"/>
      <c r="AB168" s="1719"/>
      <c r="AC168" s="1719"/>
      <c r="AD168" s="1719"/>
      <c r="AE168" s="1719"/>
      <c r="AF168" s="1719"/>
      <c r="AG168" s="1719"/>
      <c r="AH168" s="1719"/>
      <c r="AI168" s="1720"/>
      <c r="AJ168" s="1727"/>
      <c r="AK168" s="1727"/>
      <c r="AL168" s="1727"/>
      <c r="AM168" s="1727"/>
    </row>
    <row r="169" spans="1:39" ht="18" customHeight="1">
      <c r="A169" s="968" t="s">
        <v>1360</v>
      </c>
      <c r="B169" s="2447"/>
      <c r="C169" s="2448"/>
      <c r="D169" s="2449"/>
      <c r="E169" s="2327" t="s">
        <v>1361</v>
      </c>
      <c r="F169" s="2328"/>
      <c r="G169" s="2328"/>
      <c r="H169" s="2328"/>
      <c r="I169" s="2328"/>
      <c r="J169" s="2328"/>
      <c r="K169" s="2328"/>
      <c r="L169" s="2328"/>
      <c r="M169" s="2329"/>
      <c r="N169" s="1718" t="s">
        <v>1362</v>
      </c>
      <c r="O169" s="1719"/>
      <c r="P169" s="1719"/>
      <c r="Q169" s="1719"/>
      <c r="R169" s="1719"/>
      <c r="S169" s="1719"/>
      <c r="T169" s="1719"/>
      <c r="U169" s="1719"/>
      <c r="V169" s="1719"/>
      <c r="W169" s="1719"/>
      <c r="X169" s="1719"/>
      <c r="Y169" s="1719"/>
      <c r="Z169" s="1719"/>
      <c r="AA169" s="1719"/>
      <c r="AB169" s="1719"/>
      <c r="AC169" s="1719"/>
      <c r="AD169" s="1719"/>
      <c r="AE169" s="1719"/>
      <c r="AF169" s="1719"/>
      <c r="AG169" s="1719"/>
      <c r="AH169" s="1719"/>
      <c r="AI169" s="1720"/>
      <c r="AJ169" s="1727"/>
      <c r="AK169" s="1727"/>
      <c r="AL169" s="1727"/>
      <c r="AM169" s="1727"/>
    </row>
    <row r="170" spans="1:39" ht="18" customHeight="1">
      <c r="A170" s="968" t="s">
        <v>1360</v>
      </c>
      <c r="B170" s="2447"/>
      <c r="C170" s="2448"/>
      <c r="D170" s="2449"/>
      <c r="E170" s="2327" t="s">
        <v>1363</v>
      </c>
      <c r="F170" s="2328"/>
      <c r="G170" s="2328"/>
      <c r="H170" s="2328"/>
      <c r="I170" s="2328"/>
      <c r="J170" s="2328"/>
      <c r="K170" s="2328"/>
      <c r="L170" s="2328"/>
      <c r="M170" s="2329"/>
      <c r="N170" s="1718" t="s">
        <v>1364</v>
      </c>
      <c r="O170" s="1719"/>
      <c r="P170" s="1719"/>
      <c r="Q170" s="1719"/>
      <c r="R170" s="1719"/>
      <c r="S170" s="1719"/>
      <c r="T170" s="1719"/>
      <c r="U170" s="1719"/>
      <c r="V170" s="1719"/>
      <c r="W170" s="1719"/>
      <c r="X170" s="1719"/>
      <c r="Y170" s="1719"/>
      <c r="Z170" s="1719"/>
      <c r="AA170" s="1719"/>
      <c r="AB170" s="1719"/>
      <c r="AC170" s="1719"/>
      <c r="AD170" s="1719"/>
      <c r="AE170" s="1719"/>
      <c r="AF170" s="1719"/>
      <c r="AG170" s="1719"/>
      <c r="AH170" s="1719"/>
      <c r="AI170" s="1720"/>
      <c r="AJ170" s="1727"/>
      <c r="AK170" s="1727"/>
      <c r="AL170" s="1727"/>
      <c r="AM170" s="1727"/>
    </row>
    <row r="171" spans="1:39" ht="36" customHeight="1">
      <c r="A171" s="968" t="s">
        <v>589</v>
      </c>
      <c r="B171" s="2447"/>
      <c r="C171" s="2448"/>
      <c r="D171" s="2449"/>
      <c r="E171" s="2327" t="s">
        <v>1365</v>
      </c>
      <c r="F171" s="2328"/>
      <c r="G171" s="2328"/>
      <c r="H171" s="2328"/>
      <c r="I171" s="2328"/>
      <c r="J171" s="2328"/>
      <c r="K171" s="2328"/>
      <c r="L171" s="2328"/>
      <c r="M171" s="2329"/>
      <c r="N171" s="1718" t="s">
        <v>1366</v>
      </c>
      <c r="O171" s="1719"/>
      <c r="P171" s="1719"/>
      <c r="Q171" s="1719"/>
      <c r="R171" s="1719"/>
      <c r="S171" s="1719"/>
      <c r="T171" s="1719"/>
      <c r="U171" s="1719"/>
      <c r="V171" s="1719"/>
      <c r="W171" s="1719"/>
      <c r="X171" s="1719"/>
      <c r="Y171" s="1719"/>
      <c r="Z171" s="1719"/>
      <c r="AA171" s="1719"/>
      <c r="AB171" s="1719"/>
      <c r="AC171" s="1719"/>
      <c r="AD171" s="1719"/>
      <c r="AE171" s="1719"/>
      <c r="AF171" s="1719"/>
      <c r="AG171" s="1719"/>
      <c r="AH171" s="1719"/>
      <c r="AI171" s="1720"/>
      <c r="AJ171" s="1727"/>
      <c r="AK171" s="1727"/>
      <c r="AL171" s="1727"/>
      <c r="AM171" s="1727"/>
    </row>
    <row r="172" spans="1:39" ht="36" customHeight="1">
      <c r="A172" s="968" t="s">
        <v>589</v>
      </c>
      <c r="B172" s="2447"/>
      <c r="C172" s="2448"/>
      <c r="D172" s="2449"/>
      <c r="E172" s="2327" t="s">
        <v>1367</v>
      </c>
      <c r="F172" s="2328"/>
      <c r="G172" s="2328"/>
      <c r="H172" s="2328"/>
      <c r="I172" s="2328"/>
      <c r="J172" s="2328"/>
      <c r="K172" s="2328"/>
      <c r="L172" s="2328"/>
      <c r="M172" s="2329"/>
      <c r="N172" s="1718" t="s">
        <v>1368</v>
      </c>
      <c r="O172" s="1719"/>
      <c r="P172" s="1719"/>
      <c r="Q172" s="1719"/>
      <c r="R172" s="1719"/>
      <c r="S172" s="1719"/>
      <c r="T172" s="1719"/>
      <c r="U172" s="1719"/>
      <c r="V172" s="1719"/>
      <c r="W172" s="1719"/>
      <c r="X172" s="1719"/>
      <c r="Y172" s="1719"/>
      <c r="Z172" s="1719"/>
      <c r="AA172" s="1719"/>
      <c r="AB172" s="1719"/>
      <c r="AC172" s="1719"/>
      <c r="AD172" s="1719"/>
      <c r="AE172" s="1719"/>
      <c r="AF172" s="1719"/>
      <c r="AG172" s="1719"/>
      <c r="AH172" s="1719"/>
      <c r="AI172" s="1720"/>
      <c r="AJ172" s="1727"/>
      <c r="AK172" s="1727"/>
      <c r="AL172" s="1727"/>
      <c r="AM172" s="1727"/>
    </row>
    <row r="173" spans="1:39" ht="27.75" customHeight="1">
      <c r="A173" s="1084" t="s">
        <v>1369</v>
      </c>
      <c r="B173" s="2447"/>
      <c r="C173" s="2448"/>
      <c r="D173" s="2449"/>
      <c r="E173" s="2327" t="s">
        <v>1370</v>
      </c>
      <c r="F173" s="2328"/>
      <c r="G173" s="2328"/>
      <c r="H173" s="2328"/>
      <c r="I173" s="2328"/>
      <c r="J173" s="2328"/>
      <c r="K173" s="2328"/>
      <c r="L173" s="2328"/>
      <c r="M173" s="2329"/>
      <c r="N173" s="1718" t="s">
        <v>1371</v>
      </c>
      <c r="O173" s="1719"/>
      <c r="P173" s="1719"/>
      <c r="Q173" s="1719"/>
      <c r="R173" s="1719"/>
      <c r="S173" s="1719"/>
      <c r="T173" s="1719"/>
      <c r="U173" s="1719"/>
      <c r="V173" s="1719"/>
      <c r="W173" s="1719"/>
      <c r="X173" s="1719"/>
      <c r="Y173" s="1719"/>
      <c r="Z173" s="1719"/>
      <c r="AA173" s="1719"/>
      <c r="AB173" s="1719"/>
      <c r="AC173" s="1719"/>
      <c r="AD173" s="1719"/>
      <c r="AE173" s="1719"/>
      <c r="AF173" s="1719"/>
      <c r="AG173" s="1719"/>
      <c r="AH173" s="1719"/>
      <c r="AI173" s="1720"/>
      <c r="AJ173" s="1727"/>
      <c r="AK173" s="1727"/>
      <c r="AL173" s="1727"/>
      <c r="AM173" s="1727"/>
    </row>
    <row r="174" spans="1:39" ht="36" customHeight="1">
      <c r="A174" s="1084" t="s">
        <v>1372</v>
      </c>
      <c r="B174" s="2447"/>
      <c r="C174" s="2448"/>
      <c r="D174" s="2449"/>
      <c r="E174" s="2327" t="s">
        <v>1373</v>
      </c>
      <c r="F174" s="2328"/>
      <c r="G174" s="2328"/>
      <c r="H174" s="2328"/>
      <c r="I174" s="2328"/>
      <c r="J174" s="2328"/>
      <c r="K174" s="2328"/>
      <c r="L174" s="2328"/>
      <c r="M174" s="2329"/>
      <c r="N174" s="1718" t="s">
        <v>1374</v>
      </c>
      <c r="O174" s="1719"/>
      <c r="P174" s="1719"/>
      <c r="Q174" s="1719"/>
      <c r="R174" s="1719"/>
      <c r="S174" s="1719"/>
      <c r="T174" s="1719"/>
      <c r="U174" s="1719"/>
      <c r="V174" s="1719"/>
      <c r="W174" s="1719"/>
      <c r="X174" s="1719"/>
      <c r="Y174" s="1719"/>
      <c r="Z174" s="1719"/>
      <c r="AA174" s="1719"/>
      <c r="AB174" s="1719"/>
      <c r="AC174" s="1719"/>
      <c r="AD174" s="1719"/>
      <c r="AE174" s="1719"/>
      <c r="AF174" s="1719"/>
      <c r="AG174" s="1719"/>
      <c r="AH174" s="1719"/>
      <c r="AI174" s="1720"/>
      <c r="AJ174" s="1727"/>
      <c r="AK174" s="1727"/>
      <c r="AL174" s="1727"/>
      <c r="AM174" s="1727"/>
    </row>
    <row r="175" spans="1:39" ht="18" customHeight="1">
      <c r="A175" s="968" t="s">
        <v>589</v>
      </c>
      <c r="B175" s="2447"/>
      <c r="C175" s="2448"/>
      <c r="D175" s="2449"/>
      <c r="E175" s="2327" t="s">
        <v>1375</v>
      </c>
      <c r="F175" s="2328"/>
      <c r="G175" s="2328"/>
      <c r="H175" s="2328"/>
      <c r="I175" s="2328"/>
      <c r="J175" s="2328"/>
      <c r="K175" s="2328"/>
      <c r="L175" s="2328"/>
      <c r="M175" s="2329"/>
      <c r="N175" s="1718" t="s">
        <v>1376</v>
      </c>
      <c r="O175" s="1719"/>
      <c r="P175" s="1719"/>
      <c r="Q175" s="1719"/>
      <c r="R175" s="1719"/>
      <c r="S175" s="1719"/>
      <c r="T175" s="1719"/>
      <c r="U175" s="1719"/>
      <c r="V175" s="1719"/>
      <c r="W175" s="1719"/>
      <c r="X175" s="1719"/>
      <c r="Y175" s="1719"/>
      <c r="Z175" s="1719"/>
      <c r="AA175" s="1719"/>
      <c r="AB175" s="1719"/>
      <c r="AC175" s="1719"/>
      <c r="AD175" s="1719"/>
      <c r="AE175" s="1719"/>
      <c r="AF175" s="1719"/>
      <c r="AG175" s="1719"/>
      <c r="AH175" s="1719"/>
      <c r="AI175" s="1720"/>
      <c r="AJ175" s="1727"/>
      <c r="AK175" s="1727"/>
      <c r="AL175" s="1727"/>
      <c r="AM175" s="1727"/>
    </row>
    <row r="176" spans="1:39" ht="18" customHeight="1">
      <c r="A176" s="968" t="s">
        <v>589</v>
      </c>
      <c r="B176" s="2447"/>
      <c r="C176" s="2448"/>
      <c r="D176" s="2449"/>
      <c r="E176" s="2327" t="s">
        <v>1377</v>
      </c>
      <c r="F176" s="2328"/>
      <c r="G176" s="2328"/>
      <c r="H176" s="2328"/>
      <c r="I176" s="2328"/>
      <c r="J176" s="2328"/>
      <c r="K176" s="2328"/>
      <c r="L176" s="2328"/>
      <c r="M176" s="2329"/>
      <c r="N176" s="1718" t="s">
        <v>1378</v>
      </c>
      <c r="O176" s="1719"/>
      <c r="P176" s="1719"/>
      <c r="Q176" s="1719"/>
      <c r="R176" s="1719"/>
      <c r="S176" s="1719"/>
      <c r="T176" s="1719"/>
      <c r="U176" s="1719"/>
      <c r="V176" s="1719"/>
      <c r="W176" s="1719"/>
      <c r="X176" s="1719"/>
      <c r="Y176" s="1719"/>
      <c r="Z176" s="1719"/>
      <c r="AA176" s="1719"/>
      <c r="AB176" s="1719"/>
      <c r="AC176" s="1719"/>
      <c r="AD176" s="1719"/>
      <c r="AE176" s="1719"/>
      <c r="AF176" s="1719"/>
      <c r="AG176" s="1719"/>
      <c r="AH176" s="1719"/>
      <c r="AI176" s="1720"/>
      <c r="AJ176" s="1727"/>
      <c r="AK176" s="1727"/>
      <c r="AL176" s="1727"/>
      <c r="AM176" s="1727"/>
    </row>
    <row r="177" spans="1:42" ht="54" customHeight="1">
      <c r="A177" s="968" t="s">
        <v>589</v>
      </c>
      <c r="B177" s="2447"/>
      <c r="C177" s="2448"/>
      <c r="D177" s="2449"/>
      <c r="E177" s="2327" t="s">
        <v>1379</v>
      </c>
      <c r="F177" s="2328"/>
      <c r="G177" s="2328"/>
      <c r="H177" s="2328"/>
      <c r="I177" s="2328"/>
      <c r="J177" s="2328"/>
      <c r="K177" s="2328"/>
      <c r="L177" s="2328"/>
      <c r="M177" s="2329"/>
      <c r="N177" s="1718" t="s">
        <v>1350</v>
      </c>
      <c r="O177" s="1719"/>
      <c r="P177" s="1719"/>
      <c r="Q177" s="1719"/>
      <c r="R177" s="1719"/>
      <c r="S177" s="1719"/>
      <c r="T177" s="1719"/>
      <c r="U177" s="1719"/>
      <c r="V177" s="1719"/>
      <c r="W177" s="1719"/>
      <c r="X177" s="1719"/>
      <c r="Y177" s="1719"/>
      <c r="Z177" s="1719"/>
      <c r="AA177" s="1719"/>
      <c r="AB177" s="1719"/>
      <c r="AC177" s="1719"/>
      <c r="AD177" s="1719"/>
      <c r="AE177" s="1719"/>
      <c r="AF177" s="1719"/>
      <c r="AG177" s="1719"/>
      <c r="AH177" s="1719"/>
      <c r="AI177" s="1720"/>
      <c r="AJ177" s="1727"/>
      <c r="AK177" s="1727"/>
      <c r="AL177" s="1727"/>
      <c r="AM177" s="1727"/>
    </row>
    <row r="178" spans="1:42" ht="18" customHeight="1">
      <c r="A178" s="968" t="s">
        <v>1380</v>
      </c>
      <c r="B178" s="2447"/>
      <c r="C178" s="2448"/>
      <c r="D178" s="2449"/>
      <c r="E178" s="2327" t="s">
        <v>1381</v>
      </c>
      <c r="F178" s="2328"/>
      <c r="G178" s="2328"/>
      <c r="H178" s="2328"/>
      <c r="I178" s="2328"/>
      <c r="J178" s="2328"/>
      <c r="K178" s="2328"/>
      <c r="L178" s="2328"/>
      <c r="M178" s="2329"/>
      <c r="N178" s="1718" t="s">
        <v>1382</v>
      </c>
      <c r="O178" s="1719"/>
      <c r="P178" s="1719"/>
      <c r="Q178" s="1719"/>
      <c r="R178" s="1719"/>
      <c r="S178" s="1719"/>
      <c r="T178" s="1719"/>
      <c r="U178" s="1719"/>
      <c r="V178" s="1719"/>
      <c r="W178" s="1719"/>
      <c r="X178" s="1719"/>
      <c r="Y178" s="1719"/>
      <c r="Z178" s="1719"/>
      <c r="AA178" s="1719"/>
      <c r="AB178" s="1719"/>
      <c r="AC178" s="1719"/>
      <c r="AD178" s="1719"/>
      <c r="AE178" s="1719"/>
      <c r="AF178" s="1719"/>
      <c r="AG178" s="1719"/>
      <c r="AH178" s="1719"/>
      <c r="AI178" s="1720"/>
      <c r="AJ178" s="1727"/>
      <c r="AK178" s="1727"/>
      <c r="AL178" s="1727"/>
      <c r="AM178" s="1727"/>
    </row>
    <row r="179" spans="1:42" ht="36" customHeight="1">
      <c r="A179" s="968" t="s">
        <v>1383</v>
      </c>
      <c r="B179" s="2447"/>
      <c r="C179" s="2448"/>
      <c r="D179" s="2449"/>
      <c r="E179" s="2327" t="s">
        <v>1384</v>
      </c>
      <c r="F179" s="2328"/>
      <c r="G179" s="2328"/>
      <c r="H179" s="2328"/>
      <c r="I179" s="2328"/>
      <c r="J179" s="2328"/>
      <c r="K179" s="2328"/>
      <c r="L179" s="2328"/>
      <c r="M179" s="2329"/>
      <c r="N179" s="1718" t="s">
        <v>1385</v>
      </c>
      <c r="O179" s="1719"/>
      <c r="P179" s="1719"/>
      <c r="Q179" s="1719"/>
      <c r="R179" s="1719"/>
      <c r="S179" s="1719"/>
      <c r="T179" s="1719"/>
      <c r="U179" s="1719"/>
      <c r="V179" s="1719"/>
      <c r="W179" s="1719"/>
      <c r="X179" s="1719"/>
      <c r="Y179" s="1719"/>
      <c r="Z179" s="1719"/>
      <c r="AA179" s="1719"/>
      <c r="AB179" s="1719"/>
      <c r="AC179" s="1719"/>
      <c r="AD179" s="1719"/>
      <c r="AE179" s="1719"/>
      <c r="AF179" s="1719"/>
      <c r="AG179" s="1719"/>
      <c r="AH179" s="1719"/>
      <c r="AI179" s="1720"/>
      <c r="AJ179" s="1727"/>
      <c r="AK179" s="1727"/>
      <c r="AL179" s="1727"/>
      <c r="AM179" s="1727"/>
    </row>
    <row r="180" spans="1:42" ht="36" customHeight="1">
      <c r="A180" s="968" t="s">
        <v>1383</v>
      </c>
      <c r="B180" s="2447"/>
      <c r="C180" s="2448"/>
      <c r="D180" s="2449"/>
      <c r="E180" s="2327" t="s">
        <v>1386</v>
      </c>
      <c r="F180" s="2328"/>
      <c r="G180" s="2328"/>
      <c r="H180" s="2328"/>
      <c r="I180" s="2328"/>
      <c r="J180" s="2328"/>
      <c r="K180" s="2328"/>
      <c r="L180" s="2328"/>
      <c r="M180" s="2329"/>
      <c r="N180" s="1718" t="s">
        <v>1387</v>
      </c>
      <c r="O180" s="1719"/>
      <c r="P180" s="1719"/>
      <c r="Q180" s="1719"/>
      <c r="R180" s="1719"/>
      <c r="S180" s="1719"/>
      <c r="T180" s="1719"/>
      <c r="U180" s="1719"/>
      <c r="V180" s="1719"/>
      <c r="W180" s="1719"/>
      <c r="X180" s="1719"/>
      <c r="Y180" s="1719"/>
      <c r="Z180" s="1719"/>
      <c r="AA180" s="1719"/>
      <c r="AB180" s="1719"/>
      <c r="AC180" s="1719"/>
      <c r="AD180" s="1719"/>
      <c r="AE180" s="1719"/>
      <c r="AF180" s="1719"/>
      <c r="AG180" s="1719"/>
      <c r="AH180" s="1719"/>
      <c r="AI180" s="1720"/>
      <c r="AJ180" s="1727"/>
      <c r="AK180" s="1727"/>
      <c r="AL180" s="1727"/>
      <c r="AM180" s="1727"/>
    </row>
    <row r="181" spans="1:42" ht="36" customHeight="1">
      <c r="A181" s="968" t="s">
        <v>1383</v>
      </c>
      <c r="B181" s="2447"/>
      <c r="C181" s="2448"/>
      <c r="D181" s="2449"/>
      <c r="E181" s="2327" t="s">
        <v>1388</v>
      </c>
      <c r="F181" s="2328"/>
      <c r="G181" s="2328"/>
      <c r="H181" s="2328"/>
      <c r="I181" s="2328"/>
      <c r="J181" s="2328"/>
      <c r="K181" s="2328"/>
      <c r="L181" s="2328"/>
      <c r="M181" s="2329"/>
      <c r="N181" s="1718" t="s">
        <v>1389</v>
      </c>
      <c r="O181" s="1719"/>
      <c r="P181" s="1719"/>
      <c r="Q181" s="1719"/>
      <c r="R181" s="1719"/>
      <c r="S181" s="1719"/>
      <c r="T181" s="1719"/>
      <c r="U181" s="1719"/>
      <c r="V181" s="1719"/>
      <c r="W181" s="1719"/>
      <c r="X181" s="1719"/>
      <c r="Y181" s="1719"/>
      <c r="Z181" s="1719"/>
      <c r="AA181" s="1719"/>
      <c r="AB181" s="1719"/>
      <c r="AC181" s="1719"/>
      <c r="AD181" s="1719"/>
      <c r="AE181" s="1719"/>
      <c r="AF181" s="1719"/>
      <c r="AG181" s="1719"/>
      <c r="AH181" s="1719"/>
      <c r="AI181" s="1720"/>
      <c r="AJ181" s="1727"/>
      <c r="AK181" s="1727"/>
      <c r="AL181" s="1727"/>
      <c r="AM181" s="1727"/>
    </row>
    <row r="182" spans="1:42" ht="18" customHeight="1">
      <c r="A182" s="969"/>
      <c r="B182" s="1494"/>
      <c r="C182" s="1495"/>
      <c r="D182" s="1496"/>
      <c r="E182" s="1490"/>
      <c r="F182" s="1491"/>
      <c r="G182" s="1491"/>
      <c r="H182" s="1491"/>
      <c r="I182" s="1491"/>
      <c r="J182" s="1491"/>
      <c r="K182" s="1491"/>
      <c r="L182" s="1491"/>
      <c r="M182" s="1492"/>
      <c r="N182" s="1449"/>
      <c r="O182" s="1450"/>
      <c r="P182" s="1450"/>
      <c r="Q182" s="1450"/>
      <c r="R182" s="1450"/>
      <c r="S182" s="1450"/>
      <c r="T182" s="1450"/>
      <c r="U182" s="1450"/>
      <c r="V182" s="1450"/>
      <c r="W182" s="1450"/>
      <c r="X182" s="1450"/>
      <c r="Y182" s="1450"/>
      <c r="Z182" s="1450"/>
      <c r="AA182" s="1450"/>
      <c r="AB182" s="1450"/>
      <c r="AC182" s="1450"/>
      <c r="AD182" s="1450"/>
      <c r="AE182" s="1450"/>
      <c r="AF182" s="1450"/>
      <c r="AG182" s="1450"/>
      <c r="AH182" s="1450"/>
      <c r="AI182" s="1451"/>
      <c r="AJ182" s="1727"/>
      <c r="AK182" s="1727"/>
      <c r="AL182" s="1727"/>
      <c r="AM182" s="1727"/>
    </row>
    <row r="183" spans="1:42" ht="18" customHeight="1">
      <c r="A183" s="969"/>
      <c r="B183" s="1494"/>
      <c r="C183" s="1495"/>
      <c r="D183" s="1496"/>
      <c r="E183" s="1490"/>
      <c r="F183" s="1491"/>
      <c r="G183" s="1491"/>
      <c r="H183" s="1491"/>
      <c r="I183" s="1491"/>
      <c r="J183" s="1491"/>
      <c r="K183" s="1491"/>
      <c r="L183" s="1491"/>
      <c r="M183" s="1492"/>
      <c r="N183" s="1449"/>
      <c r="O183" s="1450"/>
      <c r="P183" s="1450"/>
      <c r="Q183" s="1450"/>
      <c r="R183" s="1450"/>
      <c r="S183" s="1450"/>
      <c r="T183" s="1450"/>
      <c r="U183" s="1450"/>
      <c r="V183" s="1450"/>
      <c r="W183" s="1450"/>
      <c r="X183" s="1450"/>
      <c r="Y183" s="1450"/>
      <c r="Z183" s="1450"/>
      <c r="AA183" s="1450"/>
      <c r="AB183" s="1450"/>
      <c r="AC183" s="1450"/>
      <c r="AD183" s="1450"/>
      <c r="AE183" s="1450"/>
      <c r="AF183" s="1450"/>
      <c r="AG183" s="1450"/>
      <c r="AH183" s="1450"/>
      <c r="AI183" s="1451"/>
      <c r="AJ183" s="1453"/>
      <c r="AK183" s="1453"/>
      <c r="AL183" s="1453"/>
      <c r="AM183" s="1453"/>
    </row>
    <row r="184" spans="1:42" ht="18" customHeight="1">
      <c r="A184" s="969"/>
      <c r="B184" s="1494"/>
      <c r="C184" s="1495"/>
      <c r="D184" s="1496"/>
      <c r="E184" s="1490"/>
      <c r="F184" s="1491"/>
      <c r="G184" s="1491"/>
      <c r="H184" s="1491"/>
      <c r="I184" s="1491"/>
      <c r="J184" s="1491"/>
      <c r="K184" s="1491"/>
      <c r="L184" s="1491"/>
      <c r="M184" s="1492"/>
      <c r="N184" s="1449"/>
      <c r="O184" s="1450"/>
      <c r="P184" s="1450"/>
      <c r="Q184" s="1450"/>
      <c r="R184" s="1450"/>
      <c r="S184" s="1450"/>
      <c r="T184" s="1450"/>
      <c r="U184" s="1450"/>
      <c r="V184" s="1450"/>
      <c r="W184" s="1450"/>
      <c r="X184" s="1450"/>
      <c r="Y184" s="1450"/>
      <c r="Z184" s="1450"/>
      <c r="AA184" s="1450"/>
      <c r="AB184" s="1450"/>
      <c r="AC184" s="1450"/>
      <c r="AD184" s="1450"/>
      <c r="AE184" s="1450"/>
      <c r="AF184" s="1450"/>
      <c r="AG184" s="1450"/>
      <c r="AH184" s="1450"/>
      <c r="AI184" s="1451"/>
      <c r="AJ184" s="1453"/>
      <c r="AK184" s="1453"/>
      <c r="AL184" s="1453"/>
      <c r="AM184" s="1453"/>
    </row>
    <row r="185" spans="1:42" ht="18" customHeight="1">
      <c r="A185" s="969"/>
      <c r="B185" s="1494"/>
      <c r="C185" s="1495"/>
      <c r="D185" s="1496"/>
      <c r="E185" s="1490"/>
      <c r="F185" s="1491"/>
      <c r="G185" s="1491"/>
      <c r="H185" s="1491"/>
      <c r="I185" s="1491"/>
      <c r="J185" s="1491"/>
      <c r="K185" s="1491"/>
      <c r="L185" s="1491"/>
      <c r="M185" s="1492"/>
      <c r="N185" s="1449"/>
      <c r="O185" s="1450"/>
      <c r="P185" s="1450"/>
      <c r="Q185" s="1450"/>
      <c r="R185" s="1450"/>
      <c r="S185" s="1450"/>
      <c r="T185" s="1450"/>
      <c r="U185" s="1450"/>
      <c r="V185" s="1450"/>
      <c r="W185" s="1450"/>
      <c r="X185" s="1450"/>
      <c r="Y185" s="1450"/>
      <c r="Z185" s="1450"/>
      <c r="AA185" s="1450"/>
      <c r="AB185" s="1450"/>
      <c r="AC185" s="1450"/>
      <c r="AD185" s="1450"/>
      <c r="AE185" s="1450"/>
      <c r="AF185" s="1450"/>
      <c r="AG185" s="1450"/>
      <c r="AH185" s="1450"/>
      <c r="AI185" s="1451"/>
      <c r="AJ185" s="1453"/>
      <c r="AK185" s="1453"/>
      <c r="AL185" s="1453"/>
      <c r="AM185" s="1453"/>
    </row>
    <row r="186" spans="1:42" ht="18" customHeight="1">
      <c r="A186" s="965" t="s">
        <v>1390</v>
      </c>
      <c r="B186" s="2447"/>
      <c r="C186" s="2448"/>
      <c r="D186" s="2449"/>
      <c r="E186" s="1766" t="s">
        <v>1391</v>
      </c>
      <c r="F186" s="1766"/>
      <c r="G186" s="1766"/>
      <c r="H186" s="1766"/>
      <c r="I186" s="1766"/>
      <c r="J186" s="1766"/>
      <c r="K186" s="1766"/>
      <c r="L186" s="1766"/>
      <c r="M186" s="1766"/>
      <c r="N186" s="2465" t="s">
        <v>1392</v>
      </c>
      <c r="O186" s="2465"/>
      <c r="P186" s="2465"/>
      <c r="Q186" s="2465"/>
      <c r="R186" s="2465"/>
      <c r="S186" s="2465"/>
      <c r="T186" s="2465"/>
      <c r="U186" s="2465"/>
      <c r="V186" s="2465"/>
      <c r="W186" s="2465"/>
      <c r="X186" s="2465"/>
      <c r="Y186" s="2465"/>
      <c r="Z186" s="2465"/>
      <c r="AA186" s="2465"/>
      <c r="AB186" s="2465"/>
      <c r="AC186" s="2465"/>
      <c r="AD186" s="2465"/>
      <c r="AE186" s="2465"/>
      <c r="AF186" s="2465"/>
      <c r="AG186" s="2465"/>
      <c r="AH186" s="2465"/>
      <c r="AI186" s="2465"/>
      <c r="AJ186" s="1727"/>
      <c r="AK186" s="1727"/>
      <c r="AL186" s="1727"/>
      <c r="AM186" s="1727"/>
      <c r="AN186" s="1315"/>
      <c r="AO186" s="110"/>
    </row>
    <row r="187" spans="1:42" ht="18" customHeight="1">
      <c r="C187" s="14"/>
      <c r="D187" s="14"/>
    </row>
    <row r="188" spans="1:42" ht="18" customHeight="1">
      <c r="B188" s="32"/>
      <c r="C188" s="32"/>
      <c r="D188" s="32"/>
      <c r="E188" s="33"/>
      <c r="F188" s="33"/>
      <c r="G188" s="33"/>
      <c r="H188" s="33"/>
      <c r="I188" s="33"/>
      <c r="J188" s="33"/>
      <c r="K188" s="33"/>
      <c r="L188" s="33"/>
      <c r="M188" s="33"/>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5"/>
      <c r="AK188" s="35"/>
      <c r="AL188" s="35"/>
      <c r="AM188" s="35"/>
    </row>
    <row r="189" spans="1:42" ht="18" customHeight="1">
      <c r="B189" s="32"/>
      <c r="C189" s="32"/>
      <c r="D189" s="32"/>
      <c r="E189" s="33"/>
      <c r="F189" s="33"/>
      <c r="G189" s="33"/>
      <c r="H189" s="33"/>
      <c r="I189" s="33"/>
      <c r="J189" s="33"/>
      <c r="K189" s="33"/>
      <c r="L189" s="33"/>
      <c r="M189" s="33"/>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5"/>
      <c r="AK189" s="35"/>
      <c r="AL189" s="35"/>
      <c r="AM189" s="35"/>
    </row>
    <row r="190" spans="1:42" ht="18" customHeight="1">
      <c r="B190" s="32"/>
      <c r="C190" s="32"/>
      <c r="D190" s="32"/>
      <c r="E190" s="33"/>
      <c r="F190" s="33"/>
      <c r="G190" s="33"/>
      <c r="H190" s="33"/>
      <c r="I190" s="33"/>
      <c r="J190" s="33"/>
      <c r="K190" s="33"/>
      <c r="L190" s="33"/>
      <c r="M190" s="33"/>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5"/>
      <c r="AK190" s="35"/>
      <c r="AL190" s="35"/>
      <c r="AM190" s="35"/>
    </row>
    <row r="191" spans="1:42" ht="18" customHeight="1">
      <c r="B191" s="2489" t="s">
        <v>639</v>
      </c>
      <c r="C191" s="2489"/>
      <c r="D191" s="2489"/>
      <c r="E191" s="2489"/>
      <c r="F191" s="2489"/>
      <c r="G191" s="2489"/>
      <c r="H191" s="2489"/>
      <c r="I191" s="2489"/>
      <c r="J191" s="2489"/>
      <c r="K191" s="2489"/>
      <c r="L191" s="2489"/>
      <c r="M191" s="2489"/>
      <c r="N191" s="2489"/>
      <c r="O191" s="2489"/>
      <c r="P191" s="2489"/>
      <c r="Q191" s="2489"/>
      <c r="R191" s="2489"/>
      <c r="S191" s="2489"/>
      <c r="T191" s="2489"/>
      <c r="U191" s="2489"/>
      <c r="V191" s="2489"/>
      <c r="W191" s="2489"/>
      <c r="X191" s="2489"/>
      <c r="Y191" s="2489"/>
      <c r="Z191" s="2489"/>
      <c r="AA191" s="2489"/>
      <c r="AB191" s="2489"/>
      <c r="AC191" s="2489"/>
      <c r="AD191" s="2489"/>
      <c r="AE191" s="2489"/>
      <c r="AF191" s="2489"/>
      <c r="AG191" s="2489"/>
      <c r="AH191" s="2489"/>
      <c r="AI191" s="2489"/>
      <c r="AJ191" s="2489"/>
      <c r="AK191" s="2489"/>
      <c r="AL191" s="2489"/>
      <c r="AM191" s="2489"/>
      <c r="AO191" s="31"/>
      <c r="AP191" s="31"/>
    </row>
  </sheetData>
  <mergeCells count="618">
    <mergeCell ref="AJ175:AM175"/>
    <mergeCell ref="AJ176:AM176"/>
    <mergeCell ref="AJ177:AM177"/>
    <mergeCell ref="AJ178:AM178"/>
    <mergeCell ref="AJ182:AM182"/>
    <mergeCell ref="AJ67:AM67"/>
    <mergeCell ref="AJ65:AM65"/>
    <mergeCell ref="N61:AI61"/>
    <mergeCell ref="N64:AI64"/>
    <mergeCell ref="N65:AI65"/>
    <mergeCell ref="AJ74:AM74"/>
    <mergeCell ref="AJ77:AM77"/>
    <mergeCell ref="AJ80:AM80"/>
    <mergeCell ref="AJ81:AM81"/>
    <mergeCell ref="AJ82:AM82"/>
    <mergeCell ref="AJ75:AM75"/>
    <mergeCell ref="N80:AI80"/>
    <mergeCell ref="N142:AI142"/>
    <mergeCell ref="N136:AI136"/>
    <mergeCell ref="AJ131:AM131"/>
    <mergeCell ref="AJ132:AM132"/>
    <mergeCell ref="AJ133:AM133"/>
    <mergeCell ref="AJ141:AM141"/>
    <mergeCell ref="N131:AI131"/>
    <mergeCell ref="N45:AI45"/>
    <mergeCell ref="E45:M45"/>
    <mergeCell ref="E37:M37"/>
    <mergeCell ref="AJ36:AM36"/>
    <mergeCell ref="E44:M44"/>
    <mergeCell ref="AJ43:AM43"/>
    <mergeCell ref="AJ45:AM45"/>
    <mergeCell ref="AJ46:AM46"/>
    <mergeCell ref="E74:M74"/>
    <mergeCell ref="B71:AM71"/>
    <mergeCell ref="N72:AI72"/>
    <mergeCell ref="B70:AM70"/>
    <mergeCell ref="AJ56:AM56"/>
    <mergeCell ref="AJ57:AM57"/>
    <mergeCell ref="AJ53:AM53"/>
    <mergeCell ref="AJ54:AM54"/>
    <mergeCell ref="AJ55:AM55"/>
    <mergeCell ref="B57:D57"/>
    <mergeCell ref="E72:M72"/>
    <mergeCell ref="B73:D73"/>
    <mergeCell ref="E73:M73"/>
    <mergeCell ref="E68:M68"/>
    <mergeCell ref="B66:D66"/>
    <mergeCell ref="B65:D65"/>
    <mergeCell ref="E129:M129"/>
    <mergeCell ref="E100:M100"/>
    <mergeCell ref="N50:AI50"/>
    <mergeCell ref="AJ50:AM50"/>
    <mergeCell ref="B44:D44"/>
    <mergeCell ref="B49:D49"/>
    <mergeCell ref="E49:M49"/>
    <mergeCell ref="N49:AI49"/>
    <mergeCell ref="AJ49:AM49"/>
    <mergeCell ref="B50:D50"/>
    <mergeCell ref="E50:M50"/>
    <mergeCell ref="AJ84:AM84"/>
    <mergeCell ref="AJ69:AM69"/>
    <mergeCell ref="B81:D81"/>
    <mergeCell ref="E81:M81"/>
    <mergeCell ref="B82:D82"/>
    <mergeCell ref="N81:AI81"/>
    <mergeCell ref="N82:AI82"/>
    <mergeCell ref="N83:AI83"/>
    <mergeCell ref="E75:M75"/>
    <mergeCell ref="B48:AM48"/>
    <mergeCell ref="B46:D46"/>
    <mergeCell ref="E46:M46"/>
    <mergeCell ref="AJ44:AM44"/>
    <mergeCell ref="E115:M115"/>
    <mergeCell ref="E57:M57"/>
    <mergeCell ref="E106:M106"/>
    <mergeCell ref="B147:D147"/>
    <mergeCell ref="B146:D146"/>
    <mergeCell ref="B145:D145"/>
    <mergeCell ref="B141:D141"/>
    <mergeCell ref="B137:D137"/>
    <mergeCell ref="B135:D135"/>
    <mergeCell ref="E142:M142"/>
    <mergeCell ref="B144:D144"/>
    <mergeCell ref="B101:D101"/>
    <mergeCell ref="B100:D100"/>
    <mergeCell ref="E58:M58"/>
    <mergeCell ref="B90:AM90"/>
    <mergeCell ref="N94:AI94"/>
    <mergeCell ref="AJ94:AM94"/>
    <mergeCell ref="B97:AM97"/>
    <mergeCell ref="B91:AM91"/>
    <mergeCell ref="N95:AI95"/>
    <mergeCell ref="E92:M92"/>
    <mergeCell ref="B92:D92"/>
    <mergeCell ref="N93:AI93"/>
    <mergeCell ref="B94:D94"/>
    <mergeCell ref="N146:AI146"/>
    <mergeCell ref="E146:M146"/>
    <mergeCell ref="N139:AI139"/>
    <mergeCell ref="E145:M145"/>
    <mergeCell ref="E139:M139"/>
    <mergeCell ref="E143:M143"/>
    <mergeCell ref="E141:M141"/>
    <mergeCell ref="N140:AI140"/>
    <mergeCell ref="N141:AI141"/>
    <mergeCell ref="N145:AI145"/>
    <mergeCell ref="E144:M144"/>
    <mergeCell ref="N186:AI186"/>
    <mergeCell ref="N96:AI96"/>
    <mergeCell ref="AJ124:AM124"/>
    <mergeCell ref="AJ125:AM125"/>
    <mergeCell ref="AJ126:AM126"/>
    <mergeCell ref="AJ186:AM186"/>
    <mergeCell ref="E55:M55"/>
    <mergeCell ref="E56:M56"/>
    <mergeCell ref="N46:AI46"/>
    <mergeCell ref="AJ66:AM66"/>
    <mergeCell ref="N66:AI66"/>
    <mergeCell ref="N53:AI53"/>
    <mergeCell ref="E59:M59"/>
    <mergeCell ref="N60:AI60"/>
    <mergeCell ref="AJ60:AM60"/>
    <mergeCell ref="AJ58:AM58"/>
    <mergeCell ref="E54:M54"/>
    <mergeCell ref="N55:AI55"/>
    <mergeCell ref="N56:AI56"/>
    <mergeCell ref="AJ144:AM144"/>
    <mergeCell ref="AJ143:AM143"/>
    <mergeCell ref="N57:AI57"/>
    <mergeCell ref="N58:AI58"/>
    <mergeCell ref="N59:AI59"/>
    <mergeCell ref="B25:D25"/>
    <mergeCell ref="B26:D26"/>
    <mergeCell ref="N25:AI25"/>
    <mergeCell ref="N26:AI26"/>
    <mergeCell ref="N27:AI27"/>
    <mergeCell ref="N30:AI30"/>
    <mergeCell ref="B35:D35"/>
    <mergeCell ref="B36:D36"/>
    <mergeCell ref="B27:D27"/>
    <mergeCell ref="B29:AM29"/>
    <mergeCell ref="AJ34:AM34"/>
    <mergeCell ref="B32:D32"/>
    <mergeCell ref="N31:AI31"/>
    <mergeCell ref="N35:AI35"/>
    <mergeCell ref="N36:AI36"/>
    <mergeCell ref="AJ33:AM33"/>
    <mergeCell ref="AJ35:AM35"/>
    <mergeCell ref="AJ32:AM32"/>
    <mergeCell ref="E35:M35"/>
    <mergeCell ref="AJ24:AM24"/>
    <mergeCell ref="E42:M42"/>
    <mergeCell ref="E41:M41"/>
    <mergeCell ref="E43:M43"/>
    <mergeCell ref="AJ42:AM42"/>
    <mergeCell ref="AJ25:AM25"/>
    <mergeCell ref="AJ26:AM26"/>
    <mergeCell ref="AJ27:AM27"/>
    <mergeCell ref="AJ30:AM30"/>
    <mergeCell ref="N37:AI37"/>
    <mergeCell ref="E30:M30"/>
    <mergeCell ref="E34:M34"/>
    <mergeCell ref="E36:M36"/>
    <mergeCell ref="N41:AI41"/>
    <mergeCell ref="N32:AI32"/>
    <mergeCell ref="AJ37:AM37"/>
    <mergeCell ref="AJ40:AM40"/>
    <mergeCell ref="N43:AI43"/>
    <mergeCell ref="N16:AI16"/>
    <mergeCell ref="N42:AI42"/>
    <mergeCell ref="N40:AI40"/>
    <mergeCell ref="N33:AI33"/>
    <mergeCell ref="N34:AI34"/>
    <mergeCell ref="B52:AM52"/>
    <mergeCell ref="B45:D45"/>
    <mergeCell ref="B40:D40"/>
    <mergeCell ref="B33:D33"/>
    <mergeCell ref="B30:D30"/>
    <mergeCell ref="B31:D31"/>
    <mergeCell ref="E31:M31"/>
    <mergeCell ref="B24:D24"/>
    <mergeCell ref="B34:D34"/>
    <mergeCell ref="B43:D43"/>
    <mergeCell ref="B41:D41"/>
    <mergeCell ref="AJ31:AM31"/>
    <mergeCell ref="N24:AI24"/>
    <mergeCell ref="E40:M40"/>
    <mergeCell ref="E33:M33"/>
    <mergeCell ref="B17:D17"/>
    <mergeCell ref="E24:M24"/>
    <mergeCell ref="E32:M32"/>
    <mergeCell ref="B39:AM39"/>
    <mergeCell ref="B93:D93"/>
    <mergeCell ref="E93:M93"/>
    <mergeCell ref="N54:AI54"/>
    <mergeCell ref="AJ72:AM72"/>
    <mergeCell ref="E82:M82"/>
    <mergeCell ref="E77:M77"/>
    <mergeCell ref="AJ95:AM95"/>
    <mergeCell ref="B98:AM98"/>
    <mergeCell ref="B96:D96"/>
    <mergeCell ref="N85:AI85"/>
    <mergeCell ref="N88:AI88"/>
    <mergeCell ref="B86:AM86"/>
    <mergeCell ref="B85:D85"/>
    <mergeCell ref="B89:D89"/>
    <mergeCell ref="B75:D75"/>
    <mergeCell ref="E66:M66"/>
    <mergeCell ref="AJ61:AM61"/>
    <mergeCell ref="AJ64:AM64"/>
    <mergeCell ref="B64:D64"/>
    <mergeCell ref="N67:AI67"/>
    <mergeCell ref="B61:D61"/>
    <mergeCell ref="E61:M61"/>
    <mergeCell ref="E64:M64"/>
    <mergeCell ref="E65:M65"/>
    <mergeCell ref="N89:AI89"/>
    <mergeCell ref="AJ92:AM92"/>
    <mergeCell ref="B87:AM87"/>
    <mergeCell ref="B58:D58"/>
    <mergeCell ref="B60:D60"/>
    <mergeCell ref="E60:M60"/>
    <mergeCell ref="B68:D68"/>
    <mergeCell ref="B53:D53"/>
    <mergeCell ref="E53:M53"/>
    <mergeCell ref="B63:AM63"/>
    <mergeCell ref="AJ89:AM89"/>
    <mergeCell ref="E83:M83"/>
    <mergeCell ref="B76:D76"/>
    <mergeCell ref="E76:M76"/>
    <mergeCell ref="N76:AI76"/>
    <mergeCell ref="AJ76:AM76"/>
    <mergeCell ref="N68:AI68"/>
    <mergeCell ref="B18:D18"/>
    <mergeCell ref="E17:M17"/>
    <mergeCell ref="E18:M18"/>
    <mergeCell ref="B20:AM20"/>
    <mergeCell ref="AJ18:AM18"/>
    <mergeCell ref="AJ21:AM21"/>
    <mergeCell ref="AJ22:AM22"/>
    <mergeCell ref="AJ23:AM23"/>
    <mergeCell ref="N17:AI17"/>
    <mergeCell ref="E21:M21"/>
    <mergeCell ref="B22:D22"/>
    <mergeCell ref="B21:D21"/>
    <mergeCell ref="B23:D23"/>
    <mergeCell ref="E23:M23"/>
    <mergeCell ref="N18:AI18"/>
    <mergeCell ref="N21:AI21"/>
    <mergeCell ref="AJ17:AM17"/>
    <mergeCell ref="E22:M22"/>
    <mergeCell ref="N22:AI22"/>
    <mergeCell ref="N23:AI23"/>
    <mergeCell ref="E186:M186"/>
    <mergeCell ref="B113:D113"/>
    <mergeCell ref="E113:M113"/>
    <mergeCell ref="B95:D95"/>
    <mergeCell ref="E95:M95"/>
    <mergeCell ref="B132:D132"/>
    <mergeCell ref="B134:D134"/>
    <mergeCell ref="AJ147:AM147"/>
    <mergeCell ref="AJ137:AM137"/>
    <mergeCell ref="N138:AI138"/>
    <mergeCell ref="AJ138:AM138"/>
    <mergeCell ref="AJ119:AM119"/>
    <mergeCell ref="N120:AI120"/>
    <mergeCell ref="E121:M121"/>
    <mergeCell ref="N144:AI144"/>
    <mergeCell ref="B143:D143"/>
    <mergeCell ref="B136:D136"/>
    <mergeCell ref="E147:M147"/>
    <mergeCell ref="N147:AI147"/>
    <mergeCell ref="B133:D133"/>
    <mergeCell ref="B131:D131"/>
    <mergeCell ref="N101:AI101"/>
    <mergeCell ref="E120:M120"/>
    <mergeCell ref="E119:M119"/>
    <mergeCell ref="B108:D108"/>
    <mergeCell ref="E108:M108"/>
    <mergeCell ref="N108:AI108"/>
    <mergeCell ref="AJ108:AM108"/>
    <mergeCell ref="N105:AI105"/>
    <mergeCell ref="AJ105:AM105"/>
    <mergeCell ref="N102:AI102"/>
    <mergeCell ref="N103:AI103"/>
    <mergeCell ref="AJ101:AM101"/>
    <mergeCell ref="AJ102:AM102"/>
    <mergeCell ref="AJ103:AM103"/>
    <mergeCell ref="E101:M101"/>
    <mergeCell ref="E102:M102"/>
    <mergeCell ref="E103:M103"/>
    <mergeCell ref="B107:D107"/>
    <mergeCell ref="E107:M107"/>
    <mergeCell ref="N107:AI107"/>
    <mergeCell ref="E94:M94"/>
    <mergeCell ref="AJ107:AM107"/>
    <mergeCell ref="E105:M105"/>
    <mergeCell ref="N125:AI125"/>
    <mergeCell ref="N126:AI126"/>
    <mergeCell ref="B78:AM78"/>
    <mergeCell ref="AJ99:AM99"/>
    <mergeCell ref="N92:AI92"/>
    <mergeCell ref="E96:M96"/>
    <mergeCell ref="AJ100:AM100"/>
    <mergeCell ref="B102:D102"/>
    <mergeCell ref="AJ96:AM96"/>
    <mergeCell ref="E85:M85"/>
    <mergeCell ref="E88:M88"/>
    <mergeCell ref="E89:M89"/>
    <mergeCell ref="AJ83:AM83"/>
    <mergeCell ref="B88:D88"/>
    <mergeCell ref="E80:M80"/>
    <mergeCell ref="AJ85:AM85"/>
    <mergeCell ref="N106:AI106"/>
    <mergeCell ref="AJ106:AM106"/>
    <mergeCell ref="B103:D103"/>
    <mergeCell ref="N100:AI100"/>
    <mergeCell ref="B122:AM122"/>
    <mergeCell ref="N113:AI113"/>
    <mergeCell ref="AJ121:AM121"/>
    <mergeCell ref="B56:D56"/>
    <mergeCell ref="B55:D55"/>
    <mergeCell ref="B54:D54"/>
    <mergeCell ref="AJ93:AM93"/>
    <mergeCell ref="B84:D84"/>
    <mergeCell ref="E84:M84"/>
    <mergeCell ref="N84:AI84"/>
    <mergeCell ref="B79:AM79"/>
    <mergeCell ref="AJ88:AM88"/>
    <mergeCell ref="B59:D59"/>
    <mergeCell ref="B67:D67"/>
    <mergeCell ref="E67:M67"/>
    <mergeCell ref="B69:D69"/>
    <mergeCell ref="E69:M69"/>
    <mergeCell ref="B72:D72"/>
    <mergeCell ref="AJ59:AM59"/>
    <mergeCell ref="N69:AI69"/>
    <mergeCell ref="N73:AI73"/>
    <mergeCell ref="N74:AI74"/>
    <mergeCell ref="AJ73:AM73"/>
    <mergeCell ref="B74:D74"/>
    <mergeCell ref="AJ68:AM68"/>
    <mergeCell ref="B9:D9"/>
    <mergeCell ref="AJ7:AM7"/>
    <mergeCell ref="AJ8:AM8"/>
    <mergeCell ref="N8:AI8"/>
    <mergeCell ref="N14:AI14"/>
    <mergeCell ref="N15:AI15"/>
    <mergeCell ref="AJ13:AM13"/>
    <mergeCell ref="AJ14:AM14"/>
    <mergeCell ref="AJ15:AM15"/>
    <mergeCell ref="B14:D14"/>
    <mergeCell ref="B15:D15"/>
    <mergeCell ref="E8:M8"/>
    <mergeCell ref="B12:D12"/>
    <mergeCell ref="B13:D13"/>
    <mergeCell ref="AJ12:AM12"/>
    <mergeCell ref="N12:AI12"/>
    <mergeCell ref="N13:AI13"/>
    <mergeCell ref="E12:M12"/>
    <mergeCell ref="E13:M13"/>
    <mergeCell ref="E14:M14"/>
    <mergeCell ref="E15:M15"/>
    <mergeCell ref="E16:M16"/>
    <mergeCell ref="B11:AM11"/>
    <mergeCell ref="AJ16:AM16"/>
    <mergeCell ref="B191:AM191"/>
    <mergeCell ref="B142:D142"/>
    <mergeCell ref="B186:D186"/>
    <mergeCell ref="B42:D42"/>
    <mergeCell ref="E25:M25"/>
    <mergeCell ref="E26:M26"/>
    <mergeCell ref="E27:M27"/>
    <mergeCell ref="AJ104:AM104"/>
    <mergeCell ref="N104:AI104"/>
    <mergeCell ref="N75:AI75"/>
    <mergeCell ref="N77:AI77"/>
    <mergeCell ref="B104:D104"/>
    <mergeCell ref="B99:D99"/>
    <mergeCell ref="B83:D83"/>
    <mergeCell ref="B80:D80"/>
    <mergeCell ref="B77:D77"/>
    <mergeCell ref="N143:AI143"/>
    <mergeCell ref="E140:M140"/>
    <mergeCell ref="AJ139:AM139"/>
    <mergeCell ref="N99:AI99"/>
    <mergeCell ref="E99:M99"/>
    <mergeCell ref="AN109:AO109"/>
    <mergeCell ref="AN140:AN141"/>
    <mergeCell ref="N135:AI135"/>
    <mergeCell ref="N132:AI132"/>
    <mergeCell ref="N133:AI133"/>
    <mergeCell ref="AJ134:AM134"/>
    <mergeCell ref="AJ136:AM136"/>
    <mergeCell ref="E133:M133"/>
    <mergeCell ref="AJ135:AM135"/>
    <mergeCell ref="N134:AI134"/>
    <mergeCell ref="AJ113:AM113"/>
    <mergeCell ref="AJ116:AM116"/>
    <mergeCell ref="AJ112:AM112"/>
    <mergeCell ref="E112:M112"/>
    <mergeCell ref="B118:AM118"/>
    <mergeCell ref="B119:D119"/>
    <mergeCell ref="AJ130:AM130"/>
    <mergeCell ref="AJ140:AM140"/>
    <mergeCell ref="AJ120:AM120"/>
    <mergeCell ref="N119:AI119"/>
    <mergeCell ref="E114:M114"/>
    <mergeCell ref="B139:D139"/>
    <mergeCell ref="E134:M134"/>
    <mergeCell ref="N129:AI129"/>
    <mergeCell ref="B2:AM2"/>
    <mergeCell ref="B19:AM19"/>
    <mergeCell ref="B28:AM28"/>
    <mergeCell ref="B38:AM38"/>
    <mergeCell ref="B47:AM47"/>
    <mergeCell ref="B51:AM51"/>
    <mergeCell ref="B62:AM62"/>
    <mergeCell ref="E9:M9"/>
    <mergeCell ref="N9:AI9"/>
    <mergeCell ref="AJ9:AM9"/>
    <mergeCell ref="AJ41:AM41"/>
    <mergeCell ref="N44:AI44"/>
    <mergeCell ref="N7:AI7"/>
    <mergeCell ref="N6:AI6"/>
    <mergeCell ref="B8:D8"/>
    <mergeCell ref="B6:D6"/>
    <mergeCell ref="B4:AM4"/>
    <mergeCell ref="B5:AM5"/>
    <mergeCell ref="AJ6:AM6"/>
    <mergeCell ref="B37:D37"/>
    <mergeCell ref="B7:D7"/>
    <mergeCell ref="E6:M6"/>
    <mergeCell ref="E7:M7"/>
    <mergeCell ref="B16:D16"/>
    <mergeCell ref="N137:AI137"/>
    <mergeCell ref="B123:AM123"/>
    <mergeCell ref="B124:D124"/>
    <mergeCell ref="B125:D125"/>
    <mergeCell ref="B126:D126"/>
    <mergeCell ref="E131:M131"/>
    <mergeCell ref="E135:M135"/>
    <mergeCell ref="N112:AI112"/>
    <mergeCell ref="Y116:AI116"/>
    <mergeCell ref="N116:X116"/>
    <mergeCell ref="E136:M136"/>
    <mergeCell ref="N121:AI121"/>
    <mergeCell ref="E130:M130"/>
    <mergeCell ref="B130:D130"/>
    <mergeCell ref="B116:D116"/>
    <mergeCell ref="B115:D115"/>
    <mergeCell ref="B114:D114"/>
    <mergeCell ref="B112:D112"/>
    <mergeCell ref="AJ129:AM129"/>
    <mergeCell ref="AJ114:AM114"/>
    <mergeCell ref="AJ115:AM115"/>
    <mergeCell ref="B128:AM128"/>
    <mergeCell ref="E116:M116"/>
    <mergeCell ref="N114:AI114"/>
    <mergeCell ref="E138:M138"/>
    <mergeCell ref="E137:M137"/>
    <mergeCell ref="B129:D129"/>
    <mergeCell ref="B105:D105"/>
    <mergeCell ref="B138:D138"/>
    <mergeCell ref="B140:D140"/>
    <mergeCell ref="E104:M104"/>
    <mergeCell ref="B121:D121"/>
    <mergeCell ref="E124:M124"/>
    <mergeCell ref="B106:D106"/>
    <mergeCell ref="B109:D109"/>
    <mergeCell ref="B111:AM111"/>
    <mergeCell ref="N115:AI115"/>
    <mergeCell ref="AJ109:AM109"/>
    <mergeCell ref="B110:AM110"/>
    <mergeCell ref="N124:AI124"/>
    <mergeCell ref="B120:D120"/>
    <mergeCell ref="N109:AI109"/>
    <mergeCell ref="E109:M109"/>
    <mergeCell ref="E125:M125"/>
    <mergeCell ref="E126:M126"/>
    <mergeCell ref="E132:M132"/>
    <mergeCell ref="N130:AI130"/>
    <mergeCell ref="B117:AM117"/>
    <mergeCell ref="N151:AI151"/>
    <mergeCell ref="N152:AI152"/>
    <mergeCell ref="N153:AI153"/>
    <mergeCell ref="N154:AI154"/>
    <mergeCell ref="N155:AI155"/>
    <mergeCell ref="AJ149:AM149"/>
    <mergeCell ref="B149:D149"/>
    <mergeCell ref="E149:M149"/>
    <mergeCell ref="B150:D150"/>
    <mergeCell ref="B151:D151"/>
    <mergeCell ref="B152:D152"/>
    <mergeCell ref="B153:D153"/>
    <mergeCell ref="B154:D154"/>
    <mergeCell ref="B155:D155"/>
    <mergeCell ref="B148:D148"/>
    <mergeCell ref="N148:AI148"/>
    <mergeCell ref="AJ148:AM148"/>
    <mergeCell ref="E148:M148"/>
    <mergeCell ref="AJ142:AM142"/>
    <mergeCell ref="AJ145:AM145"/>
    <mergeCell ref="AJ146:AM146"/>
    <mergeCell ref="E156:M156"/>
    <mergeCell ref="N156:AI156"/>
    <mergeCell ref="AJ156:AM156"/>
    <mergeCell ref="AJ150:AM150"/>
    <mergeCell ref="AJ151:AM151"/>
    <mergeCell ref="AJ152:AM152"/>
    <mergeCell ref="AJ153:AM153"/>
    <mergeCell ref="AJ154:AM154"/>
    <mergeCell ref="AJ155:AM155"/>
    <mergeCell ref="E150:M150"/>
    <mergeCell ref="E151:M151"/>
    <mergeCell ref="E152:M152"/>
    <mergeCell ref="E153:M153"/>
    <mergeCell ref="E154:M154"/>
    <mergeCell ref="E155:M155"/>
    <mergeCell ref="N149:AI149"/>
    <mergeCell ref="N150:AI150"/>
    <mergeCell ref="AJ162:AM162"/>
    <mergeCell ref="AJ157:AM157"/>
    <mergeCell ref="AJ158:AM158"/>
    <mergeCell ref="AJ159:AM159"/>
    <mergeCell ref="E157:M157"/>
    <mergeCell ref="N157:AI157"/>
    <mergeCell ref="E158:M158"/>
    <mergeCell ref="N158:AI158"/>
    <mergeCell ref="E159:M159"/>
    <mergeCell ref="N159:AI159"/>
    <mergeCell ref="AJ169:AM169"/>
    <mergeCell ref="E163:M163"/>
    <mergeCell ref="N163:AI163"/>
    <mergeCell ref="AJ163:AM163"/>
    <mergeCell ref="E164:M164"/>
    <mergeCell ref="N164:AI164"/>
    <mergeCell ref="AJ164:AM164"/>
    <mergeCell ref="B156:D156"/>
    <mergeCell ref="B157:D157"/>
    <mergeCell ref="B158:D158"/>
    <mergeCell ref="B159:D159"/>
    <mergeCell ref="B160:D160"/>
    <mergeCell ref="B161:D161"/>
    <mergeCell ref="B162:D162"/>
    <mergeCell ref="B163:D163"/>
    <mergeCell ref="B164:D164"/>
    <mergeCell ref="E160:M160"/>
    <mergeCell ref="N160:AI160"/>
    <mergeCell ref="AJ160:AM160"/>
    <mergeCell ref="E161:M161"/>
    <mergeCell ref="N161:AI161"/>
    <mergeCell ref="AJ161:AM161"/>
    <mergeCell ref="E162:M162"/>
    <mergeCell ref="N162:AI162"/>
    <mergeCell ref="AJ173:AM173"/>
    <mergeCell ref="AJ174:AM174"/>
    <mergeCell ref="B170:D170"/>
    <mergeCell ref="B171:D171"/>
    <mergeCell ref="B172:D172"/>
    <mergeCell ref="B165:D165"/>
    <mergeCell ref="B166:D166"/>
    <mergeCell ref="B167:D167"/>
    <mergeCell ref="B168:D168"/>
    <mergeCell ref="B169:D169"/>
    <mergeCell ref="E165:M165"/>
    <mergeCell ref="E166:M166"/>
    <mergeCell ref="E167:M167"/>
    <mergeCell ref="E168:M168"/>
    <mergeCell ref="E169:M169"/>
    <mergeCell ref="N165:AI165"/>
    <mergeCell ref="N166:AI166"/>
    <mergeCell ref="N167:AI167"/>
    <mergeCell ref="N168:AI168"/>
    <mergeCell ref="N169:AI169"/>
    <mergeCell ref="AJ165:AM165"/>
    <mergeCell ref="AJ166:AM166"/>
    <mergeCell ref="AJ167:AM167"/>
    <mergeCell ref="AJ168:AM168"/>
    <mergeCell ref="AJ170:AM170"/>
    <mergeCell ref="AJ171:AM171"/>
    <mergeCell ref="AJ172:AM172"/>
    <mergeCell ref="E170:M170"/>
    <mergeCell ref="E171:M171"/>
    <mergeCell ref="E172:M172"/>
    <mergeCell ref="N170:AI170"/>
    <mergeCell ref="N171:AI171"/>
    <mergeCell ref="N172:AI172"/>
    <mergeCell ref="B178:D178"/>
    <mergeCell ref="E178:M178"/>
    <mergeCell ref="N178:AI178"/>
    <mergeCell ref="B173:D173"/>
    <mergeCell ref="B174:D174"/>
    <mergeCell ref="B175:D175"/>
    <mergeCell ref="E175:M175"/>
    <mergeCell ref="N175:AI175"/>
    <mergeCell ref="B176:D176"/>
    <mergeCell ref="E176:M176"/>
    <mergeCell ref="N176:AI176"/>
    <mergeCell ref="B177:D177"/>
    <mergeCell ref="E177:M177"/>
    <mergeCell ref="N177:AI177"/>
    <mergeCell ref="E173:M173"/>
    <mergeCell ref="E174:M174"/>
    <mergeCell ref="N173:AI173"/>
    <mergeCell ref="N174:AI174"/>
    <mergeCell ref="B179:D179"/>
    <mergeCell ref="E179:M179"/>
    <mergeCell ref="N179:AI179"/>
    <mergeCell ref="AJ179:AM179"/>
    <mergeCell ref="B180:D180"/>
    <mergeCell ref="E180:M180"/>
    <mergeCell ref="N180:AI180"/>
    <mergeCell ref="AJ180:AM180"/>
    <mergeCell ref="B181:D181"/>
    <mergeCell ref="E181:M181"/>
    <mergeCell ref="N181:AI181"/>
    <mergeCell ref="AJ181:AM181"/>
  </mergeCells>
  <conditionalFormatting sqref="AJ12:AJ18 AJ21:AJ27 AJ53:AJ59 AJ64:AJ67 AJ72:AJ75 AJ88:AJ89 AJ80:AJ83 AJ129 AJ35:AJ37 AJ30:AJ31 AJ131:AJ134 AJ92:AJ96 AJ99 AJ112:AJ113 AJ136:AJ137 AJ140:AJ142 AJ186 AJ7:AJ8 AJ124:AJ126 AJ145:AJ146 AJ116 AJ61 AJ69 AJ77 AJ85 AJ188:AJ190">
    <cfRule type="cellIs" dxfId="943" priority="301" operator="equal">
      <formula>"Included"</formula>
    </cfRule>
  </conditionalFormatting>
  <conditionalFormatting sqref="AJ12:AJ18 AJ21:AJ27 AJ53:AJ59 AJ64:AJ67 AJ72:AJ75 AJ88:AJ89 AJ80:AJ83 AJ129 AJ35:AJ37 AJ30:AJ31 AJ131:AJ134 AJ92:AJ96 AJ99 AJ112:AJ113 AJ136:AJ137 AJ140:AJ142 AJ186 AJ7:AJ8 AJ124:AJ126 AJ145:AJ146 AJ116 AJ61 AJ69 AJ77 AJ85 AJ188:AJ190">
    <cfRule type="cellIs" dxfId="942" priority="304" operator="equal">
      <formula>"Not Included"</formula>
    </cfRule>
  </conditionalFormatting>
  <conditionalFormatting sqref="AJ147:AJ148">
    <cfRule type="cellIs" dxfId="941" priority="204" operator="equal">
      <formula>"Included"</formula>
    </cfRule>
  </conditionalFormatting>
  <conditionalFormatting sqref="AJ147:AJ148">
    <cfRule type="cellIs" dxfId="940" priority="208" operator="equal">
      <formula>"Included"</formula>
    </cfRule>
  </conditionalFormatting>
  <conditionalFormatting sqref="AJ147:AJ148">
    <cfRule type="cellIs" dxfId="939" priority="207" operator="equal">
      <formula>"Not Included"</formula>
    </cfRule>
  </conditionalFormatting>
  <conditionalFormatting sqref="AJ147:AJ148">
    <cfRule type="cellIs" dxfId="938" priority="206" operator="equal">
      <formula>"Included"</formula>
    </cfRule>
  </conditionalFormatting>
  <conditionalFormatting sqref="AJ147:AJ148">
    <cfRule type="cellIs" dxfId="937" priority="205" operator="equal">
      <formula>"Included"</formula>
    </cfRule>
  </conditionalFormatting>
  <conditionalFormatting sqref="AJ100:AJ103">
    <cfRule type="cellIs" dxfId="936" priority="199" operator="equal">
      <formula>"Included"</formula>
    </cfRule>
  </conditionalFormatting>
  <conditionalFormatting sqref="AJ100:AJ103">
    <cfRule type="cellIs" dxfId="935" priority="203" operator="equal">
      <formula>"Included"</formula>
    </cfRule>
  </conditionalFormatting>
  <conditionalFormatting sqref="AJ100:AJ103">
    <cfRule type="cellIs" dxfId="934" priority="202" operator="equal">
      <formula>"Not Included"</formula>
    </cfRule>
  </conditionalFormatting>
  <conditionalFormatting sqref="AJ100:AJ103">
    <cfRule type="cellIs" dxfId="933" priority="201" operator="equal">
      <formula>"Included"</formula>
    </cfRule>
  </conditionalFormatting>
  <conditionalFormatting sqref="AJ100:AJ103">
    <cfRule type="cellIs" dxfId="932" priority="200" operator="equal">
      <formula>"Included"</formula>
    </cfRule>
  </conditionalFormatting>
  <conditionalFormatting sqref="AJ105">
    <cfRule type="cellIs" dxfId="931" priority="189" operator="equal">
      <formula>"Included"</formula>
    </cfRule>
  </conditionalFormatting>
  <conditionalFormatting sqref="AJ105">
    <cfRule type="cellIs" dxfId="930" priority="193" operator="equal">
      <formula>"Included"</formula>
    </cfRule>
  </conditionalFormatting>
  <conditionalFormatting sqref="AJ105">
    <cfRule type="cellIs" dxfId="929" priority="192" operator="equal">
      <formula>"Not Included"</formula>
    </cfRule>
  </conditionalFormatting>
  <conditionalFormatting sqref="AJ105">
    <cfRule type="cellIs" dxfId="928" priority="191" operator="equal">
      <formula>"Included"</formula>
    </cfRule>
  </conditionalFormatting>
  <conditionalFormatting sqref="AJ105">
    <cfRule type="cellIs" dxfId="927" priority="190" operator="equal">
      <formula>"Included"</formula>
    </cfRule>
  </conditionalFormatting>
  <conditionalFormatting sqref="AJ104">
    <cfRule type="cellIs" dxfId="926" priority="184" operator="equal">
      <formula>"Included"</formula>
    </cfRule>
  </conditionalFormatting>
  <conditionalFormatting sqref="AJ104">
    <cfRule type="cellIs" dxfId="925" priority="188" operator="equal">
      <formula>"Included"</formula>
    </cfRule>
  </conditionalFormatting>
  <conditionalFormatting sqref="AJ104">
    <cfRule type="cellIs" dxfId="924" priority="187" operator="equal">
      <formula>"Not Included"</formula>
    </cfRule>
  </conditionalFormatting>
  <conditionalFormatting sqref="AJ104">
    <cfRule type="cellIs" dxfId="923" priority="186" operator="equal">
      <formula>"Included"</formula>
    </cfRule>
  </conditionalFormatting>
  <conditionalFormatting sqref="AJ104">
    <cfRule type="cellIs" dxfId="922" priority="185" operator="equal">
      <formula>"Included"</formula>
    </cfRule>
  </conditionalFormatting>
  <conditionalFormatting sqref="AJ106">
    <cfRule type="cellIs" dxfId="921" priority="179" operator="equal">
      <formula>"Included"</formula>
    </cfRule>
  </conditionalFormatting>
  <conditionalFormatting sqref="AJ106">
    <cfRule type="cellIs" dxfId="920" priority="183" operator="equal">
      <formula>"Included"</formula>
    </cfRule>
  </conditionalFormatting>
  <conditionalFormatting sqref="AJ106">
    <cfRule type="cellIs" dxfId="919" priority="182" operator="equal">
      <formula>"Not Included"</formula>
    </cfRule>
  </conditionalFormatting>
  <conditionalFormatting sqref="AJ106">
    <cfRule type="cellIs" dxfId="918" priority="181" operator="equal">
      <formula>"Included"</formula>
    </cfRule>
  </conditionalFormatting>
  <conditionalFormatting sqref="AJ106">
    <cfRule type="cellIs" dxfId="917" priority="180" operator="equal">
      <formula>"Included"</formula>
    </cfRule>
  </conditionalFormatting>
  <conditionalFormatting sqref="AJ109">
    <cfRule type="cellIs" dxfId="916" priority="174" operator="equal">
      <formula>"Included"</formula>
    </cfRule>
  </conditionalFormatting>
  <conditionalFormatting sqref="AJ109">
    <cfRule type="cellIs" dxfId="915" priority="178" operator="equal">
      <formula>"Included"</formula>
    </cfRule>
  </conditionalFormatting>
  <conditionalFormatting sqref="AJ109">
    <cfRule type="cellIs" dxfId="914" priority="177" operator="equal">
      <formula>"Not Included"</formula>
    </cfRule>
  </conditionalFormatting>
  <conditionalFormatting sqref="AJ109">
    <cfRule type="cellIs" dxfId="913" priority="176" operator="equal">
      <formula>"Included"</formula>
    </cfRule>
  </conditionalFormatting>
  <conditionalFormatting sqref="AJ109">
    <cfRule type="cellIs" dxfId="912" priority="175" operator="equal">
      <formula>"Included"</formula>
    </cfRule>
  </conditionalFormatting>
  <conditionalFormatting sqref="AJ114:AJ115">
    <cfRule type="cellIs" dxfId="911" priority="159" operator="equal">
      <formula>"Included"</formula>
    </cfRule>
  </conditionalFormatting>
  <conditionalFormatting sqref="AJ114:AJ115">
    <cfRule type="cellIs" dxfId="910" priority="163" operator="equal">
      <formula>"Included"</formula>
    </cfRule>
  </conditionalFormatting>
  <conditionalFormatting sqref="AJ114:AJ115">
    <cfRule type="cellIs" dxfId="909" priority="162" operator="equal">
      <formula>"Not Included"</formula>
    </cfRule>
  </conditionalFormatting>
  <conditionalFormatting sqref="AJ114:AJ115">
    <cfRule type="cellIs" dxfId="908" priority="161" operator="equal">
      <formula>"Included"</formula>
    </cfRule>
  </conditionalFormatting>
  <conditionalFormatting sqref="AJ114:AJ115">
    <cfRule type="cellIs" dxfId="907" priority="160" operator="equal">
      <formula>"Included"</formula>
    </cfRule>
  </conditionalFormatting>
  <conditionalFormatting sqref="AJ9">
    <cfRule type="cellIs" dxfId="906" priority="154" operator="equal">
      <formula>"Included"</formula>
    </cfRule>
  </conditionalFormatting>
  <conditionalFormatting sqref="AJ9">
    <cfRule type="cellIs" dxfId="905" priority="158" operator="equal">
      <formula>"Included"</formula>
    </cfRule>
  </conditionalFormatting>
  <conditionalFormatting sqref="AJ9">
    <cfRule type="cellIs" dxfId="904" priority="157" operator="equal">
      <formula>"Not Included"</formula>
    </cfRule>
  </conditionalFormatting>
  <conditionalFormatting sqref="AJ9">
    <cfRule type="cellIs" dxfId="903" priority="156" operator="equal">
      <formula>"Included"</formula>
    </cfRule>
  </conditionalFormatting>
  <conditionalFormatting sqref="AJ9">
    <cfRule type="cellIs" dxfId="902" priority="155" operator="equal">
      <formula>"Included"</formula>
    </cfRule>
  </conditionalFormatting>
  <conditionalFormatting sqref="N131:N132 N136">
    <cfRule type="cellIs" dxfId="901" priority="153" operator="equal">
      <formula>0</formula>
    </cfRule>
  </conditionalFormatting>
  <conditionalFormatting sqref="AJ33:AJ34">
    <cfRule type="cellIs" dxfId="900" priority="140" operator="equal">
      <formula>"Included"</formula>
    </cfRule>
  </conditionalFormatting>
  <conditionalFormatting sqref="AJ33:AJ34">
    <cfRule type="cellIs" dxfId="899" priority="141" operator="equal">
      <formula>"Not Included"</formula>
    </cfRule>
  </conditionalFormatting>
  <conditionalFormatting sqref="AJ32">
    <cfRule type="cellIs" dxfId="898" priority="138" operator="equal">
      <formula>"Included"</formula>
    </cfRule>
  </conditionalFormatting>
  <conditionalFormatting sqref="AJ32">
    <cfRule type="cellIs" dxfId="897" priority="139" operator="equal">
      <formula>"Not Included"</formula>
    </cfRule>
  </conditionalFormatting>
  <conditionalFormatting sqref="AJ41">
    <cfRule type="cellIs" dxfId="896" priority="130" operator="equal">
      <formula>"Included"</formula>
    </cfRule>
  </conditionalFormatting>
  <conditionalFormatting sqref="AJ41">
    <cfRule type="cellIs" dxfId="895" priority="131" operator="equal">
      <formula>"Not Included"</formula>
    </cfRule>
  </conditionalFormatting>
  <conditionalFormatting sqref="AJ44:AJ46 AJ40">
    <cfRule type="cellIs" dxfId="894" priority="134" operator="equal">
      <formula>"Included"</formula>
    </cfRule>
  </conditionalFormatting>
  <conditionalFormatting sqref="AJ44:AJ46 AJ40">
    <cfRule type="cellIs" dxfId="893" priority="135" operator="equal">
      <formula>"Not Included"</formula>
    </cfRule>
  </conditionalFormatting>
  <conditionalFormatting sqref="AJ42:AJ43">
    <cfRule type="cellIs" dxfId="892" priority="132" operator="equal">
      <formula>"Included"</formula>
    </cfRule>
  </conditionalFormatting>
  <conditionalFormatting sqref="AJ42:AJ43">
    <cfRule type="cellIs" dxfId="891" priority="133" operator="equal">
      <formula>"Not Included"</formula>
    </cfRule>
  </conditionalFormatting>
  <conditionalFormatting sqref="AJ135">
    <cfRule type="cellIs" dxfId="890" priority="128" operator="equal">
      <formula>"Included"</formula>
    </cfRule>
  </conditionalFormatting>
  <conditionalFormatting sqref="AJ135">
    <cfRule type="cellIs" dxfId="889" priority="129" operator="equal">
      <formula>"Not Included"</formula>
    </cfRule>
  </conditionalFormatting>
  <conditionalFormatting sqref="AJ138:AJ139">
    <cfRule type="cellIs" dxfId="888" priority="113" operator="equal">
      <formula>"Included"</formula>
    </cfRule>
  </conditionalFormatting>
  <conditionalFormatting sqref="AJ138:AJ139">
    <cfRule type="cellIs" dxfId="887" priority="117" operator="equal">
      <formula>"Included"</formula>
    </cfRule>
  </conditionalFormatting>
  <conditionalFormatting sqref="AJ138:AJ139">
    <cfRule type="cellIs" dxfId="886" priority="116" operator="equal">
      <formula>"Not Included"</formula>
    </cfRule>
  </conditionalFormatting>
  <conditionalFormatting sqref="AJ138:AJ139">
    <cfRule type="cellIs" dxfId="885" priority="115" operator="equal">
      <formula>"Included"</formula>
    </cfRule>
  </conditionalFormatting>
  <conditionalFormatting sqref="AJ138:AJ139">
    <cfRule type="cellIs" dxfId="884" priority="114" operator="equal">
      <formula>"Included"</formula>
    </cfRule>
  </conditionalFormatting>
  <conditionalFormatting sqref="AJ143">
    <cfRule type="cellIs" dxfId="883" priority="108" operator="equal">
      <formula>"Included"</formula>
    </cfRule>
  </conditionalFormatting>
  <conditionalFormatting sqref="AJ143">
    <cfRule type="cellIs" dxfId="882" priority="110" operator="equal">
      <formula>"Included"</formula>
    </cfRule>
  </conditionalFormatting>
  <conditionalFormatting sqref="AJ143">
    <cfRule type="cellIs" dxfId="881" priority="112" operator="equal">
      <formula>"Included"</formula>
    </cfRule>
  </conditionalFormatting>
  <conditionalFormatting sqref="AJ143">
    <cfRule type="cellIs" dxfId="880" priority="111" operator="equal">
      <formula>"Not Included"</formula>
    </cfRule>
  </conditionalFormatting>
  <conditionalFormatting sqref="AJ143">
    <cfRule type="cellIs" dxfId="879" priority="109" operator="equal">
      <formula>"Included"</formula>
    </cfRule>
  </conditionalFormatting>
  <conditionalFormatting sqref="AJ130">
    <cfRule type="cellIs" dxfId="878" priority="104" operator="equal">
      <formula>"Included"</formula>
    </cfRule>
  </conditionalFormatting>
  <conditionalFormatting sqref="AJ130">
    <cfRule type="cellIs" dxfId="877" priority="105" operator="equal">
      <formula>"Not Included"</formula>
    </cfRule>
  </conditionalFormatting>
  <conditionalFormatting sqref="AJ119:AJ121">
    <cfRule type="cellIs" dxfId="876" priority="94" operator="equal">
      <formula>"Included"</formula>
    </cfRule>
  </conditionalFormatting>
  <conditionalFormatting sqref="AJ119:AJ121">
    <cfRule type="cellIs" dxfId="875" priority="95" operator="equal">
      <formula>"Not Included"</formula>
    </cfRule>
  </conditionalFormatting>
  <conditionalFormatting sqref="AJ60">
    <cfRule type="cellIs" dxfId="874" priority="88" operator="equal">
      <formula>"Included"</formula>
    </cfRule>
  </conditionalFormatting>
  <conditionalFormatting sqref="AJ60">
    <cfRule type="cellIs" dxfId="873" priority="89" operator="equal">
      <formula>"Not Included"</formula>
    </cfRule>
  </conditionalFormatting>
  <conditionalFormatting sqref="AJ68">
    <cfRule type="cellIs" dxfId="872" priority="86" operator="equal">
      <formula>"Included"</formula>
    </cfRule>
  </conditionalFormatting>
  <conditionalFormatting sqref="AJ68">
    <cfRule type="cellIs" dxfId="871" priority="87" operator="equal">
      <formula>"Not Included"</formula>
    </cfRule>
  </conditionalFormatting>
  <conditionalFormatting sqref="AJ76">
    <cfRule type="cellIs" dxfId="870" priority="84" operator="equal">
      <formula>"Included"</formula>
    </cfRule>
  </conditionalFormatting>
  <conditionalFormatting sqref="AJ76">
    <cfRule type="cellIs" dxfId="869" priority="85" operator="equal">
      <formula>"Not Included"</formula>
    </cfRule>
  </conditionalFormatting>
  <conditionalFormatting sqref="AJ84">
    <cfRule type="cellIs" dxfId="868" priority="82" operator="equal">
      <formula>"Included"</formula>
    </cfRule>
  </conditionalFormatting>
  <conditionalFormatting sqref="AJ84">
    <cfRule type="cellIs" dxfId="867" priority="83" operator="equal">
      <formula>"Not Included"</formula>
    </cfRule>
  </conditionalFormatting>
  <conditionalFormatting sqref="AJ107:AJ108">
    <cfRule type="cellIs" dxfId="866" priority="75" operator="equal">
      <formula>"Included"</formula>
    </cfRule>
  </conditionalFormatting>
  <conditionalFormatting sqref="AJ107:AJ108">
    <cfRule type="cellIs" dxfId="865" priority="79" operator="equal">
      <formula>"Included"</formula>
    </cfRule>
  </conditionalFormatting>
  <conditionalFormatting sqref="AJ107:AJ108">
    <cfRule type="cellIs" dxfId="864" priority="78" operator="equal">
      <formula>"Not Included"</formula>
    </cfRule>
  </conditionalFormatting>
  <conditionalFormatting sqref="AJ107:AJ108">
    <cfRule type="cellIs" dxfId="863" priority="77" operator="equal">
      <formula>"Included"</formula>
    </cfRule>
  </conditionalFormatting>
  <conditionalFormatting sqref="AJ107:AJ108">
    <cfRule type="cellIs" dxfId="862" priority="76" operator="equal">
      <formula>"Included"</formula>
    </cfRule>
  </conditionalFormatting>
  <conditionalFormatting sqref="AJ49:AJ50">
    <cfRule type="cellIs" dxfId="861" priority="73" operator="equal">
      <formula>"Included"</formula>
    </cfRule>
  </conditionalFormatting>
  <conditionalFormatting sqref="AJ49:AJ50">
    <cfRule type="cellIs" dxfId="860" priority="74" operator="equal">
      <formula>"Not Included"</formula>
    </cfRule>
  </conditionalFormatting>
  <conditionalFormatting sqref="AJ144">
    <cfRule type="cellIs" dxfId="859" priority="68" operator="equal">
      <formula>"Included"</formula>
    </cfRule>
  </conditionalFormatting>
  <conditionalFormatting sqref="AJ144">
    <cfRule type="cellIs" dxfId="858" priority="70" operator="equal">
      <formula>"Included"</formula>
    </cfRule>
  </conditionalFormatting>
  <conditionalFormatting sqref="AJ144">
    <cfRule type="cellIs" dxfId="857" priority="72" operator="equal">
      <formula>"Included"</formula>
    </cfRule>
  </conditionalFormatting>
  <conditionalFormatting sqref="AJ144">
    <cfRule type="cellIs" dxfId="856" priority="71" operator="equal">
      <formula>"Not Included"</formula>
    </cfRule>
  </conditionalFormatting>
  <conditionalFormatting sqref="AJ144">
    <cfRule type="cellIs" dxfId="855" priority="69" operator="equal">
      <formula>"Included"</formula>
    </cfRule>
  </conditionalFormatting>
  <conditionalFormatting sqref="AJ148">
    <cfRule type="cellIs" dxfId="854" priority="65" operator="equal">
      <formula>"Included"</formula>
    </cfRule>
  </conditionalFormatting>
  <conditionalFormatting sqref="AJ148">
    <cfRule type="cellIs" dxfId="853" priority="66" operator="equal">
      <formula>"Not Included"</formula>
    </cfRule>
  </conditionalFormatting>
  <conditionalFormatting sqref="AJ149:AJ155">
    <cfRule type="cellIs" dxfId="852" priority="60" operator="equal">
      <formula>"Included"</formula>
    </cfRule>
  </conditionalFormatting>
  <conditionalFormatting sqref="AJ149:AJ155">
    <cfRule type="cellIs" dxfId="851" priority="64" operator="equal">
      <formula>"Included"</formula>
    </cfRule>
  </conditionalFormatting>
  <conditionalFormatting sqref="AJ149:AJ155">
    <cfRule type="cellIs" dxfId="850" priority="63" operator="equal">
      <formula>"Not Included"</formula>
    </cfRule>
  </conditionalFormatting>
  <conditionalFormatting sqref="AJ149:AJ155">
    <cfRule type="cellIs" dxfId="849" priority="62" operator="equal">
      <formula>"Included"</formula>
    </cfRule>
  </conditionalFormatting>
  <conditionalFormatting sqref="AJ149:AJ155">
    <cfRule type="cellIs" dxfId="848" priority="61" operator="equal">
      <formula>"Included"</formula>
    </cfRule>
  </conditionalFormatting>
  <conditionalFormatting sqref="AJ149:AJ155">
    <cfRule type="cellIs" dxfId="847" priority="58" operator="equal">
      <formula>"Included"</formula>
    </cfRule>
  </conditionalFormatting>
  <conditionalFormatting sqref="AJ149:AJ155">
    <cfRule type="cellIs" dxfId="846" priority="59" operator="equal">
      <formula>"Not Included"</formula>
    </cfRule>
  </conditionalFormatting>
  <conditionalFormatting sqref="AJ156:AJ158">
    <cfRule type="cellIs" dxfId="845" priority="53" operator="equal">
      <formula>"Included"</formula>
    </cfRule>
  </conditionalFormatting>
  <conditionalFormatting sqref="AJ156:AJ158">
    <cfRule type="cellIs" dxfId="844" priority="57" operator="equal">
      <formula>"Included"</formula>
    </cfRule>
  </conditionalFormatting>
  <conditionalFormatting sqref="AJ156:AJ158">
    <cfRule type="cellIs" dxfId="843" priority="56" operator="equal">
      <formula>"Not Included"</formula>
    </cfRule>
  </conditionalFormatting>
  <conditionalFormatting sqref="AJ156:AJ158">
    <cfRule type="cellIs" dxfId="842" priority="55" operator="equal">
      <formula>"Included"</formula>
    </cfRule>
  </conditionalFormatting>
  <conditionalFormatting sqref="AJ156:AJ158">
    <cfRule type="cellIs" dxfId="841" priority="54" operator="equal">
      <formula>"Included"</formula>
    </cfRule>
  </conditionalFormatting>
  <conditionalFormatting sqref="AJ156:AJ158">
    <cfRule type="cellIs" dxfId="840" priority="51" operator="equal">
      <formula>"Included"</formula>
    </cfRule>
  </conditionalFormatting>
  <conditionalFormatting sqref="AJ156:AJ158">
    <cfRule type="cellIs" dxfId="839" priority="52" operator="equal">
      <formula>"Not Included"</formula>
    </cfRule>
  </conditionalFormatting>
  <conditionalFormatting sqref="AJ159:AJ163">
    <cfRule type="cellIs" dxfId="838" priority="44" operator="equal">
      <formula>"Included"</formula>
    </cfRule>
  </conditionalFormatting>
  <conditionalFormatting sqref="AJ159:AJ163">
    <cfRule type="cellIs" dxfId="837" priority="46" operator="equal">
      <formula>"Included"</formula>
    </cfRule>
  </conditionalFormatting>
  <conditionalFormatting sqref="AJ159:AJ163">
    <cfRule type="cellIs" dxfId="836" priority="50" operator="equal">
      <formula>"Included"</formula>
    </cfRule>
  </conditionalFormatting>
  <conditionalFormatting sqref="AJ159:AJ163">
    <cfRule type="cellIs" dxfId="835" priority="49" operator="equal">
      <formula>"Not Included"</formula>
    </cfRule>
  </conditionalFormatting>
  <conditionalFormatting sqref="AJ159:AJ163">
    <cfRule type="cellIs" dxfId="834" priority="48" operator="equal">
      <formula>"Included"</formula>
    </cfRule>
  </conditionalFormatting>
  <conditionalFormatting sqref="AJ159:AJ163">
    <cfRule type="cellIs" dxfId="833" priority="47" operator="equal">
      <formula>"Included"</formula>
    </cfRule>
  </conditionalFormatting>
  <conditionalFormatting sqref="AJ159:AJ163">
    <cfRule type="cellIs" dxfId="832" priority="45" operator="equal">
      <formula>"Not Included"</formula>
    </cfRule>
  </conditionalFormatting>
  <conditionalFormatting sqref="AJ164:AJ169">
    <cfRule type="cellIs" dxfId="831" priority="30" operator="equal">
      <formula>"Included"</formula>
    </cfRule>
  </conditionalFormatting>
  <conditionalFormatting sqref="AJ164:AJ169">
    <cfRule type="cellIs" dxfId="830" priority="32" operator="equal">
      <formula>"Included"</formula>
    </cfRule>
  </conditionalFormatting>
  <conditionalFormatting sqref="AJ164:AJ169">
    <cfRule type="cellIs" dxfId="829" priority="36" operator="equal">
      <formula>"Included"</formula>
    </cfRule>
  </conditionalFormatting>
  <conditionalFormatting sqref="AJ164:AJ169">
    <cfRule type="cellIs" dxfId="828" priority="35" operator="equal">
      <formula>"Not Included"</formula>
    </cfRule>
  </conditionalFormatting>
  <conditionalFormatting sqref="AJ164:AJ169">
    <cfRule type="cellIs" dxfId="827" priority="34" operator="equal">
      <formula>"Included"</formula>
    </cfRule>
  </conditionalFormatting>
  <conditionalFormatting sqref="AJ164:AJ169">
    <cfRule type="cellIs" dxfId="826" priority="33" operator="equal">
      <formula>"Included"</formula>
    </cfRule>
  </conditionalFormatting>
  <conditionalFormatting sqref="AJ164:AJ169">
    <cfRule type="cellIs" dxfId="825" priority="31" operator="equal">
      <formula>"Not Included"</formula>
    </cfRule>
  </conditionalFormatting>
  <conditionalFormatting sqref="AJ170:AJ172">
    <cfRule type="cellIs" dxfId="824" priority="23" operator="equal">
      <formula>"Included"</formula>
    </cfRule>
  </conditionalFormatting>
  <conditionalFormatting sqref="AJ170:AJ172">
    <cfRule type="cellIs" dxfId="823" priority="25" operator="equal">
      <formula>"Included"</formula>
    </cfRule>
  </conditionalFormatting>
  <conditionalFormatting sqref="AJ170:AJ172">
    <cfRule type="cellIs" dxfId="822" priority="29" operator="equal">
      <formula>"Included"</formula>
    </cfRule>
  </conditionalFormatting>
  <conditionalFormatting sqref="AJ170:AJ172">
    <cfRule type="cellIs" dxfId="821" priority="28" operator="equal">
      <formula>"Not Included"</formula>
    </cfRule>
  </conditionalFormatting>
  <conditionalFormatting sqref="AJ170:AJ172">
    <cfRule type="cellIs" dxfId="820" priority="27" operator="equal">
      <formula>"Included"</formula>
    </cfRule>
  </conditionalFormatting>
  <conditionalFormatting sqref="AJ170:AJ172">
    <cfRule type="cellIs" dxfId="819" priority="26" operator="equal">
      <formula>"Included"</formula>
    </cfRule>
  </conditionalFormatting>
  <conditionalFormatting sqref="AJ170:AJ172">
    <cfRule type="cellIs" dxfId="818" priority="24" operator="equal">
      <formula>"Not Included"</formula>
    </cfRule>
  </conditionalFormatting>
  <conditionalFormatting sqref="AJ173:AJ174 AJ182:AJ185">
    <cfRule type="cellIs" dxfId="817" priority="15" operator="equal">
      <formula>"Included"</formula>
    </cfRule>
  </conditionalFormatting>
  <conditionalFormatting sqref="AJ173:AJ174 AJ182:AJ185">
    <cfRule type="cellIs" dxfId="816" priority="17" operator="equal">
      <formula>"Included"</formula>
    </cfRule>
  </conditionalFormatting>
  <conditionalFormatting sqref="AJ173:AJ174 AJ182:AJ185">
    <cfRule type="cellIs" dxfId="815" priority="21" operator="equal">
      <formula>"Included"</formula>
    </cfRule>
  </conditionalFormatting>
  <conditionalFormatting sqref="AJ173:AJ174 AJ182:AJ185">
    <cfRule type="cellIs" dxfId="814" priority="20" operator="equal">
      <formula>"Not Included"</formula>
    </cfRule>
  </conditionalFormatting>
  <conditionalFormatting sqref="AJ173:AJ174 AJ182:AJ185">
    <cfRule type="cellIs" dxfId="813" priority="19" operator="equal">
      <formula>"Included"</formula>
    </cfRule>
  </conditionalFormatting>
  <conditionalFormatting sqref="AJ173:AJ174 AJ182:AJ185">
    <cfRule type="cellIs" dxfId="812" priority="18" operator="equal">
      <formula>"Included"</formula>
    </cfRule>
  </conditionalFormatting>
  <conditionalFormatting sqref="AJ173:AJ174 AJ182:AJ185">
    <cfRule type="cellIs" dxfId="811" priority="16" operator="equal">
      <formula>"Not Included"</formula>
    </cfRule>
  </conditionalFormatting>
  <conditionalFormatting sqref="AJ175:AJ178">
    <cfRule type="cellIs" dxfId="810" priority="8" operator="equal">
      <formula>"Included"</formula>
    </cfRule>
  </conditionalFormatting>
  <conditionalFormatting sqref="AJ175:AJ178">
    <cfRule type="cellIs" dxfId="809" priority="10" operator="equal">
      <formula>"Included"</formula>
    </cfRule>
  </conditionalFormatting>
  <conditionalFormatting sqref="AJ175:AJ178">
    <cfRule type="cellIs" dxfId="808" priority="14" operator="equal">
      <formula>"Included"</formula>
    </cfRule>
  </conditionalFormatting>
  <conditionalFormatting sqref="AJ175:AJ178">
    <cfRule type="cellIs" dxfId="807" priority="13" operator="equal">
      <formula>"Not Included"</formula>
    </cfRule>
  </conditionalFormatting>
  <conditionalFormatting sqref="AJ175:AJ178">
    <cfRule type="cellIs" dxfId="806" priority="12" operator="equal">
      <formula>"Included"</formula>
    </cfRule>
  </conditionalFormatting>
  <conditionalFormatting sqref="AJ175:AJ178">
    <cfRule type="cellIs" dxfId="805" priority="11" operator="equal">
      <formula>"Included"</formula>
    </cfRule>
  </conditionalFormatting>
  <conditionalFormatting sqref="AJ175:AJ178">
    <cfRule type="cellIs" dxfId="804" priority="9" operator="equal">
      <formula>"Not Included"</formula>
    </cfRule>
  </conditionalFormatting>
  <conditionalFormatting sqref="AJ179:AJ181">
    <cfRule type="cellIs" dxfId="803" priority="1" operator="equal">
      <formula>"Included"</formula>
    </cfRule>
  </conditionalFormatting>
  <conditionalFormatting sqref="AJ179:AJ181">
    <cfRule type="cellIs" dxfId="802" priority="3" operator="equal">
      <formula>"Included"</formula>
    </cfRule>
  </conditionalFormatting>
  <conditionalFormatting sqref="AJ179:AJ181">
    <cfRule type="cellIs" dxfId="801" priority="7" operator="equal">
      <formula>"Included"</formula>
    </cfRule>
  </conditionalFormatting>
  <conditionalFormatting sqref="AJ179:AJ181">
    <cfRule type="cellIs" dxfId="800" priority="6" operator="equal">
      <formula>"Not Included"</formula>
    </cfRule>
  </conditionalFormatting>
  <conditionalFormatting sqref="AJ179:AJ181">
    <cfRule type="cellIs" dxfId="799" priority="5" operator="equal">
      <formula>"Included"</formula>
    </cfRule>
  </conditionalFormatting>
  <conditionalFormatting sqref="AJ179:AJ181">
    <cfRule type="cellIs" dxfId="798" priority="4" operator="equal">
      <formula>"Included"</formula>
    </cfRule>
  </conditionalFormatting>
  <conditionalFormatting sqref="AJ179:AJ181">
    <cfRule type="cellIs" dxfId="797" priority="2" operator="equal">
      <formula>"Not Included"</formula>
    </cfRule>
  </conditionalFormatting>
  <dataValidations count="2">
    <dataValidation type="list" allowBlank="1" showInputMessage="1" showErrorMessage="1" sqref="AJ7:AJ9 AJ21:AJ28 AJ112:AJ122 AJ53:AJ62 AJ88:AJ90 AJ64:AJ70 AJ72:AJ78 AJ30:AJ38 AJ40:AJ46 AJ92:AJ97 AJ12:AJ18 AJ80:AJ86 AJ49:AJ51 AJ99:AJ110 AJ124:AJ127 AJ129:AJ186" xr:uid="{00000000-0002-0000-2200-000000000000}">
      <formula1>"Included, Not Included, Not Applicable"</formula1>
    </dataValidation>
    <dataValidation type="list" allowBlank="1" showInputMessage="1" showErrorMessage="1" sqref="IT65450:IT65451 SP65450:SP65451 ACL65450:ACL65451 AMH65450:AMH65451 AWD65450:AWD65451 BFZ65450:BFZ65451 BPV65450:BPV65451 BZR65450:BZR65451 CJN65450:CJN65451 CTJ65450:CTJ65451 DDF65450:DDF65451 DNB65450:DNB65451 DWX65450:DWX65451 EGT65450:EGT65451 EQP65450:EQP65451 FAL65450:FAL65451 FKH65450:FKH65451 FUD65450:FUD65451 GDZ65450:GDZ65451 GNV65450:GNV65451 GXR65450:GXR65451 HHN65450:HHN65451 HRJ65450:HRJ65451 IBF65450:IBF65451 ILB65450:ILB65451 IUX65450:IUX65451 JET65450:JET65451 JOP65450:JOP65451 JYL65450:JYL65451 KIH65450:KIH65451 KSD65450:KSD65451 LBZ65450:LBZ65451 LLV65450:LLV65451 LVR65450:LVR65451 MFN65450:MFN65451 MPJ65450:MPJ65451 MZF65450:MZF65451 NJB65450:NJB65451 NSX65450:NSX65451 OCT65450:OCT65451 OMP65450:OMP65451 OWL65450:OWL65451 PGH65450:PGH65451 PQD65450:PQD65451 PZZ65450:PZZ65451 QJV65450:QJV65451 QTR65450:QTR65451 RDN65450:RDN65451 RNJ65450:RNJ65451 RXF65450:RXF65451 SHB65450:SHB65451 SQX65450:SQX65451 TAT65450:TAT65451 TKP65450:TKP65451 TUL65450:TUL65451 UEH65450:UEH65451 UOD65450:UOD65451 UXZ65450:UXZ65451 VHV65450:VHV65451 VRR65450:VRR65451 WBN65450:WBN65451 WLJ65450:WLJ65451 WVF65450:WVF65451 IT130986:IT130987 SP130986:SP130987 ACL130986:ACL130987 AMH130986:AMH130987 AWD130986:AWD130987 BFZ130986:BFZ130987 BPV130986:BPV130987 BZR130986:BZR130987 CJN130986:CJN130987 CTJ130986:CTJ130987 DDF130986:DDF130987 DNB130986:DNB130987 DWX130986:DWX130987 EGT130986:EGT130987 EQP130986:EQP130987 FAL130986:FAL130987 FKH130986:FKH130987 FUD130986:FUD130987 GDZ130986:GDZ130987 GNV130986:GNV130987 GXR130986:GXR130987 HHN130986:HHN130987 HRJ130986:HRJ130987 IBF130986:IBF130987 ILB130986:ILB130987 IUX130986:IUX130987 JET130986:JET130987 JOP130986:JOP130987 JYL130986:JYL130987 KIH130986:KIH130987 KSD130986:KSD130987 LBZ130986:LBZ130987 LLV130986:LLV130987 LVR130986:LVR130987 MFN130986:MFN130987 MPJ130986:MPJ130987 MZF130986:MZF130987 NJB130986:NJB130987 NSX130986:NSX130987 OCT130986:OCT130987 OMP130986:OMP130987 OWL130986:OWL130987 PGH130986:PGH130987 PQD130986:PQD130987 PZZ130986:PZZ130987 QJV130986:QJV130987 QTR130986:QTR130987 RDN130986:RDN130987 RNJ130986:RNJ130987 RXF130986:RXF130987 SHB130986:SHB130987 SQX130986:SQX130987 TAT130986:TAT130987 TKP130986:TKP130987 TUL130986:TUL130987 UEH130986:UEH130987 UOD130986:UOD130987 UXZ130986:UXZ130987 VHV130986:VHV130987 VRR130986:VRR130987 WBN130986:WBN130987 WLJ130986:WLJ130987 WVF130986:WVF130987 IT196522:IT196523 SP196522:SP196523 ACL196522:ACL196523 AMH196522:AMH196523 AWD196522:AWD196523 BFZ196522:BFZ196523 BPV196522:BPV196523 BZR196522:BZR196523 CJN196522:CJN196523 CTJ196522:CTJ196523 DDF196522:DDF196523 DNB196522:DNB196523 DWX196522:DWX196523 EGT196522:EGT196523 EQP196522:EQP196523 FAL196522:FAL196523 FKH196522:FKH196523 FUD196522:FUD196523 GDZ196522:GDZ196523 GNV196522:GNV196523 GXR196522:GXR196523 HHN196522:HHN196523 HRJ196522:HRJ196523 IBF196522:IBF196523 ILB196522:ILB196523 IUX196522:IUX196523 JET196522:JET196523 JOP196522:JOP196523 JYL196522:JYL196523 KIH196522:KIH196523 KSD196522:KSD196523 LBZ196522:LBZ196523 LLV196522:LLV196523 LVR196522:LVR196523 MFN196522:MFN196523 MPJ196522:MPJ196523 MZF196522:MZF196523 NJB196522:NJB196523 NSX196522:NSX196523 OCT196522:OCT196523 OMP196522:OMP196523 OWL196522:OWL196523 PGH196522:PGH196523 PQD196522:PQD196523 PZZ196522:PZZ196523 QJV196522:QJV196523 QTR196522:QTR196523 RDN196522:RDN196523 RNJ196522:RNJ196523 RXF196522:RXF196523 SHB196522:SHB196523 SQX196522:SQX196523 TAT196522:TAT196523 TKP196522:TKP196523 TUL196522:TUL196523 UEH196522:UEH196523 UOD196522:UOD196523 UXZ196522:UXZ196523 VHV196522:VHV196523 VRR196522:VRR196523 WBN196522:WBN196523 WLJ196522:WLJ196523 WVF196522:WVF196523 IT262058:IT262059 SP262058:SP262059 ACL262058:ACL262059 AMH262058:AMH262059 AWD262058:AWD262059 BFZ262058:BFZ262059 BPV262058:BPV262059 BZR262058:BZR262059 CJN262058:CJN262059 CTJ262058:CTJ262059 DDF262058:DDF262059 DNB262058:DNB262059 DWX262058:DWX262059 EGT262058:EGT262059 EQP262058:EQP262059 FAL262058:FAL262059 FKH262058:FKH262059 FUD262058:FUD262059 GDZ262058:GDZ262059 GNV262058:GNV262059 GXR262058:GXR262059 HHN262058:HHN262059 HRJ262058:HRJ262059 IBF262058:IBF262059 ILB262058:ILB262059 IUX262058:IUX262059 JET262058:JET262059 JOP262058:JOP262059 JYL262058:JYL262059 KIH262058:KIH262059 KSD262058:KSD262059 LBZ262058:LBZ262059 LLV262058:LLV262059 LVR262058:LVR262059 MFN262058:MFN262059 MPJ262058:MPJ262059 MZF262058:MZF262059 NJB262058:NJB262059 NSX262058:NSX262059 OCT262058:OCT262059 OMP262058:OMP262059 OWL262058:OWL262059 PGH262058:PGH262059 PQD262058:PQD262059 PZZ262058:PZZ262059 QJV262058:QJV262059 QTR262058:QTR262059 RDN262058:RDN262059 RNJ262058:RNJ262059 RXF262058:RXF262059 SHB262058:SHB262059 SQX262058:SQX262059 TAT262058:TAT262059 TKP262058:TKP262059 TUL262058:TUL262059 UEH262058:UEH262059 UOD262058:UOD262059 UXZ262058:UXZ262059 VHV262058:VHV262059 VRR262058:VRR262059 WBN262058:WBN262059 WLJ262058:WLJ262059 WVF262058:WVF262059 IT327594:IT327595 SP327594:SP327595 ACL327594:ACL327595 AMH327594:AMH327595 AWD327594:AWD327595 BFZ327594:BFZ327595 BPV327594:BPV327595 BZR327594:BZR327595 CJN327594:CJN327595 CTJ327594:CTJ327595 DDF327594:DDF327595 DNB327594:DNB327595 DWX327594:DWX327595 EGT327594:EGT327595 EQP327594:EQP327595 FAL327594:FAL327595 FKH327594:FKH327595 FUD327594:FUD327595 GDZ327594:GDZ327595 GNV327594:GNV327595 GXR327594:GXR327595 HHN327594:HHN327595 HRJ327594:HRJ327595 IBF327594:IBF327595 ILB327594:ILB327595 IUX327594:IUX327595 JET327594:JET327595 JOP327594:JOP327595 JYL327594:JYL327595 KIH327594:KIH327595 KSD327594:KSD327595 LBZ327594:LBZ327595 LLV327594:LLV327595 LVR327594:LVR327595 MFN327594:MFN327595 MPJ327594:MPJ327595 MZF327594:MZF327595 NJB327594:NJB327595 NSX327594:NSX327595 OCT327594:OCT327595 OMP327594:OMP327595 OWL327594:OWL327595 PGH327594:PGH327595 PQD327594:PQD327595 PZZ327594:PZZ327595 QJV327594:QJV327595 QTR327594:QTR327595 RDN327594:RDN327595 RNJ327594:RNJ327595 RXF327594:RXF327595 SHB327594:SHB327595 SQX327594:SQX327595 TAT327594:TAT327595 TKP327594:TKP327595 TUL327594:TUL327595 UEH327594:UEH327595 UOD327594:UOD327595 UXZ327594:UXZ327595 VHV327594:VHV327595 VRR327594:VRR327595 WBN327594:WBN327595 WLJ327594:WLJ327595 WVF327594:WVF327595 IT393130:IT393131 SP393130:SP393131 ACL393130:ACL393131 AMH393130:AMH393131 AWD393130:AWD393131 BFZ393130:BFZ393131 BPV393130:BPV393131 BZR393130:BZR393131 CJN393130:CJN393131 CTJ393130:CTJ393131 DDF393130:DDF393131 DNB393130:DNB393131 DWX393130:DWX393131 EGT393130:EGT393131 EQP393130:EQP393131 FAL393130:FAL393131 FKH393130:FKH393131 FUD393130:FUD393131 GDZ393130:GDZ393131 GNV393130:GNV393131 GXR393130:GXR393131 HHN393130:HHN393131 HRJ393130:HRJ393131 IBF393130:IBF393131 ILB393130:ILB393131 IUX393130:IUX393131 JET393130:JET393131 JOP393130:JOP393131 JYL393130:JYL393131 KIH393130:KIH393131 KSD393130:KSD393131 LBZ393130:LBZ393131 LLV393130:LLV393131 LVR393130:LVR393131 MFN393130:MFN393131 MPJ393130:MPJ393131 MZF393130:MZF393131 NJB393130:NJB393131 NSX393130:NSX393131 OCT393130:OCT393131 OMP393130:OMP393131 OWL393130:OWL393131 PGH393130:PGH393131 PQD393130:PQD393131 PZZ393130:PZZ393131 QJV393130:QJV393131 QTR393130:QTR393131 RDN393130:RDN393131 RNJ393130:RNJ393131 RXF393130:RXF393131 SHB393130:SHB393131 SQX393130:SQX393131 TAT393130:TAT393131 TKP393130:TKP393131 TUL393130:TUL393131 UEH393130:UEH393131 UOD393130:UOD393131 UXZ393130:UXZ393131 VHV393130:VHV393131 VRR393130:VRR393131 WBN393130:WBN393131 WLJ393130:WLJ393131 WVF393130:WVF393131 IT458666:IT458667 SP458666:SP458667 ACL458666:ACL458667 AMH458666:AMH458667 AWD458666:AWD458667 BFZ458666:BFZ458667 BPV458666:BPV458667 BZR458666:BZR458667 CJN458666:CJN458667 CTJ458666:CTJ458667 DDF458666:DDF458667 DNB458666:DNB458667 DWX458666:DWX458667 EGT458666:EGT458667 EQP458666:EQP458667 FAL458666:FAL458667 FKH458666:FKH458667 FUD458666:FUD458667 GDZ458666:GDZ458667 GNV458666:GNV458667 GXR458666:GXR458667 HHN458666:HHN458667 HRJ458666:HRJ458667 IBF458666:IBF458667 ILB458666:ILB458667 IUX458666:IUX458667 JET458666:JET458667 JOP458666:JOP458667 JYL458666:JYL458667 KIH458666:KIH458667 KSD458666:KSD458667 LBZ458666:LBZ458667 LLV458666:LLV458667 LVR458666:LVR458667 MFN458666:MFN458667 MPJ458666:MPJ458667 MZF458666:MZF458667 NJB458666:NJB458667 NSX458666:NSX458667 OCT458666:OCT458667 OMP458666:OMP458667 OWL458666:OWL458667 PGH458666:PGH458667 PQD458666:PQD458667 PZZ458666:PZZ458667 QJV458666:QJV458667 QTR458666:QTR458667 RDN458666:RDN458667 RNJ458666:RNJ458667 RXF458666:RXF458667 SHB458666:SHB458667 SQX458666:SQX458667 TAT458666:TAT458667 TKP458666:TKP458667 TUL458666:TUL458667 UEH458666:UEH458667 UOD458666:UOD458667 UXZ458666:UXZ458667 VHV458666:VHV458667 VRR458666:VRR458667 WBN458666:WBN458667 WLJ458666:WLJ458667 WVF458666:WVF458667 IT524202:IT524203 SP524202:SP524203 ACL524202:ACL524203 AMH524202:AMH524203 AWD524202:AWD524203 BFZ524202:BFZ524203 BPV524202:BPV524203 BZR524202:BZR524203 CJN524202:CJN524203 CTJ524202:CTJ524203 DDF524202:DDF524203 DNB524202:DNB524203 DWX524202:DWX524203 EGT524202:EGT524203 EQP524202:EQP524203 FAL524202:FAL524203 FKH524202:FKH524203 FUD524202:FUD524203 GDZ524202:GDZ524203 GNV524202:GNV524203 GXR524202:GXR524203 HHN524202:HHN524203 HRJ524202:HRJ524203 IBF524202:IBF524203 ILB524202:ILB524203 IUX524202:IUX524203 JET524202:JET524203 JOP524202:JOP524203 JYL524202:JYL524203 KIH524202:KIH524203 KSD524202:KSD524203 LBZ524202:LBZ524203 LLV524202:LLV524203 LVR524202:LVR524203 MFN524202:MFN524203 MPJ524202:MPJ524203 MZF524202:MZF524203 NJB524202:NJB524203 NSX524202:NSX524203 OCT524202:OCT524203 OMP524202:OMP524203 OWL524202:OWL524203 PGH524202:PGH524203 PQD524202:PQD524203 PZZ524202:PZZ524203 QJV524202:QJV524203 QTR524202:QTR524203 RDN524202:RDN524203 RNJ524202:RNJ524203 RXF524202:RXF524203 SHB524202:SHB524203 SQX524202:SQX524203 TAT524202:TAT524203 TKP524202:TKP524203 TUL524202:TUL524203 UEH524202:UEH524203 UOD524202:UOD524203 UXZ524202:UXZ524203 VHV524202:VHV524203 VRR524202:VRR524203 WBN524202:WBN524203 WLJ524202:WLJ524203 WVF524202:WVF524203 IT589738:IT589739 SP589738:SP589739 ACL589738:ACL589739 AMH589738:AMH589739 AWD589738:AWD589739 BFZ589738:BFZ589739 BPV589738:BPV589739 BZR589738:BZR589739 CJN589738:CJN589739 CTJ589738:CTJ589739 DDF589738:DDF589739 DNB589738:DNB589739 DWX589738:DWX589739 EGT589738:EGT589739 EQP589738:EQP589739 FAL589738:FAL589739 FKH589738:FKH589739 FUD589738:FUD589739 GDZ589738:GDZ589739 GNV589738:GNV589739 GXR589738:GXR589739 HHN589738:HHN589739 HRJ589738:HRJ589739 IBF589738:IBF589739 ILB589738:ILB589739 IUX589738:IUX589739 JET589738:JET589739 JOP589738:JOP589739 JYL589738:JYL589739 KIH589738:KIH589739 KSD589738:KSD589739 LBZ589738:LBZ589739 LLV589738:LLV589739 LVR589738:LVR589739 MFN589738:MFN589739 MPJ589738:MPJ589739 MZF589738:MZF589739 NJB589738:NJB589739 NSX589738:NSX589739 OCT589738:OCT589739 OMP589738:OMP589739 OWL589738:OWL589739 PGH589738:PGH589739 PQD589738:PQD589739 PZZ589738:PZZ589739 QJV589738:QJV589739 QTR589738:QTR589739 RDN589738:RDN589739 RNJ589738:RNJ589739 RXF589738:RXF589739 SHB589738:SHB589739 SQX589738:SQX589739 TAT589738:TAT589739 TKP589738:TKP589739 TUL589738:TUL589739 UEH589738:UEH589739 UOD589738:UOD589739 UXZ589738:UXZ589739 VHV589738:VHV589739 VRR589738:VRR589739 WBN589738:WBN589739 WLJ589738:WLJ589739 WVF589738:WVF589739 IT655274:IT655275 SP655274:SP655275 ACL655274:ACL655275 AMH655274:AMH655275 AWD655274:AWD655275 BFZ655274:BFZ655275 BPV655274:BPV655275 BZR655274:BZR655275 CJN655274:CJN655275 CTJ655274:CTJ655275 DDF655274:DDF655275 DNB655274:DNB655275 DWX655274:DWX655275 EGT655274:EGT655275 EQP655274:EQP655275 FAL655274:FAL655275 FKH655274:FKH655275 FUD655274:FUD655275 GDZ655274:GDZ655275 GNV655274:GNV655275 GXR655274:GXR655275 HHN655274:HHN655275 HRJ655274:HRJ655275 IBF655274:IBF655275 ILB655274:ILB655275 IUX655274:IUX655275 JET655274:JET655275 JOP655274:JOP655275 JYL655274:JYL655275 KIH655274:KIH655275 KSD655274:KSD655275 LBZ655274:LBZ655275 LLV655274:LLV655275 LVR655274:LVR655275 MFN655274:MFN655275 MPJ655274:MPJ655275 MZF655274:MZF655275 NJB655274:NJB655275 NSX655274:NSX655275 OCT655274:OCT655275 OMP655274:OMP655275 OWL655274:OWL655275 PGH655274:PGH655275 PQD655274:PQD655275 PZZ655274:PZZ655275 QJV655274:QJV655275 QTR655274:QTR655275 RDN655274:RDN655275 RNJ655274:RNJ655275 RXF655274:RXF655275 SHB655274:SHB655275 SQX655274:SQX655275 TAT655274:TAT655275 TKP655274:TKP655275 TUL655274:TUL655275 UEH655274:UEH655275 UOD655274:UOD655275 UXZ655274:UXZ655275 VHV655274:VHV655275 VRR655274:VRR655275 WBN655274:WBN655275 WLJ655274:WLJ655275 WVF655274:WVF655275 IT720810:IT720811 SP720810:SP720811 ACL720810:ACL720811 AMH720810:AMH720811 AWD720810:AWD720811 BFZ720810:BFZ720811 BPV720810:BPV720811 BZR720810:BZR720811 CJN720810:CJN720811 CTJ720810:CTJ720811 DDF720810:DDF720811 DNB720810:DNB720811 DWX720810:DWX720811 EGT720810:EGT720811 EQP720810:EQP720811 FAL720810:FAL720811 FKH720810:FKH720811 FUD720810:FUD720811 GDZ720810:GDZ720811 GNV720810:GNV720811 GXR720810:GXR720811 HHN720810:HHN720811 HRJ720810:HRJ720811 IBF720810:IBF720811 ILB720810:ILB720811 IUX720810:IUX720811 JET720810:JET720811 JOP720810:JOP720811 JYL720810:JYL720811 KIH720810:KIH720811 KSD720810:KSD720811 LBZ720810:LBZ720811 LLV720810:LLV720811 LVR720810:LVR720811 MFN720810:MFN720811 MPJ720810:MPJ720811 MZF720810:MZF720811 NJB720810:NJB720811 NSX720810:NSX720811 OCT720810:OCT720811 OMP720810:OMP720811 OWL720810:OWL720811 PGH720810:PGH720811 PQD720810:PQD720811 PZZ720810:PZZ720811 QJV720810:QJV720811 QTR720810:QTR720811 RDN720810:RDN720811 RNJ720810:RNJ720811 RXF720810:RXF720811 SHB720810:SHB720811 SQX720810:SQX720811 TAT720810:TAT720811 TKP720810:TKP720811 TUL720810:TUL720811 UEH720810:UEH720811 UOD720810:UOD720811 UXZ720810:UXZ720811 VHV720810:VHV720811 VRR720810:VRR720811 WBN720810:WBN720811 WLJ720810:WLJ720811 WVF720810:WVF720811 IT786346:IT786347 SP786346:SP786347 ACL786346:ACL786347 AMH786346:AMH786347 AWD786346:AWD786347 BFZ786346:BFZ786347 BPV786346:BPV786347 BZR786346:BZR786347 CJN786346:CJN786347 CTJ786346:CTJ786347 DDF786346:DDF786347 DNB786346:DNB786347 DWX786346:DWX786347 EGT786346:EGT786347 EQP786346:EQP786347 FAL786346:FAL786347 FKH786346:FKH786347 FUD786346:FUD786347 GDZ786346:GDZ786347 GNV786346:GNV786347 GXR786346:GXR786347 HHN786346:HHN786347 HRJ786346:HRJ786347 IBF786346:IBF786347 ILB786346:ILB786347 IUX786346:IUX786347 JET786346:JET786347 JOP786346:JOP786347 JYL786346:JYL786347 KIH786346:KIH786347 KSD786346:KSD786347 LBZ786346:LBZ786347 LLV786346:LLV786347 LVR786346:LVR786347 MFN786346:MFN786347 MPJ786346:MPJ786347 MZF786346:MZF786347 NJB786346:NJB786347 NSX786346:NSX786347 OCT786346:OCT786347 OMP786346:OMP786347 OWL786346:OWL786347 PGH786346:PGH786347 PQD786346:PQD786347 PZZ786346:PZZ786347 QJV786346:QJV786347 QTR786346:QTR786347 RDN786346:RDN786347 RNJ786346:RNJ786347 RXF786346:RXF786347 SHB786346:SHB786347 SQX786346:SQX786347 TAT786346:TAT786347 TKP786346:TKP786347 TUL786346:TUL786347 UEH786346:UEH786347 UOD786346:UOD786347 UXZ786346:UXZ786347 VHV786346:VHV786347 VRR786346:VRR786347 WBN786346:WBN786347 WLJ786346:WLJ786347 WVF786346:WVF786347 IT851882:IT851883 SP851882:SP851883 ACL851882:ACL851883 AMH851882:AMH851883 AWD851882:AWD851883 BFZ851882:BFZ851883 BPV851882:BPV851883 BZR851882:BZR851883 CJN851882:CJN851883 CTJ851882:CTJ851883 DDF851882:DDF851883 DNB851882:DNB851883 DWX851882:DWX851883 EGT851882:EGT851883 EQP851882:EQP851883 FAL851882:FAL851883 FKH851882:FKH851883 FUD851882:FUD851883 GDZ851882:GDZ851883 GNV851882:GNV851883 GXR851882:GXR851883 HHN851882:HHN851883 HRJ851882:HRJ851883 IBF851882:IBF851883 ILB851882:ILB851883 IUX851882:IUX851883 JET851882:JET851883 JOP851882:JOP851883 JYL851882:JYL851883 KIH851882:KIH851883 KSD851882:KSD851883 LBZ851882:LBZ851883 LLV851882:LLV851883 LVR851882:LVR851883 MFN851882:MFN851883 MPJ851882:MPJ851883 MZF851882:MZF851883 NJB851882:NJB851883 NSX851882:NSX851883 OCT851882:OCT851883 OMP851882:OMP851883 OWL851882:OWL851883 PGH851882:PGH851883 PQD851882:PQD851883 PZZ851882:PZZ851883 QJV851882:QJV851883 QTR851882:QTR851883 RDN851882:RDN851883 RNJ851882:RNJ851883 RXF851882:RXF851883 SHB851882:SHB851883 SQX851882:SQX851883 TAT851882:TAT851883 TKP851882:TKP851883 TUL851882:TUL851883 UEH851882:UEH851883 UOD851882:UOD851883 UXZ851882:UXZ851883 VHV851882:VHV851883 VRR851882:VRR851883 WBN851882:WBN851883 WLJ851882:WLJ851883 WVF851882:WVF851883 IT917418:IT917419 SP917418:SP917419 ACL917418:ACL917419 AMH917418:AMH917419 AWD917418:AWD917419 BFZ917418:BFZ917419 BPV917418:BPV917419 BZR917418:BZR917419 CJN917418:CJN917419 CTJ917418:CTJ917419 DDF917418:DDF917419 DNB917418:DNB917419 DWX917418:DWX917419 EGT917418:EGT917419 EQP917418:EQP917419 FAL917418:FAL917419 FKH917418:FKH917419 FUD917418:FUD917419 GDZ917418:GDZ917419 GNV917418:GNV917419 GXR917418:GXR917419 HHN917418:HHN917419 HRJ917418:HRJ917419 IBF917418:IBF917419 ILB917418:ILB917419 IUX917418:IUX917419 JET917418:JET917419 JOP917418:JOP917419 JYL917418:JYL917419 KIH917418:KIH917419 KSD917418:KSD917419 LBZ917418:LBZ917419 LLV917418:LLV917419 LVR917418:LVR917419 MFN917418:MFN917419 MPJ917418:MPJ917419 MZF917418:MZF917419 NJB917418:NJB917419 NSX917418:NSX917419 OCT917418:OCT917419 OMP917418:OMP917419 OWL917418:OWL917419 PGH917418:PGH917419 PQD917418:PQD917419 PZZ917418:PZZ917419 QJV917418:QJV917419 QTR917418:QTR917419 RDN917418:RDN917419 RNJ917418:RNJ917419 RXF917418:RXF917419 SHB917418:SHB917419 SQX917418:SQX917419 TAT917418:TAT917419 TKP917418:TKP917419 TUL917418:TUL917419 UEH917418:UEH917419 UOD917418:UOD917419 UXZ917418:UXZ917419 VHV917418:VHV917419 VRR917418:VRR917419 WBN917418:WBN917419 WLJ917418:WLJ917419 WVF917418:WVF917419 IT982954:IT982955 SP982954:SP982955 ACL982954:ACL982955 AMH982954:AMH982955 AWD982954:AWD982955 BFZ982954:BFZ982955 BPV982954:BPV982955 BZR982954:BZR982955 CJN982954:CJN982955 CTJ982954:CTJ982955 DDF982954:DDF982955 DNB982954:DNB982955 DWX982954:DWX982955 EGT982954:EGT982955 EQP982954:EQP982955 FAL982954:FAL982955 FKH982954:FKH982955 FUD982954:FUD982955 GDZ982954:GDZ982955 GNV982954:GNV982955 GXR982954:GXR982955 HHN982954:HHN982955 HRJ982954:HRJ982955 IBF982954:IBF982955 ILB982954:ILB982955 IUX982954:IUX982955 JET982954:JET982955 JOP982954:JOP982955 JYL982954:JYL982955 KIH982954:KIH982955 KSD982954:KSD982955 LBZ982954:LBZ982955 LLV982954:LLV982955 LVR982954:LVR982955 MFN982954:MFN982955 MPJ982954:MPJ982955 MZF982954:MZF982955 NJB982954:NJB982955 NSX982954:NSX982955 OCT982954:OCT982955 OMP982954:OMP982955 OWL982954:OWL982955 PGH982954:PGH982955 PQD982954:PQD982955 PZZ982954:PZZ982955 QJV982954:QJV982955 QTR982954:QTR982955 RDN982954:RDN982955 RNJ982954:RNJ982955 RXF982954:RXF982955 SHB982954:SHB982955 SQX982954:SQX982955 TAT982954:TAT982955 TKP982954:TKP982955 TUL982954:TUL982955 UEH982954:UEH982955 UOD982954:UOD982955 UXZ982954:UXZ982955 VHV982954:VHV982955 VRR982954:VRR982955 WBN982954:WBN982955 WLJ982954:WLJ982955 WVF982954:WVF982955 IU65450 SQ65450 ACM65450 AMI65450 AWE65450 BGA65450 BPW65450 BZS65450 CJO65450 CTK65450 DDG65450 DNC65450 DWY65450 EGU65450 EQQ65450 FAM65450 FKI65450 FUE65450 GEA65450 GNW65450 GXS65450 HHO65450 HRK65450 IBG65450 ILC65450 IUY65450 JEU65450 JOQ65450 JYM65450 KII65450 KSE65450 LCA65450 LLW65450 LVS65450 MFO65450 MPK65450 MZG65450 NJC65450 NSY65450 OCU65450 OMQ65450 OWM65450 PGI65450 PQE65450 QAA65450 QJW65450 QTS65450 RDO65450 RNK65450 RXG65450 SHC65450 SQY65450 TAU65450 TKQ65450 TUM65450 UEI65450 UOE65450 UYA65450 VHW65450 VRS65450 WBO65450 WLK65450 WVG65450 IU130986 SQ130986 ACM130986 AMI130986 AWE130986 BGA130986 BPW130986 BZS130986 CJO130986 CTK130986 DDG130986 DNC130986 DWY130986 EGU130986 EQQ130986 FAM130986 FKI130986 FUE130986 GEA130986 GNW130986 GXS130986 HHO130986 HRK130986 IBG130986 ILC130986 IUY130986 JEU130986 JOQ130986 JYM130986 KII130986 KSE130986 LCA130986 LLW130986 LVS130986 MFO130986 MPK130986 MZG130986 NJC130986 NSY130986 OCU130986 OMQ130986 OWM130986 PGI130986 PQE130986 QAA130986 QJW130986 QTS130986 RDO130986 RNK130986 RXG130986 SHC130986 SQY130986 TAU130986 TKQ130986 TUM130986 UEI130986 UOE130986 UYA130986 VHW130986 VRS130986 WBO130986 WLK130986 WVG130986 IU196522 SQ196522 ACM196522 AMI196522 AWE196522 BGA196522 BPW196522 BZS196522 CJO196522 CTK196522 DDG196522 DNC196522 DWY196522 EGU196522 EQQ196522 FAM196522 FKI196522 FUE196522 GEA196522 GNW196522 GXS196522 HHO196522 HRK196522 IBG196522 ILC196522 IUY196522 JEU196522 JOQ196522 JYM196522 KII196522 KSE196522 LCA196522 LLW196522 LVS196522 MFO196522 MPK196522 MZG196522 NJC196522 NSY196522 OCU196522 OMQ196522 OWM196522 PGI196522 PQE196522 QAA196522 QJW196522 QTS196522 RDO196522 RNK196522 RXG196522 SHC196522 SQY196522 TAU196522 TKQ196522 TUM196522 UEI196522 UOE196522 UYA196522 VHW196522 VRS196522 WBO196522 WLK196522 WVG196522 IU262058 SQ262058 ACM262058 AMI262058 AWE262058 BGA262058 BPW262058 BZS262058 CJO262058 CTK262058 DDG262058 DNC262058 DWY262058 EGU262058 EQQ262058 FAM262058 FKI262058 FUE262058 GEA262058 GNW262058 GXS262058 HHO262058 HRK262058 IBG262058 ILC262058 IUY262058 JEU262058 JOQ262058 JYM262058 KII262058 KSE262058 LCA262058 LLW262058 LVS262058 MFO262058 MPK262058 MZG262058 NJC262058 NSY262058 OCU262058 OMQ262058 OWM262058 PGI262058 PQE262058 QAA262058 QJW262058 QTS262058 RDO262058 RNK262058 RXG262058 SHC262058 SQY262058 TAU262058 TKQ262058 TUM262058 UEI262058 UOE262058 UYA262058 VHW262058 VRS262058 WBO262058 WLK262058 WVG262058 IU327594 SQ327594 ACM327594 AMI327594 AWE327594 BGA327594 BPW327594 BZS327594 CJO327594 CTK327594 DDG327594 DNC327594 DWY327594 EGU327594 EQQ327594 FAM327594 FKI327594 FUE327594 GEA327594 GNW327594 GXS327594 HHO327594 HRK327594 IBG327594 ILC327594 IUY327594 JEU327594 JOQ327594 JYM327594 KII327594 KSE327594 LCA327594 LLW327594 LVS327594 MFO327594 MPK327594 MZG327594 NJC327594 NSY327594 OCU327594 OMQ327594 OWM327594 PGI327594 PQE327594 QAA327594 QJW327594 QTS327594 RDO327594 RNK327594 RXG327594 SHC327594 SQY327594 TAU327594 TKQ327594 TUM327594 UEI327594 UOE327594 UYA327594 VHW327594 VRS327594 WBO327594 WLK327594 WVG327594 IU393130 SQ393130 ACM393130 AMI393130 AWE393130 BGA393130 BPW393130 BZS393130 CJO393130 CTK393130 DDG393130 DNC393130 DWY393130 EGU393130 EQQ393130 FAM393130 FKI393130 FUE393130 GEA393130 GNW393130 GXS393130 HHO393130 HRK393130 IBG393130 ILC393130 IUY393130 JEU393130 JOQ393130 JYM393130 KII393130 KSE393130 LCA393130 LLW393130 LVS393130 MFO393130 MPK393130 MZG393130 NJC393130 NSY393130 OCU393130 OMQ393130 OWM393130 PGI393130 PQE393130 QAA393130 QJW393130 QTS393130 RDO393130 RNK393130 RXG393130 SHC393130 SQY393130 TAU393130 TKQ393130 TUM393130 UEI393130 UOE393130 UYA393130 VHW393130 VRS393130 WBO393130 WLK393130 WVG393130 IU458666 SQ458666 ACM458666 AMI458666 AWE458666 BGA458666 BPW458666 BZS458666 CJO458666 CTK458666 DDG458666 DNC458666 DWY458666 EGU458666 EQQ458666 FAM458666 FKI458666 FUE458666 GEA458666 GNW458666 GXS458666 HHO458666 HRK458666 IBG458666 ILC458666 IUY458666 JEU458666 JOQ458666 JYM458666 KII458666 KSE458666 LCA458666 LLW458666 LVS458666 MFO458666 MPK458666 MZG458666 NJC458666 NSY458666 OCU458666 OMQ458666 OWM458666 PGI458666 PQE458666 QAA458666 QJW458666 QTS458666 RDO458666 RNK458666 RXG458666 SHC458666 SQY458666 TAU458666 TKQ458666 TUM458666 UEI458666 UOE458666 UYA458666 VHW458666 VRS458666 WBO458666 WLK458666 WVG458666 IU524202 SQ524202 ACM524202 AMI524202 AWE524202 BGA524202 BPW524202 BZS524202 CJO524202 CTK524202 DDG524202 DNC524202 DWY524202 EGU524202 EQQ524202 FAM524202 FKI524202 FUE524202 GEA524202 GNW524202 GXS524202 HHO524202 HRK524202 IBG524202 ILC524202 IUY524202 JEU524202 JOQ524202 JYM524202 KII524202 KSE524202 LCA524202 LLW524202 LVS524202 MFO524202 MPK524202 MZG524202 NJC524202 NSY524202 OCU524202 OMQ524202 OWM524202 PGI524202 PQE524202 QAA524202 QJW524202 QTS524202 RDO524202 RNK524202 RXG524202 SHC524202 SQY524202 TAU524202 TKQ524202 TUM524202 UEI524202 UOE524202 UYA524202 VHW524202 VRS524202 WBO524202 WLK524202 WVG524202 IU589738 SQ589738 ACM589738 AMI589738 AWE589738 BGA589738 BPW589738 BZS589738 CJO589738 CTK589738 DDG589738 DNC589738 DWY589738 EGU589738 EQQ589738 FAM589738 FKI589738 FUE589738 GEA589738 GNW589738 GXS589738 HHO589738 HRK589738 IBG589738 ILC589738 IUY589738 JEU589738 JOQ589738 JYM589738 KII589738 KSE589738 LCA589738 LLW589738 LVS589738 MFO589738 MPK589738 MZG589738 NJC589738 NSY589738 OCU589738 OMQ589738 OWM589738 PGI589738 PQE589738 QAA589738 QJW589738 QTS589738 RDO589738 RNK589738 RXG589738 SHC589738 SQY589738 TAU589738 TKQ589738 TUM589738 UEI589738 UOE589738 UYA589738 VHW589738 VRS589738 WBO589738 WLK589738 WVG589738 IU655274 SQ655274 ACM655274 AMI655274 AWE655274 BGA655274 BPW655274 BZS655274 CJO655274 CTK655274 DDG655274 DNC655274 DWY655274 EGU655274 EQQ655274 FAM655274 FKI655274 FUE655274 GEA655274 GNW655274 GXS655274 HHO655274 HRK655274 IBG655274 ILC655274 IUY655274 JEU655274 JOQ655274 JYM655274 KII655274 KSE655274 LCA655274 LLW655274 LVS655274 MFO655274 MPK655274 MZG655274 NJC655274 NSY655274 OCU655274 OMQ655274 OWM655274 PGI655274 PQE655274 QAA655274 QJW655274 QTS655274 RDO655274 RNK655274 RXG655274 SHC655274 SQY655274 TAU655274 TKQ655274 TUM655274 UEI655274 UOE655274 UYA655274 VHW655274 VRS655274 WBO655274 WLK655274 WVG655274 IU720810 SQ720810 ACM720810 AMI720810 AWE720810 BGA720810 BPW720810 BZS720810 CJO720810 CTK720810 DDG720810 DNC720810 DWY720810 EGU720810 EQQ720810 FAM720810 FKI720810 FUE720810 GEA720810 GNW720810 GXS720810 HHO720810 HRK720810 IBG720810 ILC720810 IUY720810 JEU720810 JOQ720810 JYM720810 KII720810 KSE720810 LCA720810 LLW720810 LVS720810 MFO720810 MPK720810 MZG720810 NJC720810 NSY720810 OCU720810 OMQ720810 OWM720810 PGI720810 PQE720810 QAA720810 QJW720810 QTS720810 RDO720810 RNK720810 RXG720810 SHC720810 SQY720810 TAU720810 TKQ720810 TUM720810 UEI720810 UOE720810 UYA720810 VHW720810 VRS720810 WBO720810 WLK720810 WVG720810 IU786346 SQ786346 ACM786346 AMI786346 AWE786346 BGA786346 BPW786346 BZS786346 CJO786346 CTK786346 DDG786346 DNC786346 DWY786346 EGU786346 EQQ786346 FAM786346 FKI786346 FUE786346 GEA786346 GNW786346 GXS786346 HHO786346 HRK786346 IBG786346 ILC786346 IUY786346 JEU786346 JOQ786346 JYM786346 KII786346 KSE786346 LCA786346 LLW786346 LVS786346 MFO786346 MPK786346 MZG786346 NJC786346 NSY786346 OCU786346 OMQ786346 OWM786346 PGI786346 PQE786346 QAA786346 QJW786346 QTS786346 RDO786346 RNK786346 RXG786346 SHC786346 SQY786346 TAU786346 TKQ786346 TUM786346 UEI786346 UOE786346 UYA786346 VHW786346 VRS786346 WBO786346 WLK786346 WVG786346 IU851882 SQ851882 ACM851882 AMI851882 AWE851882 BGA851882 BPW851882 BZS851882 CJO851882 CTK851882 DDG851882 DNC851882 DWY851882 EGU851882 EQQ851882 FAM851882 FKI851882 FUE851882 GEA851882 GNW851882 GXS851882 HHO851882 HRK851882 IBG851882 ILC851882 IUY851882 JEU851882 JOQ851882 JYM851882 KII851882 KSE851882 LCA851882 LLW851882 LVS851882 MFO851882 MPK851882 MZG851882 NJC851882 NSY851882 OCU851882 OMQ851882 OWM851882 PGI851882 PQE851882 QAA851882 QJW851882 QTS851882 RDO851882 RNK851882 RXG851882 SHC851882 SQY851882 TAU851882 TKQ851882 TUM851882 UEI851882 UOE851882 UYA851882 VHW851882 VRS851882 WBO851882 WLK851882 WVG851882 IU917418 SQ917418 ACM917418 AMI917418 AWE917418 BGA917418 BPW917418 BZS917418 CJO917418 CTK917418 DDG917418 DNC917418 DWY917418 EGU917418 EQQ917418 FAM917418 FKI917418 FUE917418 GEA917418 GNW917418 GXS917418 HHO917418 HRK917418 IBG917418 ILC917418 IUY917418 JEU917418 JOQ917418 JYM917418 KII917418 KSE917418 LCA917418 LLW917418 LVS917418 MFO917418 MPK917418 MZG917418 NJC917418 NSY917418 OCU917418 OMQ917418 OWM917418 PGI917418 PQE917418 QAA917418 QJW917418 QTS917418 RDO917418 RNK917418 RXG917418 SHC917418 SQY917418 TAU917418 TKQ917418 TUM917418 UEI917418 UOE917418 UYA917418 VHW917418 VRS917418 WBO917418 WLK917418 WVG917418 IU982954 SQ982954 ACM982954 AMI982954 AWE982954 BGA982954 BPW982954 BZS982954 CJO982954 CTK982954 DDG982954 DNC982954 DWY982954 EGU982954 EQQ982954 FAM982954 FKI982954 FUE982954 GEA982954 GNW982954 GXS982954 HHO982954 HRK982954 IBG982954 ILC982954 IUY982954 JEU982954 JOQ982954 JYM982954 KII982954 KSE982954 LCA982954 LLW982954 LVS982954 MFO982954 MPK982954 MZG982954 NJC982954 NSY982954 OCU982954 OMQ982954 OWM982954 PGI982954 PQE982954 QAA982954 QJW982954 QTS982954 RDO982954 RNK982954 RXG982954 SHC982954 SQY982954 TAU982954 TKQ982954 TUM982954 UEI982954 UOE982954 UYA982954 VHW982954 VRS982954 WBO982954 WLK982954 WVG982954 IT65452:IU65452 SP65452:SQ65452 ACL65452:ACM65452 AMH65452:AMI65452 AWD65452:AWE65452 BFZ65452:BGA65452 BPV65452:BPW65452 BZR65452:BZS65452 CJN65452:CJO65452 CTJ65452:CTK65452 DDF65452:DDG65452 DNB65452:DNC65452 DWX65452:DWY65452 EGT65452:EGU65452 EQP65452:EQQ65452 FAL65452:FAM65452 FKH65452:FKI65452 FUD65452:FUE65452 GDZ65452:GEA65452 GNV65452:GNW65452 GXR65452:GXS65452 HHN65452:HHO65452 HRJ65452:HRK65452 IBF65452:IBG65452 ILB65452:ILC65452 IUX65452:IUY65452 JET65452:JEU65452 JOP65452:JOQ65452 JYL65452:JYM65452 KIH65452:KII65452 KSD65452:KSE65452 LBZ65452:LCA65452 LLV65452:LLW65452 LVR65452:LVS65452 MFN65452:MFO65452 MPJ65452:MPK65452 MZF65452:MZG65452 NJB65452:NJC65452 NSX65452:NSY65452 OCT65452:OCU65452 OMP65452:OMQ65452 OWL65452:OWM65452 PGH65452:PGI65452 PQD65452:PQE65452 PZZ65452:QAA65452 QJV65452:QJW65452 QTR65452:QTS65452 RDN65452:RDO65452 RNJ65452:RNK65452 RXF65452:RXG65452 SHB65452:SHC65452 SQX65452:SQY65452 TAT65452:TAU65452 TKP65452:TKQ65452 TUL65452:TUM65452 UEH65452:UEI65452 UOD65452:UOE65452 UXZ65452:UYA65452 VHV65452:VHW65452 VRR65452:VRS65452 WBN65452:WBO65452 WLJ65452:WLK65452 WVF65452:WVG65452 IT130988:IU130988 SP130988:SQ130988 ACL130988:ACM130988 AMH130988:AMI130988 AWD130988:AWE130988 BFZ130988:BGA130988 BPV130988:BPW130988 BZR130988:BZS130988 CJN130988:CJO130988 CTJ130988:CTK130988 DDF130988:DDG130988 DNB130988:DNC130988 DWX130988:DWY130988 EGT130988:EGU130988 EQP130988:EQQ130988 FAL130988:FAM130988 FKH130988:FKI130988 FUD130988:FUE130988 GDZ130988:GEA130988 GNV130988:GNW130988 GXR130988:GXS130988 HHN130988:HHO130988 HRJ130988:HRK130988 IBF130988:IBG130988 ILB130988:ILC130988 IUX130988:IUY130988 JET130988:JEU130988 JOP130988:JOQ130988 JYL130988:JYM130988 KIH130988:KII130988 KSD130988:KSE130988 LBZ130988:LCA130988 LLV130988:LLW130988 LVR130988:LVS130988 MFN130988:MFO130988 MPJ130988:MPK130988 MZF130988:MZG130988 NJB130988:NJC130988 NSX130988:NSY130988 OCT130988:OCU130988 OMP130988:OMQ130988 OWL130988:OWM130988 PGH130988:PGI130988 PQD130988:PQE130988 PZZ130988:QAA130988 QJV130988:QJW130988 QTR130988:QTS130988 RDN130988:RDO130988 RNJ130988:RNK130988 RXF130988:RXG130988 SHB130988:SHC130988 SQX130988:SQY130988 TAT130988:TAU130988 TKP130988:TKQ130988 TUL130988:TUM130988 UEH130988:UEI130988 UOD130988:UOE130988 UXZ130988:UYA130988 VHV130988:VHW130988 VRR130988:VRS130988 WBN130988:WBO130988 WLJ130988:WLK130988 WVF130988:WVG130988 IT196524:IU196524 SP196524:SQ196524 ACL196524:ACM196524 AMH196524:AMI196524 AWD196524:AWE196524 BFZ196524:BGA196524 BPV196524:BPW196524 BZR196524:BZS196524 CJN196524:CJO196524 CTJ196524:CTK196524 DDF196524:DDG196524 DNB196524:DNC196524 DWX196524:DWY196524 EGT196524:EGU196524 EQP196524:EQQ196524 FAL196524:FAM196524 FKH196524:FKI196524 FUD196524:FUE196524 GDZ196524:GEA196524 GNV196524:GNW196524 GXR196524:GXS196524 HHN196524:HHO196524 HRJ196524:HRK196524 IBF196524:IBG196524 ILB196524:ILC196524 IUX196524:IUY196524 JET196524:JEU196524 JOP196524:JOQ196524 JYL196524:JYM196524 KIH196524:KII196524 KSD196524:KSE196524 LBZ196524:LCA196524 LLV196524:LLW196524 LVR196524:LVS196524 MFN196524:MFO196524 MPJ196524:MPK196524 MZF196524:MZG196524 NJB196524:NJC196524 NSX196524:NSY196524 OCT196524:OCU196524 OMP196524:OMQ196524 OWL196524:OWM196524 PGH196524:PGI196524 PQD196524:PQE196524 PZZ196524:QAA196524 QJV196524:QJW196524 QTR196524:QTS196524 RDN196524:RDO196524 RNJ196524:RNK196524 RXF196524:RXG196524 SHB196524:SHC196524 SQX196524:SQY196524 TAT196524:TAU196524 TKP196524:TKQ196524 TUL196524:TUM196524 UEH196524:UEI196524 UOD196524:UOE196524 UXZ196524:UYA196524 VHV196524:VHW196524 VRR196524:VRS196524 WBN196524:WBO196524 WLJ196524:WLK196524 WVF196524:WVG196524 IT262060:IU262060 SP262060:SQ262060 ACL262060:ACM262060 AMH262060:AMI262060 AWD262060:AWE262060 BFZ262060:BGA262060 BPV262060:BPW262060 BZR262060:BZS262060 CJN262060:CJO262060 CTJ262060:CTK262060 DDF262060:DDG262060 DNB262060:DNC262060 DWX262060:DWY262060 EGT262060:EGU262060 EQP262060:EQQ262060 FAL262060:FAM262060 FKH262060:FKI262060 FUD262060:FUE262060 GDZ262060:GEA262060 GNV262060:GNW262060 GXR262060:GXS262060 HHN262060:HHO262060 HRJ262060:HRK262060 IBF262060:IBG262060 ILB262060:ILC262060 IUX262060:IUY262060 JET262060:JEU262060 JOP262060:JOQ262060 JYL262060:JYM262060 KIH262060:KII262060 KSD262060:KSE262060 LBZ262060:LCA262060 LLV262060:LLW262060 LVR262060:LVS262060 MFN262060:MFO262060 MPJ262060:MPK262060 MZF262060:MZG262060 NJB262060:NJC262060 NSX262060:NSY262060 OCT262060:OCU262060 OMP262060:OMQ262060 OWL262060:OWM262060 PGH262060:PGI262060 PQD262060:PQE262060 PZZ262060:QAA262060 QJV262060:QJW262060 QTR262060:QTS262060 RDN262060:RDO262060 RNJ262060:RNK262060 RXF262060:RXG262060 SHB262060:SHC262060 SQX262060:SQY262060 TAT262060:TAU262060 TKP262060:TKQ262060 TUL262060:TUM262060 UEH262060:UEI262060 UOD262060:UOE262060 UXZ262060:UYA262060 VHV262060:VHW262060 VRR262060:VRS262060 WBN262060:WBO262060 WLJ262060:WLK262060 WVF262060:WVG262060 IT327596:IU327596 SP327596:SQ327596 ACL327596:ACM327596 AMH327596:AMI327596 AWD327596:AWE327596 BFZ327596:BGA327596 BPV327596:BPW327596 BZR327596:BZS327596 CJN327596:CJO327596 CTJ327596:CTK327596 DDF327596:DDG327596 DNB327596:DNC327596 DWX327596:DWY327596 EGT327596:EGU327596 EQP327596:EQQ327596 FAL327596:FAM327596 FKH327596:FKI327596 FUD327596:FUE327596 GDZ327596:GEA327596 GNV327596:GNW327596 GXR327596:GXS327596 HHN327596:HHO327596 HRJ327596:HRK327596 IBF327596:IBG327596 ILB327596:ILC327596 IUX327596:IUY327596 JET327596:JEU327596 JOP327596:JOQ327596 JYL327596:JYM327596 KIH327596:KII327596 KSD327596:KSE327596 LBZ327596:LCA327596 LLV327596:LLW327596 LVR327596:LVS327596 MFN327596:MFO327596 MPJ327596:MPK327596 MZF327596:MZG327596 NJB327596:NJC327596 NSX327596:NSY327596 OCT327596:OCU327596 OMP327596:OMQ327596 OWL327596:OWM327596 PGH327596:PGI327596 PQD327596:PQE327596 PZZ327596:QAA327596 QJV327596:QJW327596 QTR327596:QTS327596 RDN327596:RDO327596 RNJ327596:RNK327596 RXF327596:RXG327596 SHB327596:SHC327596 SQX327596:SQY327596 TAT327596:TAU327596 TKP327596:TKQ327596 TUL327596:TUM327596 UEH327596:UEI327596 UOD327596:UOE327596 UXZ327596:UYA327596 VHV327596:VHW327596 VRR327596:VRS327596 WBN327596:WBO327596 WLJ327596:WLK327596 WVF327596:WVG327596 IT393132:IU393132 SP393132:SQ393132 ACL393132:ACM393132 AMH393132:AMI393132 AWD393132:AWE393132 BFZ393132:BGA393132 BPV393132:BPW393132 BZR393132:BZS393132 CJN393132:CJO393132 CTJ393132:CTK393132 DDF393132:DDG393132 DNB393132:DNC393132 DWX393132:DWY393132 EGT393132:EGU393132 EQP393132:EQQ393132 FAL393132:FAM393132 FKH393132:FKI393132 FUD393132:FUE393132 GDZ393132:GEA393132 GNV393132:GNW393132 GXR393132:GXS393132 HHN393132:HHO393132 HRJ393132:HRK393132 IBF393132:IBG393132 ILB393132:ILC393132 IUX393132:IUY393132 JET393132:JEU393132 JOP393132:JOQ393132 JYL393132:JYM393132 KIH393132:KII393132 KSD393132:KSE393132 LBZ393132:LCA393132 LLV393132:LLW393132 LVR393132:LVS393132 MFN393132:MFO393132 MPJ393132:MPK393132 MZF393132:MZG393132 NJB393132:NJC393132 NSX393132:NSY393132 OCT393132:OCU393132 OMP393132:OMQ393132 OWL393132:OWM393132 PGH393132:PGI393132 PQD393132:PQE393132 PZZ393132:QAA393132 QJV393132:QJW393132 QTR393132:QTS393132 RDN393132:RDO393132 RNJ393132:RNK393132 RXF393132:RXG393132 SHB393132:SHC393132 SQX393132:SQY393132 TAT393132:TAU393132 TKP393132:TKQ393132 TUL393132:TUM393132 UEH393132:UEI393132 UOD393132:UOE393132 UXZ393132:UYA393132 VHV393132:VHW393132 VRR393132:VRS393132 WBN393132:WBO393132 WLJ393132:WLK393132 WVF393132:WVG393132 IT458668:IU458668 SP458668:SQ458668 ACL458668:ACM458668 AMH458668:AMI458668 AWD458668:AWE458668 BFZ458668:BGA458668 BPV458668:BPW458668 BZR458668:BZS458668 CJN458668:CJO458668 CTJ458668:CTK458668 DDF458668:DDG458668 DNB458668:DNC458668 DWX458668:DWY458668 EGT458668:EGU458668 EQP458668:EQQ458668 FAL458668:FAM458668 FKH458668:FKI458668 FUD458668:FUE458668 GDZ458668:GEA458668 GNV458668:GNW458668 GXR458668:GXS458668 HHN458668:HHO458668 HRJ458668:HRK458668 IBF458668:IBG458668 ILB458668:ILC458668 IUX458668:IUY458668 JET458668:JEU458668 JOP458668:JOQ458668 JYL458668:JYM458668 KIH458668:KII458668 KSD458668:KSE458668 LBZ458668:LCA458668 LLV458668:LLW458668 LVR458668:LVS458668 MFN458668:MFO458668 MPJ458668:MPK458668 MZF458668:MZG458668 NJB458668:NJC458668 NSX458668:NSY458668 OCT458668:OCU458668 OMP458668:OMQ458668 OWL458668:OWM458668 PGH458668:PGI458668 PQD458668:PQE458668 PZZ458668:QAA458668 QJV458668:QJW458668 QTR458668:QTS458668 RDN458668:RDO458668 RNJ458668:RNK458668 RXF458668:RXG458668 SHB458668:SHC458668 SQX458668:SQY458668 TAT458668:TAU458668 TKP458668:TKQ458668 TUL458668:TUM458668 UEH458668:UEI458668 UOD458668:UOE458668 UXZ458668:UYA458668 VHV458668:VHW458668 VRR458668:VRS458668 WBN458668:WBO458668 WLJ458668:WLK458668 WVF458668:WVG458668 IT524204:IU524204 SP524204:SQ524204 ACL524204:ACM524204 AMH524204:AMI524204 AWD524204:AWE524204 BFZ524204:BGA524204 BPV524204:BPW524204 BZR524204:BZS524204 CJN524204:CJO524204 CTJ524204:CTK524204 DDF524204:DDG524204 DNB524204:DNC524204 DWX524204:DWY524204 EGT524204:EGU524204 EQP524204:EQQ524204 FAL524204:FAM524204 FKH524204:FKI524204 FUD524204:FUE524204 GDZ524204:GEA524204 GNV524204:GNW524204 GXR524204:GXS524204 HHN524204:HHO524204 HRJ524204:HRK524204 IBF524204:IBG524204 ILB524204:ILC524204 IUX524204:IUY524204 JET524204:JEU524204 JOP524204:JOQ524204 JYL524204:JYM524204 KIH524204:KII524204 KSD524204:KSE524204 LBZ524204:LCA524204 LLV524204:LLW524204 LVR524204:LVS524204 MFN524204:MFO524204 MPJ524204:MPK524204 MZF524204:MZG524204 NJB524204:NJC524204 NSX524204:NSY524204 OCT524204:OCU524204 OMP524204:OMQ524204 OWL524204:OWM524204 PGH524204:PGI524204 PQD524204:PQE524204 PZZ524204:QAA524204 QJV524204:QJW524204 QTR524204:QTS524204 RDN524204:RDO524204 RNJ524204:RNK524204 RXF524204:RXG524204 SHB524204:SHC524204 SQX524204:SQY524204 TAT524204:TAU524204 TKP524204:TKQ524204 TUL524204:TUM524204 UEH524204:UEI524204 UOD524204:UOE524204 UXZ524204:UYA524204 VHV524204:VHW524204 VRR524204:VRS524204 WBN524204:WBO524204 WLJ524204:WLK524204 WVF524204:WVG524204 IT589740:IU589740 SP589740:SQ589740 ACL589740:ACM589740 AMH589740:AMI589740 AWD589740:AWE589740 BFZ589740:BGA589740 BPV589740:BPW589740 BZR589740:BZS589740 CJN589740:CJO589740 CTJ589740:CTK589740 DDF589740:DDG589740 DNB589740:DNC589740 DWX589740:DWY589740 EGT589740:EGU589740 EQP589740:EQQ589740 FAL589740:FAM589740 FKH589740:FKI589740 FUD589740:FUE589740 GDZ589740:GEA589740 GNV589740:GNW589740 GXR589740:GXS589740 HHN589740:HHO589740 HRJ589740:HRK589740 IBF589740:IBG589740 ILB589740:ILC589740 IUX589740:IUY589740 JET589740:JEU589740 JOP589740:JOQ589740 JYL589740:JYM589740 KIH589740:KII589740 KSD589740:KSE589740 LBZ589740:LCA589740 LLV589740:LLW589740 LVR589740:LVS589740 MFN589740:MFO589740 MPJ589740:MPK589740 MZF589740:MZG589740 NJB589740:NJC589740 NSX589740:NSY589740 OCT589740:OCU589740 OMP589740:OMQ589740 OWL589740:OWM589740 PGH589740:PGI589740 PQD589740:PQE589740 PZZ589740:QAA589740 QJV589740:QJW589740 QTR589740:QTS589740 RDN589740:RDO589740 RNJ589740:RNK589740 RXF589740:RXG589740 SHB589740:SHC589740 SQX589740:SQY589740 TAT589740:TAU589740 TKP589740:TKQ589740 TUL589740:TUM589740 UEH589740:UEI589740 UOD589740:UOE589740 UXZ589740:UYA589740 VHV589740:VHW589740 VRR589740:VRS589740 WBN589740:WBO589740 WLJ589740:WLK589740 WVF589740:WVG589740 IT655276:IU655276 SP655276:SQ655276 ACL655276:ACM655276 AMH655276:AMI655276 AWD655276:AWE655276 BFZ655276:BGA655276 BPV655276:BPW655276 BZR655276:BZS655276 CJN655276:CJO655276 CTJ655276:CTK655276 DDF655276:DDG655276 DNB655276:DNC655276 DWX655276:DWY655276 EGT655276:EGU655276 EQP655276:EQQ655276 FAL655276:FAM655276 FKH655276:FKI655276 FUD655276:FUE655276 GDZ655276:GEA655276 GNV655276:GNW655276 GXR655276:GXS655276 HHN655276:HHO655276 HRJ655276:HRK655276 IBF655276:IBG655276 ILB655276:ILC655276 IUX655276:IUY655276 JET655276:JEU655276 JOP655276:JOQ655276 JYL655276:JYM655276 KIH655276:KII655276 KSD655276:KSE655276 LBZ655276:LCA655276 LLV655276:LLW655276 LVR655276:LVS655276 MFN655276:MFO655276 MPJ655276:MPK655276 MZF655276:MZG655276 NJB655276:NJC655276 NSX655276:NSY655276 OCT655276:OCU655276 OMP655276:OMQ655276 OWL655276:OWM655276 PGH655276:PGI655276 PQD655276:PQE655276 PZZ655276:QAA655276 QJV655276:QJW655276 QTR655276:QTS655276 RDN655276:RDO655276 RNJ655276:RNK655276 RXF655276:RXG655276 SHB655276:SHC655276 SQX655276:SQY655276 TAT655276:TAU655276 TKP655276:TKQ655276 TUL655276:TUM655276 UEH655276:UEI655276 UOD655276:UOE655276 UXZ655276:UYA655276 VHV655276:VHW655276 VRR655276:VRS655276 WBN655276:WBO655276 WLJ655276:WLK655276 WVF655276:WVG655276 IT720812:IU720812 SP720812:SQ720812 ACL720812:ACM720812 AMH720812:AMI720812 AWD720812:AWE720812 BFZ720812:BGA720812 BPV720812:BPW720812 BZR720812:BZS720812 CJN720812:CJO720812 CTJ720812:CTK720812 DDF720812:DDG720812 DNB720812:DNC720812 DWX720812:DWY720812 EGT720812:EGU720812 EQP720812:EQQ720812 FAL720812:FAM720812 FKH720812:FKI720812 FUD720812:FUE720812 GDZ720812:GEA720812 GNV720812:GNW720812 GXR720812:GXS720812 HHN720812:HHO720812 HRJ720812:HRK720812 IBF720812:IBG720812 ILB720812:ILC720812 IUX720812:IUY720812 JET720812:JEU720812 JOP720812:JOQ720812 JYL720812:JYM720812 KIH720812:KII720812 KSD720812:KSE720812 LBZ720812:LCA720812 LLV720812:LLW720812 LVR720812:LVS720812 MFN720812:MFO720812 MPJ720812:MPK720812 MZF720812:MZG720812 NJB720812:NJC720812 NSX720812:NSY720812 OCT720812:OCU720812 OMP720812:OMQ720812 OWL720812:OWM720812 PGH720812:PGI720812 PQD720812:PQE720812 PZZ720812:QAA720812 QJV720812:QJW720812 QTR720812:QTS720812 RDN720812:RDO720812 RNJ720812:RNK720812 RXF720812:RXG720812 SHB720812:SHC720812 SQX720812:SQY720812 TAT720812:TAU720812 TKP720812:TKQ720812 TUL720812:TUM720812 UEH720812:UEI720812 UOD720812:UOE720812 UXZ720812:UYA720812 VHV720812:VHW720812 VRR720812:VRS720812 WBN720812:WBO720812 WLJ720812:WLK720812 WVF720812:WVG720812 IT786348:IU786348 SP786348:SQ786348 ACL786348:ACM786348 AMH786348:AMI786348 AWD786348:AWE786348 BFZ786348:BGA786348 BPV786348:BPW786348 BZR786348:BZS786348 CJN786348:CJO786348 CTJ786348:CTK786348 DDF786348:DDG786348 DNB786348:DNC786348 DWX786348:DWY786348 EGT786348:EGU786348 EQP786348:EQQ786348 FAL786348:FAM786348 FKH786348:FKI786348 FUD786348:FUE786348 GDZ786348:GEA786348 GNV786348:GNW786348 GXR786348:GXS786348 HHN786348:HHO786348 HRJ786348:HRK786348 IBF786348:IBG786348 ILB786348:ILC786348 IUX786348:IUY786348 JET786348:JEU786348 JOP786348:JOQ786348 JYL786348:JYM786348 KIH786348:KII786348 KSD786348:KSE786348 LBZ786348:LCA786348 LLV786348:LLW786348 LVR786348:LVS786348 MFN786348:MFO786348 MPJ786348:MPK786348 MZF786348:MZG786348 NJB786348:NJC786348 NSX786348:NSY786348 OCT786348:OCU786348 OMP786348:OMQ786348 OWL786348:OWM786348 PGH786348:PGI786348 PQD786348:PQE786348 PZZ786348:QAA786348 QJV786348:QJW786348 QTR786348:QTS786348 RDN786348:RDO786348 RNJ786348:RNK786348 RXF786348:RXG786348 SHB786348:SHC786348 SQX786348:SQY786348 TAT786348:TAU786348 TKP786348:TKQ786348 TUL786348:TUM786348 UEH786348:UEI786348 UOD786348:UOE786348 UXZ786348:UYA786348 VHV786348:VHW786348 VRR786348:VRS786348 WBN786348:WBO786348 WLJ786348:WLK786348 WVF786348:WVG786348 IT851884:IU851884 SP851884:SQ851884 ACL851884:ACM851884 AMH851884:AMI851884 AWD851884:AWE851884 BFZ851884:BGA851884 BPV851884:BPW851884 BZR851884:BZS851884 CJN851884:CJO851884 CTJ851884:CTK851884 DDF851884:DDG851884 DNB851884:DNC851884 DWX851884:DWY851884 EGT851884:EGU851884 EQP851884:EQQ851884 FAL851884:FAM851884 FKH851884:FKI851884 FUD851884:FUE851884 GDZ851884:GEA851884 GNV851884:GNW851884 GXR851884:GXS851884 HHN851884:HHO851884 HRJ851884:HRK851884 IBF851884:IBG851884 ILB851884:ILC851884 IUX851884:IUY851884 JET851884:JEU851884 JOP851884:JOQ851884 JYL851884:JYM851884 KIH851884:KII851884 KSD851884:KSE851884 LBZ851884:LCA851884 LLV851884:LLW851884 LVR851884:LVS851884 MFN851884:MFO851884 MPJ851884:MPK851884 MZF851884:MZG851884 NJB851884:NJC851884 NSX851884:NSY851884 OCT851884:OCU851884 OMP851884:OMQ851884 OWL851884:OWM851884 PGH851884:PGI851884 PQD851884:PQE851884 PZZ851884:QAA851884 QJV851884:QJW851884 QTR851884:QTS851884 RDN851884:RDO851884 RNJ851884:RNK851884 RXF851884:RXG851884 SHB851884:SHC851884 SQX851884:SQY851884 TAT851884:TAU851884 TKP851884:TKQ851884 TUL851884:TUM851884 UEH851884:UEI851884 UOD851884:UOE851884 UXZ851884:UYA851884 VHV851884:VHW851884 VRR851884:VRS851884 WBN851884:WBO851884 WLJ851884:WLK851884 WVF851884:WVG851884 IT917420:IU917420 SP917420:SQ917420 ACL917420:ACM917420 AMH917420:AMI917420 AWD917420:AWE917420 BFZ917420:BGA917420 BPV917420:BPW917420 BZR917420:BZS917420 CJN917420:CJO917420 CTJ917420:CTK917420 DDF917420:DDG917420 DNB917420:DNC917420 DWX917420:DWY917420 EGT917420:EGU917420 EQP917420:EQQ917420 FAL917420:FAM917420 FKH917420:FKI917420 FUD917420:FUE917420 GDZ917420:GEA917420 GNV917420:GNW917420 GXR917420:GXS917420 HHN917420:HHO917420 HRJ917420:HRK917420 IBF917420:IBG917420 ILB917420:ILC917420 IUX917420:IUY917420 JET917420:JEU917420 JOP917420:JOQ917420 JYL917420:JYM917420 KIH917420:KII917420 KSD917420:KSE917420 LBZ917420:LCA917420 LLV917420:LLW917420 LVR917420:LVS917420 MFN917420:MFO917420 MPJ917420:MPK917420 MZF917420:MZG917420 NJB917420:NJC917420 NSX917420:NSY917420 OCT917420:OCU917420 OMP917420:OMQ917420 OWL917420:OWM917420 PGH917420:PGI917420 PQD917420:PQE917420 PZZ917420:QAA917420 QJV917420:QJW917420 QTR917420:QTS917420 RDN917420:RDO917420 RNJ917420:RNK917420 RXF917420:RXG917420 SHB917420:SHC917420 SQX917420:SQY917420 TAT917420:TAU917420 TKP917420:TKQ917420 TUL917420:TUM917420 UEH917420:UEI917420 UOD917420:UOE917420 UXZ917420:UYA917420 VHV917420:VHW917420 VRR917420:VRS917420 WBN917420:WBO917420 WLJ917420:WLK917420 WVF917420:WVG917420 IT982956:IU982956 SP982956:SQ982956 ACL982956:ACM982956 AMH982956:AMI982956 AWD982956:AWE982956 BFZ982956:BGA982956 BPV982956:BPW982956 BZR982956:BZS982956 CJN982956:CJO982956 CTJ982956:CTK982956 DDF982956:DDG982956 DNB982956:DNC982956 DWX982956:DWY982956 EGT982956:EGU982956 EQP982956:EQQ982956 FAL982956:FAM982956 FKH982956:FKI982956 FUD982956:FUE982956 GDZ982956:GEA982956 GNV982956:GNW982956 GXR982956:GXS982956 HHN982956:HHO982956 HRJ982956:HRK982956 IBF982956:IBG982956 ILB982956:ILC982956 IUX982956:IUY982956 JET982956:JEU982956 JOP982956:JOQ982956 JYL982956:JYM982956 KIH982956:KII982956 KSD982956:KSE982956 LBZ982956:LCA982956 LLV982956:LLW982956 LVR982956:LVS982956 MFN982956:MFO982956 MPJ982956:MPK982956 MZF982956:MZG982956 NJB982956:NJC982956 NSX982956:NSY982956 OCT982956:OCU982956 OMP982956:OMQ982956 OWL982956:OWM982956 PGH982956:PGI982956 PQD982956:PQE982956 PZZ982956:QAA982956 QJV982956:QJW982956 QTR982956:QTS982956 RDN982956:RDO982956 RNJ982956:RNK982956 RXF982956:RXG982956 SHB982956:SHC982956 SQX982956:SQY982956 TAT982956:TAU982956 TKP982956:TKQ982956 TUL982956:TUM982956 UEH982956:UEI982956 UOD982956:UOE982956 UXZ982956:UYA982956 VHV982956:VHW982956 VRR982956:VRS982956 WBN982956:WBO982956 WLJ982956:WLK982956 WVF982956:WVG982956 IT65435:IU65448 SP65435:SQ65448 ACL65435:ACM65448 AMH65435:AMI65448 AWD65435:AWE65448 BFZ65435:BGA65448 BPV65435:BPW65448 BZR65435:BZS65448 CJN65435:CJO65448 CTJ65435:CTK65448 DDF65435:DDG65448 DNB65435:DNC65448 DWX65435:DWY65448 EGT65435:EGU65448 EQP65435:EQQ65448 FAL65435:FAM65448 FKH65435:FKI65448 FUD65435:FUE65448 GDZ65435:GEA65448 GNV65435:GNW65448 GXR65435:GXS65448 HHN65435:HHO65448 HRJ65435:HRK65448 IBF65435:IBG65448 ILB65435:ILC65448 IUX65435:IUY65448 JET65435:JEU65448 JOP65435:JOQ65448 JYL65435:JYM65448 KIH65435:KII65448 KSD65435:KSE65448 LBZ65435:LCA65448 LLV65435:LLW65448 LVR65435:LVS65448 MFN65435:MFO65448 MPJ65435:MPK65448 MZF65435:MZG65448 NJB65435:NJC65448 NSX65435:NSY65448 OCT65435:OCU65448 OMP65435:OMQ65448 OWL65435:OWM65448 PGH65435:PGI65448 PQD65435:PQE65448 PZZ65435:QAA65448 QJV65435:QJW65448 QTR65435:QTS65448 RDN65435:RDO65448 RNJ65435:RNK65448 RXF65435:RXG65448 SHB65435:SHC65448 SQX65435:SQY65448 TAT65435:TAU65448 TKP65435:TKQ65448 TUL65435:TUM65448 UEH65435:UEI65448 UOD65435:UOE65448 UXZ65435:UYA65448 VHV65435:VHW65448 VRR65435:VRS65448 WBN65435:WBO65448 WLJ65435:WLK65448 WVF65435:WVG65448 IT130971:IU130984 SP130971:SQ130984 ACL130971:ACM130984 AMH130971:AMI130984 AWD130971:AWE130984 BFZ130971:BGA130984 BPV130971:BPW130984 BZR130971:BZS130984 CJN130971:CJO130984 CTJ130971:CTK130984 DDF130971:DDG130984 DNB130971:DNC130984 DWX130971:DWY130984 EGT130971:EGU130984 EQP130971:EQQ130984 FAL130971:FAM130984 FKH130971:FKI130984 FUD130971:FUE130984 GDZ130971:GEA130984 GNV130971:GNW130984 GXR130971:GXS130984 HHN130971:HHO130984 HRJ130971:HRK130984 IBF130971:IBG130984 ILB130971:ILC130984 IUX130971:IUY130984 JET130971:JEU130984 JOP130971:JOQ130984 JYL130971:JYM130984 KIH130971:KII130984 KSD130971:KSE130984 LBZ130971:LCA130984 LLV130971:LLW130984 LVR130971:LVS130984 MFN130971:MFO130984 MPJ130971:MPK130984 MZF130971:MZG130984 NJB130971:NJC130984 NSX130971:NSY130984 OCT130971:OCU130984 OMP130971:OMQ130984 OWL130971:OWM130984 PGH130971:PGI130984 PQD130971:PQE130984 PZZ130971:QAA130984 QJV130971:QJW130984 QTR130971:QTS130984 RDN130971:RDO130984 RNJ130971:RNK130984 RXF130971:RXG130984 SHB130971:SHC130984 SQX130971:SQY130984 TAT130971:TAU130984 TKP130971:TKQ130984 TUL130971:TUM130984 UEH130971:UEI130984 UOD130971:UOE130984 UXZ130971:UYA130984 VHV130971:VHW130984 VRR130971:VRS130984 WBN130971:WBO130984 WLJ130971:WLK130984 WVF130971:WVG130984 IT196507:IU196520 SP196507:SQ196520 ACL196507:ACM196520 AMH196507:AMI196520 AWD196507:AWE196520 BFZ196507:BGA196520 BPV196507:BPW196520 BZR196507:BZS196520 CJN196507:CJO196520 CTJ196507:CTK196520 DDF196507:DDG196520 DNB196507:DNC196520 DWX196507:DWY196520 EGT196507:EGU196520 EQP196507:EQQ196520 FAL196507:FAM196520 FKH196507:FKI196520 FUD196507:FUE196520 GDZ196507:GEA196520 GNV196507:GNW196520 GXR196507:GXS196520 HHN196507:HHO196520 HRJ196507:HRK196520 IBF196507:IBG196520 ILB196507:ILC196520 IUX196507:IUY196520 JET196507:JEU196520 JOP196507:JOQ196520 JYL196507:JYM196520 KIH196507:KII196520 KSD196507:KSE196520 LBZ196507:LCA196520 LLV196507:LLW196520 LVR196507:LVS196520 MFN196507:MFO196520 MPJ196507:MPK196520 MZF196507:MZG196520 NJB196507:NJC196520 NSX196507:NSY196520 OCT196507:OCU196520 OMP196507:OMQ196520 OWL196507:OWM196520 PGH196507:PGI196520 PQD196507:PQE196520 PZZ196507:QAA196520 QJV196507:QJW196520 QTR196507:QTS196520 RDN196507:RDO196520 RNJ196507:RNK196520 RXF196507:RXG196520 SHB196507:SHC196520 SQX196507:SQY196520 TAT196507:TAU196520 TKP196507:TKQ196520 TUL196507:TUM196520 UEH196507:UEI196520 UOD196507:UOE196520 UXZ196507:UYA196520 VHV196507:VHW196520 VRR196507:VRS196520 WBN196507:WBO196520 WLJ196507:WLK196520 WVF196507:WVG196520 IT262043:IU262056 SP262043:SQ262056 ACL262043:ACM262056 AMH262043:AMI262056 AWD262043:AWE262056 BFZ262043:BGA262056 BPV262043:BPW262056 BZR262043:BZS262056 CJN262043:CJO262056 CTJ262043:CTK262056 DDF262043:DDG262056 DNB262043:DNC262056 DWX262043:DWY262056 EGT262043:EGU262056 EQP262043:EQQ262056 FAL262043:FAM262056 FKH262043:FKI262056 FUD262043:FUE262056 GDZ262043:GEA262056 GNV262043:GNW262056 GXR262043:GXS262056 HHN262043:HHO262056 HRJ262043:HRK262056 IBF262043:IBG262056 ILB262043:ILC262056 IUX262043:IUY262056 JET262043:JEU262056 JOP262043:JOQ262056 JYL262043:JYM262056 KIH262043:KII262056 KSD262043:KSE262056 LBZ262043:LCA262056 LLV262043:LLW262056 LVR262043:LVS262056 MFN262043:MFO262056 MPJ262043:MPK262056 MZF262043:MZG262056 NJB262043:NJC262056 NSX262043:NSY262056 OCT262043:OCU262056 OMP262043:OMQ262056 OWL262043:OWM262056 PGH262043:PGI262056 PQD262043:PQE262056 PZZ262043:QAA262056 QJV262043:QJW262056 QTR262043:QTS262056 RDN262043:RDO262056 RNJ262043:RNK262056 RXF262043:RXG262056 SHB262043:SHC262056 SQX262043:SQY262056 TAT262043:TAU262056 TKP262043:TKQ262056 TUL262043:TUM262056 UEH262043:UEI262056 UOD262043:UOE262056 UXZ262043:UYA262056 VHV262043:VHW262056 VRR262043:VRS262056 WBN262043:WBO262056 WLJ262043:WLK262056 WVF262043:WVG262056 IT327579:IU327592 SP327579:SQ327592 ACL327579:ACM327592 AMH327579:AMI327592 AWD327579:AWE327592 BFZ327579:BGA327592 BPV327579:BPW327592 BZR327579:BZS327592 CJN327579:CJO327592 CTJ327579:CTK327592 DDF327579:DDG327592 DNB327579:DNC327592 DWX327579:DWY327592 EGT327579:EGU327592 EQP327579:EQQ327592 FAL327579:FAM327592 FKH327579:FKI327592 FUD327579:FUE327592 GDZ327579:GEA327592 GNV327579:GNW327592 GXR327579:GXS327592 HHN327579:HHO327592 HRJ327579:HRK327592 IBF327579:IBG327592 ILB327579:ILC327592 IUX327579:IUY327592 JET327579:JEU327592 JOP327579:JOQ327592 JYL327579:JYM327592 KIH327579:KII327592 KSD327579:KSE327592 LBZ327579:LCA327592 LLV327579:LLW327592 LVR327579:LVS327592 MFN327579:MFO327592 MPJ327579:MPK327592 MZF327579:MZG327592 NJB327579:NJC327592 NSX327579:NSY327592 OCT327579:OCU327592 OMP327579:OMQ327592 OWL327579:OWM327592 PGH327579:PGI327592 PQD327579:PQE327592 PZZ327579:QAA327592 QJV327579:QJW327592 QTR327579:QTS327592 RDN327579:RDO327592 RNJ327579:RNK327592 RXF327579:RXG327592 SHB327579:SHC327592 SQX327579:SQY327592 TAT327579:TAU327592 TKP327579:TKQ327592 TUL327579:TUM327592 UEH327579:UEI327592 UOD327579:UOE327592 UXZ327579:UYA327592 VHV327579:VHW327592 VRR327579:VRS327592 WBN327579:WBO327592 WLJ327579:WLK327592 WVF327579:WVG327592 IT393115:IU393128 SP393115:SQ393128 ACL393115:ACM393128 AMH393115:AMI393128 AWD393115:AWE393128 BFZ393115:BGA393128 BPV393115:BPW393128 BZR393115:BZS393128 CJN393115:CJO393128 CTJ393115:CTK393128 DDF393115:DDG393128 DNB393115:DNC393128 DWX393115:DWY393128 EGT393115:EGU393128 EQP393115:EQQ393128 FAL393115:FAM393128 FKH393115:FKI393128 FUD393115:FUE393128 GDZ393115:GEA393128 GNV393115:GNW393128 GXR393115:GXS393128 HHN393115:HHO393128 HRJ393115:HRK393128 IBF393115:IBG393128 ILB393115:ILC393128 IUX393115:IUY393128 JET393115:JEU393128 JOP393115:JOQ393128 JYL393115:JYM393128 KIH393115:KII393128 KSD393115:KSE393128 LBZ393115:LCA393128 LLV393115:LLW393128 LVR393115:LVS393128 MFN393115:MFO393128 MPJ393115:MPK393128 MZF393115:MZG393128 NJB393115:NJC393128 NSX393115:NSY393128 OCT393115:OCU393128 OMP393115:OMQ393128 OWL393115:OWM393128 PGH393115:PGI393128 PQD393115:PQE393128 PZZ393115:QAA393128 QJV393115:QJW393128 QTR393115:QTS393128 RDN393115:RDO393128 RNJ393115:RNK393128 RXF393115:RXG393128 SHB393115:SHC393128 SQX393115:SQY393128 TAT393115:TAU393128 TKP393115:TKQ393128 TUL393115:TUM393128 UEH393115:UEI393128 UOD393115:UOE393128 UXZ393115:UYA393128 VHV393115:VHW393128 VRR393115:VRS393128 WBN393115:WBO393128 WLJ393115:WLK393128 WVF393115:WVG393128 IT458651:IU458664 SP458651:SQ458664 ACL458651:ACM458664 AMH458651:AMI458664 AWD458651:AWE458664 BFZ458651:BGA458664 BPV458651:BPW458664 BZR458651:BZS458664 CJN458651:CJO458664 CTJ458651:CTK458664 DDF458651:DDG458664 DNB458651:DNC458664 DWX458651:DWY458664 EGT458651:EGU458664 EQP458651:EQQ458664 FAL458651:FAM458664 FKH458651:FKI458664 FUD458651:FUE458664 GDZ458651:GEA458664 GNV458651:GNW458664 GXR458651:GXS458664 HHN458651:HHO458664 HRJ458651:HRK458664 IBF458651:IBG458664 ILB458651:ILC458664 IUX458651:IUY458664 JET458651:JEU458664 JOP458651:JOQ458664 JYL458651:JYM458664 KIH458651:KII458664 KSD458651:KSE458664 LBZ458651:LCA458664 LLV458651:LLW458664 LVR458651:LVS458664 MFN458651:MFO458664 MPJ458651:MPK458664 MZF458651:MZG458664 NJB458651:NJC458664 NSX458651:NSY458664 OCT458651:OCU458664 OMP458651:OMQ458664 OWL458651:OWM458664 PGH458651:PGI458664 PQD458651:PQE458664 PZZ458651:QAA458664 QJV458651:QJW458664 QTR458651:QTS458664 RDN458651:RDO458664 RNJ458651:RNK458664 RXF458651:RXG458664 SHB458651:SHC458664 SQX458651:SQY458664 TAT458651:TAU458664 TKP458651:TKQ458664 TUL458651:TUM458664 UEH458651:UEI458664 UOD458651:UOE458664 UXZ458651:UYA458664 VHV458651:VHW458664 VRR458651:VRS458664 WBN458651:WBO458664 WLJ458651:WLK458664 WVF458651:WVG458664 IT524187:IU524200 SP524187:SQ524200 ACL524187:ACM524200 AMH524187:AMI524200 AWD524187:AWE524200 BFZ524187:BGA524200 BPV524187:BPW524200 BZR524187:BZS524200 CJN524187:CJO524200 CTJ524187:CTK524200 DDF524187:DDG524200 DNB524187:DNC524200 DWX524187:DWY524200 EGT524187:EGU524200 EQP524187:EQQ524200 FAL524187:FAM524200 FKH524187:FKI524200 FUD524187:FUE524200 GDZ524187:GEA524200 GNV524187:GNW524200 GXR524187:GXS524200 HHN524187:HHO524200 HRJ524187:HRK524200 IBF524187:IBG524200 ILB524187:ILC524200 IUX524187:IUY524200 JET524187:JEU524200 JOP524187:JOQ524200 JYL524187:JYM524200 KIH524187:KII524200 KSD524187:KSE524200 LBZ524187:LCA524200 LLV524187:LLW524200 LVR524187:LVS524200 MFN524187:MFO524200 MPJ524187:MPK524200 MZF524187:MZG524200 NJB524187:NJC524200 NSX524187:NSY524200 OCT524187:OCU524200 OMP524187:OMQ524200 OWL524187:OWM524200 PGH524187:PGI524200 PQD524187:PQE524200 PZZ524187:QAA524200 QJV524187:QJW524200 QTR524187:QTS524200 RDN524187:RDO524200 RNJ524187:RNK524200 RXF524187:RXG524200 SHB524187:SHC524200 SQX524187:SQY524200 TAT524187:TAU524200 TKP524187:TKQ524200 TUL524187:TUM524200 UEH524187:UEI524200 UOD524187:UOE524200 UXZ524187:UYA524200 VHV524187:VHW524200 VRR524187:VRS524200 WBN524187:WBO524200 WLJ524187:WLK524200 WVF524187:WVG524200 IT589723:IU589736 SP589723:SQ589736 ACL589723:ACM589736 AMH589723:AMI589736 AWD589723:AWE589736 BFZ589723:BGA589736 BPV589723:BPW589736 BZR589723:BZS589736 CJN589723:CJO589736 CTJ589723:CTK589736 DDF589723:DDG589736 DNB589723:DNC589736 DWX589723:DWY589736 EGT589723:EGU589736 EQP589723:EQQ589736 FAL589723:FAM589736 FKH589723:FKI589736 FUD589723:FUE589736 GDZ589723:GEA589736 GNV589723:GNW589736 GXR589723:GXS589736 HHN589723:HHO589736 HRJ589723:HRK589736 IBF589723:IBG589736 ILB589723:ILC589736 IUX589723:IUY589736 JET589723:JEU589736 JOP589723:JOQ589736 JYL589723:JYM589736 KIH589723:KII589736 KSD589723:KSE589736 LBZ589723:LCA589736 LLV589723:LLW589736 LVR589723:LVS589736 MFN589723:MFO589736 MPJ589723:MPK589736 MZF589723:MZG589736 NJB589723:NJC589736 NSX589723:NSY589736 OCT589723:OCU589736 OMP589723:OMQ589736 OWL589723:OWM589736 PGH589723:PGI589736 PQD589723:PQE589736 PZZ589723:QAA589736 QJV589723:QJW589736 QTR589723:QTS589736 RDN589723:RDO589736 RNJ589723:RNK589736 RXF589723:RXG589736 SHB589723:SHC589736 SQX589723:SQY589736 TAT589723:TAU589736 TKP589723:TKQ589736 TUL589723:TUM589736 UEH589723:UEI589736 UOD589723:UOE589736 UXZ589723:UYA589736 VHV589723:VHW589736 VRR589723:VRS589736 WBN589723:WBO589736 WLJ589723:WLK589736 WVF589723:WVG589736 IT655259:IU655272 SP655259:SQ655272 ACL655259:ACM655272 AMH655259:AMI655272 AWD655259:AWE655272 BFZ655259:BGA655272 BPV655259:BPW655272 BZR655259:BZS655272 CJN655259:CJO655272 CTJ655259:CTK655272 DDF655259:DDG655272 DNB655259:DNC655272 DWX655259:DWY655272 EGT655259:EGU655272 EQP655259:EQQ655272 FAL655259:FAM655272 FKH655259:FKI655272 FUD655259:FUE655272 GDZ655259:GEA655272 GNV655259:GNW655272 GXR655259:GXS655272 HHN655259:HHO655272 HRJ655259:HRK655272 IBF655259:IBG655272 ILB655259:ILC655272 IUX655259:IUY655272 JET655259:JEU655272 JOP655259:JOQ655272 JYL655259:JYM655272 KIH655259:KII655272 KSD655259:KSE655272 LBZ655259:LCA655272 LLV655259:LLW655272 LVR655259:LVS655272 MFN655259:MFO655272 MPJ655259:MPK655272 MZF655259:MZG655272 NJB655259:NJC655272 NSX655259:NSY655272 OCT655259:OCU655272 OMP655259:OMQ655272 OWL655259:OWM655272 PGH655259:PGI655272 PQD655259:PQE655272 PZZ655259:QAA655272 QJV655259:QJW655272 QTR655259:QTS655272 RDN655259:RDO655272 RNJ655259:RNK655272 RXF655259:RXG655272 SHB655259:SHC655272 SQX655259:SQY655272 TAT655259:TAU655272 TKP655259:TKQ655272 TUL655259:TUM655272 UEH655259:UEI655272 UOD655259:UOE655272 UXZ655259:UYA655272 VHV655259:VHW655272 VRR655259:VRS655272 WBN655259:WBO655272 WLJ655259:WLK655272 WVF655259:WVG655272 IT720795:IU720808 SP720795:SQ720808 ACL720795:ACM720808 AMH720795:AMI720808 AWD720795:AWE720808 BFZ720795:BGA720808 BPV720795:BPW720808 BZR720795:BZS720808 CJN720795:CJO720808 CTJ720795:CTK720808 DDF720795:DDG720808 DNB720795:DNC720808 DWX720795:DWY720808 EGT720795:EGU720808 EQP720795:EQQ720808 FAL720795:FAM720808 FKH720795:FKI720808 FUD720795:FUE720808 GDZ720795:GEA720808 GNV720795:GNW720808 GXR720795:GXS720808 HHN720795:HHO720808 HRJ720795:HRK720808 IBF720795:IBG720808 ILB720795:ILC720808 IUX720795:IUY720808 JET720795:JEU720808 JOP720795:JOQ720808 JYL720795:JYM720808 KIH720795:KII720808 KSD720795:KSE720808 LBZ720795:LCA720808 LLV720795:LLW720808 LVR720795:LVS720808 MFN720795:MFO720808 MPJ720795:MPK720808 MZF720795:MZG720808 NJB720795:NJC720808 NSX720795:NSY720808 OCT720795:OCU720808 OMP720795:OMQ720808 OWL720795:OWM720808 PGH720795:PGI720808 PQD720795:PQE720808 PZZ720795:QAA720808 QJV720795:QJW720808 QTR720795:QTS720808 RDN720795:RDO720808 RNJ720795:RNK720808 RXF720795:RXG720808 SHB720795:SHC720808 SQX720795:SQY720808 TAT720795:TAU720808 TKP720795:TKQ720808 TUL720795:TUM720808 UEH720795:UEI720808 UOD720795:UOE720808 UXZ720795:UYA720808 VHV720795:VHW720808 VRR720795:VRS720808 WBN720795:WBO720808 WLJ720795:WLK720808 WVF720795:WVG720808 IT786331:IU786344 SP786331:SQ786344 ACL786331:ACM786344 AMH786331:AMI786344 AWD786331:AWE786344 BFZ786331:BGA786344 BPV786331:BPW786344 BZR786331:BZS786344 CJN786331:CJO786344 CTJ786331:CTK786344 DDF786331:DDG786344 DNB786331:DNC786344 DWX786331:DWY786344 EGT786331:EGU786344 EQP786331:EQQ786344 FAL786331:FAM786344 FKH786331:FKI786344 FUD786331:FUE786344 GDZ786331:GEA786344 GNV786331:GNW786344 GXR786331:GXS786344 HHN786331:HHO786344 HRJ786331:HRK786344 IBF786331:IBG786344 ILB786331:ILC786344 IUX786331:IUY786344 JET786331:JEU786344 JOP786331:JOQ786344 JYL786331:JYM786344 KIH786331:KII786344 KSD786331:KSE786344 LBZ786331:LCA786344 LLV786331:LLW786344 LVR786331:LVS786344 MFN786331:MFO786344 MPJ786331:MPK786344 MZF786331:MZG786344 NJB786331:NJC786344 NSX786331:NSY786344 OCT786331:OCU786344 OMP786331:OMQ786344 OWL786331:OWM786344 PGH786331:PGI786344 PQD786331:PQE786344 PZZ786331:QAA786344 QJV786331:QJW786344 QTR786331:QTS786344 RDN786331:RDO786344 RNJ786331:RNK786344 RXF786331:RXG786344 SHB786331:SHC786344 SQX786331:SQY786344 TAT786331:TAU786344 TKP786331:TKQ786344 TUL786331:TUM786344 UEH786331:UEI786344 UOD786331:UOE786344 UXZ786331:UYA786344 VHV786331:VHW786344 VRR786331:VRS786344 WBN786331:WBO786344 WLJ786331:WLK786344 WVF786331:WVG786344 IT851867:IU851880 SP851867:SQ851880 ACL851867:ACM851880 AMH851867:AMI851880 AWD851867:AWE851880 BFZ851867:BGA851880 BPV851867:BPW851880 BZR851867:BZS851880 CJN851867:CJO851880 CTJ851867:CTK851880 DDF851867:DDG851880 DNB851867:DNC851880 DWX851867:DWY851880 EGT851867:EGU851880 EQP851867:EQQ851880 FAL851867:FAM851880 FKH851867:FKI851880 FUD851867:FUE851880 GDZ851867:GEA851880 GNV851867:GNW851880 GXR851867:GXS851880 HHN851867:HHO851880 HRJ851867:HRK851880 IBF851867:IBG851880 ILB851867:ILC851880 IUX851867:IUY851880 JET851867:JEU851880 JOP851867:JOQ851880 JYL851867:JYM851880 KIH851867:KII851880 KSD851867:KSE851880 LBZ851867:LCA851880 LLV851867:LLW851880 LVR851867:LVS851880 MFN851867:MFO851880 MPJ851867:MPK851880 MZF851867:MZG851880 NJB851867:NJC851880 NSX851867:NSY851880 OCT851867:OCU851880 OMP851867:OMQ851880 OWL851867:OWM851880 PGH851867:PGI851880 PQD851867:PQE851880 PZZ851867:QAA851880 QJV851867:QJW851880 QTR851867:QTS851880 RDN851867:RDO851880 RNJ851867:RNK851880 RXF851867:RXG851880 SHB851867:SHC851880 SQX851867:SQY851880 TAT851867:TAU851880 TKP851867:TKQ851880 TUL851867:TUM851880 UEH851867:UEI851880 UOD851867:UOE851880 UXZ851867:UYA851880 VHV851867:VHW851880 VRR851867:VRS851880 WBN851867:WBO851880 WLJ851867:WLK851880 WVF851867:WVG851880 IT917403:IU917416 SP917403:SQ917416 ACL917403:ACM917416 AMH917403:AMI917416 AWD917403:AWE917416 BFZ917403:BGA917416 BPV917403:BPW917416 BZR917403:BZS917416 CJN917403:CJO917416 CTJ917403:CTK917416 DDF917403:DDG917416 DNB917403:DNC917416 DWX917403:DWY917416 EGT917403:EGU917416 EQP917403:EQQ917416 FAL917403:FAM917416 FKH917403:FKI917416 FUD917403:FUE917416 GDZ917403:GEA917416 GNV917403:GNW917416 GXR917403:GXS917416 HHN917403:HHO917416 HRJ917403:HRK917416 IBF917403:IBG917416 ILB917403:ILC917416 IUX917403:IUY917416 JET917403:JEU917416 JOP917403:JOQ917416 JYL917403:JYM917416 KIH917403:KII917416 KSD917403:KSE917416 LBZ917403:LCA917416 LLV917403:LLW917416 LVR917403:LVS917416 MFN917403:MFO917416 MPJ917403:MPK917416 MZF917403:MZG917416 NJB917403:NJC917416 NSX917403:NSY917416 OCT917403:OCU917416 OMP917403:OMQ917416 OWL917403:OWM917416 PGH917403:PGI917416 PQD917403:PQE917416 PZZ917403:QAA917416 QJV917403:QJW917416 QTR917403:QTS917416 RDN917403:RDO917416 RNJ917403:RNK917416 RXF917403:RXG917416 SHB917403:SHC917416 SQX917403:SQY917416 TAT917403:TAU917416 TKP917403:TKQ917416 TUL917403:TUM917416 UEH917403:UEI917416 UOD917403:UOE917416 UXZ917403:UYA917416 VHV917403:VHW917416 VRR917403:VRS917416 WBN917403:WBO917416 WLJ917403:WLK917416 WVF917403:WVG917416 IT982939:IU982952 SP982939:SQ982952 ACL982939:ACM982952 AMH982939:AMI982952 AWD982939:AWE982952 BFZ982939:BGA982952 BPV982939:BPW982952 BZR982939:BZS982952 CJN982939:CJO982952 CTJ982939:CTK982952 DDF982939:DDG982952 DNB982939:DNC982952 DWX982939:DWY982952 EGT982939:EGU982952 EQP982939:EQQ982952 FAL982939:FAM982952 FKH982939:FKI982952 FUD982939:FUE982952 GDZ982939:GEA982952 GNV982939:GNW982952 GXR982939:GXS982952 HHN982939:HHO982952 HRJ982939:HRK982952 IBF982939:IBG982952 ILB982939:ILC982952 IUX982939:IUY982952 JET982939:JEU982952 JOP982939:JOQ982952 JYL982939:JYM982952 KIH982939:KII982952 KSD982939:KSE982952 LBZ982939:LCA982952 LLV982939:LLW982952 LVR982939:LVS982952 MFN982939:MFO982952 MPJ982939:MPK982952 MZF982939:MZG982952 NJB982939:NJC982952 NSX982939:NSY982952 OCT982939:OCU982952 OMP982939:OMQ982952 OWL982939:OWM982952 PGH982939:PGI982952 PQD982939:PQE982952 PZZ982939:QAA982952 QJV982939:QJW982952 QTR982939:QTS982952 RDN982939:RDO982952 RNJ982939:RNK982952 RXF982939:RXG982952 SHB982939:SHC982952 SQX982939:SQY982952 TAT982939:TAU982952 TKP982939:TKQ982952 TUL982939:TUM982952 UEH982939:UEI982952 UOD982939:UOE982952 UXZ982939:UYA982952 VHV982939:VHW982952 VRR982939:VRS982952 WBN982939:WBO982952 WLJ982939:WLK982952 WVF982939:WVG982952 IT65454:IU65457 SP65454:SQ65457 ACL65454:ACM65457 AMH65454:AMI65457 AWD65454:AWE65457 BFZ65454:BGA65457 BPV65454:BPW65457 BZR65454:BZS65457 CJN65454:CJO65457 CTJ65454:CTK65457 DDF65454:DDG65457 DNB65454:DNC65457 DWX65454:DWY65457 EGT65454:EGU65457 EQP65454:EQQ65457 FAL65454:FAM65457 FKH65454:FKI65457 FUD65454:FUE65457 GDZ65454:GEA65457 GNV65454:GNW65457 GXR65454:GXS65457 HHN65454:HHO65457 HRJ65454:HRK65457 IBF65454:IBG65457 ILB65454:ILC65457 IUX65454:IUY65457 JET65454:JEU65457 JOP65454:JOQ65457 JYL65454:JYM65457 KIH65454:KII65457 KSD65454:KSE65457 LBZ65454:LCA65457 LLV65454:LLW65457 LVR65454:LVS65457 MFN65454:MFO65457 MPJ65454:MPK65457 MZF65454:MZG65457 NJB65454:NJC65457 NSX65454:NSY65457 OCT65454:OCU65457 OMP65454:OMQ65457 OWL65454:OWM65457 PGH65454:PGI65457 PQD65454:PQE65457 PZZ65454:QAA65457 QJV65454:QJW65457 QTR65454:QTS65457 RDN65454:RDO65457 RNJ65454:RNK65457 RXF65454:RXG65457 SHB65454:SHC65457 SQX65454:SQY65457 TAT65454:TAU65457 TKP65454:TKQ65457 TUL65454:TUM65457 UEH65454:UEI65457 UOD65454:UOE65457 UXZ65454:UYA65457 VHV65454:VHW65457 VRR65454:VRS65457 WBN65454:WBO65457 WLJ65454:WLK65457 WVF65454:WVG65457 IT5:IU7 IT130990:IU130993 SP130990:SQ130993 ACL130990:ACM130993 AMH130990:AMI130993 AWD130990:AWE130993 BFZ130990:BGA130993 BPV130990:BPW130993 BZR130990:BZS130993 CJN130990:CJO130993 CTJ130990:CTK130993 DDF130990:DDG130993 DNB130990:DNC130993 DWX130990:DWY130993 EGT130990:EGU130993 EQP130990:EQQ130993 FAL130990:FAM130993 FKH130990:FKI130993 FUD130990:FUE130993 GDZ130990:GEA130993 GNV130990:GNW130993 GXR130990:GXS130993 HHN130990:HHO130993 HRJ130990:HRK130993 IBF130990:IBG130993 ILB130990:ILC130993 IUX130990:IUY130993 JET130990:JEU130993 JOP130990:JOQ130993 JYL130990:JYM130993 KIH130990:KII130993 KSD130990:KSE130993 LBZ130990:LCA130993 LLV130990:LLW130993 LVR130990:LVS130993 MFN130990:MFO130993 MPJ130990:MPK130993 MZF130990:MZG130993 NJB130990:NJC130993 NSX130990:NSY130993 OCT130990:OCU130993 OMP130990:OMQ130993 OWL130990:OWM130993 PGH130990:PGI130993 PQD130990:PQE130993 PZZ130990:QAA130993 QJV130990:QJW130993 QTR130990:QTS130993 RDN130990:RDO130993 RNJ130990:RNK130993 RXF130990:RXG130993 SHB130990:SHC130993 SQX130990:SQY130993 TAT130990:TAU130993 TKP130990:TKQ130993 TUL130990:TUM130993 UEH130990:UEI130993 UOD130990:UOE130993 UXZ130990:UYA130993 VHV130990:VHW130993 VRR130990:VRS130993 WBN130990:WBO130993 WLJ130990:WLK130993 WVF130990:WVG130993 SP5:SQ7 IT196526:IU196529 SP196526:SQ196529 ACL196526:ACM196529 AMH196526:AMI196529 AWD196526:AWE196529 BFZ196526:BGA196529 BPV196526:BPW196529 BZR196526:BZS196529 CJN196526:CJO196529 CTJ196526:CTK196529 DDF196526:DDG196529 DNB196526:DNC196529 DWX196526:DWY196529 EGT196526:EGU196529 EQP196526:EQQ196529 FAL196526:FAM196529 FKH196526:FKI196529 FUD196526:FUE196529 GDZ196526:GEA196529 GNV196526:GNW196529 GXR196526:GXS196529 HHN196526:HHO196529 HRJ196526:HRK196529 IBF196526:IBG196529 ILB196526:ILC196529 IUX196526:IUY196529 JET196526:JEU196529 JOP196526:JOQ196529 JYL196526:JYM196529 KIH196526:KII196529 KSD196526:KSE196529 LBZ196526:LCA196529 LLV196526:LLW196529 LVR196526:LVS196529 MFN196526:MFO196529 MPJ196526:MPK196529 MZF196526:MZG196529 NJB196526:NJC196529 NSX196526:NSY196529 OCT196526:OCU196529 OMP196526:OMQ196529 OWL196526:OWM196529 PGH196526:PGI196529 PQD196526:PQE196529 PZZ196526:QAA196529 QJV196526:QJW196529 QTR196526:QTS196529 RDN196526:RDO196529 RNJ196526:RNK196529 RXF196526:RXG196529 SHB196526:SHC196529 SQX196526:SQY196529 TAT196526:TAU196529 TKP196526:TKQ196529 TUL196526:TUM196529 UEH196526:UEI196529 UOD196526:UOE196529 UXZ196526:UYA196529 VHV196526:VHW196529 VRR196526:VRS196529 WBN196526:WBO196529 WLJ196526:WLK196529 WVF196526:WVG196529 ACL5:ACM7 IT262062:IU262065 SP262062:SQ262065 ACL262062:ACM262065 AMH262062:AMI262065 AWD262062:AWE262065 BFZ262062:BGA262065 BPV262062:BPW262065 BZR262062:BZS262065 CJN262062:CJO262065 CTJ262062:CTK262065 DDF262062:DDG262065 DNB262062:DNC262065 DWX262062:DWY262065 EGT262062:EGU262065 EQP262062:EQQ262065 FAL262062:FAM262065 FKH262062:FKI262065 FUD262062:FUE262065 GDZ262062:GEA262065 GNV262062:GNW262065 GXR262062:GXS262065 HHN262062:HHO262065 HRJ262062:HRK262065 IBF262062:IBG262065 ILB262062:ILC262065 IUX262062:IUY262065 JET262062:JEU262065 JOP262062:JOQ262065 JYL262062:JYM262065 KIH262062:KII262065 KSD262062:KSE262065 LBZ262062:LCA262065 LLV262062:LLW262065 LVR262062:LVS262065 MFN262062:MFO262065 MPJ262062:MPK262065 MZF262062:MZG262065 NJB262062:NJC262065 NSX262062:NSY262065 OCT262062:OCU262065 OMP262062:OMQ262065 OWL262062:OWM262065 PGH262062:PGI262065 PQD262062:PQE262065 PZZ262062:QAA262065 QJV262062:QJW262065 QTR262062:QTS262065 RDN262062:RDO262065 RNJ262062:RNK262065 RXF262062:RXG262065 SHB262062:SHC262065 SQX262062:SQY262065 TAT262062:TAU262065 TKP262062:TKQ262065 TUL262062:TUM262065 UEH262062:UEI262065 UOD262062:UOE262065 UXZ262062:UYA262065 VHV262062:VHW262065 VRR262062:VRS262065 WBN262062:WBO262065 WLJ262062:WLK262065 WVF262062:WVG262065 AMH5:AMI7 IT327598:IU327601 SP327598:SQ327601 ACL327598:ACM327601 AMH327598:AMI327601 AWD327598:AWE327601 BFZ327598:BGA327601 BPV327598:BPW327601 BZR327598:BZS327601 CJN327598:CJO327601 CTJ327598:CTK327601 DDF327598:DDG327601 DNB327598:DNC327601 DWX327598:DWY327601 EGT327598:EGU327601 EQP327598:EQQ327601 FAL327598:FAM327601 FKH327598:FKI327601 FUD327598:FUE327601 GDZ327598:GEA327601 GNV327598:GNW327601 GXR327598:GXS327601 HHN327598:HHO327601 HRJ327598:HRK327601 IBF327598:IBG327601 ILB327598:ILC327601 IUX327598:IUY327601 JET327598:JEU327601 JOP327598:JOQ327601 JYL327598:JYM327601 KIH327598:KII327601 KSD327598:KSE327601 LBZ327598:LCA327601 LLV327598:LLW327601 LVR327598:LVS327601 MFN327598:MFO327601 MPJ327598:MPK327601 MZF327598:MZG327601 NJB327598:NJC327601 NSX327598:NSY327601 OCT327598:OCU327601 OMP327598:OMQ327601 OWL327598:OWM327601 PGH327598:PGI327601 PQD327598:PQE327601 PZZ327598:QAA327601 QJV327598:QJW327601 QTR327598:QTS327601 RDN327598:RDO327601 RNJ327598:RNK327601 RXF327598:RXG327601 SHB327598:SHC327601 SQX327598:SQY327601 TAT327598:TAU327601 TKP327598:TKQ327601 TUL327598:TUM327601 UEH327598:UEI327601 UOD327598:UOE327601 UXZ327598:UYA327601 VHV327598:VHW327601 VRR327598:VRS327601 WBN327598:WBO327601 WLJ327598:WLK327601 WVF327598:WVG327601 AWD5:AWE7 IT393134:IU393137 SP393134:SQ393137 ACL393134:ACM393137 AMH393134:AMI393137 AWD393134:AWE393137 BFZ393134:BGA393137 BPV393134:BPW393137 BZR393134:BZS393137 CJN393134:CJO393137 CTJ393134:CTK393137 DDF393134:DDG393137 DNB393134:DNC393137 DWX393134:DWY393137 EGT393134:EGU393137 EQP393134:EQQ393137 FAL393134:FAM393137 FKH393134:FKI393137 FUD393134:FUE393137 GDZ393134:GEA393137 GNV393134:GNW393137 GXR393134:GXS393137 HHN393134:HHO393137 HRJ393134:HRK393137 IBF393134:IBG393137 ILB393134:ILC393137 IUX393134:IUY393137 JET393134:JEU393137 JOP393134:JOQ393137 JYL393134:JYM393137 KIH393134:KII393137 KSD393134:KSE393137 LBZ393134:LCA393137 LLV393134:LLW393137 LVR393134:LVS393137 MFN393134:MFO393137 MPJ393134:MPK393137 MZF393134:MZG393137 NJB393134:NJC393137 NSX393134:NSY393137 OCT393134:OCU393137 OMP393134:OMQ393137 OWL393134:OWM393137 PGH393134:PGI393137 PQD393134:PQE393137 PZZ393134:QAA393137 QJV393134:QJW393137 QTR393134:QTS393137 RDN393134:RDO393137 RNJ393134:RNK393137 RXF393134:RXG393137 SHB393134:SHC393137 SQX393134:SQY393137 TAT393134:TAU393137 TKP393134:TKQ393137 TUL393134:TUM393137 UEH393134:UEI393137 UOD393134:UOE393137 UXZ393134:UYA393137 VHV393134:VHW393137 VRR393134:VRS393137 WBN393134:WBO393137 WLJ393134:WLK393137 WVF393134:WVG393137 BFZ5:BGA7 IT458670:IU458673 SP458670:SQ458673 ACL458670:ACM458673 AMH458670:AMI458673 AWD458670:AWE458673 BFZ458670:BGA458673 BPV458670:BPW458673 BZR458670:BZS458673 CJN458670:CJO458673 CTJ458670:CTK458673 DDF458670:DDG458673 DNB458670:DNC458673 DWX458670:DWY458673 EGT458670:EGU458673 EQP458670:EQQ458673 FAL458670:FAM458673 FKH458670:FKI458673 FUD458670:FUE458673 GDZ458670:GEA458673 GNV458670:GNW458673 GXR458670:GXS458673 HHN458670:HHO458673 HRJ458670:HRK458673 IBF458670:IBG458673 ILB458670:ILC458673 IUX458670:IUY458673 JET458670:JEU458673 JOP458670:JOQ458673 JYL458670:JYM458673 KIH458670:KII458673 KSD458670:KSE458673 LBZ458670:LCA458673 LLV458670:LLW458673 LVR458670:LVS458673 MFN458670:MFO458673 MPJ458670:MPK458673 MZF458670:MZG458673 NJB458670:NJC458673 NSX458670:NSY458673 OCT458670:OCU458673 OMP458670:OMQ458673 OWL458670:OWM458673 PGH458670:PGI458673 PQD458670:PQE458673 PZZ458670:QAA458673 QJV458670:QJW458673 QTR458670:QTS458673 RDN458670:RDO458673 RNJ458670:RNK458673 RXF458670:RXG458673 SHB458670:SHC458673 SQX458670:SQY458673 TAT458670:TAU458673 TKP458670:TKQ458673 TUL458670:TUM458673 UEH458670:UEI458673 UOD458670:UOE458673 UXZ458670:UYA458673 VHV458670:VHW458673 VRR458670:VRS458673 WBN458670:WBO458673 WLJ458670:WLK458673 WVF458670:WVG458673 BPV5:BPW7 IT524206:IU524209 SP524206:SQ524209 ACL524206:ACM524209 AMH524206:AMI524209 AWD524206:AWE524209 BFZ524206:BGA524209 BPV524206:BPW524209 BZR524206:BZS524209 CJN524206:CJO524209 CTJ524206:CTK524209 DDF524206:DDG524209 DNB524206:DNC524209 DWX524206:DWY524209 EGT524206:EGU524209 EQP524206:EQQ524209 FAL524206:FAM524209 FKH524206:FKI524209 FUD524206:FUE524209 GDZ524206:GEA524209 GNV524206:GNW524209 GXR524206:GXS524209 HHN524206:HHO524209 HRJ524206:HRK524209 IBF524206:IBG524209 ILB524206:ILC524209 IUX524206:IUY524209 JET524206:JEU524209 JOP524206:JOQ524209 JYL524206:JYM524209 KIH524206:KII524209 KSD524206:KSE524209 LBZ524206:LCA524209 LLV524206:LLW524209 LVR524206:LVS524209 MFN524206:MFO524209 MPJ524206:MPK524209 MZF524206:MZG524209 NJB524206:NJC524209 NSX524206:NSY524209 OCT524206:OCU524209 OMP524206:OMQ524209 OWL524206:OWM524209 PGH524206:PGI524209 PQD524206:PQE524209 PZZ524206:QAA524209 QJV524206:QJW524209 QTR524206:QTS524209 RDN524206:RDO524209 RNJ524206:RNK524209 RXF524206:RXG524209 SHB524206:SHC524209 SQX524206:SQY524209 TAT524206:TAU524209 TKP524206:TKQ524209 TUL524206:TUM524209 UEH524206:UEI524209 UOD524206:UOE524209 UXZ524206:UYA524209 VHV524206:VHW524209 VRR524206:VRS524209 WBN524206:WBO524209 WLJ524206:WLK524209 WVF524206:WVG524209 BZR5:BZS7 IT589742:IU589745 SP589742:SQ589745 ACL589742:ACM589745 AMH589742:AMI589745 AWD589742:AWE589745 BFZ589742:BGA589745 BPV589742:BPW589745 BZR589742:BZS589745 CJN589742:CJO589745 CTJ589742:CTK589745 DDF589742:DDG589745 DNB589742:DNC589745 DWX589742:DWY589745 EGT589742:EGU589745 EQP589742:EQQ589745 FAL589742:FAM589745 FKH589742:FKI589745 FUD589742:FUE589745 GDZ589742:GEA589745 GNV589742:GNW589745 GXR589742:GXS589745 HHN589742:HHO589745 HRJ589742:HRK589745 IBF589742:IBG589745 ILB589742:ILC589745 IUX589742:IUY589745 JET589742:JEU589745 JOP589742:JOQ589745 JYL589742:JYM589745 KIH589742:KII589745 KSD589742:KSE589745 LBZ589742:LCA589745 LLV589742:LLW589745 LVR589742:LVS589745 MFN589742:MFO589745 MPJ589742:MPK589745 MZF589742:MZG589745 NJB589742:NJC589745 NSX589742:NSY589745 OCT589742:OCU589745 OMP589742:OMQ589745 OWL589742:OWM589745 PGH589742:PGI589745 PQD589742:PQE589745 PZZ589742:QAA589745 QJV589742:QJW589745 QTR589742:QTS589745 RDN589742:RDO589745 RNJ589742:RNK589745 RXF589742:RXG589745 SHB589742:SHC589745 SQX589742:SQY589745 TAT589742:TAU589745 TKP589742:TKQ589745 TUL589742:TUM589745 UEH589742:UEI589745 UOD589742:UOE589745 UXZ589742:UYA589745 VHV589742:VHW589745 VRR589742:VRS589745 WBN589742:WBO589745 WLJ589742:WLK589745 WVF589742:WVG589745 CJN5:CJO7 IT655278:IU655281 SP655278:SQ655281 ACL655278:ACM655281 AMH655278:AMI655281 AWD655278:AWE655281 BFZ655278:BGA655281 BPV655278:BPW655281 BZR655278:BZS655281 CJN655278:CJO655281 CTJ655278:CTK655281 DDF655278:DDG655281 DNB655278:DNC655281 DWX655278:DWY655281 EGT655278:EGU655281 EQP655278:EQQ655281 FAL655278:FAM655281 FKH655278:FKI655281 FUD655278:FUE655281 GDZ655278:GEA655281 GNV655278:GNW655281 GXR655278:GXS655281 HHN655278:HHO655281 HRJ655278:HRK655281 IBF655278:IBG655281 ILB655278:ILC655281 IUX655278:IUY655281 JET655278:JEU655281 JOP655278:JOQ655281 JYL655278:JYM655281 KIH655278:KII655281 KSD655278:KSE655281 LBZ655278:LCA655281 LLV655278:LLW655281 LVR655278:LVS655281 MFN655278:MFO655281 MPJ655278:MPK655281 MZF655278:MZG655281 NJB655278:NJC655281 NSX655278:NSY655281 OCT655278:OCU655281 OMP655278:OMQ655281 OWL655278:OWM655281 PGH655278:PGI655281 PQD655278:PQE655281 PZZ655278:QAA655281 QJV655278:QJW655281 QTR655278:QTS655281 RDN655278:RDO655281 RNJ655278:RNK655281 RXF655278:RXG655281 SHB655278:SHC655281 SQX655278:SQY655281 TAT655278:TAU655281 TKP655278:TKQ655281 TUL655278:TUM655281 UEH655278:UEI655281 UOD655278:UOE655281 UXZ655278:UYA655281 VHV655278:VHW655281 VRR655278:VRS655281 WBN655278:WBO655281 WLJ655278:WLK655281 WVF655278:WVG655281 CTJ5:CTK7 IT720814:IU720817 SP720814:SQ720817 ACL720814:ACM720817 AMH720814:AMI720817 AWD720814:AWE720817 BFZ720814:BGA720817 BPV720814:BPW720817 BZR720814:BZS720817 CJN720814:CJO720817 CTJ720814:CTK720817 DDF720814:DDG720817 DNB720814:DNC720817 DWX720814:DWY720817 EGT720814:EGU720817 EQP720814:EQQ720817 FAL720814:FAM720817 FKH720814:FKI720817 FUD720814:FUE720817 GDZ720814:GEA720817 GNV720814:GNW720817 GXR720814:GXS720817 HHN720814:HHO720817 HRJ720814:HRK720817 IBF720814:IBG720817 ILB720814:ILC720817 IUX720814:IUY720817 JET720814:JEU720817 JOP720814:JOQ720817 JYL720814:JYM720817 KIH720814:KII720817 KSD720814:KSE720817 LBZ720814:LCA720817 LLV720814:LLW720817 LVR720814:LVS720817 MFN720814:MFO720817 MPJ720814:MPK720817 MZF720814:MZG720817 NJB720814:NJC720817 NSX720814:NSY720817 OCT720814:OCU720817 OMP720814:OMQ720817 OWL720814:OWM720817 PGH720814:PGI720817 PQD720814:PQE720817 PZZ720814:QAA720817 QJV720814:QJW720817 QTR720814:QTS720817 RDN720814:RDO720817 RNJ720814:RNK720817 RXF720814:RXG720817 SHB720814:SHC720817 SQX720814:SQY720817 TAT720814:TAU720817 TKP720814:TKQ720817 TUL720814:TUM720817 UEH720814:UEI720817 UOD720814:UOE720817 UXZ720814:UYA720817 VHV720814:VHW720817 VRR720814:VRS720817 WBN720814:WBO720817 WLJ720814:WLK720817 WVF720814:WVG720817 DDF5:DDG7 IT786350:IU786353 SP786350:SQ786353 ACL786350:ACM786353 AMH786350:AMI786353 AWD786350:AWE786353 BFZ786350:BGA786353 BPV786350:BPW786353 BZR786350:BZS786353 CJN786350:CJO786353 CTJ786350:CTK786353 DDF786350:DDG786353 DNB786350:DNC786353 DWX786350:DWY786353 EGT786350:EGU786353 EQP786350:EQQ786353 FAL786350:FAM786353 FKH786350:FKI786353 FUD786350:FUE786353 GDZ786350:GEA786353 GNV786350:GNW786353 GXR786350:GXS786353 HHN786350:HHO786353 HRJ786350:HRK786353 IBF786350:IBG786353 ILB786350:ILC786353 IUX786350:IUY786353 JET786350:JEU786353 JOP786350:JOQ786353 JYL786350:JYM786353 KIH786350:KII786353 KSD786350:KSE786353 LBZ786350:LCA786353 LLV786350:LLW786353 LVR786350:LVS786353 MFN786350:MFO786353 MPJ786350:MPK786353 MZF786350:MZG786353 NJB786350:NJC786353 NSX786350:NSY786353 OCT786350:OCU786353 OMP786350:OMQ786353 OWL786350:OWM786353 PGH786350:PGI786353 PQD786350:PQE786353 PZZ786350:QAA786353 QJV786350:QJW786353 QTR786350:QTS786353 RDN786350:RDO786353 RNJ786350:RNK786353 RXF786350:RXG786353 SHB786350:SHC786353 SQX786350:SQY786353 TAT786350:TAU786353 TKP786350:TKQ786353 TUL786350:TUM786353 UEH786350:UEI786353 UOD786350:UOE786353 UXZ786350:UYA786353 VHV786350:VHW786353 VRR786350:VRS786353 WBN786350:WBO786353 WLJ786350:WLK786353 WVF786350:WVG786353 DNB5:DNC7 IT851886:IU851889 SP851886:SQ851889 ACL851886:ACM851889 AMH851886:AMI851889 AWD851886:AWE851889 BFZ851886:BGA851889 BPV851886:BPW851889 BZR851886:BZS851889 CJN851886:CJO851889 CTJ851886:CTK851889 DDF851886:DDG851889 DNB851886:DNC851889 DWX851886:DWY851889 EGT851886:EGU851889 EQP851886:EQQ851889 FAL851886:FAM851889 FKH851886:FKI851889 FUD851886:FUE851889 GDZ851886:GEA851889 GNV851886:GNW851889 GXR851886:GXS851889 HHN851886:HHO851889 HRJ851886:HRK851889 IBF851886:IBG851889 ILB851886:ILC851889 IUX851886:IUY851889 JET851886:JEU851889 JOP851886:JOQ851889 JYL851886:JYM851889 KIH851886:KII851889 KSD851886:KSE851889 LBZ851886:LCA851889 LLV851886:LLW851889 LVR851886:LVS851889 MFN851886:MFO851889 MPJ851886:MPK851889 MZF851886:MZG851889 NJB851886:NJC851889 NSX851886:NSY851889 OCT851886:OCU851889 OMP851886:OMQ851889 OWL851886:OWM851889 PGH851886:PGI851889 PQD851886:PQE851889 PZZ851886:QAA851889 QJV851886:QJW851889 QTR851886:QTS851889 RDN851886:RDO851889 RNJ851886:RNK851889 RXF851886:RXG851889 SHB851886:SHC851889 SQX851886:SQY851889 TAT851886:TAU851889 TKP851886:TKQ851889 TUL851886:TUM851889 UEH851886:UEI851889 UOD851886:UOE851889 UXZ851886:UYA851889 VHV851886:VHW851889 VRR851886:VRS851889 WBN851886:WBO851889 WLJ851886:WLK851889 WVF851886:WVG851889 DWX5:DWY7 IT917422:IU917425 SP917422:SQ917425 ACL917422:ACM917425 AMH917422:AMI917425 AWD917422:AWE917425 BFZ917422:BGA917425 BPV917422:BPW917425 BZR917422:BZS917425 CJN917422:CJO917425 CTJ917422:CTK917425 DDF917422:DDG917425 DNB917422:DNC917425 DWX917422:DWY917425 EGT917422:EGU917425 EQP917422:EQQ917425 FAL917422:FAM917425 FKH917422:FKI917425 FUD917422:FUE917425 GDZ917422:GEA917425 GNV917422:GNW917425 GXR917422:GXS917425 HHN917422:HHO917425 HRJ917422:HRK917425 IBF917422:IBG917425 ILB917422:ILC917425 IUX917422:IUY917425 JET917422:JEU917425 JOP917422:JOQ917425 JYL917422:JYM917425 KIH917422:KII917425 KSD917422:KSE917425 LBZ917422:LCA917425 LLV917422:LLW917425 LVR917422:LVS917425 MFN917422:MFO917425 MPJ917422:MPK917425 MZF917422:MZG917425 NJB917422:NJC917425 NSX917422:NSY917425 OCT917422:OCU917425 OMP917422:OMQ917425 OWL917422:OWM917425 PGH917422:PGI917425 PQD917422:PQE917425 PZZ917422:QAA917425 QJV917422:QJW917425 QTR917422:QTS917425 RDN917422:RDO917425 RNJ917422:RNK917425 RXF917422:RXG917425 SHB917422:SHC917425 SQX917422:SQY917425 TAT917422:TAU917425 TKP917422:TKQ917425 TUL917422:TUM917425 UEH917422:UEI917425 UOD917422:UOE917425 UXZ917422:UYA917425 VHV917422:VHW917425 VRR917422:VRS917425 WBN917422:WBO917425 WLJ917422:WLK917425 WVF917422:WVG917425 EGT5:EGU7 IT982958:IU982961 SP982958:SQ982961 ACL982958:ACM982961 AMH982958:AMI982961 AWD982958:AWE982961 BFZ982958:BGA982961 BPV982958:BPW982961 BZR982958:BZS982961 CJN982958:CJO982961 CTJ982958:CTK982961 DDF982958:DDG982961 DNB982958:DNC982961 DWX982958:DWY982961 EGT982958:EGU982961 EQP982958:EQQ982961 FAL982958:FAM982961 FKH982958:FKI982961 FUD982958:FUE982961 GDZ982958:GEA982961 GNV982958:GNW982961 GXR982958:GXS982961 HHN982958:HHO982961 HRJ982958:HRK982961 IBF982958:IBG982961 ILB982958:ILC982961 IUX982958:IUY982961 JET982958:JEU982961 JOP982958:JOQ982961 JYL982958:JYM982961 KIH982958:KII982961 KSD982958:KSE982961 LBZ982958:LCA982961 LLV982958:LLW982961 LVR982958:LVS982961 MFN982958:MFO982961 MPJ982958:MPK982961 MZF982958:MZG982961 NJB982958:NJC982961 NSX982958:NSY982961 OCT982958:OCU982961 OMP982958:OMQ982961 OWL982958:OWM982961 PGH982958:PGI982961 PQD982958:PQE982961 PZZ982958:QAA982961 QJV982958:QJW982961 QTR982958:QTS982961 RDN982958:RDO982961 RNJ982958:RNK982961 RXF982958:RXG982961 SHB982958:SHC982961 SQX982958:SQY982961 TAT982958:TAU982961 TKP982958:TKQ982961 TUL982958:TUM982961 UEH982958:UEI982961 UOD982958:UOE982961 UXZ982958:UYA982961 VHV982958:VHW982961 VRR982958:VRS982961 WBN982958:WBO982961 WLJ982958:WLK982961 WVF982958:WVG982961 EQP5:EQQ7 IT65459:IU65461 SP65459:SQ65461 ACL65459:ACM65461 AMH65459:AMI65461 AWD65459:AWE65461 BFZ65459:BGA65461 BPV65459:BPW65461 BZR65459:BZS65461 CJN65459:CJO65461 CTJ65459:CTK65461 DDF65459:DDG65461 DNB65459:DNC65461 DWX65459:DWY65461 EGT65459:EGU65461 EQP65459:EQQ65461 FAL65459:FAM65461 FKH65459:FKI65461 FUD65459:FUE65461 GDZ65459:GEA65461 GNV65459:GNW65461 GXR65459:GXS65461 HHN65459:HHO65461 HRJ65459:HRK65461 IBF65459:IBG65461 ILB65459:ILC65461 IUX65459:IUY65461 JET65459:JEU65461 JOP65459:JOQ65461 JYL65459:JYM65461 KIH65459:KII65461 KSD65459:KSE65461 LBZ65459:LCA65461 LLV65459:LLW65461 LVR65459:LVS65461 MFN65459:MFO65461 MPJ65459:MPK65461 MZF65459:MZG65461 NJB65459:NJC65461 NSX65459:NSY65461 OCT65459:OCU65461 OMP65459:OMQ65461 OWL65459:OWM65461 PGH65459:PGI65461 PQD65459:PQE65461 PZZ65459:QAA65461 QJV65459:QJW65461 QTR65459:QTS65461 RDN65459:RDO65461 RNJ65459:RNK65461 RXF65459:RXG65461 SHB65459:SHC65461 SQX65459:SQY65461 TAT65459:TAU65461 TKP65459:TKQ65461 TUL65459:TUM65461 UEH65459:UEI65461 UOD65459:UOE65461 UXZ65459:UYA65461 VHV65459:VHW65461 VRR65459:VRS65461 WBN65459:WBO65461 WLJ65459:WLK65461 WVF65459:WVG65461 IT130995:IU130997 SP130995:SQ130997 ACL130995:ACM130997 AMH130995:AMI130997 AWD130995:AWE130997 BFZ130995:BGA130997 BPV130995:BPW130997 BZR130995:BZS130997 CJN130995:CJO130997 CTJ130995:CTK130997 DDF130995:DDG130997 DNB130995:DNC130997 DWX130995:DWY130997 EGT130995:EGU130997 EQP130995:EQQ130997 FAL130995:FAM130997 FKH130995:FKI130997 FUD130995:FUE130997 GDZ130995:GEA130997 GNV130995:GNW130997 GXR130995:GXS130997 HHN130995:HHO130997 HRJ130995:HRK130997 IBF130995:IBG130997 ILB130995:ILC130997 IUX130995:IUY130997 JET130995:JEU130997 JOP130995:JOQ130997 JYL130995:JYM130997 KIH130995:KII130997 KSD130995:KSE130997 LBZ130995:LCA130997 LLV130995:LLW130997 LVR130995:LVS130997 MFN130995:MFO130997 MPJ130995:MPK130997 MZF130995:MZG130997 NJB130995:NJC130997 NSX130995:NSY130997 OCT130995:OCU130997 OMP130995:OMQ130997 OWL130995:OWM130997 PGH130995:PGI130997 PQD130995:PQE130997 PZZ130995:QAA130997 QJV130995:QJW130997 QTR130995:QTS130997 RDN130995:RDO130997 RNJ130995:RNK130997 RXF130995:RXG130997 SHB130995:SHC130997 SQX130995:SQY130997 TAT130995:TAU130997 TKP130995:TKQ130997 TUL130995:TUM130997 UEH130995:UEI130997 UOD130995:UOE130997 UXZ130995:UYA130997 VHV130995:VHW130997 VRR130995:VRS130997 WBN130995:WBO130997 WLJ130995:WLK130997 WVF130995:WVG130997 IT196531:IU196533 SP196531:SQ196533 ACL196531:ACM196533 AMH196531:AMI196533 AWD196531:AWE196533 BFZ196531:BGA196533 BPV196531:BPW196533 BZR196531:BZS196533 CJN196531:CJO196533 CTJ196531:CTK196533 DDF196531:DDG196533 DNB196531:DNC196533 DWX196531:DWY196533 EGT196531:EGU196533 EQP196531:EQQ196533 FAL196531:FAM196533 FKH196531:FKI196533 FUD196531:FUE196533 GDZ196531:GEA196533 GNV196531:GNW196533 GXR196531:GXS196533 HHN196531:HHO196533 HRJ196531:HRK196533 IBF196531:IBG196533 ILB196531:ILC196533 IUX196531:IUY196533 JET196531:JEU196533 JOP196531:JOQ196533 JYL196531:JYM196533 KIH196531:KII196533 KSD196531:KSE196533 LBZ196531:LCA196533 LLV196531:LLW196533 LVR196531:LVS196533 MFN196531:MFO196533 MPJ196531:MPK196533 MZF196531:MZG196533 NJB196531:NJC196533 NSX196531:NSY196533 OCT196531:OCU196533 OMP196531:OMQ196533 OWL196531:OWM196533 PGH196531:PGI196533 PQD196531:PQE196533 PZZ196531:QAA196533 QJV196531:QJW196533 QTR196531:QTS196533 RDN196531:RDO196533 RNJ196531:RNK196533 RXF196531:RXG196533 SHB196531:SHC196533 SQX196531:SQY196533 TAT196531:TAU196533 TKP196531:TKQ196533 TUL196531:TUM196533 UEH196531:UEI196533 UOD196531:UOE196533 UXZ196531:UYA196533 VHV196531:VHW196533 VRR196531:VRS196533 WBN196531:WBO196533 WLJ196531:WLK196533 WVF196531:WVG196533 IT262067:IU262069 SP262067:SQ262069 ACL262067:ACM262069 AMH262067:AMI262069 AWD262067:AWE262069 BFZ262067:BGA262069 BPV262067:BPW262069 BZR262067:BZS262069 CJN262067:CJO262069 CTJ262067:CTK262069 DDF262067:DDG262069 DNB262067:DNC262069 DWX262067:DWY262069 EGT262067:EGU262069 EQP262067:EQQ262069 FAL262067:FAM262069 FKH262067:FKI262069 FUD262067:FUE262069 GDZ262067:GEA262069 GNV262067:GNW262069 GXR262067:GXS262069 HHN262067:HHO262069 HRJ262067:HRK262069 IBF262067:IBG262069 ILB262067:ILC262069 IUX262067:IUY262069 JET262067:JEU262069 JOP262067:JOQ262069 JYL262067:JYM262069 KIH262067:KII262069 KSD262067:KSE262069 LBZ262067:LCA262069 LLV262067:LLW262069 LVR262067:LVS262069 MFN262067:MFO262069 MPJ262067:MPK262069 MZF262067:MZG262069 NJB262067:NJC262069 NSX262067:NSY262069 OCT262067:OCU262069 OMP262067:OMQ262069 OWL262067:OWM262069 PGH262067:PGI262069 PQD262067:PQE262069 PZZ262067:QAA262069 QJV262067:QJW262069 QTR262067:QTS262069 RDN262067:RDO262069 RNJ262067:RNK262069 RXF262067:RXG262069 SHB262067:SHC262069 SQX262067:SQY262069 TAT262067:TAU262069 TKP262067:TKQ262069 TUL262067:TUM262069 UEH262067:UEI262069 UOD262067:UOE262069 UXZ262067:UYA262069 VHV262067:VHW262069 VRR262067:VRS262069 WBN262067:WBO262069 WLJ262067:WLK262069 WVF262067:WVG262069 IT327603:IU327605 SP327603:SQ327605 ACL327603:ACM327605 AMH327603:AMI327605 AWD327603:AWE327605 BFZ327603:BGA327605 BPV327603:BPW327605 BZR327603:BZS327605 CJN327603:CJO327605 CTJ327603:CTK327605 DDF327603:DDG327605 DNB327603:DNC327605 DWX327603:DWY327605 EGT327603:EGU327605 EQP327603:EQQ327605 FAL327603:FAM327605 FKH327603:FKI327605 FUD327603:FUE327605 GDZ327603:GEA327605 GNV327603:GNW327605 GXR327603:GXS327605 HHN327603:HHO327605 HRJ327603:HRK327605 IBF327603:IBG327605 ILB327603:ILC327605 IUX327603:IUY327605 JET327603:JEU327605 JOP327603:JOQ327605 JYL327603:JYM327605 KIH327603:KII327605 KSD327603:KSE327605 LBZ327603:LCA327605 LLV327603:LLW327605 LVR327603:LVS327605 MFN327603:MFO327605 MPJ327603:MPK327605 MZF327603:MZG327605 NJB327603:NJC327605 NSX327603:NSY327605 OCT327603:OCU327605 OMP327603:OMQ327605 OWL327603:OWM327605 PGH327603:PGI327605 PQD327603:PQE327605 PZZ327603:QAA327605 QJV327603:QJW327605 QTR327603:QTS327605 RDN327603:RDO327605 RNJ327603:RNK327605 RXF327603:RXG327605 SHB327603:SHC327605 SQX327603:SQY327605 TAT327603:TAU327605 TKP327603:TKQ327605 TUL327603:TUM327605 UEH327603:UEI327605 UOD327603:UOE327605 UXZ327603:UYA327605 VHV327603:VHW327605 VRR327603:VRS327605 WBN327603:WBO327605 WLJ327603:WLK327605 WVF327603:WVG327605 IT393139:IU393141 SP393139:SQ393141 ACL393139:ACM393141 AMH393139:AMI393141 AWD393139:AWE393141 BFZ393139:BGA393141 BPV393139:BPW393141 BZR393139:BZS393141 CJN393139:CJO393141 CTJ393139:CTK393141 DDF393139:DDG393141 DNB393139:DNC393141 DWX393139:DWY393141 EGT393139:EGU393141 EQP393139:EQQ393141 FAL393139:FAM393141 FKH393139:FKI393141 FUD393139:FUE393141 GDZ393139:GEA393141 GNV393139:GNW393141 GXR393139:GXS393141 HHN393139:HHO393141 HRJ393139:HRK393141 IBF393139:IBG393141 ILB393139:ILC393141 IUX393139:IUY393141 JET393139:JEU393141 JOP393139:JOQ393141 JYL393139:JYM393141 KIH393139:KII393141 KSD393139:KSE393141 LBZ393139:LCA393141 LLV393139:LLW393141 LVR393139:LVS393141 MFN393139:MFO393141 MPJ393139:MPK393141 MZF393139:MZG393141 NJB393139:NJC393141 NSX393139:NSY393141 OCT393139:OCU393141 OMP393139:OMQ393141 OWL393139:OWM393141 PGH393139:PGI393141 PQD393139:PQE393141 PZZ393139:QAA393141 QJV393139:QJW393141 QTR393139:QTS393141 RDN393139:RDO393141 RNJ393139:RNK393141 RXF393139:RXG393141 SHB393139:SHC393141 SQX393139:SQY393141 TAT393139:TAU393141 TKP393139:TKQ393141 TUL393139:TUM393141 UEH393139:UEI393141 UOD393139:UOE393141 UXZ393139:UYA393141 VHV393139:VHW393141 VRR393139:VRS393141 WBN393139:WBO393141 WLJ393139:WLK393141 WVF393139:WVG393141 IT458675:IU458677 SP458675:SQ458677 ACL458675:ACM458677 AMH458675:AMI458677 AWD458675:AWE458677 BFZ458675:BGA458677 BPV458675:BPW458677 BZR458675:BZS458677 CJN458675:CJO458677 CTJ458675:CTK458677 DDF458675:DDG458677 DNB458675:DNC458677 DWX458675:DWY458677 EGT458675:EGU458677 EQP458675:EQQ458677 FAL458675:FAM458677 FKH458675:FKI458677 FUD458675:FUE458677 GDZ458675:GEA458677 GNV458675:GNW458677 GXR458675:GXS458677 HHN458675:HHO458677 HRJ458675:HRK458677 IBF458675:IBG458677 ILB458675:ILC458677 IUX458675:IUY458677 JET458675:JEU458677 JOP458675:JOQ458677 JYL458675:JYM458677 KIH458675:KII458677 KSD458675:KSE458677 LBZ458675:LCA458677 LLV458675:LLW458677 LVR458675:LVS458677 MFN458675:MFO458677 MPJ458675:MPK458677 MZF458675:MZG458677 NJB458675:NJC458677 NSX458675:NSY458677 OCT458675:OCU458677 OMP458675:OMQ458677 OWL458675:OWM458677 PGH458675:PGI458677 PQD458675:PQE458677 PZZ458675:QAA458677 QJV458675:QJW458677 QTR458675:QTS458677 RDN458675:RDO458677 RNJ458675:RNK458677 RXF458675:RXG458677 SHB458675:SHC458677 SQX458675:SQY458677 TAT458675:TAU458677 TKP458675:TKQ458677 TUL458675:TUM458677 UEH458675:UEI458677 UOD458675:UOE458677 UXZ458675:UYA458677 VHV458675:VHW458677 VRR458675:VRS458677 WBN458675:WBO458677 WLJ458675:WLK458677 WVF458675:WVG458677 IT524211:IU524213 SP524211:SQ524213 ACL524211:ACM524213 AMH524211:AMI524213 AWD524211:AWE524213 BFZ524211:BGA524213 BPV524211:BPW524213 BZR524211:BZS524213 CJN524211:CJO524213 CTJ524211:CTK524213 DDF524211:DDG524213 DNB524211:DNC524213 DWX524211:DWY524213 EGT524211:EGU524213 EQP524211:EQQ524213 FAL524211:FAM524213 FKH524211:FKI524213 FUD524211:FUE524213 GDZ524211:GEA524213 GNV524211:GNW524213 GXR524211:GXS524213 HHN524211:HHO524213 HRJ524211:HRK524213 IBF524211:IBG524213 ILB524211:ILC524213 IUX524211:IUY524213 JET524211:JEU524213 JOP524211:JOQ524213 JYL524211:JYM524213 KIH524211:KII524213 KSD524211:KSE524213 LBZ524211:LCA524213 LLV524211:LLW524213 LVR524211:LVS524213 MFN524211:MFO524213 MPJ524211:MPK524213 MZF524211:MZG524213 NJB524211:NJC524213 NSX524211:NSY524213 OCT524211:OCU524213 OMP524211:OMQ524213 OWL524211:OWM524213 PGH524211:PGI524213 PQD524211:PQE524213 PZZ524211:QAA524213 QJV524211:QJW524213 QTR524211:QTS524213 RDN524211:RDO524213 RNJ524211:RNK524213 RXF524211:RXG524213 SHB524211:SHC524213 SQX524211:SQY524213 TAT524211:TAU524213 TKP524211:TKQ524213 TUL524211:TUM524213 UEH524211:UEI524213 UOD524211:UOE524213 UXZ524211:UYA524213 VHV524211:VHW524213 VRR524211:VRS524213 WBN524211:WBO524213 WLJ524211:WLK524213 WVF524211:WVG524213 IT589747:IU589749 SP589747:SQ589749 ACL589747:ACM589749 AMH589747:AMI589749 AWD589747:AWE589749 BFZ589747:BGA589749 BPV589747:BPW589749 BZR589747:BZS589749 CJN589747:CJO589749 CTJ589747:CTK589749 DDF589747:DDG589749 DNB589747:DNC589749 DWX589747:DWY589749 EGT589747:EGU589749 EQP589747:EQQ589749 FAL589747:FAM589749 FKH589747:FKI589749 FUD589747:FUE589749 GDZ589747:GEA589749 GNV589747:GNW589749 GXR589747:GXS589749 HHN589747:HHO589749 HRJ589747:HRK589749 IBF589747:IBG589749 ILB589747:ILC589749 IUX589747:IUY589749 JET589747:JEU589749 JOP589747:JOQ589749 JYL589747:JYM589749 KIH589747:KII589749 KSD589747:KSE589749 LBZ589747:LCA589749 LLV589747:LLW589749 LVR589747:LVS589749 MFN589747:MFO589749 MPJ589747:MPK589749 MZF589747:MZG589749 NJB589747:NJC589749 NSX589747:NSY589749 OCT589747:OCU589749 OMP589747:OMQ589749 OWL589747:OWM589749 PGH589747:PGI589749 PQD589747:PQE589749 PZZ589747:QAA589749 QJV589747:QJW589749 QTR589747:QTS589749 RDN589747:RDO589749 RNJ589747:RNK589749 RXF589747:RXG589749 SHB589747:SHC589749 SQX589747:SQY589749 TAT589747:TAU589749 TKP589747:TKQ589749 TUL589747:TUM589749 UEH589747:UEI589749 UOD589747:UOE589749 UXZ589747:UYA589749 VHV589747:VHW589749 VRR589747:VRS589749 WBN589747:WBO589749 WLJ589747:WLK589749 WVF589747:WVG589749 IT655283:IU655285 SP655283:SQ655285 ACL655283:ACM655285 AMH655283:AMI655285 AWD655283:AWE655285 BFZ655283:BGA655285 BPV655283:BPW655285 BZR655283:BZS655285 CJN655283:CJO655285 CTJ655283:CTK655285 DDF655283:DDG655285 DNB655283:DNC655285 DWX655283:DWY655285 EGT655283:EGU655285 EQP655283:EQQ655285 FAL655283:FAM655285 FKH655283:FKI655285 FUD655283:FUE655285 GDZ655283:GEA655285 GNV655283:GNW655285 GXR655283:GXS655285 HHN655283:HHO655285 HRJ655283:HRK655285 IBF655283:IBG655285 ILB655283:ILC655285 IUX655283:IUY655285 JET655283:JEU655285 JOP655283:JOQ655285 JYL655283:JYM655285 KIH655283:KII655285 KSD655283:KSE655285 LBZ655283:LCA655285 LLV655283:LLW655285 LVR655283:LVS655285 MFN655283:MFO655285 MPJ655283:MPK655285 MZF655283:MZG655285 NJB655283:NJC655285 NSX655283:NSY655285 OCT655283:OCU655285 OMP655283:OMQ655285 OWL655283:OWM655285 PGH655283:PGI655285 PQD655283:PQE655285 PZZ655283:QAA655285 QJV655283:QJW655285 QTR655283:QTS655285 RDN655283:RDO655285 RNJ655283:RNK655285 RXF655283:RXG655285 SHB655283:SHC655285 SQX655283:SQY655285 TAT655283:TAU655285 TKP655283:TKQ655285 TUL655283:TUM655285 UEH655283:UEI655285 UOD655283:UOE655285 UXZ655283:UYA655285 VHV655283:VHW655285 VRR655283:VRS655285 WBN655283:WBO655285 WLJ655283:WLK655285 WVF655283:WVG655285 IT720819:IU720821 SP720819:SQ720821 ACL720819:ACM720821 AMH720819:AMI720821 AWD720819:AWE720821 BFZ720819:BGA720821 BPV720819:BPW720821 BZR720819:BZS720821 CJN720819:CJO720821 CTJ720819:CTK720821 DDF720819:DDG720821 DNB720819:DNC720821 DWX720819:DWY720821 EGT720819:EGU720821 EQP720819:EQQ720821 FAL720819:FAM720821 FKH720819:FKI720821 FUD720819:FUE720821 GDZ720819:GEA720821 GNV720819:GNW720821 GXR720819:GXS720821 HHN720819:HHO720821 HRJ720819:HRK720821 IBF720819:IBG720821 ILB720819:ILC720821 IUX720819:IUY720821 JET720819:JEU720821 JOP720819:JOQ720821 JYL720819:JYM720821 KIH720819:KII720821 KSD720819:KSE720821 LBZ720819:LCA720821 LLV720819:LLW720821 LVR720819:LVS720821 MFN720819:MFO720821 MPJ720819:MPK720821 MZF720819:MZG720821 NJB720819:NJC720821 NSX720819:NSY720821 OCT720819:OCU720821 OMP720819:OMQ720821 OWL720819:OWM720821 PGH720819:PGI720821 PQD720819:PQE720821 PZZ720819:QAA720821 QJV720819:QJW720821 QTR720819:QTS720821 RDN720819:RDO720821 RNJ720819:RNK720821 RXF720819:RXG720821 SHB720819:SHC720821 SQX720819:SQY720821 TAT720819:TAU720821 TKP720819:TKQ720821 TUL720819:TUM720821 UEH720819:UEI720821 UOD720819:UOE720821 UXZ720819:UYA720821 VHV720819:VHW720821 VRR720819:VRS720821 WBN720819:WBO720821 WLJ720819:WLK720821 WVF720819:WVG720821 IT786355:IU786357 SP786355:SQ786357 ACL786355:ACM786357 AMH786355:AMI786357 AWD786355:AWE786357 BFZ786355:BGA786357 BPV786355:BPW786357 BZR786355:BZS786357 CJN786355:CJO786357 CTJ786355:CTK786357 DDF786355:DDG786357 DNB786355:DNC786357 DWX786355:DWY786357 EGT786355:EGU786357 EQP786355:EQQ786357 FAL786355:FAM786357 FKH786355:FKI786357 FUD786355:FUE786357 GDZ786355:GEA786357 GNV786355:GNW786357 GXR786355:GXS786357 HHN786355:HHO786357 HRJ786355:HRK786357 IBF786355:IBG786357 ILB786355:ILC786357 IUX786355:IUY786357 JET786355:JEU786357 JOP786355:JOQ786357 JYL786355:JYM786357 KIH786355:KII786357 KSD786355:KSE786357 LBZ786355:LCA786357 LLV786355:LLW786357 LVR786355:LVS786357 MFN786355:MFO786357 MPJ786355:MPK786357 MZF786355:MZG786357 NJB786355:NJC786357 NSX786355:NSY786357 OCT786355:OCU786357 OMP786355:OMQ786357 OWL786355:OWM786357 PGH786355:PGI786357 PQD786355:PQE786357 PZZ786355:QAA786357 QJV786355:QJW786357 QTR786355:QTS786357 RDN786355:RDO786357 RNJ786355:RNK786357 RXF786355:RXG786357 SHB786355:SHC786357 SQX786355:SQY786357 TAT786355:TAU786357 TKP786355:TKQ786357 TUL786355:TUM786357 UEH786355:UEI786357 UOD786355:UOE786357 UXZ786355:UYA786357 VHV786355:VHW786357 VRR786355:VRS786357 WBN786355:WBO786357 WLJ786355:WLK786357 WVF786355:WVG786357 IT851891:IU851893 SP851891:SQ851893 ACL851891:ACM851893 AMH851891:AMI851893 AWD851891:AWE851893 BFZ851891:BGA851893 BPV851891:BPW851893 BZR851891:BZS851893 CJN851891:CJO851893 CTJ851891:CTK851893 DDF851891:DDG851893 DNB851891:DNC851893 DWX851891:DWY851893 EGT851891:EGU851893 EQP851891:EQQ851893 FAL851891:FAM851893 FKH851891:FKI851893 FUD851891:FUE851893 GDZ851891:GEA851893 GNV851891:GNW851893 GXR851891:GXS851893 HHN851891:HHO851893 HRJ851891:HRK851893 IBF851891:IBG851893 ILB851891:ILC851893 IUX851891:IUY851893 JET851891:JEU851893 JOP851891:JOQ851893 JYL851891:JYM851893 KIH851891:KII851893 KSD851891:KSE851893 LBZ851891:LCA851893 LLV851891:LLW851893 LVR851891:LVS851893 MFN851891:MFO851893 MPJ851891:MPK851893 MZF851891:MZG851893 NJB851891:NJC851893 NSX851891:NSY851893 OCT851891:OCU851893 OMP851891:OMQ851893 OWL851891:OWM851893 PGH851891:PGI851893 PQD851891:PQE851893 PZZ851891:QAA851893 QJV851891:QJW851893 QTR851891:QTS851893 RDN851891:RDO851893 RNJ851891:RNK851893 RXF851891:RXG851893 SHB851891:SHC851893 SQX851891:SQY851893 TAT851891:TAU851893 TKP851891:TKQ851893 TUL851891:TUM851893 UEH851891:UEI851893 UOD851891:UOE851893 UXZ851891:UYA851893 VHV851891:VHW851893 VRR851891:VRS851893 WBN851891:WBO851893 WLJ851891:WLK851893 WVF851891:WVG851893 IT917427:IU917429 SP917427:SQ917429 ACL917427:ACM917429 AMH917427:AMI917429 AWD917427:AWE917429 BFZ917427:BGA917429 BPV917427:BPW917429 BZR917427:BZS917429 CJN917427:CJO917429 CTJ917427:CTK917429 DDF917427:DDG917429 DNB917427:DNC917429 DWX917427:DWY917429 EGT917427:EGU917429 EQP917427:EQQ917429 FAL917427:FAM917429 FKH917427:FKI917429 FUD917427:FUE917429 GDZ917427:GEA917429 GNV917427:GNW917429 GXR917427:GXS917429 HHN917427:HHO917429 HRJ917427:HRK917429 IBF917427:IBG917429 ILB917427:ILC917429 IUX917427:IUY917429 JET917427:JEU917429 JOP917427:JOQ917429 JYL917427:JYM917429 KIH917427:KII917429 KSD917427:KSE917429 LBZ917427:LCA917429 LLV917427:LLW917429 LVR917427:LVS917429 MFN917427:MFO917429 MPJ917427:MPK917429 MZF917427:MZG917429 NJB917427:NJC917429 NSX917427:NSY917429 OCT917427:OCU917429 OMP917427:OMQ917429 OWL917427:OWM917429 PGH917427:PGI917429 PQD917427:PQE917429 PZZ917427:QAA917429 QJV917427:QJW917429 QTR917427:QTS917429 RDN917427:RDO917429 RNJ917427:RNK917429 RXF917427:RXG917429 SHB917427:SHC917429 SQX917427:SQY917429 TAT917427:TAU917429 TKP917427:TKQ917429 TUL917427:TUM917429 UEH917427:UEI917429 UOD917427:UOE917429 UXZ917427:UYA917429 VHV917427:VHW917429 VRR917427:VRS917429 WBN917427:WBO917429 WLJ917427:WLK917429 WVF917427:WVG917429 IT982963:IU982965 SP982963:SQ982965 ACL982963:ACM982965 AMH982963:AMI982965 AWD982963:AWE982965 BFZ982963:BGA982965 BPV982963:BPW982965 BZR982963:BZS982965 CJN982963:CJO982965 CTJ982963:CTK982965 DDF982963:DDG982965 DNB982963:DNC982965 DWX982963:DWY982965 EGT982963:EGU982965 EQP982963:EQQ982965 FAL982963:FAM982965 FKH982963:FKI982965 FUD982963:FUE982965 GDZ982963:GEA982965 GNV982963:GNW982965 GXR982963:GXS982965 HHN982963:HHO982965 HRJ982963:HRK982965 IBF982963:IBG982965 ILB982963:ILC982965 IUX982963:IUY982965 JET982963:JEU982965 JOP982963:JOQ982965 JYL982963:JYM982965 KIH982963:KII982965 KSD982963:KSE982965 LBZ982963:LCA982965 LLV982963:LLW982965 LVR982963:LVS982965 MFN982963:MFO982965 MPJ982963:MPK982965 MZF982963:MZG982965 NJB982963:NJC982965 NSX982963:NSY982965 OCT982963:OCU982965 OMP982963:OMQ982965 OWL982963:OWM982965 PGH982963:PGI982965 PQD982963:PQE982965 PZZ982963:QAA982965 QJV982963:QJW982965 QTR982963:QTS982965 RDN982963:RDO982965 RNJ982963:RNK982965 RXF982963:RXG982965 SHB982963:SHC982965 SQX982963:SQY982965 TAT982963:TAU982965 TKP982963:TKQ982965 TUL982963:TUM982965 UEH982963:UEI982965 UOD982963:UOE982965 UXZ982963:UYA982965 VHV982963:VHW982965 VRR982963:VRS982965 WBN982963:WBO982965 WLJ982963:WLK982965 WVF982963:WVG982965 IT65426:IU65432 SP65426:SQ65432 ACL65426:ACM65432 AMH65426:AMI65432 AWD65426:AWE65432 BFZ65426:BGA65432 BPV65426:BPW65432 BZR65426:BZS65432 CJN65426:CJO65432 CTJ65426:CTK65432 DDF65426:DDG65432 DNB65426:DNC65432 DWX65426:DWY65432 EGT65426:EGU65432 EQP65426:EQQ65432 FAL65426:FAM65432 FKH65426:FKI65432 FUD65426:FUE65432 GDZ65426:GEA65432 GNV65426:GNW65432 GXR65426:GXS65432 HHN65426:HHO65432 HRJ65426:HRK65432 IBF65426:IBG65432 ILB65426:ILC65432 IUX65426:IUY65432 JET65426:JEU65432 JOP65426:JOQ65432 JYL65426:JYM65432 KIH65426:KII65432 KSD65426:KSE65432 LBZ65426:LCA65432 LLV65426:LLW65432 LVR65426:LVS65432 MFN65426:MFO65432 MPJ65426:MPK65432 MZF65426:MZG65432 NJB65426:NJC65432 NSX65426:NSY65432 OCT65426:OCU65432 OMP65426:OMQ65432 OWL65426:OWM65432 PGH65426:PGI65432 PQD65426:PQE65432 PZZ65426:QAA65432 QJV65426:QJW65432 QTR65426:QTS65432 RDN65426:RDO65432 RNJ65426:RNK65432 RXF65426:RXG65432 SHB65426:SHC65432 SQX65426:SQY65432 TAT65426:TAU65432 TKP65426:TKQ65432 TUL65426:TUM65432 UEH65426:UEI65432 UOD65426:UOE65432 UXZ65426:UYA65432 VHV65426:VHW65432 VRR65426:VRS65432 WBN65426:WBO65432 WLJ65426:WLK65432 WVF65426:WVG65432 IT130962:IU130968 SP130962:SQ130968 ACL130962:ACM130968 AMH130962:AMI130968 AWD130962:AWE130968 BFZ130962:BGA130968 BPV130962:BPW130968 BZR130962:BZS130968 CJN130962:CJO130968 CTJ130962:CTK130968 DDF130962:DDG130968 DNB130962:DNC130968 DWX130962:DWY130968 EGT130962:EGU130968 EQP130962:EQQ130968 FAL130962:FAM130968 FKH130962:FKI130968 FUD130962:FUE130968 GDZ130962:GEA130968 GNV130962:GNW130968 GXR130962:GXS130968 HHN130962:HHO130968 HRJ130962:HRK130968 IBF130962:IBG130968 ILB130962:ILC130968 IUX130962:IUY130968 JET130962:JEU130968 JOP130962:JOQ130968 JYL130962:JYM130968 KIH130962:KII130968 KSD130962:KSE130968 LBZ130962:LCA130968 LLV130962:LLW130968 LVR130962:LVS130968 MFN130962:MFO130968 MPJ130962:MPK130968 MZF130962:MZG130968 NJB130962:NJC130968 NSX130962:NSY130968 OCT130962:OCU130968 OMP130962:OMQ130968 OWL130962:OWM130968 PGH130962:PGI130968 PQD130962:PQE130968 PZZ130962:QAA130968 QJV130962:QJW130968 QTR130962:QTS130968 RDN130962:RDO130968 RNJ130962:RNK130968 RXF130962:RXG130968 SHB130962:SHC130968 SQX130962:SQY130968 TAT130962:TAU130968 TKP130962:TKQ130968 TUL130962:TUM130968 UEH130962:UEI130968 UOD130962:UOE130968 UXZ130962:UYA130968 VHV130962:VHW130968 VRR130962:VRS130968 WBN130962:WBO130968 WLJ130962:WLK130968 WVF130962:WVG130968 IT196498:IU196504 SP196498:SQ196504 ACL196498:ACM196504 AMH196498:AMI196504 AWD196498:AWE196504 BFZ196498:BGA196504 BPV196498:BPW196504 BZR196498:BZS196504 CJN196498:CJO196504 CTJ196498:CTK196504 DDF196498:DDG196504 DNB196498:DNC196504 DWX196498:DWY196504 EGT196498:EGU196504 EQP196498:EQQ196504 FAL196498:FAM196504 FKH196498:FKI196504 FUD196498:FUE196504 GDZ196498:GEA196504 GNV196498:GNW196504 GXR196498:GXS196504 HHN196498:HHO196504 HRJ196498:HRK196504 IBF196498:IBG196504 ILB196498:ILC196504 IUX196498:IUY196504 JET196498:JEU196504 JOP196498:JOQ196504 JYL196498:JYM196504 KIH196498:KII196504 KSD196498:KSE196504 LBZ196498:LCA196504 LLV196498:LLW196504 LVR196498:LVS196504 MFN196498:MFO196504 MPJ196498:MPK196504 MZF196498:MZG196504 NJB196498:NJC196504 NSX196498:NSY196504 OCT196498:OCU196504 OMP196498:OMQ196504 OWL196498:OWM196504 PGH196498:PGI196504 PQD196498:PQE196504 PZZ196498:QAA196504 QJV196498:QJW196504 QTR196498:QTS196504 RDN196498:RDO196504 RNJ196498:RNK196504 RXF196498:RXG196504 SHB196498:SHC196504 SQX196498:SQY196504 TAT196498:TAU196504 TKP196498:TKQ196504 TUL196498:TUM196504 UEH196498:UEI196504 UOD196498:UOE196504 UXZ196498:UYA196504 VHV196498:VHW196504 VRR196498:VRS196504 WBN196498:WBO196504 WLJ196498:WLK196504 WVF196498:WVG196504 IT262034:IU262040 SP262034:SQ262040 ACL262034:ACM262040 AMH262034:AMI262040 AWD262034:AWE262040 BFZ262034:BGA262040 BPV262034:BPW262040 BZR262034:BZS262040 CJN262034:CJO262040 CTJ262034:CTK262040 DDF262034:DDG262040 DNB262034:DNC262040 DWX262034:DWY262040 EGT262034:EGU262040 EQP262034:EQQ262040 FAL262034:FAM262040 FKH262034:FKI262040 FUD262034:FUE262040 GDZ262034:GEA262040 GNV262034:GNW262040 GXR262034:GXS262040 HHN262034:HHO262040 HRJ262034:HRK262040 IBF262034:IBG262040 ILB262034:ILC262040 IUX262034:IUY262040 JET262034:JEU262040 JOP262034:JOQ262040 JYL262034:JYM262040 KIH262034:KII262040 KSD262034:KSE262040 LBZ262034:LCA262040 LLV262034:LLW262040 LVR262034:LVS262040 MFN262034:MFO262040 MPJ262034:MPK262040 MZF262034:MZG262040 NJB262034:NJC262040 NSX262034:NSY262040 OCT262034:OCU262040 OMP262034:OMQ262040 OWL262034:OWM262040 PGH262034:PGI262040 PQD262034:PQE262040 PZZ262034:QAA262040 QJV262034:QJW262040 QTR262034:QTS262040 RDN262034:RDO262040 RNJ262034:RNK262040 RXF262034:RXG262040 SHB262034:SHC262040 SQX262034:SQY262040 TAT262034:TAU262040 TKP262034:TKQ262040 TUL262034:TUM262040 UEH262034:UEI262040 UOD262034:UOE262040 UXZ262034:UYA262040 VHV262034:VHW262040 VRR262034:VRS262040 WBN262034:WBO262040 WLJ262034:WLK262040 WVF262034:WVG262040 IT327570:IU327576 SP327570:SQ327576 ACL327570:ACM327576 AMH327570:AMI327576 AWD327570:AWE327576 BFZ327570:BGA327576 BPV327570:BPW327576 BZR327570:BZS327576 CJN327570:CJO327576 CTJ327570:CTK327576 DDF327570:DDG327576 DNB327570:DNC327576 DWX327570:DWY327576 EGT327570:EGU327576 EQP327570:EQQ327576 FAL327570:FAM327576 FKH327570:FKI327576 FUD327570:FUE327576 GDZ327570:GEA327576 GNV327570:GNW327576 GXR327570:GXS327576 HHN327570:HHO327576 HRJ327570:HRK327576 IBF327570:IBG327576 ILB327570:ILC327576 IUX327570:IUY327576 JET327570:JEU327576 JOP327570:JOQ327576 JYL327570:JYM327576 KIH327570:KII327576 KSD327570:KSE327576 LBZ327570:LCA327576 LLV327570:LLW327576 LVR327570:LVS327576 MFN327570:MFO327576 MPJ327570:MPK327576 MZF327570:MZG327576 NJB327570:NJC327576 NSX327570:NSY327576 OCT327570:OCU327576 OMP327570:OMQ327576 OWL327570:OWM327576 PGH327570:PGI327576 PQD327570:PQE327576 PZZ327570:QAA327576 QJV327570:QJW327576 QTR327570:QTS327576 RDN327570:RDO327576 RNJ327570:RNK327576 RXF327570:RXG327576 SHB327570:SHC327576 SQX327570:SQY327576 TAT327570:TAU327576 TKP327570:TKQ327576 TUL327570:TUM327576 UEH327570:UEI327576 UOD327570:UOE327576 UXZ327570:UYA327576 VHV327570:VHW327576 VRR327570:VRS327576 WBN327570:WBO327576 WLJ327570:WLK327576 WVF327570:WVG327576 IT393106:IU393112 SP393106:SQ393112 ACL393106:ACM393112 AMH393106:AMI393112 AWD393106:AWE393112 BFZ393106:BGA393112 BPV393106:BPW393112 BZR393106:BZS393112 CJN393106:CJO393112 CTJ393106:CTK393112 DDF393106:DDG393112 DNB393106:DNC393112 DWX393106:DWY393112 EGT393106:EGU393112 EQP393106:EQQ393112 FAL393106:FAM393112 FKH393106:FKI393112 FUD393106:FUE393112 GDZ393106:GEA393112 GNV393106:GNW393112 GXR393106:GXS393112 HHN393106:HHO393112 HRJ393106:HRK393112 IBF393106:IBG393112 ILB393106:ILC393112 IUX393106:IUY393112 JET393106:JEU393112 JOP393106:JOQ393112 JYL393106:JYM393112 KIH393106:KII393112 KSD393106:KSE393112 LBZ393106:LCA393112 LLV393106:LLW393112 LVR393106:LVS393112 MFN393106:MFO393112 MPJ393106:MPK393112 MZF393106:MZG393112 NJB393106:NJC393112 NSX393106:NSY393112 OCT393106:OCU393112 OMP393106:OMQ393112 OWL393106:OWM393112 PGH393106:PGI393112 PQD393106:PQE393112 PZZ393106:QAA393112 QJV393106:QJW393112 QTR393106:QTS393112 RDN393106:RDO393112 RNJ393106:RNK393112 RXF393106:RXG393112 SHB393106:SHC393112 SQX393106:SQY393112 TAT393106:TAU393112 TKP393106:TKQ393112 TUL393106:TUM393112 UEH393106:UEI393112 UOD393106:UOE393112 UXZ393106:UYA393112 VHV393106:VHW393112 VRR393106:VRS393112 WBN393106:WBO393112 WLJ393106:WLK393112 WVF393106:WVG393112 IT458642:IU458648 SP458642:SQ458648 ACL458642:ACM458648 AMH458642:AMI458648 AWD458642:AWE458648 BFZ458642:BGA458648 BPV458642:BPW458648 BZR458642:BZS458648 CJN458642:CJO458648 CTJ458642:CTK458648 DDF458642:DDG458648 DNB458642:DNC458648 DWX458642:DWY458648 EGT458642:EGU458648 EQP458642:EQQ458648 FAL458642:FAM458648 FKH458642:FKI458648 FUD458642:FUE458648 GDZ458642:GEA458648 GNV458642:GNW458648 GXR458642:GXS458648 HHN458642:HHO458648 HRJ458642:HRK458648 IBF458642:IBG458648 ILB458642:ILC458648 IUX458642:IUY458648 JET458642:JEU458648 JOP458642:JOQ458648 JYL458642:JYM458648 KIH458642:KII458648 KSD458642:KSE458648 LBZ458642:LCA458648 LLV458642:LLW458648 LVR458642:LVS458648 MFN458642:MFO458648 MPJ458642:MPK458648 MZF458642:MZG458648 NJB458642:NJC458648 NSX458642:NSY458648 OCT458642:OCU458648 OMP458642:OMQ458648 OWL458642:OWM458648 PGH458642:PGI458648 PQD458642:PQE458648 PZZ458642:QAA458648 QJV458642:QJW458648 QTR458642:QTS458648 RDN458642:RDO458648 RNJ458642:RNK458648 RXF458642:RXG458648 SHB458642:SHC458648 SQX458642:SQY458648 TAT458642:TAU458648 TKP458642:TKQ458648 TUL458642:TUM458648 UEH458642:UEI458648 UOD458642:UOE458648 UXZ458642:UYA458648 VHV458642:VHW458648 VRR458642:VRS458648 WBN458642:WBO458648 WLJ458642:WLK458648 WVF458642:WVG458648 IT524178:IU524184 SP524178:SQ524184 ACL524178:ACM524184 AMH524178:AMI524184 AWD524178:AWE524184 BFZ524178:BGA524184 BPV524178:BPW524184 BZR524178:BZS524184 CJN524178:CJO524184 CTJ524178:CTK524184 DDF524178:DDG524184 DNB524178:DNC524184 DWX524178:DWY524184 EGT524178:EGU524184 EQP524178:EQQ524184 FAL524178:FAM524184 FKH524178:FKI524184 FUD524178:FUE524184 GDZ524178:GEA524184 GNV524178:GNW524184 GXR524178:GXS524184 HHN524178:HHO524184 HRJ524178:HRK524184 IBF524178:IBG524184 ILB524178:ILC524184 IUX524178:IUY524184 JET524178:JEU524184 JOP524178:JOQ524184 JYL524178:JYM524184 KIH524178:KII524184 KSD524178:KSE524184 LBZ524178:LCA524184 LLV524178:LLW524184 LVR524178:LVS524184 MFN524178:MFO524184 MPJ524178:MPK524184 MZF524178:MZG524184 NJB524178:NJC524184 NSX524178:NSY524184 OCT524178:OCU524184 OMP524178:OMQ524184 OWL524178:OWM524184 PGH524178:PGI524184 PQD524178:PQE524184 PZZ524178:QAA524184 QJV524178:QJW524184 QTR524178:QTS524184 RDN524178:RDO524184 RNJ524178:RNK524184 RXF524178:RXG524184 SHB524178:SHC524184 SQX524178:SQY524184 TAT524178:TAU524184 TKP524178:TKQ524184 TUL524178:TUM524184 UEH524178:UEI524184 UOD524178:UOE524184 UXZ524178:UYA524184 VHV524178:VHW524184 VRR524178:VRS524184 WBN524178:WBO524184 WLJ524178:WLK524184 WVF524178:WVG524184 IT589714:IU589720 SP589714:SQ589720 ACL589714:ACM589720 AMH589714:AMI589720 AWD589714:AWE589720 BFZ589714:BGA589720 BPV589714:BPW589720 BZR589714:BZS589720 CJN589714:CJO589720 CTJ589714:CTK589720 DDF589714:DDG589720 DNB589714:DNC589720 DWX589714:DWY589720 EGT589714:EGU589720 EQP589714:EQQ589720 FAL589714:FAM589720 FKH589714:FKI589720 FUD589714:FUE589720 GDZ589714:GEA589720 GNV589714:GNW589720 GXR589714:GXS589720 HHN589714:HHO589720 HRJ589714:HRK589720 IBF589714:IBG589720 ILB589714:ILC589720 IUX589714:IUY589720 JET589714:JEU589720 JOP589714:JOQ589720 JYL589714:JYM589720 KIH589714:KII589720 KSD589714:KSE589720 LBZ589714:LCA589720 LLV589714:LLW589720 LVR589714:LVS589720 MFN589714:MFO589720 MPJ589714:MPK589720 MZF589714:MZG589720 NJB589714:NJC589720 NSX589714:NSY589720 OCT589714:OCU589720 OMP589714:OMQ589720 OWL589714:OWM589720 PGH589714:PGI589720 PQD589714:PQE589720 PZZ589714:QAA589720 QJV589714:QJW589720 QTR589714:QTS589720 RDN589714:RDO589720 RNJ589714:RNK589720 RXF589714:RXG589720 SHB589714:SHC589720 SQX589714:SQY589720 TAT589714:TAU589720 TKP589714:TKQ589720 TUL589714:TUM589720 UEH589714:UEI589720 UOD589714:UOE589720 UXZ589714:UYA589720 VHV589714:VHW589720 VRR589714:VRS589720 WBN589714:WBO589720 WLJ589714:WLK589720 WVF589714:WVG589720 IT655250:IU655256 SP655250:SQ655256 ACL655250:ACM655256 AMH655250:AMI655256 AWD655250:AWE655256 BFZ655250:BGA655256 BPV655250:BPW655256 BZR655250:BZS655256 CJN655250:CJO655256 CTJ655250:CTK655256 DDF655250:DDG655256 DNB655250:DNC655256 DWX655250:DWY655256 EGT655250:EGU655256 EQP655250:EQQ655256 FAL655250:FAM655256 FKH655250:FKI655256 FUD655250:FUE655256 GDZ655250:GEA655256 GNV655250:GNW655256 GXR655250:GXS655256 HHN655250:HHO655256 HRJ655250:HRK655256 IBF655250:IBG655256 ILB655250:ILC655256 IUX655250:IUY655256 JET655250:JEU655256 JOP655250:JOQ655256 JYL655250:JYM655256 KIH655250:KII655256 KSD655250:KSE655256 LBZ655250:LCA655256 LLV655250:LLW655256 LVR655250:LVS655256 MFN655250:MFO655256 MPJ655250:MPK655256 MZF655250:MZG655256 NJB655250:NJC655256 NSX655250:NSY655256 OCT655250:OCU655256 OMP655250:OMQ655256 OWL655250:OWM655256 PGH655250:PGI655256 PQD655250:PQE655256 PZZ655250:QAA655256 QJV655250:QJW655256 QTR655250:QTS655256 RDN655250:RDO655256 RNJ655250:RNK655256 RXF655250:RXG655256 SHB655250:SHC655256 SQX655250:SQY655256 TAT655250:TAU655256 TKP655250:TKQ655256 TUL655250:TUM655256 UEH655250:UEI655256 UOD655250:UOE655256 UXZ655250:UYA655256 VHV655250:VHW655256 VRR655250:VRS655256 WBN655250:WBO655256 WLJ655250:WLK655256 WVF655250:WVG655256 IT720786:IU720792 SP720786:SQ720792 ACL720786:ACM720792 AMH720786:AMI720792 AWD720786:AWE720792 BFZ720786:BGA720792 BPV720786:BPW720792 BZR720786:BZS720792 CJN720786:CJO720792 CTJ720786:CTK720792 DDF720786:DDG720792 DNB720786:DNC720792 DWX720786:DWY720792 EGT720786:EGU720792 EQP720786:EQQ720792 FAL720786:FAM720792 FKH720786:FKI720792 FUD720786:FUE720792 GDZ720786:GEA720792 GNV720786:GNW720792 GXR720786:GXS720792 HHN720786:HHO720792 HRJ720786:HRK720792 IBF720786:IBG720792 ILB720786:ILC720792 IUX720786:IUY720792 JET720786:JEU720792 JOP720786:JOQ720792 JYL720786:JYM720792 KIH720786:KII720792 KSD720786:KSE720792 LBZ720786:LCA720792 LLV720786:LLW720792 LVR720786:LVS720792 MFN720786:MFO720792 MPJ720786:MPK720792 MZF720786:MZG720792 NJB720786:NJC720792 NSX720786:NSY720792 OCT720786:OCU720792 OMP720786:OMQ720792 OWL720786:OWM720792 PGH720786:PGI720792 PQD720786:PQE720792 PZZ720786:QAA720792 QJV720786:QJW720792 QTR720786:QTS720792 RDN720786:RDO720792 RNJ720786:RNK720792 RXF720786:RXG720792 SHB720786:SHC720792 SQX720786:SQY720792 TAT720786:TAU720792 TKP720786:TKQ720792 TUL720786:TUM720792 UEH720786:UEI720792 UOD720786:UOE720792 UXZ720786:UYA720792 VHV720786:VHW720792 VRR720786:VRS720792 WBN720786:WBO720792 WLJ720786:WLK720792 WVF720786:WVG720792 IT786322:IU786328 SP786322:SQ786328 ACL786322:ACM786328 AMH786322:AMI786328 AWD786322:AWE786328 BFZ786322:BGA786328 BPV786322:BPW786328 BZR786322:BZS786328 CJN786322:CJO786328 CTJ786322:CTK786328 DDF786322:DDG786328 DNB786322:DNC786328 DWX786322:DWY786328 EGT786322:EGU786328 EQP786322:EQQ786328 FAL786322:FAM786328 FKH786322:FKI786328 FUD786322:FUE786328 GDZ786322:GEA786328 GNV786322:GNW786328 GXR786322:GXS786328 HHN786322:HHO786328 HRJ786322:HRK786328 IBF786322:IBG786328 ILB786322:ILC786328 IUX786322:IUY786328 JET786322:JEU786328 JOP786322:JOQ786328 JYL786322:JYM786328 KIH786322:KII786328 KSD786322:KSE786328 LBZ786322:LCA786328 LLV786322:LLW786328 LVR786322:LVS786328 MFN786322:MFO786328 MPJ786322:MPK786328 MZF786322:MZG786328 NJB786322:NJC786328 NSX786322:NSY786328 OCT786322:OCU786328 OMP786322:OMQ786328 OWL786322:OWM786328 PGH786322:PGI786328 PQD786322:PQE786328 PZZ786322:QAA786328 QJV786322:QJW786328 QTR786322:QTS786328 RDN786322:RDO786328 RNJ786322:RNK786328 RXF786322:RXG786328 SHB786322:SHC786328 SQX786322:SQY786328 TAT786322:TAU786328 TKP786322:TKQ786328 TUL786322:TUM786328 UEH786322:UEI786328 UOD786322:UOE786328 UXZ786322:UYA786328 VHV786322:VHW786328 VRR786322:VRS786328 WBN786322:WBO786328 WLJ786322:WLK786328 WVF786322:WVG786328 IT851858:IU851864 SP851858:SQ851864 ACL851858:ACM851864 AMH851858:AMI851864 AWD851858:AWE851864 BFZ851858:BGA851864 BPV851858:BPW851864 BZR851858:BZS851864 CJN851858:CJO851864 CTJ851858:CTK851864 DDF851858:DDG851864 DNB851858:DNC851864 DWX851858:DWY851864 EGT851858:EGU851864 EQP851858:EQQ851864 FAL851858:FAM851864 FKH851858:FKI851864 FUD851858:FUE851864 GDZ851858:GEA851864 GNV851858:GNW851864 GXR851858:GXS851864 HHN851858:HHO851864 HRJ851858:HRK851864 IBF851858:IBG851864 ILB851858:ILC851864 IUX851858:IUY851864 JET851858:JEU851864 JOP851858:JOQ851864 JYL851858:JYM851864 KIH851858:KII851864 KSD851858:KSE851864 LBZ851858:LCA851864 LLV851858:LLW851864 LVR851858:LVS851864 MFN851858:MFO851864 MPJ851858:MPK851864 MZF851858:MZG851864 NJB851858:NJC851864 NSX851858:NSY851864 OCT851858:OCU851864 OMP851858:OMQ851864 OWL851858:OWM851864 PGH851858:PGI851864 PQD851858:PQE851864 PZZ851858:QAA851864 QJV851858:QJW851864 QTR851858:QTS851864 RDN851858:RDO851864 RNJ851858:RNK851864 RXF851858:RXG851864 SHB851858:SHC851864 SQX851858:SQY851864 TAT851858:TAU851864 TKP851858:TKQ851864 TUL851858:TUM851864 UEH851858:UEI851864 UOD851858:UOE851864 UXZ851858:UYA851864 VHV851858:VHW851864 VRR851858:VRS851864 WBN851858:WBO851864 WLJ851858:WLK851864 WVF851858:WVG851864 IT917394:IU917400 SP917394:SQ917400 ACL917394:ACM917400 AMH917394:AMI917400 AWD917394:AWE917400 BFZ917394:BGA917400 BPV917394:BPW917400 BZR917394:BZS917400 CJN917394:CJO917400 CTJ917394:CTK917400 DDF917394:DDG917400 DNB917394:DNC917400 DWX917394:DWY917400 EGT917394:EGU917400 EQP917394:EQQ917400 FAL917394:FAM917400 FKH917394:FKI917400 FUD917394:FUE917400 GDZ917394:GEA917400 GNV917394:GNW917400 GXR917394:GXS917400 HHN917394:HHO917400 HRJ917394:HRK917400 IBF917394:IBG917400 ILB917394:ILC917400 IUX917394:IUY917400 JET917394:JEU917400 JOP917394:JOQ917400 JYL917394:JYM917400 KIH917394:KII917400 KSD917394:KSE917400 LBZ917394:LCA917400 LLV917394:LLW917400 LVR917394:LVS917400 MFN917394:MFO917400 MPJ917394:MPK917400 MZF917394:MZG917400 NJB917394:NJC917400 NSX917394:NSY917400 OCT917394:OCU917400 OMP917394:OMQ917400 OWL917394:OWM917400 PGH917394:PGI917400 PQD917394:PQE917400 PZZ917394:QAA917400 QJV917394:QJW917400 QTR917394:QTS917400 RDN917394:RDO917400 RNJ917394:RNK917400 RXF917394:RXG917400 SHB917394:SHC917400 SQX917394:SQY917400 TAT917394:TAU917400 TKP917394:TKQ917400 TUL917394:TUM917400 UEH917394:UEI917400 UOD917394:UOE917400 UXZ917394:UYA917400 VHV917394:VHW917400 VRR917394:VRS917400 WBN917394:WBO917400 WLJ917394:WLK917400 WVF917394:WVG917400 IT982930:IU982936 SP982930:SQ982936 ACL982930:ACM982936 AMH982930:AMI982936 AWD982930:AWE982936 BFZ982930:BGA982936 BPV982930:BPW982936 BZR982930:BZS982936 CJN982930:CJO982936 CTJ982930:CTK982936 DDF982930:DDG982936 DNB982930:DNC982936 DWX982930:DWY982936 EGT982930:EGU982936 EQP982930:EQQ982936 FAL982930:FAM982936 FKH982930:FKI982936 FUD982930:FUE982936 GDZ982930:GEA982936 GNV982930:GNW982936 GXR982930:GXS982936 HHN982930:HHO982936 HRJ982930:HRK982936 IBF982930:IBG982936 ILB982930:ILC982936 IUX982930:IUY982936 JET982930:JEU982936 JOP982930:JOQ982936 JYL982930:JYM982936 KIH982930:KII982936 KSD982930:KSE982936 LBZ982930:LCA982936 LLV982930:LLW982936 LVR982930:LVS982936 MFN982930:MFO982936 MPJ982930:MPK982936 MZF982930:MZG982936 NJB982930:NJC982936 NSX982930:NSY982936 OCT982930:OCU982936 OMP982930:OMQ982936 OWL982930:OWM982936 PGH982930:PGI982936 PQD982930:PQE982936 PZZ982930:QAA982936 QJV982930:QJW982936 QTR982930:QTS982936 RDN982930:RDO982936 RNJ982930:RNK982936 RXF982930:RXG982936 SHB982930:SHC982936 SQX982930:SQY982936 TAT982930:TAU982936 TKP982930:TKQ982936 TUL982930:TUM982936 UEH982930:UEI982936 UOD982930:UOE982936 UXZ982930:UYA982936 VHV982930:VHW982936 VRR982930:VRS982936 WBN982930:WBO982936 WLJ982930:WLK982936 WVF982930:WVG982936 IT65463:IU65472 SP65463:SQ65472 ACL65463:ACM65472 AMH65463:AMI65472 AWD65463:AWE65472 BFZ65463:BGA65472 BPV65463:BPW65472 BZR65463:BZS65472 CJN65463:CJO65472 CTJ65463:CTK65472 DDF65463:DDG65472 DNB65463:DNC65472 DWX65463:DWY65472 EGT65463:EGU65472 EQP65463:EQQ65472 FAL65463:FAM65472 FKH65463:FKI65472 FUD65463:FUE65472 GDZ65463:GEA65472 GNV65463:GNW65472 GXR65463:GXS65472 HHN65463:HHO65472 HRJ65463:HRK65472 IBF65463:IBG65472 ILB65463:ILC65472 IUX65463:IUY65472 JET65463:JEU65472 JOP65463:JOQ65472 JYL65463:JYM65472 KIH65463:KII65472 KSD65463:KSE65472 LBZ65463:LCA65472 LLV65463:LLW65472 LVR65463:LVS65472 MFN65463:MFO65472 MPJ65463:MPK65472 MZF65463:MZG65472 NJB65463:NJC65472 NSX65463:NSY65472 OCT65463:OCU65472 OMP65463:OMQ65472 OWL65463:OWM65472 PGH65463:PGI65472 PQD65463:PQE65472 PZZ65463:QAA65472 QJV65463:QJW65472 QTR65463:QTS65472 RDN65463:RDO65472 RNJ65463:RNK65472 RXF65463:RXG65472 SHB65463:SHC65472 SQX65463:SQY65472 TAT65463:TAU65472 TKP65463:TKQ65472 TUL65463:TUM65472 UEH65463:UEI65472 UOD65463:UOE65472 UXZ65463:UYA65472 VHV65463:VHW65472 VRR65463:VRS65472 WBN65463:WBO65472 WLJ65463:WLK65472 WVF65463:WVG65472 IT130999:IU131008 SP130999:SQ131008 ACL130999:ACM131008 AMH130999:AMI131008 AWD130999:AWE131008 BFZ130999:BGA131008 BPV130999:BPW131008 BZR130999:BZS131008 CJN130999:CJO131008 CTJ130999:CTK131008 DDF130999:DDG131008 DNB130999:DNC131008 DWX130999:DWY131008 EGT130999:EGU131008 EQP130999:EQQ131008 FAL130999:FAM131008 FKH130999:FKI131008 FUD130999:FUE131008 GDZ130999:GEA131008 GNV130999:GNW131008 GXR130999:GXS131008 HHN130999:HHO131008 HRJ130999:HRK131008 IBF130999:IBG131008 ILB130999:ILC131008 IUX130999:IUY131008 JET130999:JEU131008 JOP130999:JOQ131008 JYL130999:JYM131008 KIH130999:KII131008 KSD130999:KSE131008 LBZ130999:LCA131008 LLV130999:LLW131008 LVR130999:LVS131008 MFN130999:MFO131008 MPJ130999:MPK131008 MZF130999:MZG131008 NJB130999:NJC131008 NSX130999:NSY131008 OCT130999:OCU131008 OMP130999:OMQ131008 OWL130999:OWM131008 PGH130999:PGI131008 PQD130999:PQE131008 PZZ130999:QAA131008 QJV130999:QJW131008 QTR130999:QTS131008 RDN130999:RDO131008 RNJ130999:RNK131008 RXF130999:RXG131008 SHB130999:SHC131008 SQX130999:SQY131008 TAT130999:TAU131008 TKP130999:TKQ131008 TUL130999:TUM131008 UEH130999:UEI131008 UOD130999:UOE131008 UXZ130999:UYA131008 VHV130999:VHW131008 VRR130999:VRS131008 WBN130999:WBO131008 WLJ130999:WLK131008 WVF130999:WVG131008 IT196535:IU196544 SP196535:SQ196544 ACL196535:ACM196544 AMH196535:AMI196544 AWD196535:AWE196544 BFZ196535:BGA196544 BPV196535:BPW196544 BZR196535:BZS196544 CJN196535:CJO196544 CTJ196535:CTK196544 DDF196535:DDG196544 DNB196535:DNC196544 DWX196535:DWY196544 EGT196535:EGU196544 EQP196535:EQQ196544 FAL196535:FAM196544 FKH196535:FKI196544 FUD196535:FUE196544 GDZ196535:GEA196544 GNV196535:GNW196544 GXR196535:GXS196544 HHN196535:HHO196544 HRJ196535:HRK196544 IBF196535:IBG196544 ILB196535:ILC196544 IUX196535:IUY196544 JET196535:JEU196544 JOP196535:JOQ196544 JYL196535:JYM196544 KIH196535:KII196544 KSD196535:KSE196544 LBZ196535:LCA196544 LLV196535:LLW196544 LVR196535:LVS196544 MFN196535:MFO196544 MPJ196535:MPK196544 MZF196535:MZG196544 NJB196535:NJC196544 NSX196535:NSY196544 OCT196535:OCU196544 OMP196535:OMQ196544 OWL196535:OWM196544 PGH196535:PGI196544 PQD196535:PQE196544 PZZ196535:QAA196544 QJV196535:QJW196544 QTR196535:QTS196544 RDN196535:RDO196544 RNJ196535:RNK196544 RXF196535:RXG196544 SHB196535:SHC196544 SQX196535:SQY196544 TAT196535:TAU196544 TKP196535:TKQ196544 TUL196535:TUM196544 UEH196535:UEI196544 UOD196535:UOE196544 UXZ196535:UYA196544 VHV196535:VHW196544 VRR196535:VRS196544 WBN196535:WBO196544 WLJ196535:WLK196544 WVF196535:WVG196544 IT262071:IU262080 SP262071:SQ262080 ACL262071:ACM262080 AMH262071:AMI262080 AWD262071:AWE262080 BFZ262071:BGA262080 BPV262071:BPW262080 BZR262071:BZS262080 CJN262071:CJO262080 CTJ262071:CTK262080 DDF262071:DDG262080 DNB262071:DNC262080 DWX262071:DWY262080 EGT262071:EGU262080 EQP262071:EQQ262080 FAL262071:FAM262080 FKH262071:FKI262080 FUD262071:FUE262080 GDZ262071:GEA262080 GNV262071:GNW262080 GXR262071:GXS262080 HHN262071:HHO262080 HRJ262071:HRK262080 IBF262071:IBG262080 ILB262071:ILC262080 IUX262071:IUY262080 JET262071:JEU262080 JOP262071:JOQ262080 JYL262071:JYM262080 KIH262071:KII262080 KSD262071:KSE262080 LBZ262071:LCA262080 LLV262071:LLW262080 LVR262071:LVS262080 MFN262071:MFO262080 MPJ262071:MPK262080 MZF262071:MZG262080 NJB262071:NJC262080 NSX262071:NSY262080 OCT262071:OCU262080 OMP262071:OMQ262080 OWL262071:OWM262080 PGH262071:PGI262080 PQD262071:PQE262080 PZZ262071:QAA262080 QJV262071:QJW262080 QTR262071:QTS262080 RDN262071:RDO262080 RNJ262071:RNK262080 RXF262071:RXG262080 SHB262071:SHC262080 SQX262071:SQY262080 TAT262071:TAU262080 TKP262071:TKQ262080 TUL262071:TUM262080 UEH262071:UEI262080 UOD262071:UOE262080 UXZ262071:UYA262080 VHV262071:VHW262080 VRR262071:VRS262080 WBN262071:WBO262080 WLJ262071:WLK262080 WVF262071:WVG262080 IT327607:IU327616 SP327607:SQ327616 ACL327607:ACM327616 AMH327607:AMI327616 AWD327607:AWE327616 BFZ327607:BGA327616 BPV327607:BPW327616 BZR327607:BZS327616 CJN327607:CJO327616 CTJ327607:CTK327616 DDF327607:DDG327616 DNB327607:DNC327616 DWX327607:DWY327616 EGT327607:EGU327616 EQP327607:EQQ327616 FAL327607:FAM327616 FKH327607:FKI327616 FUD327607:FUE327616 GDZ327607:GEA327616 GNV327607:GNW327616 GXR327607:GXS327616 HHN327607:HHO327616 HRJ327607:HRK327616 IBF327607:IBG327616 ILB327607:ILC327616 IUX327607:IUY327616 JET327607:JEU327616 JOP327607:JOQ327616 JYL327607:JYM327616 KIH327607:KII327616 KSD327607:KSE327616 LBZ327607:LCA327616 LLV327607:LLW327616 LVR327607:LVS327616 MFN327607:MFO327616 MPJ327607:MPK327616 MZF327607:MZG327616 NJB327607:NJC327616 NSX327607:NSY327616 OCT327607:OCU327616 OMP327607:OMQ327616 OWL327607:OWM327616 PGH327607:PGI327616 PQD327607:PQE327616 PZZ327607:QAA327616 QJV327607:QJW327616 QTR327607:QTS327616 RDN327607:RDO327616 RNJ327607:RNK327616 RXF327607:RXG327616 SHB327607:SHC327616 SQX327607:SQY327616 TAT327607:TAU327616 TKP327607:TKQ327616 TUL327607:TUM327616 UEH327607:UEI327616 UOD327607:UOE327616 UXZ327607:UYA327616 VHV327607:VHW327616 VRR327607:VRS327616 WBN327607:WBO327616 WLJ327607:WLK327616 WVF327607:WVG327616 IT393143:IU393152 SP393143:SQ393152 ACL393143:ACM393152 AMH393143:AMI393152 AWD393143:AWE393152 BFZ393143:BGA393152 BPV393143:BPW393152 BZR393143:BZS393152 CJN393143:CJO393152 CTJ393143:CTK393152 DDF393143:DDG393152 DNB393143:DNC393152 DWX393143:DWY393152 EGT393143:EGU393152 EQP393143:EQQ393152 FAL393143:FAM393152 FKH393143:FKI393152 FUD393143:FUE393152 GDZ393143:GEA393152 GNV393143:GNW393152 GXR393143:GXS393152 HHN393143:HHO393152 HRJ393143:HRK393152 IBF393143:IBG393152 ILB393143:ILC393152 IUX393143:IUY393152 JET393143:JEU393152 JOP393143:JOQ393152 JYL393143:JYM393152 KIH393143:KII393152 KSD393143:KSE393152 LBZ393143:LCA393152 LLV393143:LLW393152 LVR393143:LVS393152 MFN393143:MFO393152 MPJ393143:MPK393152 MZF393143:MZG393152 NJB393143:NJC393152 NSX393143:NSY393152 OCT393143:OCU393152 OMP393143:OMQ393152 OWL393143:OWM393152 PGH393143:PGI393152 PQD393143:PQE393152 PZZ393143:QAA393152 QJV393143:QJW393152 QTR393143:QTS393152 RDN393143:RDO393152 RNJ393143:RNK393152 RXF393143:RXG393152 SHB393143:SHC393152 SQX393143:SQY393152 TAT393143:TAU393152 TKP393143:TKQ393152 TUL393143:TUM393152 UEH393143:UEI393152 UOD393143:UOE393152 UXZ393143:UYA393152 VHV393143:VHW393152 VRR393143:VRS393152 WBN393143:WBO393152 WLJ393143:WLK393152 WVF393143:WVG393152 IT458679:IU458688 SP458679:SQ458688 ACL458679:ACM458688 AMH458679:AMI458688 AWD458679:AWE458688 BFZ458679:BGA458688 BPV458679:BPW458688 BZR458679:BZS458688 CJN458679:CJO458688 CTJ458679:CTK458688 DDF458679:DDG458688 DNB458679:DNC458688 DWX458679:DWY458688 EGT458679:EGU458688 EQP458679:EQQ458688 FAL458679:FAM458688 FKH458679:FKI458688 FUD458679:FUE458688 GDZ458679:GEA458688 GNV458679:GNW458688 GXR458679:GXS458688 HHN458679:HHO458688 HRJ458679:HRK458688 IBF458679:IBG458688 ILB458679:ILC458688 IUX458679:IUY458688 JET458679:JEU458688 JOP458679:JOQ458688 JYL458679:JYM458688 KIH458679:KII458688 KSD458679:KSE458688 LBZ458679:LCA458688 LLV458679:LLW458688 LVR458679:LVS458688 MFN458679:MFO458688 MPJ458679:MPK458688 MZF458679:MZG458688 NJB458679:NJC458688 NSX458679:NSY458688 OCT458679:OCU458688 OMP458679:OMQ458688 OWL458679:OWM458688 PGH458679:PGI458688 PQD458679:PQE458688 PZZ458679:QAA458688 QJV458679:QJW458688 QTR458679:QTS458688 RDN458679:RDO458688 RNJ458679:RNK458688 RXF458679:RXG458688 SHB458679:SHC458688 SQX458679:SQY458688 TAT458679:TAU458688 TKP458679:TKQ458688 TUL458679:TUM458688 UEH458679:UEI458688 UOD458679:UOE458688 UXZ458679:UYA458688 VHV458679:VHW458688 VRR458679:VRS458688 WBN458679:WBO458688 WLJ458679:WLK458688 WVF458679:WVG458688 IT524215:IU524224 SP524215:SQ524224 ACL524215:ACM524224 AMH524215:AMI524224 AWD524215:AWE524224 BFZ524215:BGA524224 BPV524215:BPW524224 BZR524215:BZS524224 CJN524215:CJO524224 CTJ524215:CTK524224 DDF524215:DDG524224 DNB524215:DNC524224 DWX524215:DWY524224 EGT524215:EGU524224 EQP524215:EQQ524224 FAL524215:FAM524224 FKH524215:FKI524224 FUD524215:FUE524224 GDZ524215:GEA524224 GNV524215:GNW524224 GXR524215:GXS524224 HHN524215:HHO524224 HRJ524215:HRK524224 IBF524215:IBG524224 ILB524215:ILC524224 IUX524215:IUY524224 JET524215:JEU524224 JOP524215:JOQ524224 JYL524215:JYM524224 KIH524215:KII524224 KSD524215:KSE524224 LBZ524215:LCA524224 LLV524215:LLW524224 LVR524215:LVS524224 MFN524215:MFO524224 MPJ524215:MPK524224 MZF524215:MZG524224 NJB524215:NJC524224 NSX524215:NSY524224 OCT524215:OCU524224 OMP524215:OMQ524224 OWL524215:OWM524224 PGH524215:PGI524224 PQD524215:PQE524224 PZZ524215:QAA524224 QJV524215:QJW524224 QTR524215:QTS524224 RDN524215:RDO524224 RNJ524215:RNK524224 RXF524215:RXG524224 SHB524215:SHC524224 SQX524215:SQY524224 TAT524215:TAU524224 TKP524215:TKQ524224 TUL524215:TUM524224 UEH524215:UEI524224 UOD524215:UOE524224 UXZ524215:UYA524224 VHV524215:VHW524224 VRR524215:VRS524224 WBN524215:WBO524224 WLJ524215:WLK524224 WVF524215:WVG524224 IT589751:IU589760 SP589751:SQ589760 ACL589751:ACM589760 AMH589751:AMI589760 AWD589751:AWE589760 BFZ589751:BGA589760 BPV589751:BPW589760 BZR589751:BZS589760 CJN589751:CJO589760 CTJ589751:CTK589760 DDF589751:DDG589760 DNB589751:DNC589760 DWX589751:DWY589760 EGT589751:EGU589760 EQP589751:EQQ589760 FAL589751:FAM589760 FKH589751:FKI589760 FUD589751:FUE589760 GDZ589751:GEA589760 GNV589751:GNW589760 GXR589751:GXS589760 HHN589751:HHO589760 HRJ589751:HRK589760 IBF589751:IBG589760 ILB589751:ILC589760 IUX589751:IUY589760 JET589751:JEU589760 JOP589751:JOQ589760 JYL589751:JYM589760 KIH589751:KII589760 KSD589751:KSE589760 LBZ589751:LCA589760 LLV589751:LLW589760 LVR589751:LVS589760 MFN589751:MFO589760 MPJ589751:MPK589760 MZF589751:MZG589760 NJB589751:NJC589760 NSX589751:NSY589760 OCT589751:OCU589760 OMP589751:OMQ589760 OWL589751:OWM589760 PGH589751:PGI589760 PQD589751:PQE589760 PZZ589751:QAA589760 QJV589751:QJW589760 QTR589751:QTS589760 RDN589751:RDO589760 RNJ589751:RNK589760 RXF589751:RXG589760 SHB589751:SHC589760 SQX589751:SQY589760 TAT589751:TAU589760 TKP589751:TKQ589760 TUL589751:TUM589760 UEH589751:UEI589760 UOD589751:UOE589760 UXZ589751:UYA589760 VHV589751:VHW589760 VRR589751:VRS589760 WBN589751:WBO589760 WLJ589751:WLK589760 WVF589751:WVG589760 IT655287:IU655296 SP655287:SQ655296 ACL655287:ACM655296 AMH655287:AMI655296 AWD655287:AWE655296 BFZ655287:BGA655296 BPV655287:BPW655296 BZR655287:BZS655296 CJN655287:CJO655296 CTJ655287:CTK655296 DDF655287:DDG655296 DNB655287:DNC655296 DWX655287:DWY655296 EGT655287:EGU655296 EQP655287:EQQ655296 FAL655287:FAM655296 FKH655287:FKI655296 FUD655287:FUE655296 GDZ655287:GEA655296 GNV655287:GNW655296 GXR655287:GXS655296 HHN655287:HHO655296 HRJ655287:HRK655296 IBF655287:IBG655296 ILB655287:ILC655296 IUX655287:IUY655296 JET655287:JEU655296 JOP655287:JOQ655296 JYL655287:JYM655296 KIH655287:KII655296 KSD655287:KSE655296 LBZ655287:LCA655296 LLV655287:LLW655296 LVR655287:LVS655296 MFN655287:MFO655296 MPJ655287:MPK655296 MZF655287:MZG655296 NJB655287:NJC655296 NSX655287:NSY655296 OCT655287:OCU655296 OMP655287:OMQ655296 OWL655287:OWM655296 PGH655287:PGI655296 PQD655287:PQE655296 PZZ655287:QAA655296 QJV655287:QJW655296 QTR655287:QTS655296 RDN655287:RDO655296 RNJ655287:RNK655296 RXF655287:RXG655296 SHB655287:SHC655296 SQX655287:SQY655296 TAT655287:TAU655296 TKP655287:TKQ655296 TUL655287:TUM655296 UEH655287:UEI655296 UOD655287:UOE655296 UXZ655287:UYA655296 VHV655287:VHW655296 VRR655287:VRS655296 WBN655287:WBO655296 WLJ655287:WLK655296 WVF655287:WVG655296 IT720823:IU720832 SP720823:SQ720832 ACL720823:ACM720832 AMH720823:AMI720832 AWD720823:AWE720832 BFZ720823:BGA720832 BPV720823:BPW720832 BZR720823:BZS720832 CJN720823:CJO720832 CTJ720823:CTK720832 DDF720823:DDG720832 DNB720823:DNC720832 DWX720823:DWY720832 EGT720823:EGU720832 EQP720823:EQQ720832 FAL720823:FAM720832 FKH720823:FKI720832 FUD720823:FUE720832 GDZ720823:GEA720832 GNV720823:GNW720832 GXR720823:GXS720832 HHN720823:HHO720832 HRJ720823:HRK720832 IBF720823:IBG720832 ILB720823:ILC720832 IUX720823:IUY720832 JET720823:JEU720832 JOP720823:JOQ720832 JYL720823:JYM720832 KIH720823:KII720832 KSD720823:KSE720832 LBZ720823:LCA720832 LLV720823:LLW720832 LVR720823:LVS720832 MFN720823:MFO720832 MPJ720823:MPK720832 MZF720823:MZG720832 NJB720823:NJC720832 NSX720823:NSY720832 OCT720823:OCU720832 OMP720823:OMQ720832 OWL720823:OWM720832 PGH720823:PGI720832 PQD720823:PQE720832 PZZ720823:QAA720832 QJV720823:QJW720832 QTR720823:QTS720832 RDN720823:RDO720832 RNJ720823:RNK720832 RXF720823:RXG720832 SHB720823:SHC720832 SQX720823:SQY720832 TAT720823:TAU720832 TKP720823:TKQ720832 TUL720823:TUM720832 UEH720823:UEI720832 UOD720823:UOE720832 UXZ720823:UYA720832 VHV720823:VHW720832 VRR720823:VRS720832 WBN720823:WBO720832 WLJ720823:WLK720832 WVF720823:WVG720832 IT786359:IU786368 SP786359:SQ786368 ACL786359:ACM786368 AMH786359:AMI786368 AWD786359:AWE786368 BFZ786359:BGA786368 BPV786359:BPW786368 BZR786359:BZS786368 CJN786359:CJO786368 CTJ786359:CTK786368 DDF786359:DDG786368 DNB786359:DNC786368 DWX786359:DWY786368 EGT786359:EGU786368 EQP786359:EQQ786368 FAL786359:FAM786368 FKH786359:FKI786368 FUD786359:FUE786368 GDZ786359:GEA786368 GNV786359:GNW786368 GXR786359:GXS786368 HHN786359:HHO786368 HRJ786359:HRK786368 IBF786359:IBG786368 ILB786359:ILC786368 IUX786359:IUY786368 JET786359:JEU786368 JOP786359:JOQ786368 JYL786359:JYM786368 KIH786359:KII786368 KSD786359:KSE786368 LBZ786359:LCA786368 LLV786359:LLW786368 LVR786359:LVS786368 MFN786359:MFO786368 MPJ786359:MPK786368 MZF786359:MZG786368 NJB786359:NJC786368 NSX786359:NSY786368 OCT786359:OCU786368 OMP786359:OMQ786368 OWL786359:OWM786368 PGH786359:PGI786368 PQD786359:PQE786368 PZZ786359:QAA786368 QJV786359:QJW786368 QTR786359:QTS786368 RDN786359:RDO786368 RNJ786359:RNK786368 RXF786359:RXG786368 SHB786359:SHC786368 SQX786359:SQY786368 TAT786359:TAU786368 TKP786359:TKQ786368 TUL786359:TUM786368 UEH786359:UEI786368 UOD786359:UOE786368 UXZ786359:UYA786368 VHV786359:VHW786368 VRR786359:VRS786368 WBN786359:WBO786368 WLJ786359:WLK786368 WVF786359:WVG786368 IT851895:IU851904 SP851895:SQ851904 ACL851895:ACM851904 AMH851895:AMI851904 AWD851895:AWE851904 BFZ851895:BGA851904 BPV851895:BPW851904 BZR851895:BZS851904 CJN851895:CJO851904 CTJ851895:CTK851904 DDF851895:DDG851904 DNB851895:DNC851904 DWX851895:DWY851904 EGT851895:EGU851904 EQP851895:EQQ851904 FAL851895:FAM851904 FKH851895:FKI851904 FUD851895:FUE851904 GDZ851895:GEA851904 GNV851895:GNW851904 GXR851895:GXS851904 HHN851895:HHO851904 HRJ851895:HRK851904 IBF851895:IBG851904 ILB851895:ILC851904 IUX851895:IUY851904 JET851895:JEU851904 JOP851895:JOQ851904 JYL851895:JYM851904 KIH851895:KII851904 KSD851895:KSE851904 LBZ851895:LCA851904 LLV851895:LLW851904 LVR851895:LVS851904 MFN851895:MFO851904 MPJ851895:MPK851904 MZF851895:MZG851904 NJB851895:NJC851904 NSX851895:NSY851904 OCT851895:OCU851904 OMP851895:OMQ851904 OWL851895:OWM851904 PGH851895:PGI851904 PQD851895:PQE851904 PZZ851895:QAA851904 QJV851895:QJW851904 QTR851895:QTS851904 RDN851895:RDO851904 RNJ851895:RNK851904 RXF851895:RXG851904 SHB851895:SHC851904 SQX851895:SQY851904 TAT851895:TAU851904 TKP851895:TKQ851904 TUL851895:TUM851904 UEH851895:UEI851904 UOD851895:UOE851904 UXZ851895:UYA851904 VHV851895:VHW851904 VRR851895:VRS851904 WBN851895:WBO851904 WLJ851895:WLK851904 WVF851895:WVG851904 IT917431:IU917440 SP917431:SQ917440 ACL917431:ACM917440 AMH917431:AMI917440 AWD917431:AWE917440 BFZ917431:BGA917440 BPV917431:BPW917440 BZR917431:BZS917440 CJN917431:CJO917440 CTJ917431:CTK917440 DDF917431:DDG917440 DNB917431:DNC917440 DWX917431:DWY917440 EGT917431:EGU917440 EQP917431:EQQ917440 FAL917431:FAM917440 FKH917431:FKI917440 FUD917431:FUE917440 GDZ917431:GEA917440 GNV917431:GNW917440 GXR917431:GXS917440 HHN917431:HHO917440 HRJ917431:HRK917440 IBF917431:IBG917440 ILB917431:ILC917440 IUX917431:IUY917440 JET917431:JEU917440 JOP917431:JOQ917440 JYL917431:JYM917440 KIH917431:KII917440 KSD917431:KSE917440 LBZ917431:LCA917440 LLV917431:LLW917440 LVR917431:LVS917440 MFN917431:MFO917440 MPJ917431:MPK917440 MZF917431:MZG917440 NJB917431:NJC917440 NSX917431:NSY917440 OCT917431:OCU917440 OMP917431:OMQ917440 OWL917431:OWM917440 PGH917431:PGI917440 PQD917431:PQE917440 PZZ917431:QAA917440 QJV917431:QJW917440 QTR917431:QTS917440 RDN917431:RDO917440 RNJ917431:RNK917440 RXF917431:RXG917440 SHB917431:SHC917440 SQX917431:SQY917440 TAT917431:TAU917440 TKP917431:TKQ917440 TUL917431:TUM917440 UEH917431:UEI917440 UOD917431:UOE917440 UXZ917431:UYA917440 VHV917431:VHW917440 VRR917431:VRS917440 WBN917431:WBO917440 WLJ917431:WLK917440 WVF917431:WVG917440 IT982967:IU982976 SP982967:SQ982976 ACL982967:ACM982976 AMH982967:AMI982976 AWD982967:AWE982976 BFZ982967:BGA982976 BPV982967:BPW982976 BZR982967:BZS982976 CJN982967:CJO982976 CTJ982967:CTK982976 DDF982967:DDG982976 DNB982967:DNC982976 DWX982967:DWY982976 EGT982967:EGU982976 EQP982967:EQQ982976 FAL982967:FAM982976 FKH982967:FKI982976 FUD982967:FUE982976 GDZ982967:GEA982976 GNV982967:GNW982976 GXR982967:GXS982976 HHN982967:HHO982976 HRJ982967:HRK982976 IBF982967:IBG982976 ILB982967:ILC982976 IUX982967:IUY982976 JET982967:JEU982976 JOP982967:JOQ982976 JYL982967:JYM982976 KIH982967:KII982976 KSD982967:KSE982976 LBZ982967:LCA982976 LLV982967:LLW982976 LVR982967:LVS982976 MFN982967:MFO982976 MPJ982967:MPK982976 MZF982967:MZG982976 NJB982967:NJC982976 NSX982967:NSY982976 OCT982967:OCU982976 OMP982967:OMQ982976 OWL982967:OWM982976 PGH982967:PGI982976 PQD982967:PQE982976 PZZ982967:QAA982976 QJV982967:QJW982976 QTR982967:QTS982976 RDN982967:RDO982976 RNJ982967:RNK982976 RXF982967:RXG982976 SHB982967:SHC982976 SQX982967:SQY982976 TAT982967:TAU982976 TKP982967:TKQ982976 TUL982967:TUM982976 UEH982967:UEI982976 UOD982967:UOE982976 UXZ982967:UYA982976 VHV982967:VHW982976 VRR982967:VRS982976 WBN982967:WBO982976 WLJ982967:WLK982976 WVF982967:WVG982976 WVF5:WVG7 WLJ5:WLK7 WBN5:WBO7 VRR5:VRS7 VHV5:VHW7 UXZ5:UYA7 UOD5:UOE7 UEH5:UEI7 TUL5:TUM7 TKP5:TKQ7 TAT5:TAU7 SQX5:SQY7 SHB5:SHC7 RXF5:RXG7 RNJ5:RNK7 RDN5:RDO7 QTR5:QTS7 QJV5:QJW7 PZZ5:QAA7 PQD5:PQE7 PGH5:PGI7 OWL5:OWM7 OMP5:OMQ7 OCT5:OCU7 NSX5:NSY7 NJB5:NJC7 MZF5:MZG7 MPJ5:MPK7 MFN5:MFO7 LVR5:LVS7 LLV5:LLW7 LBZ5:LCA7 KSD5:KSE7 KIH5:KII7 JYL5:JYM7 JOP5:JOQ7 JET5:JEU7 IUX5:IUY7 ILB5:ILC7 IBF5:IBG7 HRJ5:HRK7 HHN5:HHO7 GXR5:GXS7 GNV5:GNW7 GDZ5:GEA7 FUD5:FUE7 FKH5:FKI7 FAL5:FAM7 B65648:B65650 B131184:B131186 B196720:B196722 B262256:B262258 B327792:B327794 B393328:B393330 B458864:B458866 B524400:B524402 B589936:B589938 B655472:B655474 B721008:B721010 B786544:B786546 B852080:B852082 B917616:B917618 B983152:B983154 B65633:B65646 B131169:B131182 B196705:B196718 B262241:B262254 B327777:B327790 B393313:B393326 B458849:B458862 B524385:B524398 B589921:B589934 B655457:B655470 B720993:B721006 B786529:B786542 B852065:B852078 B917601:B917614 B983137:B983150 B65652:B65655 B131188:B131191 B196724:B196727 B262260:B262263 B327796:B327799 B393332:B393335 B458868:B458871 B524404:B524407 B589940:B589943 B655476:B655479 B721012:B721015 B786548:B786551 B852084:B852087 B917620:B917623 B983156:B983159 B65657:B65659 B131193:B131195 B196729:B196731 B262265:B262267 B327801:B327803 B393337:B393339 B458873:B458875 B524409:B524411 B589945:B589947 B655481:B655483 B721017:B721019 B786553:B786555 B852089:B852091 B917625:B917627 B983161:B983163 B65624:B65630 B131160:B131166 B196696:B196702 B262232:B262238 B327768:B327774 B393304:B393310 B458840:B458846 B524376:B524382 B589912:B589918 B655448:B655454 B720984:B720990 B786520:B786526 B852056:B852062 B917592:B917598 B983128:B983134 B65661:B65670 B131197:B131206 B196733:B196742 B262269:B262278 B327805:B327814 B393341:B393350 B458877:B458886 B524413:B524422 B589949:B589958 B655485:B655494 B721021:B721030 B786557:B786566 B852093:B852102 B917629:B917638 B983165:B983174 WVF8 WLJ8 WBN8 VRR8 VHV8 UXZ8 UOD8 UEH8 TUL8 TKP8 TAT8 SQX8 SHB8 RXF8 RNJ8 RDN8 QTR8 QJV8 PZZ8 PQD8 PGH8 OWL8 OMP8 OCT8 NSX8 NJB8 MZF8 MPJ8 MFN8 LVR8 LLV8 LBZ8 KSD8 KIH8 JYL8 JOP8 JET8 IUX8 ILB8 IBF8 HRJ8 HHN8 GXR8 GNV8 GDZ8 FUD8 FKH8 FAL8 EQP8 EGT8 DWX8 DNB8 DDF8 CTJ8 CJN8 BZR8 BPV8 BFZ8 AWD8 AMH8 ACL8 SP8 IT8" xr:uid="{00000000-0002-0000-2200-000001000000}">
      <formula1>"Included, Not Applicable"</formula1>
    </dataValidation>
  </dataValidations>
  <hyperlinks>
    <hyperlink ref="Y116:AI116" r:id="rId1" display="Documentation of rural status" xr:uid="{00000000-0004-0000-2200-000000000000}"/>
    <hyperlink ref="N12:AI12" location="'Sponsor Certification'!A1" display="Reference Sponsor Certification Worksheet." xr:uid="{00000000-0004-0000-2200-000001000000}"/>
    <hyperlink ref="N14:AI14" location="'Entity Org Docs'!A1" display="Reference Entity Org Docs worksheet." xr:uid="{00000000-0004-0000-2200-000002000000}"/>
    <hyperlink ref="N13:AI13" r:id="rId2" display="Reference: MHP webpage for Sponsor Authorizing Resolution Document. " xr:uid="{00000000-0004-0000-2200-000003000000}"/>
    <hyperlink ref="N22:AI22" r:id="rId3" display="Reference: MHP webpage for Sponsor Authorizing Resolution Document. " xr:uid="{00000000-0004-0000-2200-000004000000}"/>
    <hyperlink ref="N32:AI32" r:id="rId4" display="Reference: MHP webpage for Sponsor Authorizing Resolution Document. " xr:uid="{00000000-0004-0000-2200-000005000000}"/>
    <hyperlink ref="N41:AI41" r:id="rId5" display="Reference: MHP webpage for Sponsor Authorizing Resolution Document. " xr:uid="{00000000-0004-0000-2200-000006000000}"/>
    <hyperlink ref="N57:AI57" r:id="rId6" display="Reference Payee Data Record STD-204 on the MHP webpage." xr:uid="{00000000-0004-0000-2200-000007000000}"/>
    <hyperlink ref="N58:AI58" r:id="rId7" display="Reference Taxpayer Identification Number (TIN) (public entities ONLY) on the MHP webpage." xr:uid="{00000000-0004-0000-2200-000008000000}"/>
    <hyperlink ref="N21:AI21" location="'Sponsor Certification'!A1" display="Reference Sponsor Certification Worksheet." xr:uid="{00000000-0004-0000-2200-000009000000}"/>
    <hyperlink ref="N31:AI31" location="'Sponsor Certification'!A1" display="Reference Sponsor Certification Worksheet." xr:uid="{00000000-0004-0000-2200-00000A000000}"/>
    <hyperlink ref="N40:AI40" location="'Sponsor Certification'!A1" display="Reference Sponsor Certification Worksheet." xr:uid="{00000000-0004-0000-2200-00000B000000}"/>
    <hyperlink ref="N53:AI53" location="'Sponsor Certification'!A1" display="Reference Sponsor Certification Worksheet." xr:uid="{00000000-0004-0000-2200-00000C000000}"/>
    <hyperlink ref="N64:AI64" location="'Sponsor Certification'!A1" display="Reference Sponsor Certification Worksheet." xr:uid="{00000000-0004-0000-2200-00000D000000}"/>
    <hyperlink ref="N72:AI72" location="'Sponsor Certification'!A1" display="Reference Sponsor Certification Worksheet." xr:uid="{00000000-0004-0000-2200-00000E000000}"/>
    <hyperlink ref="N80:AI80" location="'Sponsor Certification'!A1" display="Reference Sponsor Certification Worksheet." xr:uid="{00000000-0004-0000-2200-00000F000000}"/>
    <hyperlink ref="N23:AI23" location="'Entity Org Docs'!A1" display="Reference Entity Org Docs worksheet." xr:uid="{00000000-0004-0000-2200-000010000000}"/>
    <hyperlink ref="N33:AI33" location="'Entity Org Docs'!A1" display="Reference Entity Org Docs worksheet." xr:uid="{00000000-0004-0000-2200-000011000000}"/>
    <hyperlink ref="N42:AI42" location="'Entity Org Docs'!A1" display="Reference Entity Org Docs worksheet." xr:uid="{00000000-0004-0000-2200-000012000000}"/>
    <hyperlink ref="N54:AI54" location="'Entity Org Docs'!A1" display="Reference Entity Org Docs worksheet." xr:uid="{00000000-0004-0000-2200-000013000000}"/>
    <hyperlink ref="N65:AI65" location="'Entity Org Docs'!A1" display="Reference Entity Org Docs worksheet." xr:uid="{00000000-0004-0000-2200-000014000000}"/>
    <hyperlink ref="N73:AI73" location="'Entity Org Docs'!A1" display="Reference Entity Org Docs worksheet." xr:uid="{00000000-0004-0000-2200-000015000000}"/>
    <hyperlink ref="N81:AI81" location="'Entity Org Docs'!A1" display="Reference Entity Org Docs worksheet." xr:uid="{00000000-0004-0000-2200-000016000000}"/>
  </hyperlinks>
  <printOptions horizontalCentered="1"/>
  <pageMargins left="0" right="0.25" top="0" bottom="0" header="0.25" footer="0.25"/>
  <pageSetup scale="65" orientation="portrait" r:id="rId8"/>
  <headerFooter>
    <oddFooter>&amp;L&amp;F&amp;C&amp;P of &amp;N&amp;R &amp;A</oddFooter>
  </headerFooter>
  <rowBreaks count="2" manualBreakCount="2">
    <brk id="78" max="16383" man="1"/>
    <brk id="127" max="16383" man="1"/>
  </rowBreaks>
  <colBreaks count="1" manualBreakCount="1">
    <brk id="39" max="1048575" man="1"/>
  </colBreaks>
  <legacyDrawing r:id="rId9"/>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A1:AO30"/>
  <sheetViews>
    <sheetView showGridLines="0" topLeftCell="A11" zoomScaleNormal="100" zoomScaleSheetLayoutView="100" workbookViewId="0">
      <selection activeCell="J18" sqref="J18"/>
    </sheetView>
  </sheetViews>
  <sheetFormatPr defaultColWidth="9.109375" defaultRowHeight="18" customHeight="1"/>
  <cols>
    <col min="1" max="1" width="3.88671875" style="272" customWidth="1"/>
    <col min="2" max="2" width="20.88671875" style="272" customWidth="1"/>
    <col min="3" max="5" width="20.6640625" style="272" customWidth="1"/>
    <col min="6" max="6" width="22.88671875" style="272" customWidth="1"/>
    <col min="7" max="7" width="13.33203125" style="272" customWidth="1"/>
    <col min="8" max="8" width="8.44140625" style="272" customWidth="1"/>
    <col min="9" max="9" width="12.109375" style="272" customWidth="1"/>
    <col min="10" max="10" width="18.6640625" style="272" customWidth="1"/>
    <col min="11" max="11" width="14.5546875" style="272" customWidth="1"/>
    <col min="12" max="12" width="17.109375" style="272" customWidth="1"/>
    <col min="13" max="13" width="15.5546875" style="272" customWidth="1"/>
    <col min="14" max="14" width="17.33203125" style="272" customWidth="1"/>
    <col min="15" max="16" width="14" style="272" customWidth="1"/>
    <col min="17" max="17" width="15.5546875" style="272" customWidth="1"/>
    <col min="18" max="18" width="19.88671875" style="272" customWidth="1"/>
    <col min="19" max="19" width="14.88671875" style="272" customWidth="1"/>
    <col min="20" max="20" width="9.5546875" style="272" customWidth="1"/>
    <col min="21" max="21" width="13.33203125" style="272" customWidth="1"/>
    <col min="22" max="39" width="4.109375" style="272" customWidth="1"/>
    <col min="40" max="16384" width="9.109375" style="272"/>
  </cols>
  <sheetData>
    <row r="1" spans="1:39" s="461" customFormat="1" ht="18" customHeight="1">
      <c r="A1" s="692"/>
      <c r="B1" s="692"/>
      <c r="C1" s="692"/>
      <c r="D1" s="692"/>
      <c r="E1" s="692"/>
      <c r="F1" s="692"/>
      <c r="G1" s="692"/>
      <c r="H1" s="692"/>
      <c r="I1" s="692"/>
      <c r="J1" s="692"/>
      <c r="K1" s="692"/>
      <c r="L1" s="692"/>
      <c r="M1" s="692"/>
      <c r="N1" s="692"/>
      <c r="O1" s="692"/>
      <c r="P1" s="692"/>
      <c r="Q1" s="692"/>
      <c r="R1" s="692"/>
      <c r="S1" s="692"/>
      <c r="T1" s="692"/>
      <c r="U1" s="692"/>
      <c r="V1" s="692"/>
      <c r="W1" s="692"/>
      <c r="X1" s="692"/>
      <c r="Y1" s="692"/>
      <c r="Z1" s="692"/>
      <c r="AA1" s="692"/>
      <c r="AB1" s="692"/>
      <c r="AC1" s="692"/>
      <c r="AD1" s="692"/>
      <c r="AE1" s="692"/>
      <c r="AF1" s="692"/>
      <c r="AG1" s="692"/>
      <c r="AH1" s="692"/>
      <c r="AI1" s="692"/>
      <c r="AJ1" s="692"/>
      <c r="AK1" s="692"/>
      <c r="AL1" s="692"/>
      <c r="AM1" s="692"/>
    </row>
    <row r="2" spans="1:39" s="279" customFormat="1" ht="18" customHeight="1">
      <c r="B2" s="2502" t="s">
        <v>2233</v>
      </c>
      <c r="C2" s="2502"/>
      <c r="D2" s="2502"/>
      <c r="E2" s="2502"/>
      <c r="F2" s="2502"/>
      <c r="G2" s="2502"/>
      <c r="H2" s="2502"/>
      <c r="I2" s="462"/>
      <c r="J2" s="462"/>
      <c r="K2" s="462"/>
      <c r="L2" s="462"/>
      <c r="M2" s="462"/>
      <c r="N2" s="462"/>
      <c r="O2" s="462"/>
      <c r="P2" s="462"/>
      <c r="Q2" s="462"/>
      <c r="R2" s="462"/>
      <c r="S2" s="462"/>
      <c r="T2" s="462"/>
      <c r="U2" s="462"/>
      <c r="V2" s="462"/>
      <c r="W2" s="462"/>
      <c r="X2" s="462"/>
      <c r="Y2" s="462"/>
      <c r="Z2" s="462"/>
      <c r="AA2" s="462"/>
      <c r="AB2" s="462"/>
      <c r="AC2" s="462"/>
      <c r="AD2" s="462"/>
      <c r="AE2" s="462"/>
      <c r="AF2" s="462"/>
      <c r="AG2" s="462"/>
      <c r="AH2" s="462"/>
      <c r="AI2" s="462"/>
      <c r="AJ2" s="462"/>
      <c r="AK2" s="462"/>
      <c r="AL2" s="462"/>
      <c r="AM2" s="462"/>
    </row>
    <row r="3" spans="1:39" s="280" customFormat="1" ht="18" customHeight="1">
      <c r="A3" s="1448"/>
      <c r="B3" s="338"/>
      <c r="C3" s="338"/>
      <c r="D3" s="338"/>
      <c r="E3" s="338"/>
      <c r="F3" s="338"/>
      <c r="G3" s="338"/>
      <c r="H3" s="338"/>
      <c r="I3" s="338"/>
      <c r="J3" s="338"/>
      <c r="K3" s="338"/>
      <c r="L3" s="338"/>
      <c r="M3" s="338"/>
      <c r="N3" s="338"/>
      <c r="O3" s="338"/>
      <c r="P3" s="338"/>
      <c r="Q3" s="338"/>
      <c r="R3" s="338"/>
      <c r="S3" s="338"/>
      <c r="T3" s="338"/>
      <c r="U3" s="338"/>
      <c r="V3" s="338"/>
      <c r="W3" s="338"/>
      <c r="X3" s="338"/>
      <c r="Y3" s="338"/>
      <c r="Z3" s="338"/>
      <c r="AA3" s="338"/>
      <c r="AB3" s="338"/>
      <c r="AC3" s="338"/>
      <c r="AD3" s="338"/>
      <c r="AE3" s="338"/>
      <c r="AF3" s="338"/>
      <c r="AG3" s="338"/>
      <c r="AH3" s="338"/>
      <c r="AI3" s="338"/>
      <c r="AJ3" s="338"/>
      <c r="AK3" s="338"/>
      <c r="AL3" s="338"/>
      <c r="AM3" s="338"/>
    </row>
    <row r="4" spans="1:39" s="696" customFormat="1" ht="36" customHeight="1">
      <c r="B4" s="1591" t="s">
        <v>2234</v>
      </c>
      <c r="C4" s="955" t="s">
        <v>2235</v>
      </c>
      <c r="D4" s="956" t="s">
        <v>126</v>
      </c>
      <c r="E4" s="956" t="s">
        <v>127</v>
      </c>
      <c r="F4" s="955" t="s">
        <v>2236</v>
      </c>
      <c r="G4" s="955" t="s">
        <v>834</v>
      </c>
      <c r="H4" s="955" t="s">
        <v>740</v>
      </c>
      <c r="I4" s="956" t="s">
        <v>2237</v>
      </c>
      <c r="J4" s="957" t="s">
        <v>2238</v>
      </c>
      <c r="K4" s="958" t="s">
        <v>2120</v>
      </c>
      <c r="L4" s="958" t="s">
        <v>2239</v>
      </c>
      <c r="M4" s="958" t="s">
        <v>2240</v>
      </c>
      <c r="N4" s="959" t="s">
        <v>2241</v>
      </c>
      <c r="O4" s="960" t="s">
        <v>2242</v>
      </c>
      <c r="P4" s="960" t="s">
        <v>2243</v>
      </c>
      <c r="Q4" s="960" t="s">
        <v>2244</v>
      </c>
      <c r="R4" s="959" t="s">
        <v>2245</v>
      </c>
      <c r="S4" s="960" t="s">
        <v>2246</v>
      </c>
      <c r="T4" s="960" t="s">
        <v>2247</v>
      </c>
      <c r="U4" s="1338" t="s">
        <v>2248</v>
      </c>
      <c r="V4" s="495"/>
      <c r="W4" s="495"/>
      <c r="X4" s="495"/>
      <c r="Y4" s="495"/>
      <c r="Z4" s="495"/>
      <c r="AA4" s="495"/>
      <c r="AB4" s="495"/>
      <c r="AC4" s="495"/>
      <c r="AD4" s="495"/>
      <c r="AE4" s="495"/>
      <c r="AF4" s="495"/>
      <c r="AG4" s="495"/>
      <c r="AH4" s="495"/>
      <c r="AI4" s="495"/>
      <c r="AJ4" s="495"/>
      <c r="AK4" s="495"/>
      <c r="AL4" s="495"/>
      <c r="AM4" s="495"/>
    </row>
    <row r="5" spans="1:39" s="514" customFormat="1" ht="36" customHeight="1">
      <c r="B5" s="657" t="s">
        <v>782</v>
      </c>
      <c r="C5" s="518" t="str">
        <f>IF('Project Overview'!$P$146&gt;0,'Project Overview'!$P$146,"")</f>
        <v>ename</v>
      </c>
      <c r="D5" s="518" t="str">
        <f>IF('Project Overview'!$I$147&gt;0,'Project Overview'!$I$147,"")</f>
        <v>sd</v>
      </c>
      <c r="E5" s="518" t="str">
        <f>IF('Project Overview'!$AE$147&gt;0,'Project Overview'!$AE$147,"")</f>
        <v xml:space="preserve">For-profit Corporation </v>
      </c>
      <c r="F5" s="697"/>
      <c r="G5" s="519"/>
      <c r="H5" s="519"/>
      <c r="I5" s="520"/>
      <c r="J5" s="519"/>
      <c r="K5" s="519"/>
      <c r="L5" s="521"/>
      <c r="M5" s="522"/>
      <c r="N5" s="519"/>
      <c r="O5" s="519"/>
      <c r="P5" s="521"/>
      <c r="Q5" s="522"/>
      <c r="R5" s="520"/>
      <c r="S5" s="520"/>
      <c r="T5" s="520"/>
      <c r="U5" s="523"/>
      <c r="V5" s="512"/>
      <c r="W5" s="512"/>
      <c r="X5" s="512"/>
      <c r="Y5" s="512"/>
      <c r="Z5" s="512"/>
      <c r="AA5" s="512"/>
      <c r="AB5" s="512"/>
      <c r="AC5" s="512"/>
      <c r="AD5" s="512"/>
      <c r="AE5" s="512"/>
      <c r="AF5" s="512"/>
      <c r="AG5" s="512"/>
      <c r="AH5" s="512"/>
      <c r="AI5" s="512"/>
      <c r="AJ5" s="512"/>
      <c r="AK5" s="512"/>
      <c r="AL5" s="512"/>
      <c r="AM5" s="512"/>
    </row>
    <row r="6" spans="1:39" s="494" customFormat="1" ht="36" customHeight="1">
      <c r="A6" s="1448"/>
      <c r="B6" s="658" t="s">
        <v>797</v>
      </c>
      <c r="C6" s="1467" t="str">
        <f>IF('Project Overview'!$P$169&gt;0,'Project Overview'!$P$169,"")</f>
        <v>sp2</v>
      </c>
      <c r="D6" s="1467" t="str">
        <f>IF('Project Overview'!$M$170&gt;0,'Project Overview'!$M$170,"")</f>
        <v/>
      </c>
      <c r="E6" s="1467" t="str">
        <f>IF('Project Overview'!$AF$170&gt;0,'Project Overview'!$AF$170,"")</f>
        <v>Non-profit Corporation</v>
      </c>
      <c r="F6" s="698"/>
      <c r="G6" s="515"/>
      <c r="H6" s="515"/>
      <c r="I6" s="513"/>
      <c r="J6" s="515"/>
      <c r="K6" s="515"/>
      <c r="L6" s="516"/>
      <c r="M6" s="517"/>
      <c r="N6" s="515"/>
      <c r="O6" s="515"/>
      <c r="P6" s="516"/>
      <c r="Q6" s="517"/>
      <c r="R6" s="513"/>
      <c r="S6" s="513"/>
      <c r="T6" s="513"/>
      <c r="U6" s="513"/>
      <c r="V6" s="495"/>
      <c r="W6" s="495"/>
      <c r="X6" s="495"/>
      <c r="Y6" s="495"/>
      <c r="Z6" s="495"/>
      <c r="AA6" s="495"/>
      <c r="AB6" s="495"/>
      <c r="AC6" s="495"/>
      <c r="AD6" s="495"/>
      <c r="AE6" s="495"/>
      <c r="AF6" s="495"/>
      <c r="AG6" s="495"/>
      <c r="AH6" s="495"/>
      <c r="AI6" s="495"/>
      <c r="AJ6" s="495"/>
      <c r="AK6" s="495"/>
      <c r="AL6" s="495"/>
      <c r="AM6" s="495"/>
    </row>
    <row r="7" spans="1:39" s="494" customFormat="1" ht="36" customHeight="1">
      <c r="A7" s="898"/>
      <c r="B7" s="658" t="s">
        <v>802</v>
      </c>
      <c r="C7" s="1467" t="str">
        <f>IF('Project Overview'!$P$180&gt;0,'Project Overview'!$P$180,"")</f>
        <v>jve1</v>
      </c>
      <c r="D7" s="513"/>
      <c r="E7" s="513"/>
      <c r="F7" s="698"/>
      <c r="G7" s="515"/>
      <c r="H7" s="515"/>
      <c r="I7" s="513"/>
      <c r="J7" s="515"/>
      <c r="K7" s="515"/>
      <c r="L7" s="516"/>
      <c r="M7" s="517"/>
      <c r="N7" s="515"/>
      <c r="O7" s="515"/>
      <c r="P7" s="516"/>
      <c r="Q7" s="517"/>
      <c r="R7" s="513"/>
      <c r="S7" s="513"/>
      <c r="T7" s="513"/>
      <c r="U7" s="513"/>
      <c r="V7" s="495"/>
      <c r="W7" s="495"/>
      <c r="X7" s="495"/>
      <c r="Y7" s="495"/>
      <c r="Z7" s="495"/>
      <c r="AA7" s="495"/>
      <c r="AB7" s="495"/>
      <c r="AC7" s="495"/>
      <c r="AD7" s="495"/>
      <c r="AE7" s="495"/>
      <c r="AF7" s="495"/>
      <c r="AG7" s="495"/>
      <c r="AH7" s="495"/>
      <c r="AI7" s="495"/>
      <c r="AJ7" s="495"/>
      <c r="AK7" s="495"/>
      <c r="AL7" s="495"/>
      <c r="AM7" s="495"/>
    </row>
    <row r="8" spans="1:39" s="494" customFormat="1" ht="36" customHeight="1">
      <c r="A8" s="898"/>
      <c r="B8" s="658" t="s">
        <v>814</v>
      </c>
      <c r="C8" s="1467" t="str">
        <f>IF('Project Overview'!P197&gt;0,'Project Overview'!P197,"")</f>
        <v>jve</v>
      </c>
      <c r="D8" s="513"/>
      <c r="E8" s="513"/>
      <c r="F8" s="698"/>
      <c r="G8" s="515"/>
      <c r="H8" s="515"/>
      <c r="I8" s="513"/>
      <c r="J8" s="515"/>
      <c r="K8" s="515"/>
      <c r="L8" s="516"/>
      <c r="M8" s="517"/>
      <c r="N8" s="515"/>
      <c r="O8" s="515"/>
      <c r="P8" s="516"/>
      <c r="Q8" s="517"/>
      <c r="R8" s="513"/>
      <c r="S8" s="513"/>
      <c r="T8" s="513"/>
      <c r="U8" s="513"/>
      <c r="V8" s="495"/>
      <c r="W8" s="495"/>
      <c r="X8" s="495"/>
      <c r="Y8" s="495"/>
      <c r="Z8" s="495"/>
      <c r="AA8" s="495"/>
      <c r="AB8" s="495"/>
      <c r="AC8" s="495"/>
      <c r="AD8" s="495"/>
      <c r="AE8" s="495"/>
      <c r="AF8" s="495"/>
      <c r="AG8" s="495"/>
      <c r="AH8" s="495"/>
      <c r="AI8" s="495"/>
      <c r="AJ8" s="495"/>
      <c r="AK8" s="495"/>
      <c r="AL8" s="495"/>
      <c r="AM8" s="495"/>
    </row>
    <row r="9" spans="1:39" s="494" customFormat="1" ht="36" customHeight="1">
      <c r="A9" s="1448"/>
      <c r="B9" s="658" t="s">
        <v>2249</v>
      </c>
      <c r="C9" s="1467" t="str">
        <f>IF('Project Overview'!$G$207&gt;0,'Project Overview'!$G$207,"")</f>
        <v>lnameo</v>
      </c>
      <c r="D9" s="513"/>
      <c r="E9" s="513"/>
      <c r="F9" s="698"/>
      <c r="G9" s="515"/>
      <c r="H9" s="515"/>
      <c r="I9" s="513"/>
      <c r="J9" s="515"/>
      <c r="K9" s="515"/>
      <c r="L9" s="516"/>
      <c r="M9" s="517"/>
      <c r="N9" s="515"/>
      <c r="O9" s="515"/>
      <c r="P9" s="516"/>
      <c r="Q9" s="517"/>
      <c r="R9" s="513"/>
      <c r="S9" s="513"/>
      <c r="T9" s="513"/>
      <c r="U9" s="513"/>
      <c r="V9" s="495"/>
      <c r="W9" s="495"/>
      <c r="X9" s="495"/>
      <c r="Y9" s="495"/>
      <c r="Z9" s="495"/>
      <c r="AA9" s="495"/>
      <c r="AB9" s="495"/>
      <c r="AC9" s="495"/>
      <c r="AD9" s="495"/>
      <c r="AE9" s="495"/>
      <c r="AF9" s="495"/>
      <c r="AG9" s="495"/>
      <c r="AH9" s="495"/>
      <c r="AI9" s="495"/>
      <c r="AJ9" s="495"/>
      <c r="AK9" s="495"/>
      <c r="AL9" s="495"/>
      <c r="AM9" s="495"/>
    </row>
    <row r="10" spans="1:39" s="494" customFormat="1" ht="36" customHeight="1">
      <c r="A10" s="1448"/>
      <c r="B10" s="658" t="s">
        <v>817</v>
      </c>
      <c r="C10" s="1467" t="str">
        <f>IF('Project Overview'!$E$219&gt;0,'Project Overview'!$E$219,"")</f>
        <v/>
      </c>
      <c r="D10" s="513"/>
      <c r="E10" s="513"/>
      <c r="F10" s="698"/>
      <c r="G10" s="515"/>
      <c r="H10" s="515"/>
      <c r="I10" s="513"/>
      <c r="J10" s="515"/>
      <c r="K10" s="515"/>
      <c r="L10" s="516"/>
      <c r="M10" s="517"/>
      <c r="N10" s="515"/>
      <c r="O10" s="515"/>
      <c r="P10" s="516"/>
      <c r="Q10" s="517"/>
      <c r="R10" s="513"/>
      <c r="S10" s="513"/>
      <c r="T10" s="513"/>
      <c r="U10" s="513"/>
      <c r="V10" s="495"/>
      <c r="W10" s="495"/>
      <c r="X10" s="495"/>
      <c r="Y10" s="495"/>
      <c r="Z10" s="495"/>
      <c r="AA10" s="495"/>
      <c r="AB10" s="495"/>
      <c r="AC10" s="495"/>
      <c r="AD10" s="495"/>
      <c r="AE10" s="495"/>
      <c r="AF10" s="495"/>
      <c r="AG10" s="495"/>
      <c r="AH10" s="495"/>
      <c r="AI10" s="495"/>
      <c r="AJ10" s="495"/>
      <c r="AK10" s="495"/>
      <c r="AL10" s="495"/>
      <c r="AM10" s="495"/>
    </row>
    <row r="11" spans="1:39" s="494" customFormat="1" ht="36" customHeight="1">
      <c r="A11" s="1448"/>
      <c r="B11" s="658" t="s">
        <v>2250</v>
      </c>
      <c r="C11" s="1467" t="str">
        <f>IF('Project Overview'!$E$228&gt;0,'Project Overview'!$E$228,"")</f>
        <v/>
      </c>
      <c r="D11" s="513"/>
      <c r="E11" s="513"/>
      <c r="F11" s="698"/>
      <c r="G11" s="515"/>
      <c r="H11" s="515"/>
      <c r="I11" s="513"/>
      <c r="J11" s="515"/>
      <c r="K11" s="515"/>
      <c r="L11" s="516"/>
      <c r="M11" s="517"/>
      <c r="N11" s="515"/>
      <c r="O11" s="515"/>
      <c r="P11" s="516"/>
      <c r="Q11" s="517"/>
      <c r="R11" s="513"/>
      <c r="S11" s="513"/>
      <c r="T11" s="513"/>
      <c r="U11" s="513"/>
      <c r="V11" s="495"/>
      <c r="W11" s="495"/>
      <c r="X11" s="495"/>
      <c r="Y11" s="495"/>
      <c r="Z11" s="495"/>
      <c r="AA11" s="495"/>
      <c r="AB11" s="495"/>
      <c r="AC11" s="495"/>
      <c r="AD11" s="495"/>
      <c r="AE11" s="495"/>
      <c r="AF11" s="495"/>
      <c r="AG11" s="495"/>
      <c r="AH11" s="495"/>
      <c r="AI11" s="495"/>
      <c r="AJ11" s="495"/>
      <c r="AK11" s="495"/>
      <c r="AL11" s="495"/>
      <c r="AM11" s="495"/>
    </row>
    <row r="12" spans="1:39" s="494" customFormat="1" ht="36" customHeight="1">
      <c r="A12" s="1448"/>
      <c r="B12" s="658" t="s">
        <v>2251</v>
      </c>
      <c r="C12" s="1467" t="str">
        <f>IF('Project Overview'!E237&gt;0,'Project Overview'!E237,"")</f>
        <v/>
      </c>
      <c r="D12" s="513"/>
      <c r="E12" s="513"/>
      <c r="F12" s="698"/>
      <c r="G12" s="515"/>
      <c r="H12" s="515"/>
      <c r="I12" s="513"/>
      <c r="J12" s="515"/>
      <c r="K12" s="515"/>
      <c r="L12" s="516"/>
      <c r="M12" s="517"/>
      <c r="N12" s="515"/>
      <c r="O12" s="515"/>
      <c r="P12" s="516"/>
      <c r="Q12" s="517"/>
      <c r="R12" s="513"/>
      <c r="S12" s="513"/>
      <c r="T12" s="513"/>
      <c r="U12" s="513"/>
      <c r="V12" s="495"/>
      <c r="W12" s="495"/>
      <c r="X12" s="495"/>
      <c r="Y12" s="495"/>
      <c r="Z12" s="495"/>
      <c r="AA12" s="495"/>
      <c r="AB12" s="495"/>
      <c r="AC12" s="495"/>
      <c r="AD12" s="495"/>
      <c r="AE12" s="495"/>
      <c r="AF12" s="495"/>
      <c r="AG12" s="495"/>
      <c r="AH12" s="495"/>
      <c r="AI12" s="495"/>
      <c r="AJ12" s="495"/>
      <c r="AK12" s="495"/>
      <c r="AL12" s="495"/>
      <c r="AM12" s="495"/>
    </row>
    <row r="13" spans="1:39" s="494" customFormat="1" ht="36" customHeight="1">
      <c r="A13" s="1448"/>
      <c r="B13" s="658" t="s">
        <v>2252</v>
      </c>
      <c r="C13" s="513"/>
      <c r="D13" s="1467"/>
      <c r="E13" s="1467"/>
      <c r="F13" s="698"/>
      <c r="G13" s="515"/>
      <c r="H13" s="515"/>
      <c r="I13" s="513"/>
      <c r="J13" s="524"/>
      <c r="K13" s="524"/>
      <c r="L13" s="525"/>
      <c r="M13" s="526"/>
      <c r="N13" s="515"/>
      <c r="O13" s="515"/>
      <c r="P13" s="516"/>
      <c r="Q13" s="517"/>
      <c r="R13" s="1467"/>
      <c r="S13" s="1467"/>
      <c r="T13" s="1467"/>
      <c r="U13" s="1467"/>
      <c r="V13" s="495"/>
      <c r="W13" s="495"/>
      <c r="X13" s="495"/>
      <c r="Y13" s="495"/>
      <c r="Z13" s="495"/>
      <c r="AA13" s="495"/>
      <c r="AB13" s="495"/>
      <c r="AC13" s="495"/>
      <c r="AD13" s="495"/>
      <c r="AE13" s="495"/>
      <c r="AF13" s="495"/>
      <c r="AG13" s="495"/>
      <c r="AH13" s="495"/>
      <c r="AI13" s="495"/>
      <c r="AJ13" s="495"/>
      <c r="AK13" s="495"/>
      <c r="AL13" s="495"/>
      <c r="AM13" s="495"/>
    </row>
    <row r="14" spans="1:39" s="494" customFormat="1" ht="36" customHeight="1">
      <c r="A14" s="1448"/>
      <c r="B14" s="658" t="s">
        <v>2253</v>
      </c>
      <c r="C14" s="513"/>
      <c r="D14" s="1467"/>
      <c r="E14" s="1467"/>
      <c r="F14" s="698"/>
      <c r="G14" s="515"/>
      <c r="H14" s="515"/>
      <c r="I14" s="513"/>
      <c r="J14" s="524"/>
      <c r="K14" s="524"/>
      <c r="L14" s="525"/>
      <c r="M14" s="526"/>
      <c r="N14" s="515"/>
      <c r="O14" s="515"/>
      <c r="P14" s="516"/>
      <c r="Q14" s="517"/>
      <c r="R14" s="1467"/>
      <c r="S14" s="1467"/>
      <c r="T14" s="1467"/>
      <c r="U14" s="1467"/>
      <c r="V14" s="495"/>
      <c r="W14" s="495"/>
      <c r="X14" s="495"/>
      <c r="Y14" s="495"/>
      <c r="Z14" s="495"/>
      <c r="AA14" s="495"/>
      <c r="AB14" s="495"/>
      <c r="AC14" s="495"/>
      <c r="AD14" s="495"/>
      <c r="AE14" s="495"/>
      <c r="AF14" s="495"/>
      <c r="AG14" s="495"/>
      <c r="AH14" s="495"/>
      <c r="AI14" s="495"/>
      <c r="AJ14" s="495"/>
      <c r="AK14" s="495"/>
      <c r="AL14" s="495"/>
      <c r="AM14" s="495"/>
    </row>
    <row r="15" spans="1:39" s="494" customFormat="1" ht="36" customHeight="1">
      <c r="A15" s="1448"/>
      <c r="B15" s="658" t="s">
        <v>2254</v>
      </c>
      <c r="C15" s="513"/>
      <c r="D15" s="1467"/>
      <c r="E15" s="1467"/>
      <c r="F15" s="698"/>
      <c r="G15" s="515"/>
      <c r="H15" s="515"/>
      <c r="I15" s="513"/>
      <c r="J15" s="524"/>
      <c r="K15" s="524"/>
      <c r="L15" s="525"/>
      <c r="M15" s="526"/>
      <c r="N15" s="515"/>
      <c r="O15" s="515"/>
      <c r="P15" s="516"/>
      <c r="Q15" s="517"/>
      <c r="R15" s="1467"/>
      <c r="S15" s="1467"/>
      <c r="T15" s="1467"/>
      <c r="U15" s="1467"/>
      <c r="V15" s="495"/>
      <c r="W15" s="495"/>
      <c r="X15" s="495"/>
      <c r="Y15" s="495"/>
      <c r="Z15" s="495"/>
      <c r="AA15" s="495"/>
      <c r="AB15" s="495"/>
      <c r="AC15" s="495"/>
      <c r="AD15" s="495"/>
      <c r="AE15" s="495"/>
      <c r="AF15" s="495"/>
      <c r="AG15" s="495"/>
      <c r="AH15" s="495"/>
      <c r="AI15" s="495"/>
      <c r="AJ15" s="495"/>
      <c r="AK15" s="495"/>
      <c r="AL15" s="495"/>
      <c r="AM15" s="495"/>
    </row>
    <row r="16" spans="1:39" s="494" customFormat="1" ht="36" customHeight="1">
      <c r="A16" s="1448"/>
      <c r="B16" s="658" t="s">
        <v>2255</v>
      </c>
      <c r="C16" s="513"/>
      <c r="D16" s="1467"/>
      <c r="E16" s="1467"/>
      <c r="F16" s="698"/>
      <c r="G16" s="515"/>
      <c r="H16" s="515"/>
      <c r="I16" s="513"/>
      <c r="J16" s="524"/>
      <c r="K16" s="524"/>
      <c r="L16" s="525"/>
      <c r="M16" s="526"/>
      <c r="N16" s="515"/>
      <c r="O16" s="515"/>
      <c r="P16" s="516"/>
      <c r="Q16" s="517"/>
      <c r="R16" s="1467"/>
      <c r="S16" s="1467"/>
      <c r="T16" s="1467"/>
      <c r="U16" s="1467"/>
      <c r="V16" s="495"/>
      <c r="W16" s="495"/>
      <c r="X16" s="495"/>
      <c r="Y16" s="495"/>
      <c r="Z16" s="495"/>
      <c r="AA16" s="495"/>
      <c r="AB16" s="495"/>
      <c r="AC16" s="495"/>
      <c r="AD16" s="495"/>
      <c r="AE16" s="495"/>
      <c r="AF16" s="495"/>
      <c r="AG16" s="495"/>
      <c r="AH16" s="495"/>
      <c r="AI16" s="495"/>
      <c r="AJ16" s="495"/>
      <c r="AK16" s="495"/>
      <c r="AL16" s="495"/>
      <c r="AM16" s="495"/>
    </row>
    <row r="17" spans="2:41" s="494" customFormat="1" ht="36" customHeight="1">
      <c r="B17" s="658" t="s">
        <v>2256</v>
      </c>
      <c r="C17" s="513" t="str">
        <f>IF('Project Overview'!$P$146&gt;0,'Project Overview'!$P$146,"")</f>
        <v>ename</v>
      </c>
      <c r="D17" s="1467"/>
      <c r="E17" s="1467"/>
      <c r="F17" s="698"/>
      <c r="G17" s="515"/>
      <c r="H17" s="515"/>
      <c r="I17" s="513"/>
      <c r="J17" s="524"/>
      <c r="K17" s="524"/>
      <c r="L17" s="525"/>
      <c r="M17" s="526"/>
      <c r="N17" s="515"/>
      <c r="O17" s="515"/>
      <c r="P17" s="516"/>
      <c r="Q17" s="517"/>
      <c r="R17" s="1467"/>
      <c r="S17" s="1467"/>
      <c r="T17" s="1467"/>
      <c r="U17" s="1467"/>
      <c r="V17" s="495"/>
      <c r="W17" s="495"/>
      <c r="X17" s="495"/>
      <c r="Y17" s="495"/>
      <c r="Z17" s="495"/>
      <c r="AA17" s="495"/>
      <c r="AB17" s="495"/>
      <c r="AC17" s="495"/>
      <c r="AD17" s="495"/>
      <c r="AE17" s="495"/>
      <c r="AF17" s="495"/>
      <c r="AG17" s="495"/>
      <c r="AH17" s="495"/>
      <c r="AI17" s="495"/>
      <c r="AJ17" s="495"/>
      <c r="AK17" s="495"/>
      <c r="AL17" s="495"/>
      <c r="AM17" s="495"/>
      <c r="AN17" s="1448"/>
      <c r="AO17" s="1448"/>
    </row>
    <row r="18" spans="2:41" s="494" customFormat="1" ht="36" customHeight="1">
      <c r="B18" s="658" t="s">
        <v>2257</v>
      </c>
      <c r="C18" s="513" t="str">
        <f>IF('Project Overview'!$P$146&gt;0,'Project Overview'!$P$146,"")</f>
        <v>ename</v>
      </c>
      <c r="D18" s="1467"/>
      <c r="E18" s="1467"/>
      <c r="F18" s="698"/>
      <c r="G18" s="515"/>
      <c r="H18" s="515"/>
      <c r="I18" s="513"/>
      <c r="J18" s="524"/>
      <c r="K18" s="524"/>
      <c r="L18" s="525"/>
      <c r="M18" s="526"/>
      <c r="N18" s="515"/>
      <c r="O18" s="515"/>
      <c r="P18" s="516"/>
      <c r="Q18" s="517"/>
      <c r="R18" s="1467"/>
      <c r="S18" s="1467"/>
      <c r="T18" s="1467"/>
      <c r="U18" s="1467"/>
      <c r="V18" s="495"/>
      <c r="W18" s="495"/>
      <c r="X18" s="495"/>
      <c r="Y18" s="495"/>
      <c r="Z18" s="495"/>
      <c r="AA18" s="495"/>
      <c r="AB18" s="495"/>
      <c r="AC18" s="495"/>
      <c r="AD18" s="495"/>
      <c r="AE18" s="495"/>
      <c r="AF18" s="495"/>
      <c r="AG18" s="495"/>
      <c r="AH18" s="495"/>
      <c r="AI18" s="495"/>
      <c r="AJ18" s="495"/>
      <c r="AK18" s="495"/>
      <c r="AL18" s="495"/>
      <c r="AM18" s="495"/>
      <c r="AN18" s="1448"/>
      <c r="AO18" s="1448"/>
    </row>
    <row r="19" spans="2:41" s="494" customFormat="1" ht="36" customHeight="1">
      <c r="B19" s="658" t="s">
        <v>2253</v>
      </c>
      <c r="C19" s="513" t="str">
        <f>IF('Project Overview'!$P$146&gt;0,'Project Overview'!$P$146,"")</f>
        <v>ename</v>
      </c>
      <c r="D19" s="1467"/>
      <c r="E19" s="1467"/>
      <c r="F19" s="698"/>
      <c r="G19" s="515"/>
      <c r="H19" s="515"/>
      <c r="I19" s="513"/>
      <c r="J19" s="524"/>
      <c r="K19" s="524"/>
      <c r="L19" s="525"/>
      <c r="M19" s="526"/>
      <c r="N19" s="515"/>
      <c r="O19" s="515"/>
      <c r="P19" s="516"/>
      <c r="Q19" s="517"/>
      <c r="R19" s="1467"/>
      <c r="S19" s="1467"/>
      <c r="T19" s="1467"/>
      <c r="U19" s="1467"/>
      <c r="V19" s="495"/>
      <c r="W19" s="495"/>
      <c r="X19" s="495"/>
      <c r="Y19" s="495"/>
      <c r="Z19" s="495"/>
      <c r="AA19" s="495"/>
      <c r="AB19" s="495"/>
      <c r="AC19" s="495"/>
      <c r="AD19" s="495"/>
      <c r="AE19" s="495"/>
      <c r="AF19" s="495"/>
      <c r="AG19" s="495"/>
      <c r="AH19" s="495"/>
      <c r="AI19" s="495"/>
      <c r="AJ19" s="495"/>
      <c r="AK19" s="495"/>
      <c r="AL19" s="495"/>
      <c r="AM19" s="495"/>
      <c r="AN19" s="1448"/>
      <c r="AO19" s="1448"/>
    </row>
    <row r="20" spans="2:41" s="494" customFormat="1" ht="36" customHeight="1">
      <c r="B20" s="659" t="s">
        <v>1050</v>
      </c>
      <c r="C20" s="513" t="str">
        <f>IF('Project Overview'!$P$146&gt;0,'Project Overview'!$P$146,"")</f>
        <v>ename</v>
      </c>
      <c r="D20" s="513"/>
      <c r="E20" s="513"/>
      <c r="F20" s="698"/>
      <c r="G20" s="515"/>
      <c r="H20" s="515"/>
      <c r="I20" s="513"/>
      <c r="J20" s="524"/>
      <c r="K20" s="524"/>
      <c r="L20" s="525"/>
      <c r="M20" s="526"/>
      <c r="N20" s="515"/>
      <c r="O20" s="515"/>
      <c r="P20" s="516"/>
      <c r="Q20" s="517"/>
      <c r="R20" s="1467"/>
      <c r="S20" s="1467"/>
      <c r="T20" s="1467"/>
      <c r="U20" s="1467"/>
      <c r="V20" s="495"/>
      <c r="W20" s="495"/>
      <c r="X20" s="495"/>
      <c r="Y20" s="495"/>
      <c r="Z20" s="495"/>
      <c r="AA20" s="495"/>
      <c r="AB20" s="495"/>
      <c r="AC20" s="495"/>
      <c r="AD20" s="495"/>
      <c r="AE20" s="495"/>
      <c r="AF20" s="495"/>
      <c r="AG20" s="495"/>
      <c r="AH20" s="495"/>
      <c r="AI20" s="495"/>
      <c r="AJ20" s="495"/>
      <c r="AK20" s="495"/>
      <c r="AL20" s="495"/>
      <c r="AM20" s="495"/>
      <c r="AN20" s="1448"/>
      <c r="AO20" s="1448"/>
    </row>
    <row r="21" spans="2:41" s="494" customFormat="1" ht="36" customHeight="1">
      <c r="B21" s="659" t="s">
        <v>1050</v>
      </c>
      <c r="C21" s="513" t="str">
        <f>IF('Project Overview'!$P$146&gt;0,'Project Overview'!$P$146,"")</f>
        <v>ename</v>
      </c>
      <c r="D21" s="513"/>
      <c r="E21" s="513"/>
      <c r="F21" s="698"/>
      <c r="G21" s="515"/>
      <c r="H21" s="515"/>
      <c r="I21" s="513"/>
      <c r="J21" s="524"/>
      <c r="K21" s="524"/>
      <c r="L21" s="525"/>
      <c r="M21" s="526"/>
      <c r="N21" s="515"/>
      <c r="O21" s="515"/>
      <c r="P21" s="516"/>
      <c r="Q21" s="517"/>
      <c r="R21" s="1467"/>
      <c r="S21" s="1467"/>
      <c r="T21" s="1467"/>
      <c r="U21" s="1467"/>
      <c r="V21" s="495"/>
      <c r="W21" s="495"/>
      <c r="X21" s="495"/>
      <c r="Y21" s="495"/>
      <c r="Z21" s="495"/>
      <c r="AA21" s="495"/>
      <c r="AB21" s="495"/>
      <c r="AC21" s="495"/>
      <c r="AD21" s="495"/>
      <c r="AE21" s="495"/>
      <c r="AF21" s="495"/>
      <c r="AG21" s="495"/>
      <c r="AH21" s="495"/>
      <c r="AI21" s="495"/>
      <c r="AJ21" s="495"/>
      <c r="AK21" s="495"/>
      <c r="AL21" s="495"/>
      <c r="AM21" s="495"/>
      <c r="AN21" s="1448"/>
      <c r="AO21" s="1448"/>
    </row>
    <row r="22" spans="2:41" s="494" customFormat="1" ht="36" customHeight="1">
      <c r="B22" s="659" t="s">
        <v>1050</v>
      </c>
      <c r="C22" s="513" t="str">
        <f>IF('Project Overview'!$P$146&gt;0,'Project Overview'!$P$146,"")</f>
        <v>ename</v>
      </c>
      <c r="D22" s="513"/>
      <c r="E22" s="513"/>
      <c r="F22" s="698"/>
      <c r="G22" s="515"/>
      <c r="H22" s="515"/>
      <c r="I22" s="513"/>
      <c r="J22" s="524"/>
      <c r="K22" s="524"/>
      <c r="L22" s="525"/>
      <c r="M22" s="526"/>
      <c r="N22" s="515"/>
      <c r="O22" s="515"/>
      <c r="P22" s="516"/>
      <c r="Q22" s="517"/>
      <c r="R22" s="1467"/>
      <c r="S22" s="1467"/>
      <c r="T22" s="1467"/>
      <c r="U22" s="1467"/>
      <c r="V22" s="495"/>
      <c r="W22" s="495"/>
      <c r="X22" s="495"/>
      <c r="Y22" s="495"/>
      <c r="Z22" s="495"/>
      <c r="AA22" s="495"/>
      <c r="AB22" s="495"/>
      <c r="AC22" s="495"/>
      <c r="AD22" s="495"/>
      <c r="AE22" s="495"/>
      <c r="AF22" s="495"/>
      <c r="AG22" s="495"/>
      <c r="AH22" s="495"/>
      <c r="AI22" s="495"/>
      <c r="AJ22" s="495"/>
      <c r="AK22" s="495"/>
      <c r="AL22" s="495"/>
      <c r="AM22" s="495"/>
      <c r="AN22" s="1448"/>
      <c r="AO22" s="1448"/>
    </row>
    <row r="23" spans="2:41" s="494" customFormat="1" ht="36" customHeight="1">
      <c r="B23" s="659" t="s">
        <v>1050</v>
      </c>
      <c r="C23" s="513" t="str">
        <f>IF('Project Overview'!$P$146&gt;0,'Project Overview'!$P$146,"")</f>
        <v>ename</v>
      </c>
      <c r="D23" s="513"/>
      <c r="E23" s="513"/>
      <c r="F23" s="698"/>
      <c r="G23" s="515"/>
      <c r="H23" s="515"/>
      <c r="I23" s="513"/>
      <c r="J23" s="524"/>
      <c r="K23" s="524"/>
      <c r="L23" s="525"/>
      <c r="M23" s="526"/>
      <c r="N23" s="515"/>
      <c r="O23" s="515"/>
      <c r="P23" s="516"/>
      <c r="Q23" s="517"/>
      <c r="R23" s="1467"/>
      <c r="S23" s="1467"/>
      <c r="T23" s="1467"/>
      <c r="U23" s="1467"/>
      <c r="V23" s="495"/>
      <c r="W23" s="495"/>
      <c r="X23" s="495"/>
      <c r="Y23" s="495"/>
      <c r="Z23" s="495"/>
      <c r="AA23" s="495"/>
      <c r="AB23" s="495"/>
      <c r="AC23" s="495"/>
      <c r="AD23" s="495"/>
      <c r="AE23" s="495"/>
      <c r="AF23" s="495"/>
      <c r="AG23" s="495"/>
      <c r="AH23" s="495"/>
      <c r="AI23" s="495"/>
      <c r="AJ23" s="495"/>
      <c r="AK23" s="495"/>
      <c r="AL23" s="495"/>
      <c r="AM23" s="495"/>
      <c r="AN23" s="1448"/>
      <c r="AO23" s="1448"/>
    </row>
    <row r="24" spans="2:41" s="280" customFormat="1" ht="18" customHeight="1">
      <c r="B24" s="495"/>
      <c r="C24" s="495"/>
      <c r="D24" s="495"/>
      <c r="E24" s="495"/>
      <c r="F24" s="495"/>
      <c r="G24" s="495"/>
      <c r="H24" s="495"/>
      <c r="I24" s="495"/>
      <c r="J24" s="495"/>
      <c r="K24" s="495"/>
      <c r="L24" s="495"/>
      <c r="M24" s="495"/>
      <c r="N24" s="495"/>
      <c r="O24" s="495"/>
      <c r="P24" s="495"/>
      <c r="Q24" s="495"/>
      <c r="R24" s="495"/>
      <c r="S24" s="495"/>
      <c r="T24" s="495"/>
      <c r="U24" s="495"/>
      <c r="V24" s="495"/>
      <c r="W24" s="495"/>
      <c r="X24" s="495"/>
      <c r="Y24" s="495"/>
      <c r="Z24" s="495"/>
      <c r="AA24" s="495"/>
      <c r="AB24" s="495"/>
      <c r="AC24" s="495"/>
      <c r="AD24" s="495"/>
      <c r="AE24" s="495"/>
      <c r="AF24" s="495"/>
      <c r="AG24" s="495"/>
      <c r="AH24" s="495"/>
      <c r="AI24" s="495"/>
      <c r="AJ24" s="495"/>
      <c r="AK24" s="495"/>
      <c r="AL24" s="495"/>
      <c r="AM24" s="495"/>
      <c r="AN24" s="1448"/>
      <c r="AO24" s="1448"/>
    </row>
    <row r="25" spans="2:41" s="494" customFormat="1" ht="36" customHeight="1">
      <c r="B25" s="1592" t="s">
        <v>2258</v>
      </c>
      <c r="C25" s="953" t="s">
        <v>2259</v>
      </c>
      <c r="D25" s="954" t="s">
        <v>2260</v>
      </c>
      <c r="E25" s="953" t="s">
        <v>2261</v>
      </c>
      <c r="F25" s="954" t="s">
        <v>2262</v>
      </c>
      <c r="G25" s="1339" t="s">
        <v>2263</v>
      </c>
      <c r="H25" s="495"/>
      <c r="I25" s="495"/>
      <c r="J25" s="495"/>
      <c r="K25" s="495"/>
      <c r="L25" s="495"/>
      <c r="M25" s="495"/>
      <c r="N25" s="495"/>
      <c r="O25" s="495"/>
      <c r="P25" s="495"/>
      <c r="Q25" s="495"/>
      <c r="R25" s="495"/>
      <c r="S25" s="495"/>
      <c r="T25" s="495"/>
      <c r="U25" s="495"/>
      <c r="V25" s="495"/>
      <c r="W25" s="495"/>
      <c r="X25" s="495"/>
      <c r="Y25" s="495"/>
      <c r="Z25" s="495"/>
      <c r="AA25" s="495"/>
      <c r="AB25" s="495"/>
      <c r="AC25" s="495"/>
      <c r="AD25" s="495"/>
      <c r="AE25" s="495"/>
      <c r="AF25" s="495"/>
      <c r="AG25" s="495"/>
      <c r="AH25" s="495"/>
      <c r="AI25" s="495"/>
      <c r="AJ25" s="495"/>
      <c r="AK25" s="495"/>
      <c r="AL25" s="495"/>
      <c r="AM25" s="495"/>
      <c r="AN25" s="495"/>
      <c r="AO25" s="495"/>
    </row>
    <row r="26" spans="2:41" s="494" customFormat="1" ht="36" customHeight="1">
      <c r="B26" s="1340"/>
      <c r="C26" s="1465"/>
      <c r="D26" s="537"/>
      <c r="E26" s="1465"/>
      <c r="F26" s="537"/>
      <c r="G26" s="1468"/>
      <c r="H26" s="495"/>
      <c r="I26" s="495"/>
      <c r="J26" s="495"/>
      <c r="K26" s="495"/>
      <c r="L26" s="495"/>
      <c r="M26" s="495"/>
      <c r="N26" s="495"/>
      <c r="O26" s="495"/>
      <c r="P26" s="495"/>
      <c r="Q26" s="495"/>
      <c r="R26" s="495"/>
      <c r="S26" s="495"/>
      <c r="T26" s="495"/>
      <c r="U26" s="495"/>
      <c r="V26" s="495"/>
      <c r="W26" s="495"/>
      <c r="X26" s="495"/>
      <c r="Y26" s="495"/>
      <c r="Z26" s="495"/>
      <c r="AA26" s="495"/>
      <c r="AB26" s="495"/>
      <c r="AC26" s="495"/>
      <c r="AD26" s="495"/>
      <c r="AE26" s="495"/>
      <c r="AF26" s="495"/>
      <c r="AG26" s="495"/>
      <c r="AH26" s="495"/>
      <c r="AI26" s="495"/>
      <c r="AJ26" s="495"/>
      <c r="AK26" s="495"/>
      <c r="AL26" s="495"/>
      <c r="AM26" s="495"/>
      <c r="AN26" s="495"/>
      <c r="AO26" s="495"/>
    </row>
    <row r="27" spans="2:41" s="494" customFormat="1" ht="36" customHeight="1">
      <c r="B27" s="1340"/>
      <c r="C27" s="1465"/>
      <c r="D27" s="537"/>
      <c r="E27" s="1465"/>
      <c r="F27" s="537"/>
      <c r="G27" s="1468"/>
      <c r="H27" s="495"/>
      <c r="I27" s="495"/>
      <c r="J27" s="495"/>
      <c r="K27" s="495"/>
      <c r="L27" s="495"/>
      <c r="M27" s="495"/>
      <c r="N27" s="495"/>
      <c r="O27" s="495"/>
      <c r="P27" s="495"/>
      <c r="Q27" s="495"/>
      <c r="R27" s="495"/>
      <c r="S27" s="495"/>
      <c r="T27" s="495"/>
      <c r="U27" s="495"/>
      <c r="V27" s="495"/>
      <c r="W27" s="495"/>
      <c r="X27" s="495"/>
      <c r="Y27" s="495"/>
      <c r="Z27" s="495"/>
      <c r="AA27" s="495"/>
      <c r="AB27" s="495"/>
      <c r="AC27" s="495"/>
      <c r="AD27" s="495"/>
      <c r="AE27" s="495"/>
      <c r="AF27" s="495"/>
      <c r="AG27" s="495"/>
      <c r="AH27" s="495"/>
      <c r="AI27" s="495"/>
      <c r="AJ27" s="495"/>
      <c r="AK27" s="495"/>
      <c r="AL27" s="495"/>
      <c r="AM27" s="495"/>
      <c r="AN27" s="495"/>
      <c r="AO27" s="495"/>
    </row>
    <row r="28" spans="2:41" s="494" customFormat="1" ht="36" customHeight="1">
      <c r="B28" s="1340"/>
      <c r="C28" s="1465"/>
      <c r="D28" s="537"/>
      <c r="E28" s="1465"/>
      <c r="F28" s="537"/>
      <c r="G28" s="1468"/>
      <c r="H28" s="495"/>
      <c r="I28" s="495"/>
      <c r="J28" s="495"/>
      <c r="K28" s="495"/>
      <c r="L28" s="495"/>
      <c r="M28" s="495"/>
      <c r="N28" s="495"/>
      <c r="O28" s="495"/>
      <c r="P28" s="495"/>
      <c r="Q28" s="495"/>
      <c r="R28" s="495"/>
      <c r="S28" s="495"/>
      <c r="T28" s="495"/>
      <c r="U28" s="495"/>
      <c r="V28" s="495"/>
      <c r="W28" s="495"/>
      <c r="X28" s="495"/>
      <c r="Y28" s="495"/>
      <c r="Z28" s="495"/>
      <c r="AA28" s="495"/>
      <c r="AB28" s="495"/>
      <c r="AC28" s="495"/>
      <c r="AD28" s="495"/>
      <c r="AE28" s="495"/>
      <c r="AF28" s="495"/>
      <c r="AG28" s="495"/>
      <c r="AH28" s="495"/>
      <c r="AI28" s="495"/>
      <c r="AJ28" s="495"/>
      <c r="AK28" s="495"/>
      <c r="AL28" s="495"/>
      <c r="AM28" s="495"/>
      <c r="AN28" s="495"/>
      <c r="AO28" s="495"/>
    </row>
    <row r="29" spans="2:41" s="494" customFormat="1" ht="36" customHeight="1">
      <c r="B29" s="538"/>
      <c r="C29" s="539"/>
      <c r="D29" s="540"/>
      <c r="E29" s="539"/>
      <c r="F29" s="540"/>
      <c r="G29" s="541"/>
      <c r="H29" s="495"/>
      <c r="I29" s="495"/>
      <c r="J29" s="495"/>
      <c r="K29" s="495"/>
      <c r="L29" s="495"/>
      <c r="M29" s="495"/>
      <c r="N29" s="495"/>
      <c r="O29" s="495"/>
      <c r="P29" s="495"/>
      <c r="Q29" s="495"/>
      <c r="R29" s="495"/>
      <c r="S29" s="495"/>
      <c r="T29" s="495"/>
      <c r="U29" s="495"/>
      <c r="V29" s="495"/>
      <c r="W29" s="495"/>
      <c r="X29" s="495"/>
      <c r="Y29" s="495"/>
      <c r="Z29" s="495"/>
      <c r="AA29" s="495"/>
      <c r="AB29" s="495"/>
      <c r="AC29" s="495"/>
      <c r="AD29" s="495"/>
      <c r="AE29" s="495"/>
      <c r="AF29" s="495"/>
      <c r="AG29" s="495"/>
      <c r="AH29" s="495"/>
      <c r="AI29" s="495"/>
      <c r="AJ29" s="495"/>
      <c r="AK29" s="495"/>
      <c r="AL29" s="495"/>
      <c r="AM29" s="495"/>
      <c r="AN29" s="495"/>
      <c r="AO29" s="495"/>
    </row>
    <row r="30" spans="2:41" s="494" customFormat="1" ht="18" customHeight="1">
      <c r="B30" s="495"/>
      <c r="C30" s="495"/>
      <c r="D30" s="495"/>
      <c r="E30" s="495"/>
      <c r="F30" s="495"/>
      <c r="G30" s="495"/>
      <c r="H30" s="495"/>
      <c r="I30" s="495"/>
      <c r="J30" s="495"/>
      <c r="K30" s="495"/>
      <c r="L30" s="495"/>
      <c r="M30" s="495"/>
      <c r="N30" s="495"/>
      <c r="O30" s="495"/>
      <c r="P30" s="495"/>
      <c r="Q30" s="495"/>
      <c r="R30" s="495"/>
      <c r="S30" s="495"/>
      <c r="T30" s="495"/>
      <c r="U30" s="495"/>
      <c r="V30" s="495"/>
      <c r="W30" s="495"/>
      <c r="X30" s="495"/>
      <c r="Y30" s="495"/>
      <c r="Z30" s="495"/>
      <c r="AA30" s="495"/>
      <c r="AB30" s="495"/>
      <c r="AC30" s="495"/>
      <c r="AD30" s="495"/>
      <c r="AE30" s="495"/>
      <c r="AF30" s="495"/>
      <c r="AG30" s="495"/>
      <c r="AH30" s="495"/>
      <c r="AI30" s="495"/>
      <c r="AJ30" s="495"/>
      <c r="AK30" s="495"/>
      <c r="AL30" s="495"/>
      <c r="AM30" s="495"/>
      <c r="AN30" s="1448"/>
      <c r="AO30" s="1448"/>
    </row>
  </sheetData>
  <mergeCells count="1">
    <mergeCell ref="B2:H2"/>
  </mergeCells>
  <printOptions horizontalCentered="1"/>
  <pageMargins left="0" right="0.25" top="0" bottom="0" header="0.25" footer="0.25"/>
  <pageSetup scale="65" orientation="portrait" r:id="rId1"/>
  <headerFooter>
    <oddFooter>&amp;L&amp;F&amp;C&amp;P of &amp;N&amp;R &amp;A</oddFooter>
  </headerFooter>
  <ignoredErrors>
    <ignoredError sqref="C6:E6 C7:C12" calculatedColumn="1"/>
  </ignoredErrors>
  <tableParts count="2">
    <tablePart r:id="rId2"/>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Dropdowns!$E$1:$E$80</xm:f>
          </x14:formula1>
          <xm:sqref>E26:E29 C26:C29 G26:G29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3" tint="0.59999389629810485"/>
  </sheetPr>
  <dimension ref="A1:X168"/>
  <sheetViews>
    <sheetView topLeftCell="B1" workbookViewId="0">
      <selection activeCell="B15" sqref="B15"/>
    </sheetView>
  </sheetViews>
  <sheetFormatPr defaultColWidth="9.109375" defaultRowHeight="13.8"/>
  <cols>
    <col min="1" max="1" width="40.44140625" style="1106" customWidth="1"/>
    <col min="2" max="2" width="47.88671875" style="1106" customWidth="1"/>
    <col min="3" max="3" width="14.88671875" style="401" bestFit="1" customWidth="1"/>
    <col min="4" max="6" width="9.109375" style="401"/>
    <col min="7" max="7" width="15" style="401" customWidth="1"/>
    <col min="8" max="23" width="9.109375" style="401"/>
    <col min="24" max="24" width="37.33203125" style="401" customWidth="1"/>
    <col min="25" max="16384" width="9.109375" style="401"/>
  </cols>
  <sheetData>
    <row r="1" spans="1:24" ht="12.75" customHeight="1">
      <c r="A1" s="1109" t="s">
        <v>3136</v>
      </c>
      <c r="B1" s="1110" t="s">
        <v>3137</v>
      </c>
      <c r="C1" s="1111" t="s">
        <v>2308</v>
      </c>
      <c r="E1" s="401">
        <v>1</v>
      </c>
      <c r="G1" s="401" t="s">
        <v>2308</v>
      </c>
      <c r="H1" s="401" t="s">
        <v>877</v>
      </c>
      <c r="J1" s="1112" t="s">
        <v>3138</v>
      </c>
      <c r="X1" s="1155" t="s">
        <v>3139</v>
      </c>
    </row>
    <row r="2" spans="1:24">
      <c r="A2" s="1109" t="s">
        <v>3140</v>
      </c>
      <c r="B2" s="1110" t="s">
        <v>3141</v>
      </c>
      <c r="C2" s="1111" t="s">
        <v>2314</v>
      </c>
      <c r="E2" s="401">
        <v>2</v>
      </c>
      <c r="G2" s="401" t="s">
        <v>2314</v>
      </c>
      <c r="H2" s="401" t="s">
        <v>877</v>
      </c>
      <c r="J2" s="1112" t="s">
        <v>3142</v>
      </c>
      <c r="X2" s="1155" t="s">
        <v>3143</v>
      </c>
    </row>
    <row r="3" spans="1:24">
      <c r="A3" s="1109" t="s">
        <v>3144</v>
      </c>
      <c r="B3" s="1110"/>
      <c r="C3" s="1111" t="s">
        <v>2328</v>
      </c>
      <c r="E3" s="401">
        <v>3</v>
      </c>
      <c r="G3" s="401" t="s">
        <v>2328</v>
      </c>
      <c r="H3" s="401" t="s">
        <v>877</v>
      </c>
      <c r="J3" s="1112" t="s">
        <v>3145</v>
      </c>
      <c r="X3" s="1155" t="s">
        <v>3146</v>
      </c>
    </row>
    <row r="4" spans="1:24">
      <c r="A4" s="1109" t="s">
        <v>3147</v>
      </c>
      <c r="B4" s="1110"/>
      <c r="C4" s="1111" t="s">
        <v>2330</v>
      </c>
      <c r="E4" s="401">
        <v>4</v>
      </c>
      <c r="G4" s="401" t="s">
        <v>2330</v>
      </c>
      <c r="H4" s="401" t="s">
        <v>877</v>
      </c>
      <c r="J4" s="1112" t="s">
        <v>3148</v>
      </c>
      <c r="X4" s="1155" t="s">
        <v>3149</v>
      </c>
    </row>
    <row r="5" spans="1:24">
      <c r="A5" s="1109" t="s">
        <v>3150</v>
      </c>
      <c r="B5" s="1113"/>
      <c r="C5" s="1111" t="s">
        <v>2332</v>
      </c>
      <c r="E5" s="401">
        <v>5</v>
      </c>
      <c r="G5" s="401" t="s">
        <v>2332</v>
      </c>
      <c r="H5" s="401" t="s">
        <v>877</v>
      </c>
      <c r="X5" s="1155" t="s">
        <v>3151</v>
      </c>
    </row>
    <row r="6" spans="1:24">
      <c r="A6" s="1109" t="s">
        <v>784</v>
      </c>
      <c r="B6" s="1110" t="s">
        <v>3152</v>
      </c>
      <c r="C6" s="1111" t="s">
        <v>2384</v>
      </c>
      <c r="E6" s="401">
        <v>6</v>
      </c>
      <c r="G6" s="401" t="s">
        <v>2384</v>
      </c>
      <c r="H6" s="401" t="s">
        <v>877</v>
      </c>
      <c r="X6" s="1155" t="s">
        <v>3153</v>
      </c>
    </row>
    <row r="7" spans="1:24">
      <c r="A7" s="1109" t="s">
        <v>3154</v>
      </c>
      <c r="B7" s="1114" t="s">
        <v>3155</v>
      </c>
      <c r="C7" s="1111" t="s">
        <v>2386</v>
      </c>
      <c r="E7" s="401">
        <v>7</v>
      </c>
      <c r="G7" s="401" t="s">
        <v>2386</v>
      </c>
      <c r="H7" s="401" t="s">
        <v>877</v>
      </c>
      <c r="X7" s="1155" t="s">
        <v>3156</v>
      </c>
    </row>
    <row r="8" spans="1:24">
      <c r="A8" s="1109" t="s">
        <v>3157</v>
      </c>
      <c r="B8" s="1114" t="s">
        <v>3158</v>
      </c>
      <c r="C8" s="1111" t="s">
        <v>2388</v>
      </c>
      <c r="E8" s="401">
        <v>8</v>
      </c>
      <c r="G8" s="401" t="s">
        <v>2388</v>
      </c>
      <c r="H8" s="401" t="s">
        <v>877</v>
      </c>
      <c r="X8" s="1155" t="s">
        <v>3159</v>
      </c>
    </row>
    <row r="9" spans="1:24">
      <c r="A9" s="1109" t="s">
        <v>3160</v>
      </c>
      <c r="B9" s="1114" t="s">
        <v>3161</v>
      </c>
      <c r="C9" s="1111" t="s">
        <v>2390</v>
      </c>
      <c r="E9" s="401">
        <v>9</v>
      </c>
      <c r="G9" s="401" t="s">
        <v>2390</v>
      </c>
      <c r="H9" s="401" t="s">
        <v>877</v>
      </c>
      <c r="J9" s="1486" t="s">
        <v>718</v>
      </c>
      <c r="K9" s="1448">
        <v>10</v>
      </c>
      <c r="L9" s="1448">
        <v>3</v>
      </c>
      <c r="M9" s="1448">
        <v>3</v>
      </c>
      <c r="X9" s="1154" t="s">
        <v>3162</v>
      </c>
    </row>
    <row r="10" spans="1:24">
      <c r="A10" s="1486"/>
      <c r="B10" s="438" t="s">
        <v>3163</v>
      </c>
      <c r="C10" s="1111" t="s">
        <v>718</v>
      </c>
      <c r="E10" s="401">
        <v>10</v>
      </c>
      <c r="G10" s="401" t="s">
        <v>718</v>
      </c>
      <c r="H10" s="401" t="s">
        <v>877</v>
      </c>
      <c r="J10" s="1486" t="s">
        <v>2401</v>
      </c>
      <c r="K10" s="1448">
        <v>10</v>
      </c>
      <c r="L10" s="1448">
        <v>3</v>
      </c>
      <c r="M10" s="1448">
        <v>3</v>
      </c>
      <c r="X10" s="1155" t="s">
        <v>3164</v>
      </c>
    </row>
    <row r="11" spans="1:24">
      <c r="A11" s="1109"/>
      <c r="B11" s="1114" t="s">
        <v>3165</v>
      </c>
      <c r="C11" s="1111" t="s">
        <v>2393</v>
      </c>
      <c r="E11" s="401">
        <v>11</v>
      </c>
      <c r="G11" s="401" t="s">
        <v>2393</v>
      </c>
      <c r="H11" s="401" t="s">
        <v>877</v>
      </c>
      <c r="J11" s="1486" t="s">
        <v>2427</v>
      </c>
      <c r="K11" s="1448">
        <v>10</v>
      </c>
      <c r="L11" s="1448">
        <v>3</v>
      </c>
      <c r="M11" s="1448">
        <v>3</v>
      </c>
      <c r="X11" s="1154" t="s">
        <v>3166</v>
      </c>
    </row>
    <row r="12" spans="1:24">
      <c r="A12" s="1115" t="s">
        <v>1475</v>
      </c>
      <c r="B12" s="1114" t="s">
        <v>3167</v>
      </c>
      <c r="C12" s="1111" t="s">
        <v>2395</v>
      </c>
      <c r="E12" s="401">
        <v>12</v>
      </c>
      <c r="G12" s="401" t="s">
        <v>2395</v>
      </c>
      <c r="H12" s="401" t="s">
        <v>877</v>
      </c>
      <c r="J12" s="1486" t="s">
        <v>2457</v>
      </c>
      <c r="K12" s="1448">
        <v>10</v>
      </c>
      <c r="L12" s="1448">
        <v>3</v>
      </c>
      <c r="M12" s="1448">
        <v>3</v>
      </c>
      <c r="X12" s="1154" t="s">
        <v>3168</v>
      </c>
    </row>
    <row r="13" spans="1:24">
      <c r="A13" s="1116" t="s">
        <v>1802</v>
      </c>
      <c r="B13" s="1114" t="s">
        <v>3169</v>
      </c>
      <c r="C13" s="1111" t="s">
        <v>2397</v>
      </c>
      <c r="E13" s="401">
        <v>13</v>
      </c>
      <c r="G13" s="401" t="s">
        <v>2397</v>
      </c>
      <c r="H13" s="401" t="s">
        <v>878</v>
      </c>
      <c r="J13" s="1486" t="s">
        <v>2463</v>
      </c>
      <c r="K13" s="1448">
        <v>10</v>
      </c>
      <c r="L13" s="1448">
        <v>3</v>
      </c>
      <c r="M13" s="1448">
        <v>3</v>
      </c>
      <c r="X13" s="1154" t="s">
        <v>3170</v>
      </c>
    </row>
    <row r="14" spans="1:24">
      <c r="A14" s="1115" t="s">
        <v>3171</v>
      </c>
      <c r="B14" s="1114" t="s">
        <v>3172</v>
      </c>
      <c r="C14" s="1111" t="s">
        <v>2399</v>
      </c>
      <c r="E14" s="401">
        <v>14</v>
      </c>
      <c r="G14" s="401" t="s">
        <v>2399</v>
      </c>
      <c r="H14" s="401" t="s">
        <v>877</v>
      </c>
      <c r="J14" s="1486" t="s">
        <v>2487</v>
      </c>
      <c r="K14" s="1448">
        <v>10</v>
      </c>
      <c r="L14" s="1448">
        <v>3</v>
      </c>
      <c r="M14" s="1448">
        <v>3</v>
      </c>
      <c r="X14" s="1154" t="s">
        <v>3173</v>
      </c>
    </row>
    <row r="15" spans="1:24" ht="43.5" customHeight="1">
      <c r="A15" s="1122" t="s">
        <v>3174</v>
      </c>
      <c r="B15" s="1110"/>
      <c r="C15" s="1111" t="s">
        <v>2401</v>
      </c>
      <c r="E15" s="401">
        <v>15</v>
      </c>
      <c r="G15" s="401" t="s">
        <v>2401</v>
      </c>
      <c r="H15" s="401" t="s">
        <v>878</v>
      </c>
      <c r="J15" s="1486" t="s">
        <v>2491</v>
      </c>
      <c r="K15" s="1448">
        <v>10</v>
      </c>
      <c r="L15" s="1448">
        <v>3</v>
      </c>
      <c r="M15" s="1448">
        <v>3</v>
      </c>
      <c r="X15" s="1154" t="s">
        <v>3175</v>
      </c>
    </row>
    <row r="16" spans="1:24">
      <c r="A16" s="1115" t="s">
        <v>3176</v>
      </c>
      <c r="B16" s="1110"/>
      <c r="C16" s="1111" t="s">
        <v>2403</v>
      </c>
      <c r="E16" s="401">
        <v>16</v>
      </c>
      <c r="G16" s="401" t="s">
        <v>2403</v>
      </c>
      <c r="H16" s="401" t="s">
        <v>877</v>
      </c>
      <c r="J16" s="1486" t="s">
        <v>2411</v>
      </c>
      <c r="K16" s="1448">
        <v>5</v>
      </c>
      <c r="L16" s="1448">
        <v>5</v>
      </c>
      <c r="M16" s="1448">
        <v>3</v>
      </c>
      <c r="X16" s="1155" t="s">
        <v>3177</v>
      </c>
    </row>
    <row r="17" spans="1:13">
      <c r="A17" s="1115" t="s">
        <v>3178</v>
      </c>
      <c r="B17" s="1486"/>
      <c r="C17" s="1111" t="s">
        <v>2405</v>
      </c>
      <c r="E17" s="401">
        <v>17</v>
      </c>
      <c r="G17" s="401" t="s">
        <v>2405</v>
      </c>
      <c r="H17" s="401" t="s">
        <v>877</v>
      </c>
      <c r="J17" s="1486" t="s">
        <v>2419</v>
      </c>
      <c r="K17" s="1448">
        <v>5</v>
      </c>
      <c r="L17" s="1448">
        <v>5</v>
      </c>
      <c r="M17" s="1448">
        <v>3</v>
      </c>
    </row>
    <row r="18" spans="1:13">
      <c r="A18" s="401"/>
      <c r="B18" s="1486"/>
      <c r="C18" s="1111" t="s">
        <v>2407</v>
      </c>
      <c r="E18" s="401">
        <v>18</v>
      </c>
      <c r="G18" s="401" t="s">
        <v>2407</v>
      </c>
      <c r="H18" s="401" t="s">
        <v>877</v>
      </c>
      <c r="J18" s="1486" t="s">
        <v>2442</v>
      </c>
      <c r="K18" s="1448">
        <v>5</v>
      </c>
      <c r="L18" s="1448">
        <v>5</v>
      </c>
      <c r="M18" s="1448">
        <v>3</v>
      </c>
    </row>
    <row r="19" spans="1:13">
      <c r="A19" s="1486"/>
      <c r="B19" s="1486"/>
      <c r="C19" s="1111" t="s">
        <v>2409</v>
      </c>
      <c r="E19" s="401">
        <v>19</v>
      </c>
      <c r="G19" s="401" t="s">
        <v>2409</v>
      </c>
      <c r="H19" s="401" t="s">
        <v>878</v>
      </c>
      <c r="J19" s="1486" t="s">
        <v>2452</v>
      </c>
      <c r="K19" s="1448">
        <v>5</v>
      </c>
      <c r="L19" s="1448">
        <v>5</v>
      </c>
      <c r="M19" s="1448">
        <v>3</v>
      </c>
    </row>
    <row r="20" spans="1:13">
      <c r="A20" s="1486" t="s">
        <v>772</v>
      </c>
      <c r="B20" s="1486" t="s">
        <v>736</v>
      </c>
      <c r="C20" s="1111" t="s">
        <v>2411</v>
      </c>
      <c r="E20" s="401">
        <v>20</v>
      </c>
      <c r="G20" s="401" t="s">
        <v>2411</v>
      </c>
      <c r="H20" s="401" t="s">
        <v>877</v>
      </c>
      <c r="J20" s="1486" t="s">
        <v>2459</v>
      </c>
      <c r="K20" s="1448">
        <v>5</v>
      </c>
      <c r="L20" s="1448">
        <v>5</v>
      </c>
      <c r="M20" s="1448">
        <v>3</v>
      </c>
    </row>
    <row r="21" spans="1:13">
      <c r="A21" s="1486" t="s">
        <v>774</v>
      </c>
      <c r="B21" s="1110" t="s">
        <v>3179</v>
      </c>
      <c r="C21" s="1111" t="s">
        <v>2413</v>
      </c>
      <c r="E21" s="401">
        <v>21</v>
      </c>
      <c r="G21" s="401" t="s">
        <v>2413</v>
      </c>
      <c r="H21" s="401" t="s">
        <v>877</v>
      </c>
      <c r="J21" s="1486" t="s">
        <v>2467</v>
      </c>
      <c r="K21" s="1448">
        <v>5</v>
      </c>
      <c r="L21" s="1448">
        <v>5</v>
      </c>
      <c r="M21" s="1448">
        <v>3</v>
      </c>
    </row>
    <row r="22" spans="1:13">
      <c r="A22" s="1109" t="s">
        <v>773</v>
      </c>
      <c r="B22" s="1110" t="s">
        <v>3180</v>
      </c>
      <c r="C22" s="1111" t="s">
        <v>2415</v>
      </c>
      <c r="E22" s="401">
        <v>22</v>
      </c>
      <c r="G22" s="401" t="s">
        <v>2415</v>
      </c>
      <c r="H22" s="401" t="s">
        <v>877</v>
      </c>
      <c r="J22" s="1486" t="s">
        <v>2477</v>
      </c>
      <c r="K22" s="1448">
        <v>5</v>
      </c>
      <c r="L22" s="1448">
        <v>5</v>
      </c>
      <c r="M22" s="1448">
        <v>3</v>
      </c>
    </row>
    <row r="23" spans="1:13">
      <c r="A23" s="1109" t="s">
        <v>775</v>
      </c>
      <c r="B23" s="1110" t="s">
        <v>3181</v>
      </c>
      <c r="C23" s="1111" t="s">
        <v>2417</v>
      </c>
      <c r="E23" s="401">
        <v>23</v>
      </c>
      <c r="G23" s="401" t="s">
        <v>2417</v>
      </c>
      <c r="H23" s="401" t="s">
        <v>877</v>
      </c>
      <c r="J23" s="1486" t="s">
        <v>2479</v>
      </c>
      <c r="K23" s="1448">
        <v>5</v>
      </c>
      <c r="L23" s="1448">
        <v>5</v>
      </c>
      <c r="M23" s="1448">
        <v>3</v>
      </c>
    </row>
    <row r="24" spans="1:13">
      <c r="A24" s="1110" t="s">
        <v>776</v>
      </c>
      <c r="B24" s="1486" t="s">
        <v>3182</v>
      </c>
      <c r="C24" s="1111" t="s">
        <v>2419</v>
      </c>
      <c r="E24" s="401">
        <v>24</v>
      </c>
      <c r="G24" s="401" t="s">
        <v>2419</v>
      </c>
      <c r="H24" s="401" t="s">
        <v>877</v>
      </c>
      <c r="J24" s="1486" t="s">
        <v>2308</v>
      </c>
      <c r="K24" s="49">
        <v>3</v>
      </c>
      <c r="L24" s="1448">
        <v>3</v>
      </c>
      <c r="M24" s="1448">
        <v>3</v>
      </c>
    </row>
    <row r="25" spans="1:13">
      <c r="A25" s="1110" t="s">
        <v>771</v>
      </c>
      <c r="B25" s="1486" t="s">
        <v>3183</v>
      </c>
      <c r="C25" s="1111" t="s">
        <v>2421</v>
      </c>
      <c r="E25" s="401">
        <v>25</v>
      </c>
      <c r="G25" s="401" t="s">
        <v>2421</v>
      </c>
      <c r="H25" s="401" t="s">
        <v>877</v>
      </c>
      <c r="J25" s="1486" t="s">
        <v>2314</v>
      </c>
      <c r="K25" s="49">
        <v>3</v>
      </c>
      <c r="L25" s="1448">
        <v>3</v>
      </c>
      <c r="M25" s="1448">
        <v>3</v>
      </c>
    </row>
    <row r="26" spans="1:13">
      <c r="A26" s="1486" t="s">
        <v>779</v>
      </c>
      <c r="B26" s="1110" t="s">
        <v>1042</v>
      </c>
      <c r="C26" s="1111" t="s">
        <v>2424</v>
      </c>
      <c r="E26" s="401">
        <v>26</v>
      </c>
      <c r="G26" s="401" t="s">
        <v>2424</v>
      </c>
      <c r="H26" s="401" t="s">
        <v>877</v>
      </c>
      <c r="J26" s="1486" t="s">
        <v>2328</v>
      </c>
      <c r="K26" s="1448">
        <v>3</v>
      </c>
      <c r="L26" s="1448">
        <v>3</v>
      </c>
      <c r="M26" s="1448">
        <v>3</v>
      </c>
    </row>
    <row r="27" spans="1:13">
      <c r="A27" s="1486" t="s">
        <v>781</v>
      </c>
      <c r="B27" s="1110" t="s">
        <v>3184</v>
      </c>
      <c r="C27" s="1111" t="s">
        <v>2427</v>
      </c>
      <c r="E27" s="401">
        <v>27</v>
      </c>
      <c r="G27" s="401" t="s">
        <v>2427</v>
      </c>
      <c r="H27" s="401" t="s">
        <v>877</v>
      </c>
      <c r="J27" s="1486" t="s">
        <v>2330</v>
      </c>
      <c r="K27" s="1448">
        <v>3</v>
      </c>
      <c r="L27" s="1448">
        <v>3</v>
      </c>
      <c r="M27" s="1448">
        <v>3</v>
      </c>
    </row>
    <row r="28" spans="1:13">
      <c r="A28" s="1109"/>
      <c r="B28" s="1110" t="s">
        <v>3185</v>
      </c>
      <c r="C28" s="1111" t="s">
        <v>2429</v>
      </c>
      <c r="E28" s="401">
        <v>28</v>
      </c>
      <c r="G28" s="401" t="s">
        <v>2429</v>
      </c>
      <c r="H28" s="401" t="s">
        <v>877</v>
      </c>
      <c r="J28" s="1486" t="s">
        <v>2332</v>
      </c>
      <c r="K28" s="1448">
        <v>3</v>
      </c>
      <c r="L28" s="1448">
        <v>3</v>
      </c>
      <c r="M28" s="1448">
        <v>3</v>
      </c>
    </row>
    <row r="29" spans="1:13">
      <c r="A29" s="1109"/>
      <c r="B29" s="1110" t="s">
        <v>3186</v>
      </c>
      <c r="C29" s="1111" t="s">
        <v>2432</v>
      </c>
      <c r="E29" s="401">
        <v>29</v>
      </c>
      <c r="G29" s="401" t="s">
        <v>2432</v>
      </c>
      <c r="H29" s="401" t="s">
        <v>877</v>
      </c>
      <c r="J29" s="1486" t="s">
        <v>2384</v>
      </c>
      <c r="K29" s="1448">
        <v>3</v>
      </c>
      <c r="L29" s="1448">
        <v>3</v>
      </c>
      <c r="M29" s="1448">
        <v>3</v>
      </c>
    </row>
    <row r="30" spans="1:13">
      <c r="A30" s="1486"/>
      <c r="B30" s="1110" t="s">
        <v>3187</v>
      </c>
      <c r="C30" s="1111" t="s">
        <v>2435</v>
      </c>
      <c r="E30" s="401">
        <v>30</v>
      </c>
      <c r="G30" s="401" t="s">
        <v>2435</v>
      </c>
      <c r="H30" s="401" t="s">
        <v>878</v>
      </c>
      <c r="J30" s="1486" t="s">
        <v>2386</v>
      </c>
      <c r="K30" s="1448">
        <v>3</v>
      </c>
      <c r="L30" s="1448">
        <v>3</v>
      </c>
      <c r="M30" s="1448">
        <v>3</v>
      </c>
    </row>
    <row r="31" spans="1:13">
      <c r="A31" s="1109"/>
      <c r="B31" s="1110"/>
      <c r="C31" s="1111" t="s">
        <v>2437</v>
      </c>
      <c r="E31" s="401">
        <v>31</v>
      </c>
      <c r="G31" s="401" t="s">
        <v>2437</v>
      </c>
      <c r="H31" s="401" t="s">
        <v>877</v>
      </c>
      <c r="J31" s="1486" t="s">
        <v>2388</v>
      </c>
      <c r="K31" s="1448">
        <v>3</v>
      </c>
      <c r="L31" s="1448">
        <v>3</v>
      </c>
      <c r="M31" s="1448">
        <v>3</v>
      </c>
    </row>
    <row r="32" spans="1:13">
      <c r="A32" s="1486" t="s">
        <v>3188</v>
      </c>
      <c r="B32" s="1110"/>
      <c r="C32" s="1111" t="s">
        <v>2439</v>
      </c>
      <c r="E32" s="401">
        <v>32</v>
      </c>
      <c r="G32" s="401" t="s">
        <v>2439</v>
      </c>
      <c r="H32" s="401" t="s">
        <v>877</v>
      </c>
      <c r="J32" s="1486" t="s">
        <v>2390</v>
      </c>
      <c r="K32" s="1448">
        <v>3</v>
      </c>
      <c r="L32" s="1448">
        <v>3</v>
      </c>
      <c r="M32" s="1448">
        <v>3</v>
      </c>
    </row>
    <row r="33" spans="1:13">
      <c r="A33" s="1486" t="s">
        <v>3189</v>
      </c>
      <c r="B33" s="1486"/>
      <c r="C33" s="1111" t="s">
        <v>2442</v>
      </c>
      <c r="E33" s="401">
        <v>33</v>
      </c>
      <c r="G33" s="401" t="s">
        <v>2442</v>
      </c>
      <c r="H33" s="401" t="s">
        <v>878</v>
      </c>
      <c r="J33" s="1486" t="s">
        <v>2393</v>
      </c>
      <c r="K33" s="1448">
        <v>3</v>
      </c>
      <c r="L33" s="1448">
        <v>3</v>
      </c>
      <c r="M33" s="1448">
        <v>3</v>
      </c>
    </row>
    <row r="34" spans="1:13">
      <c r="A34" s="1109" t="s">
        <v>3190</v>
      </c>
      <c r="B34" s="1110"/>
      <c r="C34" s="1111" t="s">
        <v>2445</v>
      </c>
      <c r="E34" s="401">
        <v>34</v>
      </c>
      <c r="G34" s="401" t="s">
        <v>2445</v>
      </c>
      <c r="H34" s="401" t="s">
        <v>877</v>
      </c>
      <c r="J34" s="1486" t="s">
        <v>2395</v>
      </c>
      <c r="K34" s="1448">
        <v>3</v>
      </c>
      <c r="L34" s="1448">
        <v>3</v>
      </c>
      <c r="M34" s="1448">
        <v>3</v>
      </c>
    </row>
    <row r="35" spans="1:13">
      <c r="A35" s="1109" t="s">
        <v>3191</v>
      </c>
      <c r="B35" s="1110"/>
      <c r="C35" s="1111" t="s">
        <v>2447</v>
      </c>
      <c r="E35" s="401">
        <v>35</v>
      </c>
      <c r="G35" s="401" t="s">
        <v>2447</v>
      </c>
      <c r="H35" s="401" t="s">
        <v>877</v>
      </c>
      <c r="J35" s="1486" t="s">
        <v>2397</v>
      </c>
      <c r="K35" s="1448">
        <v>3</v>
      </c>
      <c r="L35" s="1448">
        <v>3</v>
      </c>
      <c r="M35" s="1448">
        <v>3</v>
      </c>
    </row>
    <row r="36" spans="1:13">
      <c r="A36" s="1110" t="s">
        <v>1042</v>
      </c>
      <c r="B36" s="1486"/>
      <c r="C36" s="1111" t="s">
        <v>2449</v>
      </c>
      <c r="E36" s="401">
        <v>36</v>
      </c>
      <c r="G36" s="401" t="s">
        <v>2449</v>
      </c>
      <c r="H36" s="401" t="s">
        <v>878</v>
      </c>
      <c r="J36" s="1486" t="s">
        <v>2399</v>
      </c>
      <c r="K36" s="1448">
        <v>3</v>
      </c>
      <c r="L36" s="1448">
        <v>3</v>
      </c>
      <c r="M36" s="1448">
        <v>3</v>
      </c>
    </row>
    <row r="37" spans="1:13">
      <c r="A37" s="1110" t="s">
        <v>3192</v>
      </c>
      <c r="B37" s="1110"/>
      <c r="C37" s="1111" t="s">
        <v>2452</v>
      </c>
      <c r="E37" s="401">
        <v>37</v>
      </c>
      <c r="G37" s="401" t="s">
        <v>2452</v>
      </c>
      <c r="H37" s="401" t="s">
        <v>878</v>
      </c>
      <c r="J37" s="1486" t="s">
        <v>2403</v>
      </c>
      <c r="K37" s="1448">
        <v>3</v>
      </c>
      <c r="L37" s="1448">
        <v>3</v>
      </c>
      <c r="M37" s="1448">
        <v>3</v>
      </c>
    </row>
    <row r="38" spans="1:13">
      <c r="A38" s="1486"/>
      <c r="B38" s="1486"/>
      <c r="C38" s="1111" t="s">
        <v>2455</v>
      </c>
      <c r="E38" s="401">
        <v>38</v>
      </c>
      <c r="G38" s="401" t="s">
        <v>2455</v>
      </c>
      <c r="H38" s="401" t="s">
        <v>877</v>
      </c>
      <c r="J38" s="1486" t="s">
        <v>2405</v>
      </c>
      <c r="K38" s="1448">
        <v>3</v>
      </c>
      <c r="L38" s="1448">
        <v>3</v>
      </c>
      <c r="M38" s="1448">
        <v>3</v>
      </c>
    </row>
    <row r="39" spans="1:13">
      <c r="A39" s="1486"/>
      <c r="B39" s="1486"/>
      <c r="C39" s="1111" t="s">
        <v>2457</v>
      </c>
      <c r="E39" s="401">
        <v>39</v>
      </c>
      <c r="G39" s="401" t="s">
        <v>2457</v>
      </c>
      <c r="H39" s="401" t="s">
        <v>877</v>
      </c>
      <c r="J39" s="1486" t="s">
        <v>2407</v>
      </c>
      <c r="K39" s="1448">
        <v>3</v>
      </c>
      <c r="L39" s="1448">
        <v>3</v>
      </c>
      <c r="M39" s="1448">
        <v>3</v>
      </c>
    </row>
    <row r="40" spans="1:13">
      <c r="A40" s="1486"/>
      <c r="B40" s="1110"/>
      <c r="C40" s="1111" t="s">
        <v>2459</v>
      </c>
      <c r="E40" s="401">
        <v>40</v>
      </c>
      <c r="G40" s="401" t="s">
        <v>2459</v>
      </c>
      <c r="H40" s="401" t="s">
        <v>878</v>
      </c>
      <c r="J40" s="1486" t="s">
        <v>2409</v>
      </c>
      <c r="K40" s="1448">
        <v>3</v>
      </c>
      <c r="L40" s="1448">
        <v>3</v>
      </c>
      <c r="M40" s="1448">
        <v>3</v>
      </c>
    </row>
    <row r="41" spans="1:13">
      <c r="A41" s="1486"/>
      <c r="B41" s="1110"/>
      <c r="C41" s="1111" t="s">
        <v>2461</v>
      </c>
      <c r="E41" s="401">
        <v>41</v>
      </c>
      <c r="G41" s="401" t="s">
        <v>2461</v>
      </c>
      <c r="H41" s="401" t="s">
        <v>877</v>
      </c>
      <c r="J41" s="1486" t="s">
        <v>2413</v>
      </c>
      <c r="K41" s="1448">
        <v>3</v>
      </c>
      <c r="L41" s="1448">
        <v>3</v>
      </c>
      <c r="M41" s="1448">
        <v>3</v>
      </c>
    </row>
    <row r="42" spans="1:13">
      <c r="A42" s="1486"/>
      <c r="B42" s="1110"/>
      <c r="C42" s="1111" t="s">
        <v>2463</v>
      </c>
      <c r="E42" s="401">
        <v>42</v>
      </c>
      <c r="G42" s="401" t="s">
        <v>2463</v>
      </c>
      <c r="H42" s="401" t="s">
        <v>878</v>
      </c>
      <c r="J42" s="1486" t="s">
        <v>2415</v>
      </c>
      <c r="K42" s="1448">
        <v>3</v>
      </c>
      <c r="L42" s="1448">
        <v>3</v>
      </c>
      <c r="M42" s="1448">
        <v>3</v>
      </c>
    </row>
    <row r="43" spans="1:13">
      <c r="A43" s="1486"/>
      <c r="B43" s="1110"/>
      <c r="C43" s="1111" t="s">
        <v>2465</v>
      </c>
      <c r="E43" s="401">
        <v>43</v>
      </c>
      <c r="G43" s="401" t="s">
        <v>2465</v>
      </c>
      <c r="H43" s="401" t="s">
        <v>877</v>
      </c>
      <c r="J43" s="1486" t="s">
        <v>2417</v>
      </c>
      <c r="K43" s="1448">
        <v>3</v>
      </c>
      <c r="L43" s="1448">
        <v>3</v>
      </c>
      <c r="M43" s="1448">
        <v>3</v>
      </c>
    </row>
    <row r="44" spans="1:13">
      <c r="A44" s="1486"/>
      <c r="B44" s="1110"/>
      <c r="C44" s="1111" t="s">
        <v>2467</v>
      </c>
      <c r="E44" s="401">
        <v>44</v>
      </c>
      <c r="G44" s="401" t="s">
        <v>2467</v>
      </c>
      <c r="H44" s="401" t="s">
        <v>877</v>
      </c>
      <c r="J44" s="1486" t="s">
        <v>2421</v>
      </c>
      <c r="K44" s="1448">
        <v>3</v>
      </c>
      <c r="L44" s="1448">
        <v>3</v>
      </c>
      <c r="M44" s="1448">
        <v>3</v>
      </c>
    </row>
    <row r="45" spans="1:13">
      <c r="A45" s="1486"/>
      <c r="B45" s="1486"/>
      <c r="C45" s="1111" t="s">
        <v>2469</v>
      </c>
      <c r="E45" s="401">
        <v>45</v>
      </c>
      <c r="G45" s="401" t="s">
        <v>2469</v>
      </c>
      <c r="H45" s="401" t="s">
        <v>877</v>
      </c>
      <c r="J45" s="1486" t="s">
        <v>2424</v>
      </c>
      <c r="K45" s="1448">
        <v>3</v>
      </c>
      <c r="L45" s="1448">
        <v>3</v>
      </c>
      <c r="M45" s="1448">
        <v>3</v>
      </c>
    </row>
    <row r="46" spans="1:13">
      <c r="A46" s="1486"/>
      <c r="B46" s="1110"/>
      <c r="C46" s="1111" t="s">
        <v>2471</v>
      </c>
      <c r="E46" s="401">
        <v>46</v>
      </c>
      <c r="G46" s="401" t="s">
        <v>2471</v>
      </c>
      <c r="H46" s="401" t="s">
        <v>877</v>
      </c>
      <c r="J46" s="1486" t="s">
        <v>2429</v>
      </c>
      <c r="K46" s="1448">
        <v>3</v>
      </c>
      <c r="L46" s="1448">
        <v>3</v>
      </c>
      <c r="M46" s="1448">
        <v>3</v>
      </c>
    </row>
    <row r="47" spans="1:13">
      <c r="A47" s="1486"/>
      <c r="B47" s="1110"/>
      <c r="C47" s="1111" t="s">
        <v>2473</v>
      </c>
      <c r="E47" s="401">
        <v>47</v>
      </c>
      <c r="G47" s="401" t="s">
        <v>2473</v>
      </c>
      <c r="H47" s="401" t="s">
        <v>877</v>
      </c>
      <c r="J47" s="1486" t="s">
        <v>2432</v>
      </c>
      <c r="K47" s="1448">
        <v>3</v>
      </c>
      <c r="L47" s="1448">
        <v>3</v>
      </c>
      <c r="M47" s="1448">
        <v>3</v>
      </c>
    </row>
    <row r="48" spans="1:13">
      <c r="A48" s="1486"/>
      <c r="B48" s="1486"/>
      <c r="C48" s="1111" t="s">
        <v>2475</v>
      </c>
      <c r="E48" s="401">
        <v>48</v>
      </c>
      <c r="G48" s="401" t="s">
        <v>2475</v>
      </c>
      <c r="H48" s="401" t="s">
        <v>877</v>
      </c>
      <c r="J48" s="1486" t="s">
        <v>2435</v>
      </c>
      <c r="K48" s="1448">
        <v>3</v>
      </c>
      <c r="L48" s="1448">
        <v>3</v>
      </c>
      <c r="M48" s="1448">
        <v>3</v>
      </c>
    </row>
    <row r="49" spans="1:13">
      <c r="A49" s="1486"/>
      <c r="B49" s="1110"/>
      <c r="C49" s="1111" t="s">
        <v>2477</v>
      </c>
      <c r="E49" s="401">
        <v>49</v>
      </c>
      <c r="G49" s="401" t="s">
        <v>2477</v>
      </c>
      <c r="H49" s="401" t="s">
        <v>877</v>
      </c>
      <c r="J49" s="1486" t="s">
        <v>2437</v>
      </c>
      <c r="K49" s="1448">
        <v>3</v>
      </c>
      <c r="L49" s="1448">
        <v>3</v>
      </c>
      <c r="M49" s="1448">
        <v>3</v>
      </c>
    </row>
    <row r="50" spans="1:13">
      <c r="A50" s="1486"/>
      <c r="B50" s="1486"/>
      <c r="C50" s="1111" t="s">
        <v>2479</v>
      </c>
      <c r="E50" s="401">
        <v>50</v>
      </c>
      <c r="G50" s="401" t="s">
        <v>2479</v>
      </c>
      <c r="H50" s="401" t="s">
        <v>877</v>
      </c>
      <c r="J50" s="1486" t="s">
        <v>2439</v>
      </c>
      <c r="K50" s="1448">
        <v>3</v>
      </c>
      <c r="L50" s="1448">
        <v>3</v>
      </c>
      <c r="M50" s="1448">
        <v>3</v>
      </c>
    </row>
    <row r="51" spans="1:13">
      <c r="A51" s="1486"/>
      <c r="B51" s="1486"/>
      <c r="C51" s="1111" t="s">
        <v>2481</v>
      </c>
      <c r="E51" s="401">
        <v>51</v>
      </c>
      <c r="G51" s="401" t="s">
        <v>2481</v>
      </c>
      <c r="H51" s="401" t="s">
        <v>877</v>
      </c>
      <c r="J51" s="1486" t="s">
        <v>2445</v>
      </c>
      <c r="K51" s="1448">
        <v>3</v>
      </c>
      <c r="L51" s="1448">
        <v>3</v>
      </c>
      <c r="M51" s="1448">
        <v>3</v>
      </c>
    </row>
    <row r="52" spans="1:13">
      <c r="A52" s="1486"/>
      <c r="B52" s="1110"/>
      <c r="C52" s="1111" t="s">
        <v>2483</v>
      </c>
      <c r="E52" s="401">
        <v>52</v>
      </c>
      <c r="G52" s="401" t="s">
        <v>2483</v>
      </c>
      <c r="H52" s="401" t="s">
        <v>877</v>
      </c>
      <c r="J52" s="1486" t="s">
        <v>2447</v>
      </c>
      <c r="K52" s="1448">
        <v>3</v>
      </c>
      <c r="L52" s="1448">
        <v>3</v>
      </c>
      <c r="M52" s="1448">
        <v>3</v>
      </c>
    </row>
    <row r="53" spans="1:13">
      <c r="A53" s="1486"/>
      <c r="B53" s="1110"/>
      <c r="C53" s="1111" t="s">
        <v>2485</v>
      </c>
      <c r="E53" s="401">
        <v>53</v>
      </c>
      <c r="G53" s="401" t="s">
        <v>2485</v>
      </c>
      <c r="H53" s="401" t="s">
        <v>877</v>
      </c>
      <c r="J53" s="1486" t="s">
        <v>2449</v>
      </c>
      <c r="K53" s="1448">
        <v>3</v>
      </c>
      <c r="L53" s="1448">
        <v>3</v>
      </c>
      <c r="M53" s="1448">
        <v>3</v>
      </c>
    </row>
    <row r="54" spans="1:13">
      <c r="A54" s="1486"/>
      <c r="B54" s="1110"/>
      <c r="C54" s="1111" t="s">
        <v>2487</v>
      </c>
      <c r="E54" s="401">
        <v>54</v>
      </c>
      <c r="G54" s="401" t="s">
        <v>2487</v>
      </c>
      <c r="H54" s="401" t="s">
        <v>877</v>
      </c>
      <c r="J54" s="1486" t="s">
        <v>2455</v>
      </c>
      <c r="K54" s="1448">
        <v>3</v>
      </c>
      <c r="L54" s="1448">
        <v>3</v>
      </c>
      <c r="M54" s="1448">
        <v>3</v>
      </c>
    </row>
    <row r="55" spans="1:13">
      <c r="A55" s="1486"/>
      <c r="B55" s="1110"/>
      <c r="C55" s="1111" t="s">
        <v>2489</v>
      </c>
      <c r="E55" s="401">
        <v>55</v>
      </c>
      <c r="G55" s="401" t="s">
        <v>2489</v>
      </c>
      <c r="H55" s="401" t="s">
        <v>877</v>
      </c>
      <c r="J55" s="1486" t="s">
        <v>2461</v>
      </c>
      <c r="K55" s="1448">
        <v>3</v>
      </c>
      <c r="L55" s="1448">
        <v>3</v>
      </c>
      <c r="M55" s="1448">
        <v>3</v>
      </c>
    </row>
    <row r="56" spans="1:13">
      <c r="A56" s="1486"/>
      <c r="B56" s="1110"/>
      <c r="C56" s="1111" t="s">
        <v>2491</v>
      </c>
      <c r="E56" s="401">
        <v>56</v>
      </c>
      <c r="G56" s="401" t="s">
        <v>2491</v>
      </c>
      <c r="H56" s="401" t="s">
        <v>878</v>
      </c>
      <c r="J56" s="1486" t="s">
        <v>2465</v>
      </c>
      <c r="K56" s="1448">
        <v>3</v>
      </c>
      <c r="L56" s="1448">
        <v>3</v>
      </c>
      <c r="M56" s="1448">
        <v>3</v>
      </c>
    </row>
    <row r="57" spans="1:13">
      <c r="A57" s="1486"/>
      <c r="B57" s="1486"/>
      <c r="C57" s="1111" t="s">
        <v>2495</v>
      </c>
      <c r="E57" s="401">
        <v>57</v>
      </c>
      <c r="G57" s="401" t="s">
        <v>2495</v>
      </c>
      <c r="H57" s="401" t="s">
        <v>877</v>
      </c>
      <c r="J57" s="1486" t="s">
        <v>2469</v>
      </c>
      <c r="K57" s="1448">
        <v>3</v>
      </c>
      <c r="L57" s="1448">
        <v>3</v>
      </c>
      <c r="M57" s="1448">
        <v>3</v>
      </c>
    </row>
    <row r="58" spans="1:13">
      <c r="A58" s="1486"/>
      <c r="B58" s="1486"/>
      <c r="C58" s="1111" t="s">
        <v>2499</v>
      </c>
      <c r="E58" s="401">
        <v>58</v>
      </c>
      <c r="G58" s="401" t="s">
        <v>2499</v>
      </c>
      <c r="H58" s="401" t="s">
        <v>877</v>
      </c>
      <c r="J58" s="1486" t="s">
        <v>2471</v>
      </c>
      <c r="K58" s="1448">
        <v>3</v>
      </c>
      <c r="L58" s="1448">
        <v>3</v>
      </c>
      <c r="M58" s="1448">
        <v>3</v>
      </c>
    </row>
    <row r="59" spans="1:13">
      <c r="A59" s="1109"/>
      <c r="B59" s="1486"/>
      <c r="E59" s="401">
        <v>59</v>
      </c>
      <c r="J59" s="1486" t="s">
        <v>2473</v>
      </c>
      <c r="K59" s="1448">
        <v>3</v>
      </c>
      <c r="L59" s="1448">
        <v>3</v>
      </c>
      <c r="M59" s="1448">
        <v>3</v>
      </c>
    </row>
    <row r="60" spans="1:13">
      <c r="A60" s="1486"/>
      <c r="B60" s="1486"/>
      <c r="E60" s="401">
        <v>60</v>
      </c>
      <c r="J60" s="1486" t="s">
        <v>2475</v>
      </c>
      <c r="K60" s="1448">
        <v>3</v>
      </c>
      <c r="L60" s="1448">
        <v>3</v>
      </c>
      <c r="M60" s="1448">
        <v>3</v>
      </c>
    </row>
    <row r="61" spans="1:13">
      <c r="A61" s="1486"/>
      <c r="B61" s="1486"/>
      <c r="E61" s="401">
        <v>61</v>
      </c>
      <c r="J61" s="1486" t="s">
        <v>2481</v>
      </c>
      <c r="K61" s="1448">
        <v>3</v>
      </c>
      <c r="L61" s="1448">
        <v>3</v>
      </c>
      <c r="M61" s="1448">
        <v>3</v>
      </c>
    </row>
    <row r="62" spans="1:13">
      <c r="A62" s="1486"/>
      <c r="B62" s="1486"/>
      <c r="E62" s="401">
        <v>62</v>
      </c>
      <c r="J62" s="1486" t="s">
        <v>2483</v>
      </c>
      <c r="K62" s="1448">
        <v>3</v>
      </c>
      <c r="L62" s="1448">
        <v>3</v>
      </c>
      <c r="M62" s="1448">
        <v>3</v>
      </c>
    </row>
    <row r="63" spans="1:13">
      <c r="A63" s="1110"/>
      <c r="B63" s="1110"/>
      <c r="C63" s="1110"/>
      <c r="E63" s="401">
        <v>63</v>
      </c>
      <c r="J63" s="1486" t="s">
        <v>2485</v>
      </c>
      <c r="K63" s="1448">
        <v>3</v>
      </c>
      <c r="L63" s="1448">
        <v>3</v>
      </c>
      <c r="M63" s="1448">
        <v>3</v>
      </c>
    </row>
    <row r="64" spans="1:13">
      <c r="A64" s="1117" t="s">
        <v>3193</v>
      </c>
      <c r="B64" s="1117"/>
      <c r="C64" s="1118" t="e">
        <f>Scoring!#REF!</f>
        <v>#REF!</v>
      </c>
      <c r="E64" s="401">
        <v>64</v>
      </c>
      <c r="J64" s="1486" t="s">
        <v>2489</v>
      </c>
      <c r="K64" s="1448">
        <v>3</v>
      </c>
      <c r="L64" s="1448">
        <v>3</v>
      </c>
      <c r="M64" s="1448">
        <v>3</v>
      </c>
    </row>
    <row r="65" spans="1:13">
      <c r="A65" s="1117" t="s">
        <v>3194</v>
      </c>
      <c r="B65" s="1119"/>
      <c r="C65" s="1118" t="e">
        <f>IF(AND(OR('Project Overview'!#REF!="Not Applicable",'Project Overview'!#REF!="High Segregation &amp; Poverty", 'Project Overview'!#REF!="Low Resource"),#REF!= 0,#REF!="No 9% Tax Credits"),#REF!,0)</f>
        <v>#REF!</v>
      </c>
      <c r="E65" s="401">
        <v>65</v>
      </c>
      <c r="J65" s="1486" t="s">
        <v>2495</v>
      </c>
      <c r="K65" s="1448">
        <v>3</v>
      </c>
      <c r="L65" s="1448">
        <v>3</v>
      </c>
      <c r="M65" s="1448">
        <v>3</v>
      </c>
    </row>
    <row r="66" spans="1:13">
      <c r="A66" s="1117" t="s">
        <v>3195</v>
      </c>
      <c r="B66" s="1117"/>
      <c r="C66" s="1118" t="e">
        <f>IF(AND(OR('Project Overview'!#REF!="High Resource",'Project Overview'!#REF!="Highest Resource"),#REF!= "No 9% Tax Credits"),#REF!,0)</f>
        <v>#REF!</v>
      </c>
      <c r="E66" s="401">
        <v>66</v>
      </c>
      <c r="J66" s="1486" t="s">
        <v>2499</v>
      </c>
      <c r="K66" s="1448">
        <v>3</v>
      </c>
      <c r="L66" s="1448">
        <v>3</v>
      </c>
      <c r="M66" s="1448">
        <v>3</v>
      </c>
    </row>
    <row r="67" spans="1:13">
      <c r="A67" s="1117" t="s">
        <v>3196</v>
      </c>
      <c r="B67" s="1120"/>
      <c r="C67" s="1121" t="e">
        <f>IF(AND(OR('Project Overview'!#REF!="Not Applicable",'Project Overview'!#REF!="High Segregation &amp; Poverty", 'Project Overview'!#REF!="Low Resource"),#REF!&gt;0,#REF!="No 9% Tax Credits"),Scoring!#REF!,0)</f>
        <v>#REF!</v>
      </c>
      <c r="E67" s="401">
        <v>67</v>
      </c>
    </row>
    <row r="68" spans="1:13">
      <c r="A68" s="1109"/>
      <c r="B68" s="1486"/>
      <c r="E68" s="401">
        <v>68</v>
      </c>
    </row>
    <row r="69" spans="1:13">
      <c r="A69" s="1110"/>
      <c r="B69" s="1486"/>
      <c r="E69" s="401">
        <v>69</v>
      </c>
    </row>
    <row r="70" spans="1:13">
      <c r="A70" s="1113" t="s">
        <v>3197</v>
      </c>
      <c r="B70" s="1110"/>
      <c r="E70" s="401">
        <v>70</v>
      </c>
    </row>
    <row r="71" spans="1:13">
      <c r="A71" s="1486" t="s">
        <v>3198</v>
      </c>
      <c r="B71" s="1486"/>
      <c r="E71" s="401">
        <v>71</v>
      </c>
    </row>
    <row r="72" spans="1:13">
      <c r="A72" s="1486" t="s">
        <v>3199</v>
      </c>
      <c r="B72" s="1486"/>
      <c r="E72" s="401">
        <v>72</v>
      </c>
    </row>
    <row r="73" spans="1:13">
      <c r="A73" s="1486" t="s">
        <v>3200</v>
      </c>
      <c r="B73" s="1110"/>
      <c r="E73" s="401">
        <v>73</v>
      </c>
    </row>
    <row r="74" spans="1:13">
      <c r="A74" s="1486" t="s">
        <v>3201</v>
      </c>
      <c r="B74" s="1110"/>
      <c r="E74" s="401">
        <v>74</v>
      </c>
    </row>
    <row r="75" spans="1:13">
      <c r="A75" s="1486" t="s">
        <v>3202</v>
      </c>
      <c r="B75" s="1110"/>
      <c r="E75" s="401">
        <v>75</v>
      </c>
    </row>
    <row r="76" spans="1:13">
      <c r="A76" s="1486" t="s">
        <v>3203</v>
      </c>
      <c r="B76" s="1110"/>
      <c r="E76" s="401">
        <v>76</v>
      </c>
    </row>
    <row r="77" spans="1:13">
      <c r="A77" s="1486" t="s">
        <v>3204</v>
      </c>
      <c r="B77" s="1110"/>
      <c r="E77" s="401">
        <v>77</v>
      </c>
    </row>
    <row r="78" spans="1:13">
      <c r="A78" s="1486" t="s">
        <v>1475</v>
      </c>
      <c r="B78" s="1486"/>
      <c r="E78" s="401">
        <v>78</v>
      </c>
    </row>
    <row r="79" spans="1:13">
      <c r="A79" s="1109"/>
      <c r="B79" s="1486"/>
      <c r="E79" s="401">
        <v>79</v>
      </c>
    </row>
    <row r="80" spans="1:13">
      <c r="A80" s="1109"/>
      <c r="B80" s="1486"/>
      <c r="E80" s="401">
        <v>80</v>
      </c>
    </row>
    <row r="81" spans="1:2">
      <c r="A81" s="1110"/>
      <c r="B81" s="1486"/>
    </row>
    <row r="82" spans="1:2">
      <c r="A82" s="1110"/>
      <c r="B82" s="1110"/>
    </row>
    <row r="85" spans="1:2">
      <c r="A85" s="1486"/>
      <c r="B85" s="1110"/>
    </row>
    <row r="86" spans="1:2">
      <c r="A86" s="1486"/>
      <c r="B86" s="1110"/>
    </row>
    <row r="87" spans="1:2">
      <c r="A87" s="1486"/>
      <c r="B87" s="1110"/>
    </row>
    <row r="88" spans="1:2">
      <c r="A88" s="1109"/>
      <c r="B88" s="1110"/>
    </row>
    <row r="89" spans="1:2">
      <c r="A89" s="1486"/>
      <c r="B89" s="1110"/>
    </row>
    <row r="91" spans="1:2">
      <c r="A91" s="1109"/>
      <c r="B91" s="1486"/>
    </row>
    <row r="92" spans="1:2">
      <c r="A92" s="1109"/>
      <c r="B92" s="1486"/>
    </row>
    <row r="93" spans="1:2">
      <c r="A93" s="1110"/>
      <c r="B93" s="1486"/>
    </row>
    <row r="94" spans="1:2">
      <c r="A94" s="1110"/>
      <c r="B94" s="1110"/>
    </row>
    <row r="97" spans="2:2">
      <c r="B97" s="1110"/>
    </row>
    <row r="98" spans="2:2">
      <c r="B98" s="1110"/>
    </row>
    <row r="99" spans="2:2">
      <c r="B99" s="1110"/>
    </row>
    <row r="100" spans="2:2">
      <c r="B100" s="1110"/>
    </row>
    <row r="101" spans="2:2">
      <c r="B101" s="1110"/>
    </row>
    <row r="106" spans="2:2">
      <c r="B106" s="1110"/>
    </row>
    <row r="109" spans="2:2">
      <c r="B109" s="1110"/>
    </row>
    <row r="110" spans="2:2">
      <c r="B110" s="1110"/>
    </row>
    <row r="111" spans="2:2">
      <c r="B111" s="1110"/>
    </row>
    <row r="112" spans="2:2">
      <c r="B112" s="1110"/>
    </row>
    <row r="113" spans="2:2">
      <c r="B113" s="1110"/>
    </row>
    <row r="150" spans="1:1">
      <c r="A150" s="1110"/>
    </row>
    <row r="168" spans="2:2">
      <c r="B168" s="1110"/>
    </row>
  </sheetData>
  <sortState xmlns:xlrd2="http://schemas.microsoft.com/office/spreadsheetml/2017/richdata2" ref="B7:B14">
    <sortCondition ref="B6:B14"/>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Lists"/>
  <dimension ref="A1:Q59"/>
  <sheetViews>
    <sheetView topLeftCell="M1" workbookViewId="0">
      <selection activeCell="O56" sqref="O56"/>
    </sheetView>
  </sheetViews>
  <sheetFormatPr defaultColWidth="9.109375" defaultRowHeight="14.4"/>
  <cols>
    <col min="1" max="1" width="12.33203125" style="261" bestFit="1" customWidth="1"/>
    <col min="2" max="2" width="39.88671875" style="261" customWidth="1"/>
    <col min="3" max="3" width="14.6640625" style="468" customWidth="1"/>
    <col min="4" max="4" width="20" style="261" customWidth="1"/>
    <col min="5" max="5" width="26.33203125" style="261" customWidth="1"/>
    <col min="6" max="6" width="24.33203125" style="261" customWidth="1"/>
    <col min="7" max="7" width="24.109375" style="261" customWidth="1"/>
    <col min="8" max="8" width="6.109375" style="261" customWidth="1"/>
    <col min="9" max="9" width="27.6640625" style="261" customWidth="1"/>
    <col min="10" max="10" width="14.88671875" style="261" customWidth="1"/>
    <col min="11" max="11" width="23.6640625" style="261" customWidth="1"/>
    <col min="12" max="12" width="21.44140625" style="261" customWidth="1"/>
    <col min="13" max="13" width="23.109375" style="261" customWidth="1"/>
    <col min="14" max="14" width="22.88671875" style="261" bestFit="1" customWidth="1"/>
    <col min="15" max="15" width="21.109375" style="261" customWidth="1"/>
    <col min="16" max="16" width="19.6640625" style="261" customWidth="1"/>
    <col min="17" max="17" width="27.44140625" style="261" customWidth="1"/>
    <col min="18" max="18" width="12.88671875" style="261" customWidth="1"/>
    <col min="19" max="26" width="10.88671875" style="261" customWidth="1"/>
    <col min="27" max="16384" width="9.109375" style="261"/>
  </cols>
  <sheetData>
    <row r="1" spans="1:17">
      <c r="A1" s="259" t="s">
        <v>3205</v>
      </c>
      <c r="B1" s="259" t="s">
        <v>3206</v>
      </c>
      <c r="C1" s="465" t="s">
        <v>3207</v>
      </c>
      <c r="D1" s="259" t="s">
        <v>3208</v>
      </c>
      <c r="E1" s="259" t="s">
        <v>3209</v>
      </c>
      <c r="F1" s="259" t="s">
        <v>3210</v>
      </c>
      <c r="G1" s="260" t="s">
        <v>3211</v>
      </c>
      <c r="H1" s="259" t="s">
        <v>3212</v>
      </c>
      <c r="I1" s="259" t="s">
        <v>3213</v>
      </c>
      <c r="J1" s="259" t="s">
        <v>3214</v>
      </c>
      <c r="K1" s="259" t="s">
        <v>3215</v>
      </c>
      <c r="L1" s="259" t="s">
        <v>3216</v>
      </c>
      <c r="M1" s="259" t="s">
        <v>3217</v>
      </c>
      <c r="N1" s="259" t="s">
        <v>3218</v>
      </c>
      <c r="O1" s="259" t="s">
        <v>3219</v>
      </c>
      <c r="P1" s="259" t="s">
        <v>3220</v>
      </c>
      <c r="Q1" s="259" t="s">
        <v>3221</v>
      </c>
    </row>
    <row r="2" spans="1:17">
      <c r="B2" s="261" t="s">
        <v>3222</v>
      </c>
      <c r="C2" s="466">
        <v>0.15</v>
      </c>
      <c r="D2" s="1362" t="s">
        <v>3223</v>
      </c>
      <c r="E2" s="261" t="s">
        <v>1017</v>
      </c>
      <c r="F2" s="261" t="s">
        <v>3224</v>
      </c>
      <c r="G2" s="261" t="s">
        <v>3225</v>
      </c>
      <c r="H2" s="261">
        <v>1</v>
      </c>
      <c r="I2" s="261" t="s">
        <v>3226</v>
      </c>
      <c r="J2" s="262">
        <v>1</v>
      </c>
      <c r="K2" s="261" t="s">
        <v>465</v>
      </c>
      <c r="L2" s="261" t="s">
        <v>772</v>
      </c>
      <c r="M2" s="261" t="s">
        <v>3227</v>
      </c>
      <c r="N2" s="261" t="s">
        <v>3228</v>
      </c>
      <c r="O2" s="261" t="s">
        <v>3229</v>
      </c>
      <c r="P2" s="261" t="s">
        <v>2317</v>
      </c>
      <c r="Q2" s="1058" t="s">
        <v>784</v>
      </c>
    </row>
    <row r="3" spans="1:17">
      <c r="B3" s="261" t="s">
        <v>3230</v>
      </c>
      <c r="C3" s="466">
        <f>C2+0.05</f>
        <v>0.2</v>
      </c>
      <c r="D3" s="1362" t="s">
        <v>911</v>
      </c>
      <c r="E3" s="261" t="s">
        <v>3231</v>
      </c>
      <c r="F3" s="261" t="s">
        <v>3232</v>
      </c>
      <c r="G3" s="261" t="s">
        <v>3233</v>
      </c>
      <c r="H3" s="261">
        <v>2</v>
      </c>
      <c r="I3" s="261" t="s">
        <v>51</v>
      </c>
      <c r="J3" s="262">
        <v>1</v>
      </c>
      <c r="K3" s="261" t="s">
        <v>3234</v>
      </c>
      <c r="L3" s="261" t="s">
        <v>774</v>
      </c>
      <c r="M3" s="261" t="s">
        <v>3235</v>
      </c>
      <c r="N3" s="261" t="s">
        <v>3236</v>
      </c>
      <c r="O3" s="261" t="s">
        <v>3237</v>
      </c>
      <c r="P3" s="261" t="s">
        <v>3238</v>
      </c>
      <c r="Q3" s="1058" t="s">
        <v>3239</v>
      </c>
    </row>
    <row r="4" spans="1:17">
      <c r="B4" s="261" t="s">
        <v>3240</v>
      </c>
      <c r="C4" s="466">
        <f t="shared" ref="C4:C17" si="0">C3+0.05</f>
        <v>0.25</v>
      </c>
      <c r="D4" s="1362" t="s">
        <v>3241</v>
      </c>
      <c r="E4" s="261" t="s">
        <v>3242</v>
      </c>
      <c r="F4" s="261" t="s">
        <v>3243</v>
      </c>
      <c r="G4" s="261" t="s">
        <v>3244</v>
      </c>
      <c r="H4" s="261">
        <v>3</v>
      </c>
      <c r="I4" s="261" t="s">
        <v>52</v>
      </c>
      <c r="J4" s="262">
        <v>1</v>
      </c>
      <c r="K4" s="261" t="s">
        <v>3245</v>
      </c>
      <c r="L4" s="261" t="s">
        <v>775</v>
      </c>
      <c r="M4" s="261" t="s">
        <v>3246</v>
      </c>
      <c r="N4" s="261" t="s">
        <v>1042</v>
      </c>
      <c r="O4" s="261" t="s">
        <v>3247</v>
      </c>
      <c r="P4" s="261" t="s">
        <v>973</v>
      </c>
      <c r="Q4" s="1058" t="s">
        <v>3136</v>
      </c>
    </row>
    <row r="5" spans="1:17">
      <c r="B5" s="261" t="s">
        <v>3248</v>
      </c>
      <c r="C5" s="466">
        <f t="shared" si="0"/>
        <v>0.3</v>
      </c>
      <c r="D5" s="1362" t="s">
        <v>3249</v>
      </c>
      <c r="E5" s="261" t="s">
        <v>3250</v>
      </c>
      <c r="F5" s="261" t="s">
        <v>3251</v>
      </c>
      <c r="G5" s="261" t="s">
        <v>3252</v>
      </c>
      <c r="H5" s="261">
        <v>4</v>
      </c>
      <c r="I5" s="261" t="s">
        <v>3253</v>
      </c>
      <c r="J5" s="262">
        <v>1</v>
      </c>
      <c r="K5" s="261" t="s">
        <v>3254</v>
      </c>
      <c r="L5" s="261" t="s">
        <v>776</v>
      </c>
      <c r="M5" s="261" t="s">
        <v>3255</v>
      </c>
      <c r="N5" s="261" t="s">
        <v>3256</v>
      </c>
      <c r="O5" s="261" t="s">
        <v>3257</v>
      </c>
      <c r="P5" s="261" t="s">
        <v>3258</v>
      </c>
      <c r="Q5" s="1058" t="s">
        <v>3140</v>
      </c>
    </row>
    <row r="6" spans="1:17">
      <c r="B6" s="261" t="s">
        <v>3259</v>
      </c>
      <c r="C6" s="466">
        <f t="shared" si="0"/>
        <v>0.35</v>
      </c>
      <c r="D6" s="1362" t="s">
        <v>3260</v>
      </c>
      <c r="E6" s="261" t="s">
        <v>3261</v>
      </c>
      <c r="F6" s="261" t="s">
        <v>3192</v>
      </c>
      <c r="G6" s="261" t="s">
        <v>3262</v>
      </c>
      <c r="H6" s="261">
        <v>5</v>
      </c>
      <c r="I6" s="261" t="s">
        <v>3263</v>
      </c>
      <c r="J6" s="262">
        <v>1</v>
      </c>
      <c r="K6" s="261" t="s">
        <v>3264</v>
      </c>
      <c r="L6" s="261" t="s">
        <v>3265</v>
      </c>
      <c r="M6" s="261" t="s">
        <v>3266</v>
      </c>
      <c r="N6" s="261" t="s">
        <v>3267</v>
      </c>
      <c r="O6" s="261" t="s">
        <v>3268</v>
      </c>
      <c r="P6" s="261" t="s">
        <v>924</v>
      </c>
      <c r="Q6" s="1058" t="s">
        <v>3269</v>
      </c>
    </row>
    <row r="7" spans="1:17">
      <c r="B7" s="261" t="s">
        <v>3270</v>
      </c>
      <c r="C7" s="466">
        <f t="shared" si="0"/>
        <v>0.39999999999999997</v>
      </c>
      <c r="D7" s="1362" t="s">
        <v>3271</v>
      </c>
      <c r="E7" s="261" t="s">
        <v>3272</v>
      </c>
      <c r="F7" s="261" t="s">
        <v>3273</v>
      </c>
      <c r="G7" s="261" t="s">
        <v>3274</v>
      </c>
      <c r="H7" s="261">
        <v>6</v>
      </c>
      <c r="I7" s="261" t="s">
        <v>3275</v>
      </c>
      <c r="J7" s="262">
        <v>1</v>
      </c>
      <c r="K7" s="261" t="s">
        <v>3276</v>
      </c>
      <c r="M7" s="261" t="s">
        <v>3277</v>
      </c>
      <c r="O7" s="261" t="s">
        <v>1048</v>
      </c>
      <c r="Q7" s="1058" t="s">
        <v>3147</v>
      </c>
    </row>
    <row r="8" spans="1:17">
      <c r="B8" s="261" t="s">
        <v>3278</v>
      </c>
      <c r="C8" s="466">
        <f t="shared" si="0"/>
        <v>0.44999999999999996</v>
      </c>
      <c r="D8" s="1362" t="s">
        <v>3279</v>
      </c>
      <c r="G8" s="261" t="s">
        <v>3280</v>
      </c>
      <c r="H8" s="261">
        <v>7</v>
      </c>
      <c r="I8" s="261" t="s">
        <v>3281</v>
      </c>
      <c r="J8" s="262">
        <v>1</v>
      </c>
      <c r="K8" s="261" t="s">
        <v>3282</v>
      </c>
      <c r="M8" s="261" t="s">
        <v>3283</v>
      </c>
      <c r="O8" s="261" t="s">
        <v>3284</v>
      </c>
      <c r="Q8" s="1058" t="s">
        <v>3157</v>
      </c>
    </row>
    <row r="9" spans="1:17">
      <c r="B9" s="261" t="s">
        <v>3285</v>
      </c>
      <c r="C9" s="466">
        <f t="shared" si="0"/>
        <v>0.49999999999999994</v>
      </c>
      <c r="D9" s="1362" t="s">
        <v>3286</v>
      </c>
      <c r="G9" s="261" t="s">
        <v>3287</v>
      </c>
      <c r="H9" s="261">
        <v>8</v>
      </c>
      <c r="I9" s="261" t="s">
        <v>3288</v>
      </c>
      <c r="J9" s="262">
        <v>1</v>
      </c>
      <c r="K9" s="261" t="s">
        <v>3289</v>
      </c>
      <c r="M9" s="261" t="s">
        <v>3290</v>
      </c>
      <c r="O9" s="261" t="s">
        <v>1042</v>
      </c>
      <c r="Q9" s="1058" t="s">
        <v>3160</v>
      </c>
    </row>
    <row r="10" spans="1:17">
      <c r="B10" s="261" t="s">
        <v>3291</v>
      </c>
      <c r="C10" s="466">
        <f t="shared" si="0"/>
        <v>0.54999999999999993</v>
      </c>
      <c r="G10" s="261" t="s">
        <v>3292</v>
      </c>
      <c r="H10" s="261">
        <v>9</v>
      </c>
      <c r="I10" s="261" t="s">
        <v>3293</v>
      </c>
      <c r="J10" s="262">
        <v>1</v>
      </c>
      <c r="K10" s="261" t="s">
        <v>3294</v>
      </c>
      <c r="M10" s="261" t="s">
        <v>3295</v>
      </c>
      <c r="Q10" s="1058" t="s">
        <v>3144</v>
      </c>
    </row>
    <row r="11" spans="1:17">
      <c r="C11" s="466">
        <f t="shared" si="0"/>
        <v>0.6</v>
      </c>
      <c r="G11" s="261" t="s">
        <v>3296</v>
      </c>
      <c r="H11" s="261">
        <v>10</v>
      </c>
      <c r="I11" s="261" t="s">
        <v>3297</v>
      </c>
      <c r="J11" s="262">
        <v>-1</v>
      </c>
      <c r="K11" s="261" t="s">
        <v>3298</v>
      </c>
      <c r="M11" s="261" t="s">
        <v>3299</v>
      </c>
      <c r="Q11" s="1058" t="s">
        <v>3150</v>
      </c>
    </row>
    <row r="12" spans="1:17">
      <c r="C12" s="466">
        <f t="shared" si="0"/>
        <v>0.65</v>
      </c>
      <c r="G12" s="261" t="s">
        <v>3300</v>
      </c>
      <c r="H12" s="261">
        <v>11</v>
      </c>
      <c r="I12" s="261" t="s">
        <v>3301</v>
      </c>
      <c r="J12" s="262">
        <v>-1</v>
      </c>
      <c r="K12" s="261" t="s">
        <v>3302</v>
      </c>
      <c r="M12" s="261" t="s">
        <v>3303</v>
      </c>
    </row>
    <row r="13" spans="1:17">
      <c r="C13" s="466">
        <f t="shared" si="0"/>
        <v>0.70000000000000007</v>
      </c>
      <c r="G13" s="261" t="s">
        <v>3304</v>
      </c>
      <c r="H13" s="261">
        <v>12</v>
      </c>
      <c r="I13" s="261" t="s">
        <v>3305</v>
      </c>
      <c r="J13" s="262">
        <v>-1</v>
      </c>
      <c r="K13" s="261" t="s">
        <v>3306</v>
      </c>
      <c r="M13" s="261" t="s">
        <v>3307</v>
      </c>
    </row>
    <row r="14" spans="1:17">
      <c r="C14" s="466">
        <f t="shared" si="0"/>
        <v>0.75000000000000011</v>
      </c>
      <c r="G14" s="261" t="s">
        <v>3308</v>
      </c>
      <c r="H14" s="261">
        <v>13</v>
      </c>
      <c r="I14" s="261" t="s">
        <v>3309</v>
      </c>
      <c r="J14" s="262">
        <v>-1</v>
      </c>
      <c r="K14" s="261" t="s">
        <v>3310</v>
      </c>
      <c r="M14" s="261" t="s">
        <v>3311</v>
      </c>
    </row>
    <row r="15" spans="1:17">
      <c r="C15" s="466">
        <f t="shared" si="0"/>
        <v>0.80000000000000016</v>
      </c>
      <c r="G15" s="261" t="s">
        <v>3312</v>
      </c>
      <c r="H15" s="261">
        <v>14</v>
      </c>
      <c r="I15" s="261" t="s">
        <v>3313</v>
      </c>
      <c r="J15" s="262">
        <v>-1</v>
      </c>
      <c r="K15" s="261" t="s">
        <v>3314</v>
      </c>
      <c r="M15" s="261" t="s">
        <v>3315</v>
      </c>
    </row>
    <row r="16" spans="1:17">
      <c r="C16" s="466">
        <f t="shared" si="0"/>
        <v>0.8500000000000002</v>
      </c>
      <c r="G16" s="261" t="s">
        <v>3316</v>
      </c>
      <c r="H16" s="261">
        <v>15</v>
      </c>
      <c r="I16" s="261" t="s">
        <v>3317</v>
      </c>
      <c r="J16" s="262">
        <v>-1</v>
      </c>
      <c r="K16" s="261" t="s">
        <v>3318</v>
      </c>
      <c r="M16" s="261" t="s">
        <v>3319</v>
      </c>
    </row>
    <row r="17" spans="2:13">
      <c r="C17" s="466">
        <f t="shared" si="0"/>
        <v>0.90000000000000024</v>
      </c>
      <c r="G17" s="261" t="s">
        <v>3320</v>
      </c>
      <c r="H17" s="261">
        <v>16</v>
      </c>
      <c r="I17" s="261" t="s">
        <v>3321</v>
      </c>
      <c r="J17" s="262">
        <v>-1</v>
      </c>
      <c r="K17" s="261" t="s">
        <v>3322</v>
      </c>
      <c r="M17" s="261" t="s">
        <v>3323</v>
      </c>
    </row>
    <row r="18" spans="2:13">
      <c r="C18" s="466">
        <f>C17+0.05</f>
        <v>0.95000000000000029</v>
      </c>
      <c r="G18" s="261" t="s">
        <v>3324</v>
      </c>
      <c r="H18" s="261">
        <v>17</v>
      </c>
      <c r="I18" s="261" t="s">
        <v>3325</v>
      </c>
      <c r="J18" s="262">
        <v>-1</v>
      </c>
      <c r="K18" s="261" t="s">
        <v>3326</v>
      </c>
      <c r="M18" s="261" t="s">
        <v>3327</v>
      </c>
    </row>
    <row r="19" spans="2:13">
      <c r="B19" s="642"/>
      <c r="C19" s="1363" t="s">
        <v>2540</v>
      </c>
      <c r="G19" s="261" t="s">
        <v>3328</v>
      </c>
      <c r="H19" s="261">
        <v>18</v>
      </c>
      <c r="I19" s="261" t="s">
        <v>3329</v>
      </c>
      <c r="J19" s="262">
        <v>-1</v>
      </c>
      <c r="K19" s="261" t="s">
        <v>3330</v>
      </c>
      <c r="M19" s="261" t="s">
        <v>3331</v>
      </c>
    </row>
    <row r="20" spans="2:13">
      <c r="B20" s="261" t="b">
        <v>1</v>
      </c>
      <c r="C20" s="1363" t="s">
        <v>2542</v>
      </c>
      <c r="G20" s="261" t="s">
        <v>3332</v>
      </c>
      <c r="H20" s="261">
        <v>19</v>
      </c>
      <c r="I20" s="261" t="s">
        <v>3333</v>
      </c>
      <c r="J20" s="262">
        <v>-1</v>
      </c>
      <c r="K20" s="261" t="s">
        <v>3334</v>
      </c>
      <c r="M20" s="261" t="s">
        <v>3335</v>
      </c>
    </row>
    <row r="21" spans="2:13">
      <c r="B21" s="261" t="b">
        <v>0</v>
      </c>
      <c r="C21" s="466"/>
      <c r="G21" s="261" t="s">
        <v>3336</v>
      </c>
      <c r="H21" s="261">
        <v>20</v>
      </c>
      <c r="I21" s="261" t="s">
        <v>3337</v>
      </c>
      <c r="J21" s="262">
        <v>1</v>
      </c>
      <c r="K21" s="261" t="s">
        <v>3338</v>
      </c>
      <c r="M21" s="261" t="s">
        <v>3339</v>
      </c>
    </row>
    <row r="22" spans="2:13">
      <c r="C22" s="466"/>
      <c r="G22" s="261" t="s">
        <v>3340</v>
      </c>
      <c r="K22" s="261" t="s">
        <v>3341</v>
      </c>
      <c r="M22" s="261" t="s">
        <v>3342</v>
      </c>
    </row>
    <row r="23" spans="2:13">
      <c r="C23" s="466"/>
      <c r="G23" s="261" t="s">
        <v>3343</v>
      </c>
      <c r="K23" s="261" t="s">
        <v>3344</v>
      </c>
      <c r="M23" s="261" t="s">
        <v>3345</v>
      </c>
    </row>
    <row r="24" spans="2:13">
      <c r="C24" s="467"/>
      <c r="K24" s="261" t="s">
        <v>3346</v>
      </c>
      <c r="M24" s="261" t="s">
        <v>3347</v>
      </c>
    </row>
    <row r="25" spans="2:13">
      <c r="C25" s="467"/>
      <c r="K25" s="261" t="s">
        <v>3348</v>
      </c>
      <c r="M25" s="261" t="s">
        <v>3349</v>
      </c>
    </row>
    <row r="26" spans="2:13">
      <c r="K26" s="261" t="s">
        <v>3350</v>
      </c>
      <c r="M26" s="261" t="s">
        <v>3351</v>
      </c>
    </row>
    <row r="27" spans="2:13">
      <c r="K27" s="261" t="s">
        <v>1042</v>
      </c>
      <c r="M27" s="261" t="s">
        <v>3352</v>
      </c>
    </row>
    <row r="28" spans="2:13">
      <c r="K28" s="261" t="s">
        <v>3353</v>
      </c>
      <c r="M28" s="261" t="s">
        <v>3354</v>
      </c>
    </row>
    <row r="29" spans="2:13">
      <c r="K29" s="261" t="s">
        <v>3355</v>
      </c>
      <c r="M29" s="261" t="s">
        <v>3356</v>
      </c>
    </row>
    <row r="30" spans="2:13">
      <c r="K30" s="261" t="s">
        <v>3357</v>
      </c>
      <c r="M30" s="261" t="s">
        <v>3358</v>
      </c>
    </row>
    <row r="31" spans="2:13">
      <c r="K31" s="261" t="s">
        <v>3305</v>
      </c>
      <c r="M31" s="261" t="s">
        <v>3359</v>
      </c>
    </row>
    <row r="32" spans="2:13">
      <c r="K32" s="261" t="s">
        <v>3309</v>
      </c>
      <c r="M32" s="261" t="s">
        <v>3360</v>
      </c>
    </row>
    <row r="33" spans="11:13">
      <c r="K33" s="261" t="s">
        <v>3301</v>
      </c>
      <c r="M33" s="261" t="s">
        <v>3361</v>
      </c>
    </row>
    <row r="34" spans="11:13" ht="15" customHeight="1">
      <c r="M34" s="261" t="s">
        <v>3362</v>
      </c>
    </row>
    <row r="35" spans="11:13">
      <c r="M35" s="261" t="s">
        <v>3363</v>
      </c>
    </row>
    <row r="36" spans="11:13">
      <c r="M36" s="261" t="s">
        <v>3364</v>
      </c>
    </row>
    <row r="37" spans="11:13">
      <c r="M37" s="261" t="s">
        <v>3365</v>
      </c>
    </row>
    <row r="38" spans="11:13">
      <c r="M38" s="261" t="s">
        <v>3366</v>
      </c>
    </row>
    <row r="39" spans="11:13">
      <c r="M39" s="261" t="s">
        <v>3367</v>
      </c>
    </row>
    <row r="40" spans="11:13">
      <c r="M40" s="261" t="s">
        <v>3368</v>
      </c>
    </row>
    <row r="41" spans="11:13">
      <c r="M41" s="261" t="s">
        <v>3369</v>
      </c>
    </row>
    <row r="42" spans="11:13">
      <c r="M42" s="261" t="s">
        <v>3370</v>
      </c>
    </row>
    <row r="43" spans="11:13">
      <c r="M43" s="261" t="s">
        <v>3371</v>
      </c>
    </row>
    <row r="44" spans="11:13">
      <c r="M44" s="261" t="s">
        <v>3372</v>
      </c>
    </row>
    <row r="45" spans="11:13">
      <c r="M45" s="261" t="s">
        <v>3373</v>
      </c>
    </row>
    <row r="46" spans="11:13">
      <c r="M46" s="261" t="s">
        <v>3374</v>
      </c>
    </row>
    <row r="47" spans="11:13">
      <c r="M47" s="261" t="s">
        <v>3375</v>
      </c>
    </row>
    <row r="48" spans="11:13">
      <c r="M48" s="261" t="s">
        <v>3376</v>
      </c>
    </row>
    <row r="49" spans="13:13">
      <c r="M49" s="261" t="s">
        <v>3377</v>
      </c>
    </row>
    <row r="50" spans="13:13">
      <c r="M50" s="261" t="s">
        <v>3378</v>
      </c>
    </row>
    <row r="51" spans="13:13">
      <c r="M51" s="261" t="s">
        <v>3379</v>
      </c>
    </row>
    <row r="52" spans="13:13">
      <c r="M52" s="261" t="s">
        <v>3380</v>
      </c>
    </row>
    <row r="53" spans="13:13">
      <c r="M53" s="261" t="s">
        <v>3381</v>
      </c>
    </row>
    <row r="54" spans="13:13">
      <c r="M54" s="261" t="s">
        <v>3382</v>
      </c>
    </row>
    <row r="55" spans="13:13">
      <c r="M55" s="261" t="s">
        <v>3383</v>
      </c>
    </row>
    <row r="56" spans="13:13">
      <c r="M56" s="261" t="s">
        <v>3384</v>
      </c>
    </row>
    <row r="57" spans="13:13">
      <c r="M57" s="261" t="s">
        <v>3385</v>
      </c>
    </row>
    <row r="58" spans="13:13">
      <c r="M58" s="261" t="s">
        <v>3386</v>
      </c>
    </row>
    <row r="59" spans="13:13">
      <c r="M59" s="261" t="s">
        <v>3387</v>
      </c>
    </row>
  </sheetData>
  <sortState xmlns:xlrd2="http://schemas.microsoft.com/office/spreadsheetml/2017/richdata2" ref="Q2:Q11">
    <sortCondition ref="Q2:Q11"/>
  </sortState>
  <phoneticPr fontId="91" type="noConversion"/>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2:AM150"/>
  <sheetViews>
    <sheetView showGridLines="0" topLeftCell="A106" zoomScaleNormal="100" zoomScaleSheetLayoutView="100" workbookViewId="0"/>
  </sheetViews>
  <sheetFormatPr defaultColWidth="9.109375" defaultRowHeight="18" customHeight="1"/>
  <cols>
    <col min="1" max="1" width="4.6640625" style="41" customWidth="1"/>
    <col min="2" max="3" width="9.6640625" style="41" customWidth="1"/>
    <col min="4" max="4" width="53.6640625" style="41" bestFit="1" customWidth="1"/>
    <col min="5" max="6" width="13.88671875" style="41" customWidth="1"/>
    <col min="7" max="7" width="59.44140625" style="52" customWidth="1"/>
    <col min="8" max="8" width="12" style="41" customWidth="1"/>
    <col min="9" max="9" width="12.6640625" style="58" customWidth="1"/>
    <col min="10" max="10" width="23.109375" style="58" customWidth="1"/>
    <col min="11" max="12" width="22" style="41" customWidth="1"/>
    <col min="13" max="39" width="4.109375" style="41" customWidth="1"/>
    <col min="40" max="16384" width="9.109375" style="41"/>
  </cols>
  <sheetData>
    <row r="2" spans="2:39" ht="17.399999999999999">
      <c r="B2" s="2531" t="s">
        <v>3600</v>
      </c>
      <c r="C2" s="2531"/>
      <c r="D2" s="2531"/>
      <c r="E2" s="2531"/>
      <c r="F2" s="2531"/>
      <c r="G2" s="2531"/>
      <c r="H2" s="1285"/>
      <c r="K2" s="1285"/>
      <c r="L2" s="1285"/>
      <c r="M2" s="1285"/>
      <c r="N2" s="1285"/>
      <c r="O2" s="1285"/>
      <c r="P2" s="1285"/>
      <c r="Q2" s="1285"/>
      <c r="R2" s="1285"/>
      <c r="S2" s="1285"/>
      <c r="T2" s="1285"/>
      <c r="U2" s="1285"/>
      <c r="V2" s="1285"/>
      <c r="W2" s="1285"/>
      <c r="X2" s="1285"/>
      <c r="Y2" s="1285"/>
      <c r="Z2" s="1285"/>
      <c r="AA2" s="1285"/>
      <c r="AB2" s="1285"/>
      <c r="AC2" s="1285"/>
      <c r="AD2" s="1285"/>
      <c r="AE2" s="1285"/>
      <c r="AF2" s="1285"/>
      <c r="AG2" s="1285"/>
      <c r="AH2" s="1285"/>
      <c r="AI2" s="1285"/>
      <c r="AJ2" s="1285"/>
      <c r="AK2" s="1285"/>
      <c r="AL2" s="1285"/>
      <c r="AM2" s="1285"/>
    </row>
    <row r="3" spans="2:39" ht="18" customHeight="1">
      <c r="B3" s="316"/>
      <c r="C3" s="316"/>
      <c r="D3" s="316"/>
      <c r="E3" s="316"/>
      <c r="F3" s="316"/>
      <c r="G3" s="316"/>
      <c r="H3" s="62"/>
      <c r="I3" s="990"/>
      <c r="J3" s="990"/>
      <c r="K3" s="62"/>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2"/>
    </row>
    <row r="4" spans="2:39" s="64" customFormat="1" ht="18" customHeight="1">
      <c r="B4" s="2530" t="s">
        <v>3601</v>
      </c>
      <c r="C4" s="2530"/>
      <c r="D4" s="2530"/>
      <c r="E4" s="2530"/>
      <c r="F4" s="2530"/>
      <c r="G4" s="2530"/>
      <c r="H4" s="63"/>
      <c r="I4" s="824"/>
      <c r="J4" s="824"/>
      <c r="K4" s="63"/>
      <c r="L4" s="63"/>
      <c r="M4" s="63"/>
      <c r="N4" s="63"/>
      <c r="O4" s="63"/>
      <c r="P4" s="63"/>
      <c r="Q4" s="63"/>
      <c r="R4" s="63"/>
      <c r="S4" s="63"/>
      <c r="T4" s="63"/>
      <c r="U4" s="63"/>
      <c r="V4" s="63"/>
      <c r="W4" s="63"/>
      <c r="X4" s="63"/>
      <c r="Y4" s="63"/>
      <c r="Z4" s="63"/>
      <c r="AA4" s="63"/>
      <c r="AB4" s="63"/>
      <c r="AC4" s="63"/>
      <c r="AD4" s="63"/>
      <c r="AE4" s="63"/>
      <c r="AF4" s="63"/>
      <c r="AG4" s="63"/>
      <c r="AH4" s="63"/>
      <c r="AI4" s="345"/>
      <c r="AJ4" s="345"/>
      <c r="AK4" s="345"/>
      <c r="AL4" s="345"/>
      <c r="AM4" s="345"/>
    </row>
    <row r="5" spans="2:39" ht="18" customHeight="1">
      <c r="B5" s="1564" t="s">
        <v>3602</v>
      </c>
      <c r="C5" s="1562" t="s">
        <v>3603</v>
      </c>
      <c r="D5" s="1562" t="s">
        <v>3604</v>
      </c>
      <c r="E5" s="1564" t="s">
        <v>3605</v>
      </c>
      <c r="F5" s="1564" t="s">
        <v>3606</v>
      </c>
      <c r="G5" s="832" t="s">
        <v>3607</v>
      </c>
      <c r="H5" s="833"/>
      <c r="K5" s="1285"/>
      <c r="L5" s="1285"/>
      <c r="M5" s="1285"/>
      <c r="N5" s="1285"/>
      <c r="O5" s="1285"/>
      <c r="P5" s="1285"/>
      <c r="Q5" s="1285"/>
      <c r="R5" s="1285"/>
      <c r="S5" s="1285"/>
      <c r="T5" s="1285"/>
      <c r="U5" s="1285"/>
      <c r="V5" s="1285"/>
      <c r="W5" s="1285"/>
      <c r="X5" s="1285"/>
      <c r="Y5" s="1285"/>
      <c r="Z5" s="1285"/>
      <c r="AA5" s="1285"/>
      <c r="AB5" s="1285"/>
      <c r="AC5" s="1285"/>
      <c r="AD5" s="1285"/>
      <c r="AE5" s="1285"/>
      <c r="AF5" s="1285"/>
      <c r="AG5" s="1285"/>
      <c r="AH5" s="1285"/>
      <c r="AI5" s="1285"/>
      <c r="AJ5" s="1285"/>
      <c r="AK5" s="1285"/>
      <c r="AL5" s="1285"/>
      <c r="AM5" s="1285"/>
    </row>
    <row r="6" spans="2:39" ht="18" customHeight="1">
      <c r="B6" s="834"/>
      <c r="C6" s="835"/>
      <c r="D6" s="819" t="s">
        <v>3608</v>
      </c>
      <c r="E6" s="1384">
        <v>0</v>
      </c>
      <c r="F6" s="836">
        <v>0</v>
      </c>
      <c r="G6" s="830"/>
      <c r="H6" s="1385"/>
      <c r="K6" s="1285"/>
      <c r="L6" s="1285"/>
      <c r="M6" s="1285"/>
      <c r="N6" s="1285"/>
      <c r="O6" s="1285"/>
      <c r="P6" s="1285"/>
      <c r="Q6" s="1285"/>
      <c r="R6" s="1285"/>
      <c r="S6" s="1285"/>
      <c r="T6" s="1285"/>
      <c r="U6" s="1285"/>
      <c r="V6" s="1285"/>
      <c r="W6" s="1285"/>
      <c r="X6" s="1285"/>
      <c r="Y6" s="1285"/>
      <c r="Z6" s="1285"/>
      <c r="AA6" s="1285"/>
      <c r="AB6" s="1285"/>
      <c r="AC6" s="1285"/>
      <c r="AD6" s="1285"/>
      <c r="AE6" s="1285"/>
      <c r="AF6" s="1285"/>
      <c r="AG6" s="1285"/>
      <c r="AH6" s="1285"/>
      <c r="AI6" s="1285"/>
      <c r="AJ6" s="1285"/>
      <c r="AK6" s="1285"/>
      <c r="AL6" s="1285"/>
      <c r="AM6" s="1285"/>
    </row>
    <row r="7" spans="2:39" ht="18" customHeight="1">
      <c r="B7" s="1547"/>
      <c r="C7" s="330"/>
      <c r="D7" s="1542" t="s">
        <v>3609</v>
      </c>
      <c r="E7" s="1386">
        <v>0</v>
      </c>
      <c r="F7" s="322">
        <v>0</v>
      </c>
      <c r="G7" s="426"/>
      <c r="H7" s="1385"/>
      <c r="K7" s="1285"/>
      <c r="L7" s="1285"/>
      <c r="M7" s="1285"/>
      <c r="N7" s="1285"/>
      <c r="O7" s="1285"/>
      <c r="P7" s="1285"/>
      <c r="Q7" s="1285"/>
      <c r="R7" s="1285"/>
      <c r="S7" s="1285"/>
      <c r="T7" s="1285"/>
      <c r="U7" s="1285"/>
      <c r="V7" s="1285"/>
      <c r="W7" s="1285"/>
      <c r="X7" s="1285"/>
      <c r="Y7" s="1285"/>
      <c r="Z7" s="1285"/>
      <c r="AA7" s="1285"/>
      <c r="AB7" s="1285"/>
      <c r="AC7" s="1285"/>
      <c r="AD7" s="1285"/>
      <c r="AE7" s="1285"/>
      <c r="AF7" s="1285"/>
      <c r="AG7" s="1285"/>
      <c r="AH7" s="1285"/>
      <c r="AI7" s="1285"/>
      <c r="AJ7" s="1285"/>
      <c r="AK7" s="1285"/>
      <c r="AL7" s="1285"/>
      <c r="AM7" s="1285"/>
    </row>
    <row r="8" spans="2:39" ht="18" customHeight="1">
      <c r="B8" s="1547"/>
      <c r="C8" s="330"/>
      <c r="D8" s="1542" t="s">
        <v>3610</v>
      </c>
      <c r="E8" s="1386">
        <v>0</v>
      </c>
      <c r="F8" s="2543"/>
      <c r="G8" s="426"/>
      <c r="H8" s="1387"/>
      <c r="K8" s="1285"/>
      <c r="L8" s="1285"/>
      <c r="M8" s="1285"/>
      <c r="N8" s="1285"/>
      <c r="O8" s="1285"/>
      <c r="P8" s="1285"/>
      <c r="Q8" s="1285"/>
      <c r="R8" s="1285"/>
      <c r="S8" s="1285"/>
      <c r="T8" s="1285"/>
      <c r="U8" s="1285"/>
      <c r="V8" s="1285"/>
      <c r="W8" s="1285"/>
      <c r="X8" s="1285"/>
      <c r="Y8" s="1285"/>
      <c r="Z8" s="1285"/>
      <c r="AA8" s="1285"/>
      <c r="AB8" s="1285"/>
      <c r="AC8" s="1285"/>
      <c r="AD8" s="1285"/>
      <c r="AE8" s="1285"/>
      <c r="AF8" s="1285"/>
      <c r="AG8" s="1285"/>
      <c r="AH8" s="1285"/>
      <c r="AI8" s="1285"/>
      <c r="AJ8" s="1285"/>
      <c r="AK8" s="1285"/>
      <c r="AL8" s="1285"/>
      <c r="AM8" s="1285"/>
    </row>
    <row r="9" spans="2:39" ht="18" customHeight="1">
      <c r="B9" s="1547"/>
      <c r="C9" s="330"/>
      <c r="D9" s="1542" t="s">
        <v>3611</v>
      </c>
      <c r="E9" s="1386">
        <v>0</v>
      </c>
      <c r="F9" s="2544"/>
      <c r="G9" s="426"/>
      <c r="H9" s="1385"/>
      <c r="K9" s="1285"/>
      <c r="L9" s="1285"/>
      <c r="M9" s="1285"/>
      <c r="N9" s="1285"/>
      <c r="O9" s="1285"/>
      <c r="P9" s="1285"/>
      <c r="Q9" s="1285"/>
      <c r="R9" s="1285"/>
      <c r="S9" s="1285"/>
      <c r="T9" s="1285"/>
      <c r="U9" s="1285"/>
      <c r="V9" s="1285"/>
      <c r="W9" s="1285"/>
      <c r="X9" s="1285"/>
      <c r="Y9" s="1285"/>
      <c r="Z9" s="1285"/>
      <c r="AA9" s="1285"/>
      <c r="AB9" s="1285"/>
      <c r="AC9" s="1285"/>
      <c r="AD9" s="1285"/>
      <c r="AE9" s="1285"/>
      <c r="AF9" s="1285"/>
      <c r="AG9" s="1285"/>
      <c r="AH9" s="1285"/>
      <c r="AI9" s="1285"/>
      <c r="AJ9" s="1285"/>
      <c r="AK9" s="1285"/>
      <c r="AL9" s="1285"/>
      <c r="AM9" s="1285"/>
    </row>
    <row r="10" spans="2:39" ht="18" customHeight="1">
      <c r="B10" s="1547"/>
      <c r="C10" s="330"/>
      <c r="D10" s="1542" t="s">
        <v>3612</v>
      </c>
      <c r="E10" s="1386">
        <v>0</v>
      </c>
      <c r="F10" s="2545"/>
      <c r="G10" s="426"/>
      <c r="H10" s="1385"/>
      <c r="K10" s="1285"/>
      <c r="L10" s="1285"/>
      <c r="M10" s="1285"/>
      <c r="N10" s="1285"/>
      <c r="O10" s="1285"/>
      <c r="P10" s="1285"/>
      <c r="Q10" s="1285"/>
      <c r="R10" s="1285"/>
      <c r="S10" s="1285"/>
      <c r="T10" s="1285"/>
      <c r="U10" s="1285"/>
      <c r="V10" s="1285"/>
      <c r="W10" s="1285"/>
      <c r="X10" s="1285"/>
      <c r="Y10" s="1285"/>
      <c r="Z10" s="1285"/>
      <c r="AA10" s="1285"/>
      <c r="AB10" s="1285"/>
      <c r="AC10" s="1285"/>
      <c r="AD10" s="1285"/>
      <c r="AE10" s="1285"/>
      <c r="AF10" s="1285"/>
      <c r="AG10" s="1285"/>
      <c r="AH10" s="1285"/>
      <c r="AI10" s="1285"/>
      <c r="AJ10" s="1285"/>
      <c r="AK10" s="1285"/>
      <c r="AL10" s="1285"/>
      <c r="AM10" s="1285"/>
    </row>
    <row r="11" spans="2:39" ht="18" customHeight="1">
      <c r="B11" s="1547"/>
      <c r="C11" s="330"/>
      <c r="D11" s="1542" t="s">
        <v>3613</v>
      </c>
      <c r="E11" s="1386">
        <v>0</v>
      </c>
      <c r="F11" s="322">
        <v>0</v>
      </c>
      <c r="G11" s="426"/>
      <c r="H11" s="1385"/>
      <c r="K11" s="1285"/>
      <c r="L11" s="1285"/>
      <c r="M11" s="1285"/>
      <c r="N11" s="1285"/>
      <c r="O11" s="1285"/>
      <c r="P11" s="1285"/>
      <c r="Q11" s="1285"/>
      <c r="R11" s="1285"/>
      <c r="S11" s="1285"/>
      <c r="T11" s="1285"/>
      <c r="U11" s="1285"/>
      <c r="V11" s="1285"/>
      <c r="W11" s="1285"/>
      <c r="X11" s="1285"/>
      <c r="Y11" s="1285"/>
      <c r="Z11" s="1285"/>
      <c r="AA11" s="1285"/>
      <c r="AB11" s="1285"/>
      <c r="AC11" s="1285"/>
      <c r="AD11" s="1285"/>
      <c r="AE11" s="1285"/>
      <c r="AF11" s="1285"/>
      <c r="AG11" s="1285"/>
      <c r="AH11" s="1285"/>
      <c r="AI11" s="1285"/>
      <c r="AJ11" s="1285"/>
      <c r="AK11" s="1285"/>
      <c r="AL11" s="1285"/>
      <c r="AM11" s="1285"/>
    </row>
    <row r="12" spans="2:39" ht="18" customHeight="1">
      <c r="B12" s="1547"/>
      <c r="C12" s="330"/>
      <c r="D12" s="1542" t="s">
        <v>3614</v>
      </c>
      <c r="E12" s="1386">
        <v>0</v>
      </c>
      <c r="F12" s="322">
        <v>0</v>
      </c>
      <c r="G12" s="426"/>
      <c r="H12" s="1385"/>
      <c r="K12" s="1285"/>
      <c r="L12" s="1285"/>
      <c r="M12" s="1285"/>
      <c r="N12" s="1285"/>
      <c r="O12" s="1285"/>
      <c r="P12" s="1285"/>
      <c r="Q12" s="1285"/>
      <c r="R12" s="1285"/>
      <c r="S12" s="1285"/>
      <c r="T12" s="1285"/>
      <c r="U12" s="1285"/>
      <c r="V12" s="1285"/>
      <c r="W12" s="1285"/>
      <c r="X12" s="1285"/>
      <c r="Y12" s="1285"/>
      <c r="Z12" s="1285"/>
      <c r="AA12" s="1285"/>
      <c r="AB12" s="1285"/>
      <c r="AC12" s="1285"/>
      <c r="AD12" s="1285"/>
      <c r="AE12" s="1285"/>
      <c r="AF12" s="1285"/>
      <c r="AG12" s="1285"/>
      <c r="AH12" s="1285"/>
      <c r="AI12" s="1285"/>
      <c r="AJ12" s="1285"/>
      <c r="AK12" s="1285"/>
      <c r="AL12" s="1285"/>
      <c r="AM12" s="1285"/>
    </row>
    <row r="13" spans="2:39" ht="18" customHeight="1">
      <c r="B13" s="1547"/>
      <c r="C13" s="330"/>
      <c r="D13" s="1542" t="s">
        <v>3615</v>
      </c>
      <c r="E13" s="1386">
        <v>0</v>
      </c>
      <c r="F13" s="322">
        <v>0</v>
      </c>
      <c r="G13" s="426"/>
      <c r="H13" s="1385"/>
      <c r="K13" s="1285"/>
      <c r="L13" s="1285"/>
      <c r="M13" s="1285"/>
      <c r="N13" s="1285"/>
      <c r="O13" s="1285"/>
      <c r="P13" s="1285"/>
      <c r="Q13" s="1285"/>
      <c r="R13" s="1285"/>
      <c r="S13" s="1285"/>
      <c r="T13" s="1285"/>
      <c r="U13" s="1285"/>
      <c r="V13" s="1285"/>
      <c r="W13" s="1285"/>
      <c r="X13" s="1285"/>
      <c r="Y13" s="1285"/>
      <c r="Z13" s="1285"/>
      <c r="AA13" s="1285"/>
      <c r="AB13" s="1285"/>
      <c r="AC13" s="1285"/>
      <c r="AD13" s="1285"/>
      <c r="AE13" s="1285"/>
      <c r="AF13" s="1285"/>
      <c r="AG13" s="1285"/>
      <c r="AH13" s="1285"/>
      <c r="AI13" s="1285"/>
      <c r="AJ13" s="1285"/>
      <c r="AK13" s="1285"/>
      <c r="AL13" s="1285"/>
      <c r="AM13" s="1285"/>
    </row>
    <row r="14" spans="2:39" ht="18" customHeight="1">
      <c r="B14" s="1547"/>
      <c r="C14" s="330"/>
      <c r="D14" s="329" t="s">
        <v>3616</v>
      </c>
      <c r="E14" s="322">
        <v>0</v>
      </c>
      <c r="F14" s="322">
        <v>0</v>
      </c>
      <c r="G14" s="426"/>
      <c r="H14" s="1385"/>
      <c r="K14" s="1285"/>
      <c r="L14" s="1285"/>
      <c r="M14" s="1285"/>
      <c r="N14" s="1285"/>
      <c r="O14" s="1285"/>
      <c r="P14" s="1285"/>
      <c r="Q14" s="1285"/>
      <c r="R14" s="1285"/>
      <c r="S14" s="1285"/>
      <c r="T14" s="1285"/>
      <c r="U14" s="1285"/>
      <c r="V14" s="1285"/>
      <c r="W14" s="1285"/>
      <c r="X14" s="1285"/>
      <c r="Y14" s="1285"/>
      <c r="Z14" s="1285"/>
      <c r="AA14" s="1285"/>
      <c r="AB14" s="1285"/>
      <c r="AC14" s="1285"/>
      <c r="AD14" s="1285"/>
      <c r="AE14" s="1285"/>
      <c r="AF14" s="1285"/>
      <c r="AG14" s="1285"/>
      <c r="AH14" s="1285"/>
      <c r="AI14" s="1285"/>
      <c r="AJ14" s="1285"/>
      <c r="AK14" s="1285"/>
      <c r="AL14" s="1285"/>
      <c r="AM14" s="1285"/>
    </row>
    <row r="15" spans="2:39" ht="18" customHeight="1">
      <c r="B15" s="813"/>
      <c r="C15" s="817"/>
      <c r="D15" s="818" t="s">
        <v>3616</v>
      </c>
      <c r="E15" s="322">
        <v>0</v>
      </c>
      <c r="F15" s="322">
        <v>0</v>
      </c>
      <c r="G15" s="426"/>
      <c r="H15" s="1385"/>
      <c r="K15" s="1285"/>
      <c r="L15" s="1285"/>
      <c r="M15" s="1285"/>
      <c r="N15" s="1285"/>
      <c r="O15" s="1285"/>
      <c r="P15" s="1285"/>
      <c r="Q15" s="1285"/>
      <c r="R15" s="1285"/>
      <c r="S15" s="1285"/>
      <c r="T15" s="1285"/>
      <c r="U15" s="1285"/>
      <c r="V15" s="1285"/>
      <c r="W15" s="1285"/>
      <c r="X15" s="1285"/>
      <c r="Y15" s="1285"/>
      <c r="Z15" s="1285"/>
      <c r="AA15" s="1285"/>
      <c r="AB15" s="1285"/>
      <c r="AC15" s="1285"/>
      <c r="AD15" s="1285"/>
      <c r="AE15" s="1285"/>
      <c r="AF15" s="1285"/>
      <c r="AG15" s="1285"/>
      <c r="AH15" s="1285"/>
      <c r="AI15" s="1285"/>
      <c r="AJ15" s="1285"/>
      <c r="AK15" s="1285"/>
      <c r="AL15" s="1285"/>
      <c r="AM15" s="1285"/>
    </row>
    <row r="16" spans="2:39" ht="18" customHeight="1">
      <c r="B16" s="2521" t="s">
        <v>3617</v>
      </c>
      <c r="C16" s="2521"/>
      <c r="D16" s="731" t="s">
        <v>3618</v>
      </c>
      <c r="E16" s="816">
        <f>SUM(E6:E15)</f>
        <v>0</v>
      </c>
      <c r="F16" s="320">
        <f>SUM(F6:F15)</f>
        <v>0</v>
      </c>
      <c r="G16" s="1388"/>
      <c r="H16" s="1385"/>
      <c r="K16" s="1285"/>
      <c r="L16" s="1285"/>
      <c r="M16" s="1285"/>
      <c r="N16" s="1285"/>
      <c r="O16" s="1285"/>
      <c r="P16" s="1285"/>
      <c r="Q16" s="1285"/>
      <c r="R16" s="1285"/>
      <c r="S16" s="1285"/>
      <c r="T16" s="1285"/>
      <c r="U16" s="1285"/>
      <c r="V16" s="1285"/>
      <c r="W16" s="1285"/>
      <c r="X16" s="1285"/>
      <c r="Y16" s="1285"/>
      <c r="Z16" s="1285"/>
      <c r="AA16" s="1285"/>
      <c r="AB16" s="1285"/>
      <c r="AC16" s="1285"/>
      <c r="AD16" s="1285"/>
      <c r="AE16" s="1285"/>
      <c r="AF16" s="1285"/>
      <c r="AG16" s="1285"/>
      <c r="AH16" s="1285"/>
      <c r="AI16" s="1285"/>
      <c r="AJ16" s="1285"/>
      <c r="AK16" s="1285"/>
      <c r="AL16" s="1285"/>
      <c r="AM16" s="1285"/>
    </row>
    <row r="17" spans="1:10" ht="18" customHeight="1">
      <c r="A17" s="1285"/>
      <c r="B17" s="2522">
        <v>6711</v>
      </c>
      <c r="C17" s="2523"/>
      <c r="D17" s="819" t="s">
        <v>3619</v>
      </c>
      <c r="E17" s="323">
        <v>0</v>
      </c>
      <c r="F17" s="815"/>
      <c r="G17" s="426"/>
      <c r="H17" s="1385"/>
    </row>
    <row r="18" spans="1:10" ht="18" customHeight="1">
      <c r="A18" s="1285"/>
      <c r="B18" s="2511">
        <v>6722</v>
      </c>
      <c r="C18" s="2512"/>
      <c r="D18" s="1542" t="s">
        <v>3620</v>
      </c>
      <c r="E18" s="323">
        <v>0</v>
      </c>
      <c r="F18" s="815"/>
      <c r="G18" s="426"/>
      <c r="H18" s="1385"/>
      <c r="I18" s="992"/>
    </row>
    <row r="19" spans="1:10" ht="18" customHeight="1">
      <c r="A19" s="1285"/>
      <c r="B19" s="2506">
        <v>6723</v>
      </c>
      <c r="C19" s="2506"/>
      <c r="D19" s="1542" t="s">
        <v>3621</v>
      </c>
      <c r="E19" s="323">
        <v>0</v>
      </c>
      <c r="F19" s="815"/>
      <c r="G19" s="426"/>
      <c r="H19" s="1385"/>
      <c r="I19" s="992"/>
    </row>
    <row r="20" spans="1:10" ht="18" customHeight="1">
      <c r="A20" s="1285"/>
      <c r="B20" s="2524" t="s">
        <v>3622</v>
      </c>
      <c r="C20" s="2524"/>
      <c r="D20" s="2524"/>
      <c r="E20" s="321">
        <f>SUM(E17:E19)</f>
        <v>0</v>
      </c>
      <c r="F20" s="815"/>
      <c r="G20" s="70"/>
      <c r="H20" s="43"/>
    </row>
    <row r="21" spans="1:10" ht="18" customHeight="1">
      <c r="A21" s="1285"/>
      <c r="B21" s="2524" t="s">
        <v>3623</v>
      </c>
      <c r="C21" s="2524"/>
      <c r="D21" s="2524"/>
      <c r="E21" s="321">
        <f>E20+E16</f>
        <v>0</v>
      </c>
      <c r="F21" s="815"/>
      <c r="G21" s="70"/>
      <c r="H21" s="43"/>
    </row>
    <row r="22" spans="1:10" s="66" customFormat="1" ht="18" customHeight="1">
      <c r="B22" s="65"/>
      <c r="C22" s="65"/>
      <c r="D22" s="65"/>
      <c r="E22" s="347"/>
      <c r="F22" s="347"/>
      <c r="G22" s="347"/>
      <c r="I22" s="77"/>
      <c r="J22" s="77"/>
    </row>
    <row r="23" spans="1:10" ht="18" customHeight="1">
      <c r="A23" s="43"/>
      <c r="B23" s="2530" t="s">
        <v>3624</v>
      </c>
      <c r="C23" s="2530"/>
      <c r="D23" s="2530"/>
      <c r="E23" s="2530"/>
      <c r="F23" s="2530"/>
      <c r="G23" s="2530"/>
      <c r="H23" s="43"/>
    </row>
    <row r="24" spans="1:10" ht="18.75" customHeight="1">
      <c r="A24" s="1285"/>
      <c r="B24" s="2548" t="s">
        <v>3625</v>
      </c>
      <c r="C24" s="2548"/>
      <c r="D24" s="1562" t="s">
        <v>3626</v>
      </c>
      <c r="E24" s="1564" t="s">
        <v>2553</v>
      </c>
      <c r="F24" s="1564" t="s">
        <v>3627</v>
      </c>
      <c r="G24" s="832" t="s">
        <v>3607</v>
      </c>
      <c r="H24" s="837" t="s">
        <v>3625</v>
      </c>
      <c r="I24" s="991" t="s">
        <v>3626</v>
      </c>
    </row>
    <row r="25" spans="1:10" ht="18" customHeight="1">
      <c r="A25" s="1285"/>
      <c r="B25" s="2546" t="s">
        <v>3192</v>
      </c>
      <c r="C25" s="2547"/>
      <c r="D25" s="838"/>
      <c r="E25" s="834"/>
      <c r="F25" s="839"/>
      <c r="G25" s="840"/>
      <c r="H25" s="1389">
        <v>0.6</v>
      </c>
      <c r="I25" s="1599" t="s">
        <v>3608</v>
      </c>
    </row>
    <row r="26" spans="1:10" ht="18" customHeight="1">
      <c r="A26" s="1285"/>
      <c r="B26" s="2546"/>
      <c r="C26" s="2547"/>
      <c r="D26" s="344"/>
      <c r="E26" s="1547"/>
      <c r="F26" s="797"/>
      <c r="G26" s="346"/>
      <c r="H26" s="1389">
        <v>0.55000000000000004</v>
      </c>
      <c r="I26" s="1599" t="s">
        <v>3609</v>
      </c>
    </row>
    <row r="27" spans="1:10" ht="18" customHeight="1">
      <c r="A27" s="1285"/>
      <c r="B27" s="2546"/>
      <c r="C27" s="2547"/>
      <c r="D27" s="344"/>
      <c r="E27" s="1547"/>
      <c r="F27" s="797"/>
      <c r="G27" s="431"/>
      <c r="H27" s="1389">
        <v>0.5</v>
      </c>
      <c r="I27" s="1599" t="s">
        <v>3613</v>
      </c>
    </row>
    <row r="28" spans="1:10" ht="18" customHeight="1">
      <c r="A28" s="1285"/>
      <c r="B28" s="2526" t="s">
        <v>3628</v>
      </c>
      <c r="C28" s="2526"/>
      <c r="D28" s="2526"/>
      <c r="E28" s="2526"/>
      <c r="F28" s="798">
        <f>SUM(F25:F27)</f>
        <v>0</v>
      </c>
      <c r="G28" s="70"/>
      <c r="H28" s="1574" t="s">
        <v>3192</v>
      </c>
      <c r="I28" s="1599" t="s">
        <v>3614</v>
      </c>
    </row>
    <row r="29" spans="1:10" ht="18" customHeight="1">
      <c r="A29" s="1285"/>
      <c r="B29" s="67"/>
      <c r="C29" s="67"/>
      <c r="D29" s="67"/>
      <c r="E29" s="67"/>
      <c r="F29" s="67"/>
      <c r="G29" s="319"/>
      <c r="H29" s="1574" t="s">
        <v>1042</v>
      </c>
      <c r="I29" s="1599" t="s">
        <v>3615</v>
      </c>
    </row>
    <row r="30" spans="1:10" ht="18" customHeight="1">
      <c r="A30" s="1285"/>
      <c r="B30" s="2530" t="s">
        <v>3629</v>
      </c>
      <c r="C30" s="2530"/>
      <c r="D30" s="2530"/>
      <c r="E30" s="2530"/>
      <c r="F30" s="2530"/>
      <c r="G30" s="2530"/>
      <c r="H30" s="43"/>
      <c r="I30" s="1599" t="s">
        <v>3630</v>
      </c>
    </row>
    <row r="31" spans="1:10" ht="18" customHeight="1">
      <c r="A31" s="1285"/>
      <c r="B31" s="2525" t="s">
        <v>3617</v>
      </c>
      <c r="C31" s="2525"/>
      <c r="D31" s="825" t="s">
        <v>3631</v>
      </c>
      <c r="E31" s="826" t="s">
        <v>3632</v>
      </c>
      <c r="F31" s="1562" t="s">
        <v>3633</v>
      </c>
      <c r="G31" s="832" t="s">
        <v>3607</v>
      </c>
      <c r="H31" s="44"/>
    </row>
    <row r="32" spans="1:10" ht="18" customHeight="1">
      <c r="A32" s="1285"/>
      <c r="B32" s="2522" t="s">
        <v>3634</v>
      </c>
      <c r="C32" s="2523"/>
      <c r="D32" s="827" t="s">
        <v>3635</v>
      </c>
      <c r="E32" s="828"/>
      <c r="F32" s="829">
        <f>+'Project Overview'!$AJ$371</f>
        <v>81384</v>
      </c>
      <c r="G32" s="830"/>
      <c r="H32" s="795"/>
    </row>
    <row r="33" spans="2:8" ht="18" customHeight="1">
      <c r="B33" s="2522"/>
      <c r="C33" s="2523"/>
      <c r="D33" s="827" t="s">
        <v>3636</v>
      </c>
      <c r="E33" s="321">
        <f>CashFlow!$L$5</f>
        <v>0</v>
      </c>
      <c r="F33" s="2541"/>
      <c r="G33" s="426"/>
      <c r="H33" s="795"/>
    </row>
    <row r="34" spans="2:8" ht="18" customHeight="1">
      <c r="B34" s="2509"/>
      <c r="C34" s="2510"/>
      <c r="D34" s="1390" t="s">
        <v>3637</v>
      </c>
      <c r="E34" s="321">
        <f>CashFlow!$L$6</f>
        <v>0</v>
      </c>
      <c r="F34" s="2542"/>
      <c r="G34" s="426"/>
      <c r="H34" s="795"/>
    </row>
    <row r="35" spans="2:8" ht="18" customHeight="1">
      <c r="B35" s="2511">
        <v>5121</v>
      </c>
      <c r="C35" s="2512"/>
      <c r="D35" s="2532" t="s">
        <v>3638</v>
      </c>
      <c r="E35" s="2533"/>
      <c r="F35" s="2533"/>
      <c r="G35" s="2534"/>
      <c r="H35" s="795"/>
    </row>
    <row r="36" spans="2:8" ht="18" customHeight="1">
      <c r="B36" s="2522"/>
      <c r="C36" s="2523"/>
      <c r="D36" s="807" t="str">
        <f>IF('Unit Mix'!$AP$7&gt;0,'Unit Mix'!$AP$7,"")</f>
        <v/>
      </c>
      <c r="E36" s="321">
        <f>'Unit Mix'!AS8*12</f>
        <v>0</v>
      </c>
      <c r="F36" s="2538"/>
      <c r="G36" s="426"/>
      <c r="H36" s="795"/>
    </row>
    <row r="37" spans="2:8" ht="18" customHeight="1">
      <c r="B37" s="2522"/>
      <c r="C37" s="2523"/>
      <c r="D37" s="807" t="str">
        <f>IF('Unit Mix'!$AT$7&gt;0,'Unit Mix'!$AT$7,"")</f>
        <v/>
      </c>
      <c r="E37" s="321">
        <f>'Unit Mix'!AW8*12</f>
        <v>0</v>
      </c>
      <c r="F37" s="2539"/>
      <c r="G37" s="426"/>
      <c r="H37" s="795"/>
    </row>
    <row r="38" spans="2:8" ht="18" customHeight="1">
      <c r="B38" s="2522"/>
      <c r="C38" s="2523"/>
      <c r="D38" s="1575" t="s">
        <v>3639</v>
      </c>
      <c r="E38" s="323">
        <v>0</v>
      </c>
      <c r="F38" s="2540"/>
      <c r="G38" s="426"/>
      <c r="H38" s="795"/>
    </row>
    <row r="39" spans="2:8" ht="18" customHeight="1">
      <c r="B39" s="2509"/>
      <c r="C39" s="2510"/>
      <c r="D39" s="329" t="s">
        <v>3447</v>
      </c>
      <c r="E39" s="323">
        <v>0</v>
      </c>
      <c r="F39" s="323">
        <v>0</v>
      </c>
      <c r="G39" s="426"/>
      <c r="H39" s="795"/>
    </row>
    <row r="40" spans="2:8" ht="18" customHeight="1">
      <c r="B40" s="2506">
        <v>5910</v>
      </c>
      <c r="C40" s="2506"/>
      <c r="D40" s="1542" t="s">
        <v>3640</v>
      </c>
      <c r="E40" s="321">
        <f>'Project Overview'!$K$363</f>
        <v>71760</v>
      </c>
      <c r="F40" s="328"/>
      <c r="G40" s="426"/>
      <c r="H40" s="795"/>
    </row>
    <row r="41" spans="2:8" ht="18" customHeight="1">
      <c r="B41" s="2506">
        <v>5170</v>
      </c>
      <c r="C41" s="2506"/>
      <c r="D41" s="1542" t="s">
        <v>3641</v>
      </c>
      <c r="E41" s="321">
        <f>+'Project Overview'!$K$367</f>
        <v>197640</v>
      </c>
      <c r="F41" s="321">
        <f>+'Project Overview'!$K$371</f>
        <v>103500</v>
      </c>
      <c r="G41" s="426"/>
      <c r="H41" s="795"/>
    </row>
    <row r="42" spans="2:8" ht="18" customHeight="1">
      <c r="B42" s="2506">
        <v>5990</v>
      </c>
      <c r="C42" s="2506"/>
      <c r="D42" s="1542" t="s">
        <v>3642</v>
      </c>
      <c r="E42" s="323">
        <v>0</v>
      </c>
      <c r="F42" s="323">
        <v>0</v>
      </c>
      <c r="G42" s="426"/>
      <c r="H42" s="795"/>
    </row>
    <row r="43" spans="2:8" ht="18" customHeight="1">
      <c r="B43" s="2527" t="s">
        <v>3643</v>
      </c>
      <c r="C43" s="2528"/>
      <c r="D43" s="2529"/>
      <c r="E43" s="320">
        <f>SUM(E32:E42)</f>
        <v>269400</v>
      </c>
      <c r="F43" s="1391">
        <f>SUM($F$32:$F$42)</f>
        <v>184884</v>
      </c>
      <c r="G43" s="426"/>
      <c r="H43" s="1392"/>
    </row>
    <row r="44" spans="2:8" ht="18" customHeight="1">
      <c r="B44" s="2506" t="s">
        <v>3644</v>
      </c>
      <c r="C44" s="2506"/>
      <c r="D44" s="1542" t="s">
        <v>3645</v>
      </c>
      <c r="E44" s="327">
        <v>0.05</v>
      </c>
      <c r="F44" s="2535"/>
      <c r="G44" s="426"/>
      <c r="H44" s="795"/>
    </row>
    <row r="45" spans="2:8" ht="18" customHeight="1">
      <c r="B45" s="2506"/>
      <c r="C45" s="2506"/>
      <c r="D45" s="1542" t="s">
        <v>3646</v>
      </c>
      <c r="E45" s="327">
        <v>0.05</v>
      </c>
      <c r="F45" s="2536"/>
      <c r="G45" s="426"/>
      <c r="H45" s="795"/>
    </row>
    <row r="46" spans="2:8" ht="18" customHeight="1">
      <c r="B46" s="2506"/>
      <c r="C46" s="2506"/>
      <c r="D46" s="1542" t="s">
        <v>3647</v>
      </c>
      <c r="E46" s="327">
        <v>0.05</v>
      </c>
      <c r="F46" s="2536"/>
      <c r="G46" s="426"/>
      <c r="H46" s="795"/>
    </row>
    <row r="47" spans="2:8" ht="18" customHeight="1">
      <c r="B47" s="2506"/>
      <c r="C47" s="2506"/>
      <c r="D47" s="1542" t="str">
        <f>"Vacancy Rate:  " &amp; $D$39</f>
        <v>Vacancy Rate:  Other: (Specify)</v>
      </c>
      <c r="E47" s="327">
        <v>0.05</v>
      </c>
      <c r="F47" s="2536"/>
      <c r="G47" s="426"/>
      <c r="H47" s="795"/>
    </row>
    <row r="48" spans="2:8" ht="18" customHeight="1">
      <c r="B48" s="2506"/>
      <c r="C48" s="2506"/>
      <c r="D48" s="1542" t="s">
        <v>3648</v>
      </c>
      <c r="E48" s="327">
        <v>0.05</v>
      </c>
      <c r="F48" s="2537"/>
      <c r="G48" s="426"/>
      <c r="H48" s="795"/>
    </row>
    <row r="49" spans="2:10" ht="18" customHeight="1">
      <c r="B49" s="2506"/>
      <c r="C49" s="2506"/>
      <c r="D49" s="814" t="s">
        <v>3649</v>
      </c>
      <c r="E49" s="1393"/>
      <c r="F49" s="327">
        <v>0.5</v>
      </c>
      <c r="G49" s="426"/>
      <c r="H49" s="795"/>
    </row>
    <row r="50" spans="2:10" ht="18" customHeight="1">
      <c r="B50" s="2506"/>
      <c r="C50" s="2506"/>
      <c r="D50" s="1542" t="s">
        <v>3650</v>
      </c>
      <c r="E50" s="320">
        <f>($E$33*$E$44)+($E$34*$E$45)+(($E$36+$E$37)*$E$46)+($E$39*$E$47)+(($E$40+$E$41+$E$42)*$E$48)</f>
        <v>13470</v>
      </c>
      <c r="F50" s="324">
        <f>+$F$43*$F$49</f>
        <v>92442</v>
      </c>
      <c r="G50" s="766"/>
      <c r="H50" s="795"/>
    </row>
    <row r="51" spans="2:10" ht="18" customHeight="1">
      <c r="B51" s="2526" t="s">
        <v>3651</v>
      </c>
      <c r="C51" s="2526"/>
      <c r="D51" s="2526"/>
      <c r="E51" s="326">
        <f>+$E$43-$E$50</f>
        <v>255930</v>
      </c>
      <c r="F51" s="1394">
        <f>+$F$43-$F$50</f>
        <v>92442</v>
      </c>
      <c r="G51" s="821"/>
      <c r="H51" s="820"/>
    </row>
    <row r="52" spans="2:10" s="161" customFormat="1" ht="18" customHeight="1">
      <c r="B52" s="348"/>
      <c r="C52" s="348"/>
      <c r="D52" s="348"/>
      <c r="E52" s="349"/>
      <c r="F52" s="349"/>
      <c r="G52" s="350"/>
      <c r="H52" s="160"/>
      <c r="I52" s="637"/>
      <c r="J52" s="637"/>
    </row>
    <row r="53" spans="2:10" s="156" customFormat="1" ht="18" customHeight="1">
      <c r="B53" s="2525" t="s">
        <v>3617</v>
      </c>
      <c r="C53" s="2525"/>
      <c r="D53" s="825" t="s">
        <v>3652</v>
      </c>
      <c r="E53" s="826" t="s">
        <v>3632</v>
      </c>
      <c r="F53" s="1562" t="s">
        <v>3633</v>
      </c>
      <c r="G53" s="832" t="s">
        <v>3607</v>
      </c>
      <c r="H53" s="160"/>
      <c r="I53" s="993"/>
      <c r="J53" s="993"/>
    </row>
    <row r="54" spans="2:10" ht="18" customHeight="1">
      <c r="B54" s="2504">
        <v>6203</v>
      </c>
      <c r="C54" s="2505"/>
      <c r="D54" s="1575" t="s">
        <v>3653</v>
      </c>
      <c r="E54" s="1386">
        <v>0</v>
      </c>
      <c r="F54" s="323">
        <v>0</v>
      </c>
      <c r="G54" s="426"/>
      <c r="H54" s="795"/>
    </row>
    <row r="55" spans="2:10" ht="18" customHeight="1">
      <c r="B55" s="2504">
        <v>6210</v>
      </c>
      <c r="C55" s="2505"/>
      <c r="D55" s="1575" t="s">
        <v>3654</v>
      </c>
      <c r="E55" s="1386">
        <v>0</v>
      </c>
      <c r="F55" s="323">
        <v>0</v>
      </c>
      <c r="G55" s="426"/>
      <c r="H55" s="795"/>
    </row>
    <row r="56" spans="2:10" ht="18" customHeight="1">
      <c r="B56" s="2504">
        <v>6250</v>
      </c>
      <c r="C56" s="2505"/>
      <c r="D56" s="1575" t="s">
        <v>3655</v>
      </c>
      <c r="E56" s="1386">
        <v>0</v>
      </c>
      <c r="F56" s="323">
        <v>0</v>
      </c>
      <c r="G56" s="426"/>
      <c r="H56" s="795"/>
    </row>
    <row r="57" spans="2:10" ht="18" customHeight="1">
      <c r="B57" s="2504">
        <v>6310</v>
      </c>
      <c r="C57" s="2505"/>
      <c r="D57" s="1575" t="s">
        <v>3656</v>
      </c>
      <c r="E57" s="1395">
        <f>+$E$12</f>
        <v>0</v>
      </c>
      <c r="F57" s="323">
        <v>0</v>
      </c>
      <c r="G57" s="426"/>
      <c r="H57" s="795"/>
    </row>
    <row r="58" spans="2:10" ht="18" customHeight="1">
      <c r="B58" s="2504">
        <v>6311</v>
      </c>
      <c r="C58" s="2505"/>
      <c r="D58" s="1575" t="s">
        <v>3657</v>
      </c>
      <c r="E58" s="1386">
        <v>0</v>
      </c>
      <c r="F58" s="323">
        <v>0</v>
      </c>
      <c r="G58" s="426"/>
      <c r="H58" s="795"/>
    </row>
    <row r="59" spans="2:10" ht="18" customHeight="1">
      <c r="B59" s="2504">
        <v>6312</v>
      </c>
      <c r="C59" s="2505"/>
      <c r="D59" s="1575" t="s">
        <v>3658</v>
      </c>
      <c r="E59" s="1386">
        <v>0</v>
      </c>
      <c r="F59" s="323">
        <v>0</v>
      </c>
      <c r="G59" s="426"/>
      <c r="H59" s="795"/>
    </row>
    <row r="60" spans="2:10" ht="18" customHeight="1">
      <c r="B60" s="2504">
        <v>6320</v>
      </c>
      <c r="C60" s="2505"/>
      <c r="D60" s="1575" t="s">
        <v>3659</v>
      </c>
      <c r="E60" s="1386">
        <v>0</v>
      </c>
      <c r="F60" s="323">
        <v>0</v>
      </c>
      <c r="G60" s="426"/>
      <c r="H60" s="795"/>
    </row>
    <row r="61" spans="2:10" ht="18" customHeight="1">
      <c r="B61" s="2504">
        <v>6330</v>
      </c>
      <c r="C61" s="2505"/>
      <c r="D61" s="1575" t="s">
        <v>3660</v>
      </c>
      <c r="E61" s="1395">
        <f>+$E$6+$E$7</f>
        <v>0</v>
      </c>
      <c r="F61" s="323">
        <v>0</v>
      </c>
      <c r="G61" s="426"/>
      <c r="H61" s="795"/>
    </row>
    <row r="62" spans="2:10" ht="18" customHeight="1">
      <c r="B62" s="2504">
        <v>6331</v>
      </c>
      <c r="C62" s="2505"/>
      <c r="D62" s="1575" t="s">
        <v>3661</v>
      </c>
      <c r="E62" s="1395">
        <f>IF($I$20=1,+$F$6+$F$7+$F$12,0)</f>
        <v>0</v>
      </c>
      <c r="F62" s="323">
        <v>0</v>
      </c>
      <c r="G62" s="426"/>
      <c r="H62" s="795"/>
    </row>
    <row r="63" spans="2:10" ht="18" customHeight="1">
      <c r="B63" s="2504">
        <v>6340</v>
      </c>
      <c r="C63" s="2505"/>
      <c r="D63" s="1575" t="s">
        <v>3662</v>
      </c>
      <c r="E63" s="1386">
        <v>0</v>
      </c>
      <c r="F63" s="323">
        <v>0</v>
      </c>
      <c r="G63" s="426"/>
      <c r="H63" s="795"/>
    </row>
    <row r="64" spans="2:10" ht="18" customHeight="1">
      <c r="B64" s="2504">
        <v>6350</v>
      </c>
      <c r="C64" s="2505"/>
      <c r="D64" s="1575" t="s">
        <v>3663</v>
      </c>
      <c r="E64" s="1386">
        <v>0</v>
      </c>
      <c r="F64" s="323">
        <v>0</v>
      </c>
      <c r="G64" s="426"/>
      <c r="H64" s="795"/>
    </row>
    <row r="65" spans="2:10" ht="18" customHeight="1">
      <c r="B65" s="2504">
        <v>6351</v>
      </c>
      <c r="C65" s="2505"/>
      <c r="D65" s="1575" t="s">
        <v>3664</v>
      </c>
      <c r="E65" s="1386">
        <v>0</v>
      </c>
      <c r="F65" s="323">
        <v>0</v>
      </c>
      <c r="G65" s="426"/>
      <c r="H65" s="795"/>
    </row>
    <row r="66" spans="2:10" ht="18" customHeight="1">
      <c r="B66" s="2511">
        <v>6390</v>
      </c>
      <c r="C66" s="2512"/>
      <c r="D66" s="1577" t="s">
        <v>3665</v>
      </c>
      <c r="E66" s="1386">
        <v>0</v>
      </c>
      <c r="F66" s="323">
        <v>0</v>
      </c>
      <c r="G66" s="426"/>
      <c r="H66" s="795"/>
    </row>
    <row r="67" spans="2:10" ht="18" customHeight="1">
      <c r="B67" s="2506" t="s">
        <v>3666</v>
      </c>
      <c r="C67" s="2506"/>
      <c r="D67" s="731" t="s">
        <v>3667</v>
      </c>
      <c r="E67" s="320">
        <f>SUM($E$54:$E$66)</f>
        <v>0</v>
      </c>
      <c r="F67" s="320">
        <f>SUM($F$54:$F$66)</f>
        <v>0</v>
      </c>
      <c r="G67" s="841"/>
      <c r="H67" s="44"/>
    </row>
    <row r="68" spans="2:10" s="43" customFormat="1" ht="18" customHeight="1">
      <c r="B68" s="1560"/>
      <c r="C68" s="1560"/>
      <c r="D68" s="1563"/>
      <c r="E68" s="816"/>
      <c r="F68" s="816"/>
      <c r="G68" s="56"/>
      <c r="H68" s="44"/>
      <c r="I68" s="1560"/>
      <c r="J68" s="1560"/>
    </row>
    <row r="69" spans="2:10" ht="18" customHeight="1">
      <c r="B69" s="2503"/>
      <c r="C69" s="2503"/>
      <c r="D69" s="822" t="s">
        <v>3668</v>
      </c>
      <c r="E69" s="823" t="s">
        <v>3632</v>
      </c>
      <c r="F69" s="824" t="s">
        <v>3633</v>
      </c>
      <c r="G69" s="831" t="s">
        <v>3607</v>
      </c>
      <c r="H69" s="44"/>
    </row>
    <row r="70" spans="2:10" ht="18" customHeight="1">
      <c r="B70" s="2504">
        <v>6450</v>
      </c>
      <c r="C70" s="2505"/>
      <c r="D70" s="1575" t="s">
        <v>3314</v>
      </c>
      <c r="E70" s="322">
        <v>0</v>
      </c>
      <c r="F70" s="323">
        <v>0</v>
      </c>
      <c r="G70" s="426"/>
      <c r="H70" s="795"/>
    </row>
    <row r="71" spans="2:10" ht="18" customHeight="1">
      <c r="B71" s="2504">
        <v>6451</v>
      </c>
      <c r="C71" s="2505"/>
      <c r="D71" s="1575" t="s">
        <v>1039</v>
      </c>
      <c r="E71" s="322">
        <v>0</v>
      </c>
      <c r="F71" s="323">
        <v>0</v>
      </c>
      <c r="G71" s="426"/>
      <c r="H71" s="795"/>
    </row>
    <row r="72" spans="2:10" ht="18" customHeight="1">
      <c r="B72" s="2504">
        <v>6452</v>
      </c>
      <c r="C72" s="2505"/>
      <c r="D72" s="1575" t="s">
        <v>3310</v>
      </c>
      <c r="E72" s="322">
        <v>0</v>
      </c>
      <c r="F72" s="323">
        <v>0</v>
      </c>
      <c r="G72" s="426"/>
      <c r="H72" s="795"/>
    </row>
    <row r="73" spans="2:10" ht="18" customHeight="1">
      <c r="B73" s="2504">
        <v>6453</v>
      </c>
      <c r="C73" s="2505"/>
      <c r="D73" s="1575" t="s">
        <v>1040</v>
      </c>
      <c r="E73" s="322">
        <v>0</v>
      </c>
      <c r="F73" s="323">
        <v>0</v>
      </c>
      <c r="G73" s="426"/>
      <c r="H73" s="795"/>
    </row>
    <row r="74" spans="2:10" ht="18" customHeight="1">
      <c r="B74" s="2504"/>
      <c r="C74" s="2505"/>
      <c r="D74" s="428" t="s">
        <v>3669</v>
      </c>
      <c r="E74" s="429">
        <v>0</v>
      </c>
      <c r="F74" s="430">
        <v>0</v>
      </c>
      <c r="G74" s="426"/>
      <c r="H74" s="795"/>
    </row>
    <row r="75" spans="2:10" ht="18" customHeight="1">
      <c r="B75" s="2506" t="s">
        <v>3670</v>
      </c>
      <c r="C75" s="2506"/>
      <c r="D75" s="325" t="s">
        <v>3671</v>
      </c>
      <c r="E75" s="320">
        <f>SUM($E$70:$E$74)</f>
        <v>0</v>
      </c>
      <c r="F75" s="321">
        <f>SUM($F$70:$F$74)</f>
        <v>0</v>
      </c>
      <c r="G75" s="70"/>
      <c r="H75" s="44"/>
    </row>
    <row r="76" spans="2:10" s="43" customFormat="1" ht="18" customHeight="1">
      <c r="B76" s="1560"/>
      <c r="C76" s="1560"/>
      <c r="D76" s="843"/>
      <c r="E76" s="816"/>
      <c r="F76" s="844"/>
      <c r="G76" s="70"/>
      <c r="H76" s="44"/>
      <c r="I76" s="1560"/>
      <c r="J76" s="1560"/>
    </row>
    <row r="77" spans="2:10" ht="18" customHeight="1">
      <c r="B77" s="2508"/>
      <c r="C77" s="2508"/>
      <c r="D77" s="825" t="s">
        <v>3672</v>
      </c>
      <c r="E77" s="826" t="s">
        <v>3632</v>
      </c>
      <c r="F77" s="1562" t="s">
        <v>3633</v>
      </c>
      <c r="G77" s="832" t="s">
        <v>3607</v>
      </c>
      <c r="H77" s="44"/>
    </row>
    <row r="78" spans="2:10" ht="18" customHeight="1">
      <c r="B78" s="2509">
        <v>6510</v>
      </c>
      <c r="C78" s="2510"/>
      <c r="D78" s="819" t="s">
        <v>3673</v>
      </c>
      <c r="E78" s="828">
        <f>$E$11+$E$13+$E$14+$E$15</f>
        <v>0</v>
      </c>
      <c r="F78" s="1396">
        <v>0</v>
      </c>
      <c r="G78" s="830"/>
      <c r="H78" s="795"/>
    </row>
    <row r="79" spans="2:10" ht="18" customHeight="1">
      <c r="B79" s="2504">
        <v>6515</v>
      </c>
      <c r="C79" s="2505"/>
      <c r="D79" s="1542" t="s">
        <v>3674</v>
      </c>
      <c r="E79" s="322">
        <v>0</v>
      </c>
      <c r="F79" s="1397">
        <v>0</v>
      </c>
      <c r="G79" s="426"/>
      <c r="H79" s="795"/>
    </row>
    <row r="80" spans="2:10" ht="18" customHeight="1">
      <c r="B80" s="2504">
        <v>6520</v>
      </c>
      <c r="C80" s="2505"/>
      <c r="D80" s="1542" t="s">
        <v>3675</v>
      </c>
      <c r="E80" s="322">
        <v>0</v>
      </c>
      <c r="F80" s="1397">
        <v>0</v>
      </c>
      <c r="G80" s="426"/>
      <c r="H80" s="795"/>
    </row>
    <row r="81" spans="2:10" ht="18" customHeight="1">
      <c r="B81" s="2504">
        <v>6521</v>
      </c>
      <c r="C81" s="2505"/>
      <c r="D81" s="1542" t="s">
        <v>3676</v>
      </c>
      <c r="E81" s="320">
        <f>IF($I$20=1,+$F$11+$F$14+$F$15,0)</f>
        <v>0</v>
      </c>
      <c r="F81" s="1397">
        <v>0</v>
      </c>
      <c r="G81" s="426"/>
      <c r="H81" s="795"/>
    </row>
    <row r="82" spans="2:10" ht="18" customHeight="1">
      <c r="B82" s="2504">
        <v>6525</v>
      </c>
      <c r="C82" s="2505"/>
      <c r="D82" s="1542" t="s">
        <v>3677</v>
      </c>
      <c r="E82" s="322">
        <v>0</v>
      </c>
      <c r="F82" s="1397">
        <v>0</v>
      </c>
      <c r="G82" s="426"/>
      <c r="H82" s="795"/>
    </row>
    <row r="83" spans="2:10" ht="18" customHeight="1">
      <c r="B83" s="2504">
        <v>6530</v>
      </c>
      <c r="C83" s="2505"/>
      <c r="D83" s="1542" t="s">
        <v>3678</v>
      </c>
      <c r="E83" s="322">
        <v>0</v>
      </c>
      <c r="F83" s="1397">
        <v>0</v>
      </c>
      <c r="G83" s="426"/>
      <c r="H83" s="795"/>
    </row>
    <row r="84" spans="2:10" ht="18" customHeight="1">
      <c r="B84" s="2504">
        <v>6531</v>
      </c>
      <c r="C84" s="2505"/>
      <c r="D84" s="1542" t="s">
        <v>3679</v>
      </c>
      <c r="E84" s="320">
        <f>IF($I$20=1,+$F$13,0)</f>
        <v>0</v>
      </c>
      <c r="F84" s="1397">
        <v>0</v>
      </c>
      <c r="G84" s="426"/>
      <c r="H84" s="795"/>
    </row>
    <row r="85" spans="2:10" ht="18" customHeight="1">
      <c r="B85" s="2504">
        <v>6546</v>
      </c>
      <c r="C85" s="2505"/>
      <c r="D85" s="1542" t="s">
        <v>3680</v>
      </c>
      <c r="E85" s="322">
        <v>0</v>
      </c>
      <c r="F85" s="1397">
        <v>0</v>
      </c>
      <c r="G85" s="426"/>
      <c r="H85" s="795"/>
    </row>
    <row r="86" spans="2:10" ht="18" customHeight="1">
      <c r="B86" s="2504">
        <v>6548</v>
      </c>
      <c r="C86" s="2505"/>
      <c r="D86" s="1542" t="s">
        <v>3681</v>
      </c>
      <c r="E86" s="322">
        <v>0</v>
      </c>
      <c r="F86" s="1397">
        <v>0</v>
      </c>
      <c r="G86" s="426"/>
      <c r="H86" s="795"/>
    </row>
    <row r="87" spans="2:10" ht="18" customHeight="1">
      <c r="B87" s="2504">
        <v>6570</v>
      </c>
      <c r="C87" s="2505"/>
      <c r="D87" s="1542" t="s">
        <v>3682</v>
      </c>
      <c r="E87" s="322">
        <v>0</v>
      </c>
      <c r="F87" s="1397">
        <v>0</v>
      </c>
      <c r="G87" s="426"/>
      <c r="H87" s="795"/>
    </row>
    <row r="88" spans="2:10" ht="18" customHeight="1">
      <c r="B88" s="2504">
        <v>6590</v>
      </c>
      <c r="C88" s="2505"/>
      <c r="D88" s="1542" t="s">
        <v>3683</v>
      </c>
      <c r="E88" s="322">
        <v>0</v>
      </c>
      <c r="F88" s="1397">
        <v>0</v>
      </c>
      <c r="G88" s="426"/>
      <c r="H88" s="795"/>
    </row>
    <row r="89" spans="2:10" ht="18" customHeight="1">
      <c r="B89" s="2506" t="s">
        <v>3684</v>
      </c>
      <c r="C89" s="2506"/>
      <c r="D89" s="325" t="s">
        <v>3685</v>
      </c>
      <c r="E89" s="320">
        <f>SUM($E$78:$E$88)</f>
        <v>0</v>
      </c>
      <c r="F89" s="321">
        <f>SUM($F$78:$F$88)</f>
        <v>0</v>
      </c>
      <c r="G89" s="70"/>
      <c r="H89" s="44"/>
    </row>
    <row r="90" spans="2:10" s="43" customFormat="1" ht="18" customHeight="1">
      <c r="B90" s="1560"/>
      <c r="C90" s="1560"/>
      <c r="D90" s="843"/>
      <c r="E90" s="816"/>
      <c r="F90" s="844"/>
      <c r="G90" s="70"/>
      <c r="H90" s="44"/>
      <c r="I90" s="1560"/>
      <c r="J90" s="1560"/>
    </row>
    <row r="91" spans="2:10" ht="18" customHeight="1">
      <c r="B91" s="2508"/>
      <c r="C91" s="2508"/>
      <c r="D91" s="825" t="s">
        <v>3686</v>
      </c>
      <c r="E91" s="826" t="s">
        <v>3632</v>
      </c>
      <c r="F91" s="1562" t="s">
        <v>3633</v>
      </c>
      <c r="G91" s="832" t="s">
        <v>3607</v>
      </c>
      <c r="H91" s="44"/>
    </row>
    <row r="92" spans="2:10" ht="18" customHeight="1">
      <c r="B92" s="2509">
        <v>6710</v>
      </c>
      <c r="C92" s="2510"/>
      <c r="D92" s="1390" t="s">
        <v>3301</v>
      </c>
      <c r="E92" s="836">
        <v>0</v>
      </c>
      <c r="F92" s="1396">
        <v>0</v>
      </c>
      <c r="G92" s="830"/>
      <c r="H92" s="795"/>
    </row>
    <row r="93" spans="2:10" ht="18" customHeight="1">
      <c r="B93" s="2504">
        <v>6711</v>
      </c>
      <c r="C93" s="2505"/>
      <c r="D93" s="1575" t="s">
        <v>3687</v>
      </c>
      <c r="E93" s="320">
        <f>$E$17</f>
        <v>0</v>
      </c>
      <c r="F93" s="1397">
        <v>0</v>
      </c>
      <c r="G93" s="426"/>
      <c r="H93" s="795"/>
    </row>
    <row r="94" spans="2:10" ht="18" customHeight="1">
      <c r="B94" s="2504">
        <v>6720</v>
      </c>
      <c r="C94" s="2505"/>
      <c r="D94" s="1575" t="s">
        <v>3688</v>
      </c>
      <c r="E94" s="322">
        <v>0</v>
      </c>
      <c r="F94" s="1397">
        <v>0</v>
      </c>
      <c r="G94" s="426"/>
      <c r="H94" s="795"/>
    </row>
    <row r="95" spans="2:10" ht="18" customHeight="1">
      <c r="B95" s="2504">
        <v>6729</v>
      </c>
      <c r="C95" s="2505"/>
      <c r="D95" s="1575" t="s">
        <v>3689</v>
      </c>
      <c r="E95" s="322">
        <v>0</v>
      </c>
      <c r="F95" s="1397">
        <v>0</v>
      </c>
      <c r="G95" s="426"/>
      <c r="H95" s="795"/>
    </row>
    <row r="96" spans="2:10" ht="18" customHeight="1">
      <c r="B96" s="2504">
        <v>6721</v>
      </c>
      <c r="C96" s="2505"/>
      <c r="D96" s="1575" t="s">
        <v>3690</v>
      </c>
      <c r="E96" s="322">
        <v>0</v>
      </c>
      <c r="F96" s="1397">
        <v>0</v>
      </c>
      <c r="G96" s="426"/>
      <c r="H96" s="795"/>
    </row>
    <row r="97" spans="2:10" ht="18" customHeight="1">
      <c r="B97" s="2504">
        <v>6722</v>
      </c>
      <c r="C97" s="2505"/>
      <c r="D97" s="1575" t="s">
        <v>3691</v>
      </c>
      <c r="E97" s="320">
        <f>$E$18</f>
        <v>0</v>
      </c>
      <c r="F97" s="1397">
        <v>0</v>
      </c>
      <c r="G97" s="426"/>
      <c r="H97" s="795"/>
    </row>
    <row r="98" spans="2:10" ht="18" customHeight="1">
      <c r="B98" s="2504">
        <v>6723</v>
      </c>
      <c r="C98" s="2505"/>
      <c r="D98" s="1575" t="s">
        <v>3692</v>
      </c>
      <c r="E98" s="320">
        <f>$E$19</f>
        <v>0</v>
      </c>
      <c r="F98" s="1397">
        <v>0</v>
      </c>
      <c r="G98" s="426"/>
      <c r="H98" s="795"/>
    </row>
    <row r="99" spans="2:10" ht="18" customHeight="1">
      <c r="B99" s="2504">
        <v>6790</v>
      </c>
      <c r="C99" s="2505"/>
      <c r="D99" s="1575" t="s">
        <v>3693</v>
      </c>
      <c r="E99" s="322">
        <v>0</v>
      </c>
      <c r="F99" s="1397">
        <v>0</v>
      </c>
      <c r="G99" s="426"/>
      <c r="H99" s="795"/>
    </row>
    <row r="100" spans="2:10" s="42" customFormat="1" ht="18" customHeight="1">
      <c r="B100" s="2506" t="s">
        <v>3694</v>
      </c>
      <c r="C100" s="2506"/>
      <c r="D100" s="847" t="s">
        <v>3695</v>
      </c>
      <c r="E100" s="320">
        <f>SUM($E$92:$E$99)</f>
        <v>0</v>
      </c>
      <c r="F100" s="321">
        <f>SUM($F$92:$F$99)</f>
        <v>0</v>
      </c>
      <c r="G100" s="70"/>
      <c r="H100" s="1576"/>
      <c r="I100" s="58"/>
      <c r="J100" s="58"/>
    </row>
    <row r="101" spans="2:10" s="729" customFormat="1" ht="18" customHeight="1">
      <c r="B101" s="1560"/>
      <c r="C101" s="1560"/>
      <c r="D101" s="845"/>
      <c r="E101" s="816"/>
      <c r="F101" s="844"/>
      <c r="G101" s="70"/>
      <c r="H101" s="846" t="s">
        <v>3696</v>
      </c>
      <c r="I101" s="1560"/>
      <c r="J101" s="1560"/>
    </row>
    <row r="102" spans="2:10" s="42" customFormat="1" ht="18" customHeight="1">
      <c r="B102" s="2508"/>
      <c r="C102" s="2508"/>
      <c r="D102" s="825" t="s">
        <v>3697</v>
      </c>
      <c r="E102" s="826" t="s">
        <v>3632</v>
      </c>
      <c r="F102" s="1562" t="s">
        <v>3633</v>
      </c>
      <c r="G102" s="832" t="s">
        <v>3607</v>
      </c>
      <c r="H102" s="848">
        <f>(E104+E105)*0.1</f>
        <v>0</v>
      </c>
      <c r="I102" s="58"/>
      <c r="J102" s="58"/>
    </row>
    <row r="103" spans="2:10" ht="18" customHeight="1">
      <c r="B103" s="2509">
        <v>6990</v>
      </c>
      <c r="C103" s="2510"/>
      <c r="D103" s="1390" t="s">
        <v>3698</v>
      </c>
      <c r="E103" s="828">
        <f>$E$8</f>
        <v>0</v>
      </c>
      <c r="F103" s="842">
        <v>0</v>
      </c>
      <c r="G103" s="830"/>
      <c r="H103" s="1398"/>
    </row>
    <row r="104" spans="2:10" ht="18" customHeight="1">
      <c r="B104" s="2504">
        <v>6990</v>
      </c>
      <c r="C104" s="2505"/>
      <c r="D104" s="1575" t="s">
        <v>3699</v>
      </c>
      <c r="E104" s="320">
        <f>$E$9</f>
        <v>0</v>
      </c>
      <c r="F104" s="323">
        <v>0</v>
      </c>
      <c r="G104" s="426"/>
      <c r="H104" s="1398"/>
    </row>
    <row r="105" spans="2:10" ht="18" customHeight="1">
      <c r="B105" s="2504">
        <v>6990</v>
      </c>
      <c r="C105" s="2505"/>
      <c r="D105" s="1575" t="s">
        <v>3700</v>
      </c>
      <c r="E105" s="320">
        <f>$E$10</f>
        <v>0</v>
      </c>
      <c r="F105" s="323">
        <v>0</v>
      </c>
      <c r="G105" s="426"/>
      <c r="H105" s="1399">
        <f>SUM(E103:F108)*0.15</f>
        <v>0</v>
      </c>
    </row>
    <row r="106" spans="2:10" ht="18" customHeight="1">
      <c r="B106" s="2504">
        <v>6990</v>
      </c>
      <c r="C106" s="2505"/>
      <c r="D106" s="1575" t="s">
        <v>3701</v>
      </c>
      <c r="E106" s="322">
        <v>0</v>
      </c>
      <c r="F106" s="323">
        <v>0</v>
      </c>
      <c r="G106" s="426"/>
      <c r="H106" s="1400"/>
    </row>
    <row r="107" spans="2:10" ht="18" customHeight="1">
      <c r="B107" s="2504">
        <v>6990</v>
      </c>
      <c r="C107" s="2505"/>
      <c r="D107" s="1401" t="s">
        <v>3702</v>
      </c>
      <c r="E107" s="322">
        <v>0</v>
      </c>
      <c r="F107" s="323">
        <v>0</v>
      </c>
      <c r="G107" s="426"/>
      <c r="H107" s="1400"/>
    </row>
    <row r="108" spans="2:10" ht="18" customHeight="1">
      <c r="B108" s="2504">
        <v>6990</v>
      </c>
      <c r="C108" s="2505"/>
      <c r="D108" s="1401" t="s">
        <v>3702</v>
      </c>
      <c r="E108" s="322">
        <v>0</v>
      </c>
      <c r="F108" s="323">
        <v>0</v>
      </c>
      <c r="G108" s="766"/>
      <c r="H108" s="1399">
        <f>'S2 - Supportive Services Costs'!AI12</f>
        <v>0</v>
      </c>
    </row>
    <row r="109" spans="2:10" ht="18" customHeight="1">
      <c r="B109" s="2506" t="s">
        <v>3703</v>
      </c>
      <c r="C109" s="2506"/>
      <c r="D109" s="325" t="s">
        <v>3704</v>
      </c>
      <c r="E109" s="320">
        <f>SUM($E$103:$E$108)</f>
        <v>0</v>
      </c>
      <c r="F109" s="1395">
        <f>SUM($F$103:$F$108)</f>
        <v>0</v>
      </c>
      <c r="G109" s="850"/>
      <c r="H109" s="44"/>
    </row>
    <row r="110" spans="2:10" ht="18" customHeight="1">
      <c r="B110" s="2503"/>
      <c r="C110" s="2503"/>
      <c r="D110" s="348" t="s">
        <v>3705</v>
      </c>
      <c r="E110" s="320">
        <f>+$E$67+$E$75+$E$89+$E$100+$E$109</f>
        <v>0</v>
      </c>
      <c r="F110" s="1402">
        <f>+$F$67+$F$75+$F$89+$F$100+$F$109</f>
        <v>0</v>
      </c>
      <c r="G110" s="849"/>
      <c r="H110" s="44"/>
    </row>
    <row r="111" spans="2:10" s="43" customFormat="1" ht="18" customHeight="1">
      <c r="B111" s="59"/>
      <c r="C111" s="1560"/>
      <c r="D111" s="65"/>
      <c r="E111" s="68"/>
      <c r="F111" s="69"/>
      <c r="G111" s="319"/>
      <c r="H111" s="44"/>
      <c r="I111" s="1560"/>
      <c r="J111" s="1560"/>
    </row>
    <row r="112" spans="2:10" ht="18" customHeight="1">
      <c r="B112" s="2508"/>
      <c r="C112" s="2508"/>
      <c r="D112" s="825" t="s">
        <v>3706</v>
      </c>
      <c r="E112" s="826" t="s">
        <v>3632</v>
      </c>
      <c r="F112" s="1562" t="s">
        <v>3633</v>
      </c>
      <c r="G112" s="832" t="s">
        <v>3607</v>
      </c>
      <c r="H112" s="44"/>
    </row>
    <row r="113" spans="2:10" ht="18" customHeight="1">
      <c r="B113" s="2509">
        <v>7210</v>
      </c>
      <c r="C113" s="2510"/>
      <c r="D113" s="1390" t="s">
        <v>3707</v>
      </c>
      <c r="E113" s="851">
        <f>IF('Reserves Calculator'!$AJ$10&gt;0,'Reserves Calculator'!$AJ$10,0)</f>
        <v>0</v>
      </c>
      <c r="F113" s="842">
        <v>0</v>
      </c>
      <c r="G113" s="830"/>
      <c r="H113" s="795"/>
    </row>
    <row r="114" spans="2:10" ht="18" customHeight="1">
      <c r="B114" s="2504">
        <v>7220</v>
      </c>
      <c r="C114" s="2505"/>
      <c r="D114" s="1401" t="s">
        <v>3708</v>
      </c>
      <c r="E114" s="322">
        <v>0</v>
      </c>
      <c r="F114" s="323">
        <v>0</v>
      </c>
      <c r="G114" s="426"/>
      <c r="H114" s="795"/>
    </row>
    <row r="115" spans="2:10" ht="18" customHeight="1">
      <c r="B115" s="2504">
        <v>7230</v>
      </c>
      <c r="C115" s="2505"/>
      <c r="D115" s="1401" t="s">
        <v>3708</v>
      </c>
      <c r="E115" s="322">
        <v>0</v>
      </c>
      <c r="F115" s="323">
        <v>0</v>
      </c>
      <c r="G115" s="426"/>
      <c r="H115" s="795"/>
    </row>
    <row r="116" spans="2:10" ht="18" customHeight="1">
      <c r="B116" s="2506">
        <v>7240</v>
      </c>
      <c r="C116" s="2506"/>
      <c r="D116" s="329" t="s">
        <v>3708</v>
      </c>
      <c r="E116" s="429">
        <v>0</v>
      </c>
      <c r="F116" s="430">
        <v>0</v>
      </c>
      <c r="G116" s="766"/>
      <c r="H116" s="795"/>
      <c r="I116" s="994"/>
    </row>
    <row r="117" spans="2:10" ht="18" customHeight="1">
      <c r="B117" s="2503"/>
      <c r="C117" s="2503"/>
      <c r="D117" s="843" t="s">
        <v>3709</v>
      </c>
      <c r="E117" s="320">
        <f>SUM($E$113:$E$116)</f>
        <v>0</v>
      </c>
      <c r="F117" s="1402">
        <f>SUM($F$113:$F$116)</f>
        <v>0</v>
      </c>
      <c r="G117" s="850"/>
      <c r="H117" s="44"/>
    </row>
    <row r="118" spans="2:10" s="43" customFormat="1" ht="18" customHeight="1">
      <c r="B118" s="1560"/>
      <c r="C118" s="1560"/>
      <c r="D118" s="843"/>
      <c r="E118" s="816"/>
      <c r="F118" s="844"/>
      <c r="G118" s="70"/>
      <c r="H118" s="44"/>
      <c r="I118" s="1560"/>
      <c r="J118" s="1560"/>
    </row>
    <row r="119" spans="2:10" ht="18" customHeight="1">
      <c r="B119" s="2503"/>
      <c r="C119" s="2503"/>
      <c r="D119" s="822" t="s">
        <v>3710</v>
      </c>
      <c r="E119" s="823" t="s">
        <v>3632</v>
      </c>
      <c r="F119" s="824" t="s">
        <v>3633</v>
      </c>
      <c r="G119" s="831" t="s">
        <v>3607</v>
      </c>
      <c r="H119" s="44"/>
    </row>
    <row r="120" spans="2:10" ht="18" customHeight="1">
      <c r="B120" s="2506"/>
      <c r="C120" s="2506"/>
      <c r="D120" s="1542" t="s">
        <v>3710</v>
      </c>
      <c r="E120" s="322">
        <v>0</v>
      </c>
      <c r="F120" s="323">
        <v>0</v>
      </c>
      <c r="G120" s="766"/>
      <c r="H120" s="795"/>
      <c r="I120" s="994"/>
    </row>
    <row r="121" spans="2:10" ht="18" customHeight="1">
      <c r="B121" s="2503"/>
      <c r="C121" s="2503"/>
      <c r="D121" s="843" t="s">
        <v>3711</v>
      </c>
      <c r="E121" s="320">
        <f>SUM($E$120:$E$120)</f>
        <v>0</v>
      </c>
      <c r="F121" s="1402">
        <f>SUM($F$120:$F$120)</f>
        <v>0</v>
      </c>
      <c r="G121" s="850"/>
      <c r="H121" s="44"/>
      <c r="I121" s="994"/>
    </row>
    <row r="122" spans="2:10" s="43" customFormat="1" ht="18" customHeight="1">
      <c r="B122" s="1560"/>
      <c r="C122" s="1560"/>
      <c r="D122" s="348" t="s">
        <v>3712</v>
      </c>
      <c r="E122" s="324">
        <f>+$E$51-$E$110-$E$117-$E$121</f>
        <v>255930</v>
      </c>
      <c r="F122" s="324">
        <f>+$F$51-$F$110-$F$117-$F$121</f>
        <v>92442</v>
      </c>
      <c r="G122" s="70"/>
      <c r="H122" s="44"/>
      <c r="I122" s="995"/>
      <c r="J122" s="1560"/>
    </row>
    <row r="123" spans="2:10" s="60" customFormat="1" ht="18" customHeight="1">
      <c r="B123" s="2503"/>
      <c r="C123" s="2503"/>
      <c r="G123" s="70"/>
      <c r="H123" s="852"/>
      <c r="I123" s="78"/>
      <c r="J123" s="78"/>
    </row>
    <row r="124" spans="2:10" ht="18" customHeight="1">
      <c r="B124" s="2503"/>
      <c r="C124" s="2503"/>
      <c r="D124" s="822" t="s">
        <v>3713</v>
      </c>
      <c r="E124" s="823" t="s">
        <v>3632</v>
      </c>
      <c r="F124" s="824" t="s">
        <v>3633</v>
      </c>
      <c r="G124" s="831" t="s">
        <v>3607</v>
      </c>
      <c r="H124" s="44"/>
    </row>
    <row r="125" spans="2:10" ht="18" customHeight="1">
      <c r="B125" s="2506">
        <v>6820</v>
      </c>
      <c r="C125" s="2506"/>
      <c r="D125" s="331" t="s">
        <v>3714</v>
      </c>
      <c r="E125" s="322">
        <v>0</v>
      </c>
      <c r="F125" s="322">
        <v>0</v>
      </c>
      <c r="G125" s="426"/>
      <c r="H125" s="1403"/>
    </row>
    <row r="126" spans="2:10" ht="18" customHeight="1">
      <c r="B126" s="2504">
        <v>6830</v>
      </c>
      <c r="C126" s="2505"/>
      <c r="D126" s="1383" t="s">
        <v>3715</v>
      </c>
      <c r="E126" s="322">
        <v>0</v>
      </c>
      <c r="F126" s="322">
        <v>0</v>
      </c>
      <c r="G126" s="426"/>
      <c r="H126" s="795"/>
    </row>
    <row r="127" spans="2:10" ht="18" customHeight="1">
      <c r="B127" s="2504">
        <v>6830</v>
      </c>
      <c r="C127" s="2505"/>
      <c r="D127" s="1383" t="s">
        <v>3716</v>
      </c>
      <c r="E127" s="322">
        <v>0</v>
      </c>
      <c r="F127" s="322">
        <v>0</v>
      </c>
      <c r="G127" s="426"/>
      <c r="H127" s="795"/>
    </row>
    <row r="128" spans="2:10" ht="18" customHeight="1">
      <c r="B128" s="2504">
        <v>6840</v>
      </c>
      <c r="C128" s="2505"/>
      <c r="D128" s="1575" t="s">
        <v>3717</v>
      </c>
      <c r="E128" s="322">
        <v>0</v>
      </c>
      <c r="F128" s="322">
        <v>0</v>
      </c>
      <c r="G128" s="426"/>
      <c r="H128" s="795"/>
    </row>
    <row r="129" spans="2:11" ht="18" customHeight="1">
      <c r="B129" s="2504">
        <v>6840</v>
      </c>
      <c r="C129" s="2505"/>
      <c r="D129" s="1575" t="s">
        <v>3718</v>
      </c>
      <c r="E129" s="322">
        <v>0</v>
      </c>
      <c r="F129" s="322">
        <v>0</v>
      </c>
      <c r="G129" s="332"/>
      <c r="H129" s="795"/>
      <c r="K129" s="1285"/>
    </row>
    <row r="130" spans="2:11" s="728" customFormat="1" ht="18" hidden="1" customHeight="1">
      <c r="B130" s="2504">
        <v>6840</v>
      </c>
      <c r="C130" s="2505"/>
      <c r="D130" s="1575" t="s">
        <v>3719</v>
      </c>
      <c r="E130" s="322">
        <v>0</v>
      </c>
      <c r="F130" s="322">
        <v>0</v>
      </c>
      <c r="G130" s="332"/>
      <c r="H130" s="795"/>
      <c r="I130" s="58"/>
      <c r="J130" s="58"/>
      <c r="K130" s="1285"/>
    </row>
    <row r="131" spans="2:11" ht="18" customHeight="1">
      <c r="B131" s="2504">
        <v>6840</v>
      </c>
      <c r="C131" s="2505"/>
      <c r="D131" s="1575" t="s">
        <v>3720</v>
      </c>
      <c r="E131" s="322">
        <v>0</v>
      </c>
      <c r="F131" s="322">
        <v>0</v>
      </c>
      <c r="G131" s="332"/>
      <c r="H131" s="795"/>
      <c r="K131" s="1285"/>
    </row>
    <row r="132" spans="2:11" ht="18" hidden="1" customHeight="1">
      <c r="B132" s="2504">
        <v>6840</v>
      </c>
      <c r="C132" s="2505"/>
      <c r="D132" s="1575" t="s">
        <v>3721</v>
      </c>
      <c r="E132" s="322">
        <v>0</v>
      </c>
      <c r="F132" s="322">
        <v>0</v>
      </c>
      <c r="G132" s="332"/>
      <c r="H132" s="795"/>
      <c r="I132" s="58" t="s">
        <v>3722</v>
      </c>
      <c r="J132" s="58" t="s">
        <v>3723</v>
      </c>
      <c r="K132" s="1285"/>
    </row>
    <row r="133" spans="2:11" ht="18" hidden="1" customHeight="1">
      <c r="B133" s="2504">
        <v>6840</v>
      </c>
      <c r="C133" s="2505"/>
      <c r="D133" s="1575" t="s">
        <v>3724</v>
      </c>
      <c r="E133" s="322">
        <v>0</v>
      </c>
      <c r="F133" s="322">
        <v>0</v>
      </c>
      <c r="G133" s="332"/>
      <c r="H133" s="795"/>
      <c r="I133" s="58">
        <v>2016</v>
      </c>
      <c r="J133" s="1035">
        <v>30000</v>
      </c>
      <c r="K133" s="1285"/>
    </row>
    <row r="134" spans="2:11" ht="18" customHeight="1">
      <c r="B134" s="2504">
        <v>6890</v>
      </c>
      <c r="C134" s="2505"/>
      <c r="D134" s="1401" t="s">
        <v>3725</v>
      </c>
      <c r="E134" s="322">
        <v>0</v>
      </c>
      <c r="F134" s="323">
        <v>0</v>
      </c>
      <c r="G134" s="426"/>
      <c r="H134" s="795"/>
      <c r="I134" s="58">
        <v>2017</v>
      </c>
      <c r="J134" s="1035">
        <f>J133*1.035</f>
        <v>31049.999999999996</v>
      </c>
      <c r="K134" s="1285"/>
    </row>
    <row r="135" spans="2:11" ht="18" customHeight="1">
      <c r="B135" s="2504">
        <v>6890</v>
      </c>
      <c r="C135" s="2505"/>
      <c r="D135" s="1401" t="s">
        <v>3725</v>
      </c>
      <c r="E135" s="322">
        <v>0</v>
      </c>
      <c r="F135" s="323">
        <v>0</v>
      </c>
      <c r="G135" s="426"/>
      <c r="H135" s="795"/>
      <c r="I135" s="58">
        <v>2018</v>
      </c>
      <c r="J135" s="1035">
        <f>J134*1.035</f>
        <v>32136.749999999993</v>
      </c>
      <c r="K135" s="1285"/>
    </row>
    <row r="136" spans="2:11" ht="18" customHeight="1">
      <c r="B136" s="2504">
        <v>6890</v>
      </c>
      <c r="C136" s="2505"/>
      <c r="D136" s="1380" t="s">
        <v>3726</v>
      </c>
      <c r="E136" s="322">
        <v>0</v>
      </c>
      <c r="F136" s="323">
        <v>0</v>
      </c>
      <c r="G136" s="426"/>
      <c r="H136" s="795"/>
      <c r="I136" s="58">
        <v>2019</v>
      </c>
      <c r="J136" s="1035">
        <f t="shared" ref="J136:J147" si="0">J135*1.035</f>
        <v>33261.53624999999</v>
      </c>
      <c r="K136" s="1285"/>
    </row>
    <row r="137" spans="2:11" ht="18" customHeight="1">
      <c r="B137" s="2504">
        <v>6890</v>
      </c>
      <c r="C137" s="2505"/>
      <c r="D137" s="428" t="s">
        <v>3727</v>
      </c>
      <c r="E137" s="429">
        <v>0</v>
      </c>
      <c r="F137" s="430">
        <v>0</v>
      </c>
      <c r="G137" s="766"/>
      <c r="H137" s="795"/>
      <c r="I137" s="58">
        <v>2020</v>
      </c>
      <c r="J137" s="1035">
        <f t="shared" si="0"/>
        <v>34425.690018749985</v>
      </c>
      <c r="K137" s="1285"/>
    </row>
    <row r="138" spans="2:11" ht="18" customHeight="1">
      <c r="B138" s="2506" t="s">
        <v>3728</v>
      </c>
      <c r="C138" s="2506"/>
      <c r="D138" s="325" t="s">
        <v>368</v>
      </c>
      <c r="E138" s="320">
        <f>SUM($E$125:$E$137)</f>
        <v>0</v>
      </c>
      <c r="F138" s="1402">
        <f>SUM($F$125:$F$137)</f>
        <v>0</v>
      </c>
      <c r="G138" s="850"/>
      <c r="H138" s="44"/>
      <c r="I138" s="58">
        <v>2021</v>
      </c>
      <c r="J138" s="1035">
        <f t="shared" si="0"/>
        <v>35630.58916940623</v>
      </c>
      <c r="K138" s="1285"/>
    </row>
    <row r="139" spans="2:11" ht="18" customHeight="1">
      <c r="B139" s="2503"/>
      <c r="C139" s="2503"/>
      <c r="D139" s="853" t="s">
        <v>3729</v>
      </c>
      <c r="E139" s="320">
        <f>+$E$122-$E$138</f>
        <v>255930</v>
      </c>
      <c r="F139" s="1402">
        <f>+$F$122-$F$138</f>
        <v>92442</v>
      </c>
      <c r="G139" s="849"/>
      <c r="H139" s="44"/>
      <c r="I139" s="58">
        <v>2022</v>
      </c>
      <c r="J139" s="1035">
        <f t="shared" si="0"/>
        <v>36877.659790335449</v>
      </c>
      <c r="K139" s="1285"/>
    </row>
    <row r="140" spans="2:11" s="728" customFormat="1" ht="18" customHeight="1">
      <c r="B140" s="1560"/>
      <c r="C140" s="1560"/>
      <c r="D140" s="853"/>
      <c r="E140" s="816"/>
      <c r="F140" s="844"/>
      <c r="G140" s="70"/>
      <c r="H140" s="44"/>
      <c r="I140" s="58">
        <v>2023</v>
      </c>
      <c r="J140" s="1035">
        <f t="shared" si="0"/>
        <v>38168.377882997185</v>
      </c>
      <c r="K140" s="1285"/>
    </row>
    <row r="141" spans="2:11" s="57" customFormat="1" ht="18" customHeight="1">
      <c r="I141" s="1560">
        <v>2024</v>
      </c>
      <c r="J141" s="1035">
        <f t="shared" si="0"/>
        <v>39504.271108902081</v>
      </c>
    </row>
    <row r="142" spans="2:11" s="43" customFormat="1" ht="18" customHeight="1">
      <c r="B142" s="2504">
        <v>7190</v>
      </c>
      <c r="C142" s="2505"/>
      <c r="D142" s="1542" t="s">
        <v>3730</v>
      </c>
      <c r="E142" s="322">
        <v>0</v>
      </c>
      <c r="F142" s="323">
        <v>0</v>
      </c>
      <c r="G142" s="431"/>
      <c r="H142" s="1385"/>
      <c r="I142" s="1560">
        <v>2025</v>
      </c>
      <c r="J142" s="1035">
        <f t="shared" si="0"/>
        <v>40886.920597713652</v>
      </c>
      <c r="K142" s="1034"/>
    </row>
    <row r="143" spans="2:11" s="964" customFormat="1" ht="17.25" customHeight="1">
      <c r="B143" s="43"/>
      <c r="C143" s="43"/>
      <c r="D143" s="43"/>
      <c r="E143" s="43"/>
      <c r="F143" s="43"/>
      <c r="G143" s="70"/>
      <c r="H143" s="43"/>
      <c r="I143" s="1560">
        <v>2026</v>
      </c>
      <c r="J143" s="1035">
        <f t="shared" si="0"/>
        <v>42317.962818633627</v>
      </c>
      <c r="K143" s="1285"/>
    </row>
    <row r="144" spans="2:11" ht="18" customHeight="1">
      <c r="B144" s="2516" t="s">
        <v>3731</v>
      </c>
      <c r="C144" s="2517"/>
      <c r="D144" s="2518"/>
      <c r="E144" s="1404" t="s">
        <v>3732</v>
      </c>
      <c r="F144" s="1404" t="s">
        <v>3733</v>
      </c>
      <c r="G144" s="427" t="s">
        <v>3607</v>
      </c>
      <c r="H144" s="1385"/>
      <c r="I144" s="1560">
        <v>2027</v>
      </c>
      <c r="J144" s="1035">
        <f t="shared" si="0"/>
        <v>43799.0915172858</v>
      </c>
      <c r="K144" s="1285"/>
    </row>
    <row r="145" spans="2:13" ht="18" customHeight="1">
      <c r="B145" s="2513" t="s">
        <v>3734</v>
      </c>
      <c r="C145" s="2514"/>
      <c r="D145" s="2515"/>
      <c r="E145" s="321">
        <f>IFERROR(+$E$110/'Project Overview'!$AK$299,0)</f>
        <v>0</v>
      </c>
      <c r="F145" s="1405">
        <f>+$E$145/12</f>
        <v>0</v>
      </c>
      <c r="G145" s="332"/>
      <c r="H145" s="1385"/>
      <c r="I145" s="1560">
        <v>2028</v>
      </c>
      <c r="J145" s="1035">
        <f t="shared" si="0"/>
        <v>45332.059720390796</v>
      </c>
      <c r="K145" s="1285"/>
      <c r="L145" s="1285"/>
      <c r="M145" s="1285"/>
    </row>
    <row r="146" spans="2:13" ht="18" customHeight="1">
      <c r="B146" s="2513" t="s">
        <v>3735</v>
      </c>
      <c r="C146" s="2514"/>
      <c r="D146" s="2515"/>
      <c r="E146" s="321">
        <f>IFERROR(IF($F$16&gt;0,($F$16+$E$110)/'Project Overview'!$AK$299,$E$110/'Project Overview'!$AK$299),0)</f>
        <v>0</v>
      </c>
      <c r="F146" s="1402">
        <f>+E146/12</f>
        <v>0</v>
      </c>
      <c r="G146" s="332"/>
      <c r="H146" s="1385"/>
      <c r="I146" s="1560">
        <v>2029</v>
      </c>
      <c r="J146" s="1035">
        <f t="shared" si="0"/>
        <v>46918.681810604474</v>
      </c>
      <c r="K146" s="1285"/>
      <c r="L146" s="1285"/>
      <c r="M146" s="1285"/>
    </row>
    <row r="147" spans="2:13" s="64" customFormat="1" ht="36" customHeight="1">
      <c r="B147" s="2507" t="s">
        <v>3736</v>
      </c>
      <c r="C147" s="2507"/>
      <c r="D147" s="2507"/>
      <c r="E147" s="321">
        <f>IFERROR(IF($F$16&gt;0,(($F$16+$E$110)-($E$92+$E$109))/'Project Overview'!$AK$299,($E$110-($E$92+$E$109))/'Project Overview'!$AK$299),0)</f>
        <v>0</v>
      </c>
      <c r="F147" s="1402">
        <f>E147/12</f>
        <v>0</v>
      </c>
      <c r="G147" s="1559"/>
      <c r="H147" s="1557"/>
      <c r="I147" s="1560">
        <v>2030</v>
      </c>
      <c r="J147" s="1035">
        <f t="shared" si="0"/>
        <v>48560.835673975627</v>
      </c>
      <c r="K147" s="1557"/>
      <c r="L147" s="1557"/>
      <c r="M147" s="1557"/>
    </row>
    <row r="148" spans="2:13" ht="129" customHeight="1">
      <c r="B148" s="1406" t="s">
        <v>676</v>
      </c>
      <c r="C148" s="2519" t="str">
        <f>'Document Checklist'!$N$96</f>
        <v>Submit at least 3 operating expense comparables for similar projects located in the same market area. Projects should be affordable housing projects similar in size, type, amenities and population to the proposed project. One comparable may be submitted for a 100% market rate project if unable to locate affordable housing comparables. The most recent two years audited statements for each comparable is preferred, if available. Additional information may be required.</v>
      </c>
      <c r="D148" s="2520"/>
      <c r="E148" s="1407" t="s">
        <v>843</v>
      </c>
      <c r="F148" s="761" t="s">
        <v>664</v>
      </c>
      <c r="G148" s="1408"/>
      <c r="H148" s="1557"/>
      <c r="K148" s="1557"/>
      <c r="L148" s="1557"/>
      <c r="M148" s="1557"/>
    </row>
    <row r="149" spans="2:13" ht="18" customHeight="1">
      <c r="B149" s="351"/>
      <c r="C149" s="1285"/>
      <c r="D149" s="351"/>
      <c r="E149" s="351"/>
      <c r="F149" s="351"/>
      <c r="G149" s="351"/>
      <c r="H149" s="1285"/>
      <c r="K149" s="1285"/>
      <c r="L149" s="1285"/>
      <c r="M149" s="1285"/>
    </row>
    <row r="150" spans="2:13" s="154" customFormat="1" ht="18" customHeight="1">
      <c r="B150" s="2489" t="s">
        <v>639</v>
      </c>
      <c r="C150" s="2489"/>
      <c r="D150" s="2489"/>
      <c r="E150" s="2489"/>
      <c r="F150" s="2489"/>
      <c r="G150" s="2489"/>
      <c r="I150" s="996"/>
      <c r="J150" s="996"/>
    </row>
  </sheetData>
  <mergeCells count="116">
    <mergeCell ref="B2:G2"/>
    <mergeCell ref="B4:G4"/>
    <mergeCell ref="B30:G30"/>
    <mergeCell ref="B53:C53"/>
    <mergeCell ref="B54:C54"/>
    <mergeCell ref="B55:C55"/>
    <mergeCell ref="B56:C56"/>
    <mergeCell ref="B57:C57"/>
    <mergeCell ref="D35:G35"/>
    <mergeCell ref="B28:E28"/>
    <mergeCell ref="F44:F48"/>
    <mergeCell ref="F36:F38"/>
    <mergeCell ref="F33:F34"/>
    <mergeCell ref="F8:F10"/>
    <mergeCell ref="B25:C25"/>
    <mergeCell ref="B26:C26"/>
    <mergeCell ref="B27:C27"/>
    <mergeCell ref="B24:C24"/>
    <mergeCell ref="B58:C58"/>
    <mergeCell ref="B59:C59"/>
    <mergeCell ref="B145:D145"/>
    <mergeCell ref="B146:D146"/>
    <mergeCell ref="B144:D144"/>
    <mergeCell ref="C148:D148"/>
    <mergeCell ref="B16:C16"/>
    <mergeCell ref="B32:C34"/>
    <mergeCell ref="B40:C40"/>
    <mergeCell ref="B35:C39"/>
    <mergeCell ref="B17:C17"/>
    <mergeCell ref="B18:C18"/>
    <mergeCell ref="B19:C19"/>
    <mergeCell ref="B20:D20"/>
    <mergeCell ref="B21:D21"/>
    <mergeCell ref="B31:C31"/>
    <mergeCell ref="B44:C50"/>
    <mergeCell ref="B51:D51"/>
    <mergeCell ref="B41:C41"/>
    <mergeCell ref="B42:C42"/>
    <mergeCell ref="B69:C69"/>
    <mergeCell ref="B43:D43"/>
    <mergeCell ref="B75:C75"/>
    <mergeCell ref="B23:G23"/>
    <mergeCell ref="B60:C60"/>
    <mergeCell ref="B61:C61"/>
    <mergeCell ref="B62:C62"/>
    <mergeCell ref="B63:C63"/>
    <mergeCell ref="B64:C64"/>
    <mergeCell ref="B65:C65"/>
    <mergeCell ref="B66:C66"/>
    <mergeCell ref="B67:C67"/>
    <mergeCell ref="B77:C77"/>
    <mergeCell ref="B70:C70"/>
    <mergeCell ref="B71:C71"/>
    <mergeCell ref="B72:C72"/>
    <mergeCell ref="B73:C73"/>
    <mergeCell ref="B74:C74"/>
    <mergeCell ref="B78:C78"/>
    <mergeCell ref="B79:C79"/>
    <mergeCell ref="B80:C80"/>
    <mergeCell ref="B81:C81"/>
    <mergeCell ref="B82:C82"/>
    <mergeCell ref="B83:C83"/>
    <mergeCell ref="B84:C84"/>
    <mergeCell ref="B85:C85"/>
    <mergeCell ref="B86:C86"/>
    <mergeCell ref="B87:C87"/>
    <mergeCell ref="B88:C88"/>
    <mergeCell ref="B89:C89"/>
    <mergeCell ref="B91:C91"/>
    <mergeCell ref="B92:C92"/>
    <mergeCell ref="B93:C93"/>
    <mergeCell ref="B94:C94"/>
    <mergeCell ref="B95:C95"/>
    <mergeCell ref="B96:C96"/>
    <mergeCell ref="B97:C97"/>
    <mergeCell ref="B98:C98"/>
    <mergeCell ref="B99:C99"/>
    <mergeCell ref="B100:C100"/>
    <mergeCell ref="B102:C102"/>
    <mergeCell ref="B103:C103"/>
    <mergeCell ref="B104:C104"/>
    <mergeCell ref="B105:C105"/>
    <mergeCell ref="B106:C106"/>
    <mergeCell ref="B107:C107"/>
    <mergeCell ref="B108:C108"/>
    <mergeCell ref="B109:C109"/>
    <mergeCell ref="B110:C110"/>
    <mergeCell ref="B112:C112"/>
    <mergeCell ref="B113:C113"/>
    <mergeCell ref="B114:C114"/>
    <mergeCell ref="B115:C115"/>
    <mergeCell ref="B116:C116"/>
    <mergeCell ref="B123:C123"/>
    <mergeCell ref="B117:C117"/>
    <mergeCell ref="B119:C119"/>
    <mergeCell ref="B124:C124"/>
    <mergeCell ref="B142:C142"/>
    <mergeCell ref="B150:G150"/>
    <mergeCell ref="B129:C129"/>
    <mergeCell ref="B131:C131"/>
    <mergeCell ref="B132:C132"/>
    <mergeCell ref="B133:C133"/>
    <mergeCell ref="B125:C125"/>
    <mergeCell ref="B126:C126"/>
    <mergeCell ref="B127:C127"/>
    <mergeCell ref="B128:C128"/>
    <mergeCell ref="B134:C134"/>
    <mergeCell ref="B135:C135"/>
    <mergeCell ref="B136:C136"/>
    <mergeCell ref="B137:C137"/>
    <mergeCell ref="B138:C138"/>
    <mergeCell ref="B139:C139"/>
    <mergeCell ref="B130:C130"/>
    <mergeCell ref="B147:D147"/>
    <mergeCell ref="B120:C120"/>
    <mergeCell ref="B121:C121"/>
  </mergeCells>
  <conditionalFormatting sqref="B6:D15 F49:F52 F39:F44 F11:F15 F6:F8 F17 B3:G3 B5:G5 B4 B2 G6 B22:G22 G20 E16:G16 B20:B21 E20:E21 G52 B17 D16:D19 B31:B32 B35 D31:F33 B40 G31:G32 B52:E52 B43:B44 B51 E51 G75:G76 B54 E43 B111:E111 B75:B76 D70:F76 D78:F90 G89:G90 D92:F101 F103:F111 D103:E110 G110:G111 D113:F118 D38:E42 D35 D44:E50 D125:E129 D131:E140 E130 B148:C148 E144:E146 F125:F140 B144:B146 F148 E36:E37 B29:G29 F28:G28 D34:E34 B23:B28 D24:G27 D54:F68 B120 D120:F120 G123 D121:G122 D142:E142 B143:E143 F142:G146">
    <cfRule type="expression" dxfId="760" priority="68">
      <formula>ROW(B2)=OperatingRow</formula>
    </cfRule>
  </conditionalFormatting>
  <conditionalFormatting sqref="F148">
    <cfRule type="cellIs" dxfId="759" priority="67" operator="equal">
      <formula>"No"</formula>
    </cfRule>
  </conditionalFormatting>
  <conditionalFormatting sqref="E6:E15">
    <cfRule type="expression" dxfId="758" priority="63">
      <formula>ROW(E6)=OperatingRow</formula>
    </cfRule>
  </conditionalFormatting>
  <conditionalFormatting sqref="E17:E19">
    <cfRule type="expression" dxfId="757" priority="62">
      <formula>ROW(E17)=OperatingRow</formula>
    </cfRule>
  </conditionalFormatting>
  <conditionalFormatting sqref="G17:G19">
    <cfRule type="expression" dxfId="756" priority="58">
      <formula>ROW(G17)=OperatingRow</formula>
    </cfRule>
  </conditionalFormatting>
  <conditionalFormatting sqref="G7:G15">
    <cfRule type="expression" dxfId="755" priority="59">
      <formula>ROW(G7)=OperatingRow</formula>
    </cfRule>
  </conditionalFormatting>
  <conditionalFormatting sqref="B18:B19">
    <cfRule type="expression" dxfId="754" priority="57">
      <formula>ROW(B18)=OperatingRow</formula>
    </cfRule>
  </conditionalFormatting>
  <conditionalFormatting sqref="B30">
    <cfRule type="expression" dxfId="753" priority="56">
      <formula>ROW(B30)=OperatingRow</formula>
    </cfRule>
  </conditionalFormatting>
  <conditionalFormatting sqref="B16">
    <cfRule type="expression" dxfId="752" priority="55">
      <formula>ROW(B16)=OperatingRow</formula>
    </cfRule>
  </conditionalFormatting>
  <conditionalFormatting sqref="B41:B42">
    <cfRule type="expression" dxfId="751" priority="54">
      <formula>ROW(B41)=OperatingRow</formula>
    </cfRule>
  </conditionalFormatting>
  <conditionalFormatting sqref="G33:G34 G36:G51">
    <cfRule type="expression" dxfId="750" priority="53">
      <formula>ROW(G33)=OperatingRow</formula>
    </cfRule>
  </conditionalFormatting>
  <conditionalFormatting sqref="B53 D53:G53">
    <cfRule type="expression" dxfId="749" priority="52">
      <formula>ROW(B53)=OperatingRow</formula>
    </cfRule>
  </conditionalFormatting>
  <conditionalFormatting sqref="B55:B68">
    <cfRule type="expression" dxfId="748" priority="51">
      <formula>ROW(B55)=OperatingRow</formula>
    </cfRule>
  </conditionalFormatting>
  <conditionalFormatting sqref="G54:G66">
    <cfRule type="expression" dxfId="747" priority="50">
      <formula>ROW(G54)=OperatingRow</formula>
    </cfRule>
  </conditionalFormatting>
  <conditionalFormatting sqref="G67:G68">
    <cfRule type="expression" dxfId="746" priority="49">
      <formula>ROW(G67)=OperatingRow</formula>
    </cfRule>
  </conditionalFormatting>
  <conditionalFormatting sqref="D69:G69">
    <cfRule type="expression" dxfId="745" priority="48">
      <formula>ROW(D69)=OperatingRow</formula>
    </cfRule>
  </conditionalFormatting>
  <conditionalFormatting sqref="G70:G74">
    <cfRule type="expression" dxfId="744" priority="47">
      <formula>ROW(G70)=OperatingRow</formula>
    </cfRule>
  </conditionalFormatting>
  <conditionalFormatting sqref="B69:B74">
    <cfRule type="expression" dxfId="743" priority="46">
      <formula>ROW(B69)=OperatingRow</formula>
    </cfRule>
  </conditionalFormatting>
  <conditionalFormatting sqref="B78:B90">
    <cfRule type="expression" dxfId="742" priority="45">
      <formula>ROW(B78)=OperatingRow</formula>
    </cfRule>
  </conditionalFormatting>
  <conditionalFormatting sqref="D77:G77">
    <cfRule type="expression" dxfId="741" priority="44">
      <formula>ROW(D77)=OperatingRow</formula>
    </cfRule>
  </conditionalFormatting>
  <conditionalFormatting sqref="B77">
    <cfRule type="expression" dxfId="740" priority="43">
      <formula>ROW(B77)=OperatingRow</formula>
    </cfRule>
  </conditionalFormatting>
  <conditionalFormatting sqref="G78:G88">
    <cfRule type="expression" dxfId="739" priority="42">
      <formula>ROW(G78)=OperatingRow</formula>
    </cfRule>
  </conditionalFormatting>
  <conditionalFormatting sqref="D91:G91">
    <cfRule type="expression" dxfId="738" priority="41">
      <formula>ROW(D91)=OperatingRow</formula>
    </cfRule>
  </conditionalFormatting>
  <conditionalFormatting sqref="B91">
    <cfRule type="expression" dxfId="737" priority="40">
      <formula>ROW(B91)=OperatingRow</formula>
    </cfRule>
  </conditionalFormatting>
  <conditionalFormatting sqref="B92:B101">
    <cfRule type="expression" dxfId="736" priority="39">
      <formula>ROW(B92)=OperatingRow</formula>
    </cfRule>
  </conditionalFormatting>
  <conditionalFormatting sqref="G92:G99">
    <cfRule type="expression" dxfId="735" priority="38">
      <formula>ROW(G92)=OperatingRow</formula>
    </cfRule>
  </conditionalFormatting>
  <conditionalFormatting sqref="G100:G101">
    <cfRule type="expression" dxfId="734" priority="37">
      <formula>ROW(G100)=OperatingRow</formula>
    </cfRule>
  </conditionalFormatting>
  <conditionalFormatting sqref="D102:G102">
    <cfRule type="expression" dxfId="733" priority="35">
      <formula>ROW(D102)=OperatingRow</formula>
    </cfRule>
  </conditionalFormatting>
  <conditionalFormatting sqref="B102">
    <cfRule type="expression" dxfId="732" priority="34">
      <formula>ROW(B102)=OperatingRow</formula>
    </cfRule>
  </conditionalFormatting>
  <conditionalFormatting sqref="B103:B110">
    <cfRule type="expression" dxfId="731" priority="33">
      <formula>ROW(B103)=OperatingRow</formula>
    </cfRule>
  </conditionalFormatting>
  <conditionalFormatting sqref="G103:G108">
    <cfRule type="expression" dxfId="730" priority="32">
      <formula>ROW(G103)=OperatingRow</formula>
    </cfRule>
  </conditionalFormatting>
  <conditionalFormatting sqref="G109">
    <cfRule type="expression" dxfId="729" priority="31">
      <formula>ROW(G109)=OperatingRow</formula>
    </cfRule>
  </conditionalFormatting>
  <conditionalFormatting sqref="D112:G112">
    <cfRule type="expression" dxfId="728" priority="30">
      <formula>ROW(D112)=OperatingRow</formula>
    </cfRule>
  </conditionalFormatting>
  <conditionalFormatting sqref="B112">
    <cfRule type="expression" dxfId="727" priority="29">
      <formula>ROW(B112)=OperatingRow</formula>
    </cfRule>
  </conditionalFormatting>
  <conditionalFormatting sqref="B113:B118">
    <cfRule type="expression" dxfId="726" priority="28">
      <formula>ROW(B113)=OperatingRow</formula>
    </cfRule>
  </conditionalFormatting>
  <conditionalFormatting sqref="D119:G119">
    <cfRule type="expression" dxfId="725" priority="27">
      <formula>ROW(D119)=OperatingRow</formula>
    </cfRule>
  </conditionalFormatting>
  <conditionalFormatting sqref="B119">
    <cfRule type="expression" dxfId="724" priority="26">
      <formula>ROW(B119)=OperatingRow</formula>
    </cfRule>
  </conditionalFormatting>
  <conditionalFormatting sqref="G113:G116">
    <cfRule type="expression" dxfId="723" priority="25">
      <formula>ROW(G113)=OperatingRow</formula>
    </cfRule>
  </conditionalFormatting>
  <conditionalFormatting sqref="G117:G118">
    <cfRule type="expression" dxfId="722" priority="24">
      <formula>ROW(G117)=OperatingRow</formula>
    </cfRule>
  </conditionalFormatting>
  <conditionalFormatting sqref="G120">
    <cfRule type="expression" dxfId="721" priority="23">
      <formula>ROW(G120)=OperatingRow</formula>
    </cfRule>
  </conditionalFormatting>
  <conditionalFormatting sqref="G125">
    <cfRule type="expression" dxfId="720" priority="22">
      <formula>ROW(G125)=OperatingRow</formula>
    </cfRule>
  </conditionalFormatting>
  <conditionalFormatting sqref="G138:G140">
    <cfRule type="expression" dxfId="719" priority="21">
      <formula>ROW(G138)=OperatingRow</formula>
    </cfRule>
  </conditionalFormatting>
  <conditionalFormatting sqref="B125:B128 B134:B140">
    <cfRule type="expression" dxfId="718" priority="20">
      <formula>ROW(B125)=OperatingRow</formula>
    </cfRule>
  </conditionalFormatting>
  <conditionalFormatting sqref="D124:G124">
    <cfRule type="expression" dxfId="717" priority="19">
      <formula>ROW(D124)=OperatingRow</formula>
    </cfRule>
  </conditionalFormatting>
  <conditionalFormatting sqref="B142">
    <cfRule type="expression" dxfId="716" priority="17">
      <formula>ROW(B142)=OperatingRow</formula>
    </cfRule>
  </conditionalFormatting>
  <conditionalFormatting sqref="G126:G137">
    <cfRule type="expression" dxfId="715" priority="16">
      <formula>ROW(G126)=OperatingRow</formula>
    </cfRule>
  </conditionalFormatting>
  <conditionalFormatting sqref="B129 B131:B132">
    <cfRule type="expression" dxfId="714" priority="14">
      <formula>ROW(B129)=OperatingRow</formula>
    </cfRule>
  </conditionalFormatting>
  <conditionalFormatting sqref="B133">
    <cfRule type="expression" dxfId="713" priority="13">
      <formula>ROW(B133)=OperatingRow</formula>
    </cfRule>
  </conditionalFormatting>
  <conditionalFormatting sqref="E148">
    <cfRule type="expression" dxfId="712" priority="12">
      <formula>ROW(E148)=OperatingRow</formula>
    </cfRule>
  </conditionalFormatting>
  <conditionalFormatting sqref="E103">
    <cfRule type="expression" dxfId="711" priority="431">
      <formula>$H$102&lt;$E$103</formula>
    </cfRule>
  </conditionalFormatting>
  <conditionalFormatting sqref="E106">
    <cfRule type="expression" dxfId="710" priority="432">
      <formula>$H$105&lt;$E$106</formula>
    </cfRule>
  </conditionalFormatting>
  <conditionalFormatting sqref="E109">
    <cfRule type="expression" dxfId="709" priority="433">
      <formula>$H$108&lt;$E$109</formula>
    </cfRule>
  </conditionalFormatting>
  <conditionalFormatting sqref="D130">
    <cfRule type="expression" dxfId="708" priority="10">
      <formula>ROW(D130)=OperatingRow</formula>
    </cfRule>
  </conditionalFormatting>
  <conditionalFormatting sqref="B130">
    <cfRule type="expression" dxfId="707" priority="9">
      <formula>ROW(B130)=OperatingRow</formula>
    </cfRule>
  </conditionalFormatting>
  <conditionalFormatting sqref="D37">
    <cfRule type="expression" dxfId="706" priority="5">
      <formula>ROW(D37)=ActiveRow</formula>
    </cfRule>
  </conditionalFormatting>
  <conditionalFormatting sqref="D36">
    <cfRule type="expression" dxfId="705" priority="6">
      <formula>ROW(D36)=ActiveRow</formula>
    </cfRule>
  </conditionalFormatting>
  <conditionalFormatting sqref="B121:B124">
    <cfRule type="expression" dxfId="704" priority="4">
      <formula>ROW(B121)=OperatingRow</formula>
    </cfRule>
  </conditionalFormatting>
  <conditionalFormatting sqref="E147">
    <cfRule type="expression" dxfId="703" priority="3">
      <formula>ROW(E147)=OperatingRow</formula>
    </cfRule>
  </conditionalFormatting>
  <conditionalFormatting sqref="F147">
    <cfRule type="expression" dxfId="702" priority="2">
      <formula>ROW(F147)=OperatingRow</formula>
    </cfRule>
  </conditionalFormatting>
  <dataValidations count="5">
    <dataValidation type="list" allowBlank="1" showInputMessage="1" showErrorMessage="1" sqref="D25:D27" xr:uid="{00000000-0002-0000-1500-000000000000}">
      <formula1>$I$25:$I$30</formula1>
    </dataValidation>
    <dataValidation type="list" allowBlank="1" showInputMessage="1" showErrorMessage="1" sqref="B25:B27" xr:uid="{00000000-0002-0000-1500-000001000000}">
      <formula1>$H$25:$H$29</formula1>
    </dataValidation>
    <dataValidation type="list" allowBlank="1" showInputMessage="1" showErrorMessage="1" sqref="F148" xr:uid="{00000000-0002-0000-1500-000002000000}">
      <formula1>"Yes, No"</formula1>
    </dataValidation>
    <dataValidation allowBlank="1" showInputMessage="1" showErrorMessage="1" promptTitle="B2 - Supportive Services" prompt="This may red for now, please complete &quot;S2 - Supportive Services Costs&quot;." sqref="E106" xr:uid="{00000000-0002-0000-1500-000003000000}"/>
    <dataValidation allowBlank="1" showInputMessage="1" showErrorMessage="1" promptTitle="B2 - Supportive Services Costs" prompt="This may red for now, please complete &quot;B2 - Supportive Services Costs&quot;." sqref="E109" xr:uid="{00000000-0002-0000-1500-000004000000}"/>
  </dataValidations>
  <printOptions horizontalCentered="1"/>
  <pageMargins left="0" right="0.25" top="0" bottom="0" header="0.25" footer="0.25"/>
  <pageSetup scale="65" firstPageNumber="24" orientation="portrait" r:id="rId1"/>
  <headerFooter>
    <oddFooter>&amp;L&amp;F&amp;C&amp;P of &amp;N&amp;R &amp;A</oddFooter>
  </headerFooter>
  <rowBreaks count="1" manualBreakCount="1">
    <brk id="76" min="1" max="38" man="1"/>
  </rowBreaks>
  <ignoredErrors>
    <ignoredError sqref="E95:E96 E113" unlockedFormula="1"/>
    <ignoredError sqref="F146" evalError="1"/>
  </ignoredError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AF286"/>
  <sheetViews>
    <sheetView showGridLines="0" zoomScaleNormal="100" zoomScaleSheetLayoutView="100" workbookViewId="0">
      <pane xSplit="9" ySplit="4" topLeftCell="J5" activePane="bottomRight" state="frozen"/>
      <selection pane="topRight" activeCell="H1" sqref="H1"/>
      <selection pane="bottomLeft" activeCell="A5" sqref="A5"/>
      <selection pane="bottomRight" activeCell="I19" sqref="I19"/>
    </sheetView>
  </sheetViews>
  <sheetFormatPr defaultColWidth="9.109375" defaultRowHeight="18" customHeight="1"/>
  <cols>
    <col min="1" max="1" width="3.6640625" style="60" customWidth="1"/>
    <col min="2" max="2" width="12.88671875" style="41" bestFit="1" customWidth="1"/>
    <col min="3" max="3" width="5.109375" style="41" customWidth="1"/>
    <col min="4" max="4" width="73" style="336" customWidth="1"/>
    <col min="5" max="5" width="20.6640625" style="730" customWidth="1"/>
    <col min="6" max="6" width="4" style="58" customWidth="1"/>
    <col min="7" max="8" width="14.109375" style="58" customWidth="1"/>
    <col min="9" max="9" width="14.109375" style="41" customWidth="1"/>
    <col min="10" max="10" width="9.44140625" style="41" bestFit="1" customWidth="1"/>
    <col min="11" max="11" width="12.44140625" style="41" bestFit="1" customWidth="1"/>
    <col min="12" max="12" width="9.109375" style="41" customWidth="1"/>
    <col min="13" max="13" width="8" style="41" customWidth="1"/>
    <col min="14" max="14" width="19" style="41" customWidth="1"/>
    <col min="15" max="15" width="7.109375" style="41" customWidth="1"/>
    <col min="16" max="16" width="14.88671875" style="41" bestFit="1" customWidth="1"/>
    <col min="17" max="17" width="6.44140625" style="41" customWidth="1"/>
    <col min="18" max="19" width="12.6640625" style="41" customWidth="1"/>
    <col min="20" max="20" width="12.33203125" style="557" customWidth="1"/>
    <col min="21" max="21" width="12.109375" style="41" customWidth="1"/>
    <col min="22" max="22" width="50.6640625" style="41" customWidth="1"/>
    <col min="23" max="29" width="4.109375" style="41" customWidth="1"/>
    <col min="30" max="30" width="11.44140625" style="41" customWidth="1"/>
    <col min="31" max="31" width="13.109375" style="41" customWidth="1"/>
    <col min="32" max="32" width="11.88671875" style="41" customWidth="1"/>
    <col min="33" max="106" width="9.109375" style="41" customWidth="1"/>
    <col min="107" max="16384" width="9.109375" style="41"/>
  </cols>
  <sheetData>
    <row r="1" spans="1:31" thickBot="1">
      <c r="A1" s="66"/>
      <c r="B1" s="316"/>
      <c r="C1" s="316"/>
      <c r="D1" s="316"/>
      <c r="E1" s="558"/>
      <c r="F1" s="316"/>
      <c r="G1" s="316"/>
      <c r="H1" s="316"/>
      <c r="I1" s="316"/>
      <c r="J1" s="316"/>
      <c r="K1" s="316"/>
      <c r="L1" s="316"/>
      <c r="M1" s="316"/>
      <c r="N1" s="316"/>
      <c r="O1" s="316"/>
      <c r="P1" s="316"/>
      <c r="Q1" s="316"/>
      <c r="R1" s="316"/>
      <c r="S1" s="316"/>
      <c r="T1" s="316"/>
      <c r="U1" s="316"/>
      <c r="V1" s="316"/>
      <c r="W1" s="316"/>
      <c r="X1" s="316"/>
      <c r="Y1" s="316"/>
      <c r="Z1" s="316"/>
      <c r="AA1" s="317"/>
      <c r="AB1" s="317"/>
      <c r="AC1" s="317"/>
      <c r="AD1" s="43"/>
      <c r="AE1" s="1285"/>
    </row>
    <row r="2" spans="1:31" ht="18" customHeight="1">
      <c r="A2" s="66"/>
      <c r="B2" s="2567" t="s">
        <v>3557</v>
      </c>
      <c r="C2" s="2567"/>
      <c r="D2" s="2567"/>
      <c r="E2" s="2568" t="s">
        <v>3558</v>
      </c>
      <c r="F2" s="2568"/>
      <c r="G2" s="1366">
        <f>IF(OR(IsIig,IsSerna,IsMhp,IsVhhp),SUMIF(DevSourcesTbl[Construction / Permanent],"Construction",DevSourcesTbl[Residential Amount]),0)</f>
        <v>0</v>
      </c>
      <c r="H2" s="1366">
        <f>IF(OR(IsIig,IsSerna,IsMhp,IsVhhp),SUMIF(DevSourcesTbl[Construction / Permanent],"Construction",DevSourcesTbl[Commercial Amount]),0)</f>
        <v>0</v>
      </c>
      <c r="I2" s="1367">
        <f>IF(OR(IsIig,IsSerna,IsMhp,IsVhhp),SUMIF(DevSourcesTbl[Construction / Permanent],"Construction",DevSourcesTbl[Total Amount]),0)</f>
        <v>0</v>
      </c>
      <c r="J2" s="2561" t="s">
        <v>3559</v>
      </c>
      <c r="K2" s="2562"/>
      <c r="L2" s="2563"/>
      <c r="M2" s="2558" t="s">
        <v>3560</v>
      </c>
      <c r="N2" s="2559"/>
      <c r="O2" s="2559"/>
      <c r="P2" s="2559"/>
      <c r="Q2" s="2559"/>
      <c r="R2" s="2559"/>
      <c r="S2" s="2560"/>
      <c r="T2" s="558"/>
      <c r="U2" s="2556" t="s">
        <v>3561</v>
      </c>
      <c r="V2" s="2557"/>
      <c r="W2" s="316"/>
      <c r="X2" s="316"/>
      <c r="Y2" s="316"/>
      <c r="Z2" s="316"/>
      <c r="AA2" s="316"/>
      <c r="AB2" s="317"/>
      <c r="AC2" s="317"/>
      <c r="AD2" s="317"/>
      <c r="AE2" s="43"/>
    </row>
    <row r="3" spans="1:31" s="57" customFormat="1" ht="18" customHeight="1">
      <c r="A3" s="686"/>
      <c r="D3" s="1578"/>
      <c r="E3" s="2568" t="s">
        <v>3562</v>
      </c>
      <c r="F3" s="2568"/>
      <c r="G3" s="1366">
        <f>IF(OR(IsIig,IsSerna,IsMhp,IsVhhp),SUMIF(DevSourcesTbl[Construction / Permanent],"Permanent",DevSourcesTbl[Residential Amount]),0)</f>
        <v>54640467</v>
      </c>
      <c r="H3" s="1366">
        <f>IF(OR(IsIig,IsSerna,IsMhp,IsVhhp),SUMIF(DevSourcesTbl[Construction / Permanent],"Permanent",DevSourcesTbl[Commercial Amount]),0)</f>
        <v>0</v>
      </c>
      <c r="I3" s="1367">
        <f>IF(OR(IsIig,IsSerna,IsMhp,IsVhhp),SUMIF(DevSourcesTbl[Construction / Permanent],"Permanent",DevSourcesTbl[Total Amount]),0)</f>
        <v>54640467</v>
      </c>
      <c r="J3" s="2564"/>
      <c r="K3" s="2565"/>
      <c r="L3" s="2566"/>
      <c r="M3" s="2551" t="s">
        <v>3563</v>
      </c>
      <c r="N3" s="2552"/>
      <c r="O3" s="2553"/>
      <c r="P3" s="2554"/>
      <c r="Q3" s="2555"/>
      <c r="R3" s="575">
        <f>SUM(DevSourcesTbl[Required
Residential
Debt Service])</f>
        <v>0</v>
      </c>
      <c r="S3" s="536">
        <f>SUM(DevSourcesTbl[Required
Commercial
Debt Service])</f>
        <v>0</v>
      </c>
      <c r="T3" s="575">
        <f>SUM(DevSourcesTbl[Tax Exempt
Amount])</f>
        <v>0</v>
      </c>
      <c r="U3" s="617">
        <f>SUM(U5:U32)</f>
        <v>0</v>
      </c>
      <c r="V3" s="626"/>
    </row>
    <row r="4" spans="1:31" s="78" customFormat="1" ht="64.5" customHeight="1">
      <c r="A4" s="77"/>
      <c r="B4" s="759" t="s">
        <v>3564</v>
      </c>
      <c r="C4" s="760" t="s">
        <v>3565</v>
      </c>
      <c r="D4" s="556" t="s">
        <v>3566</v>
      </c>
      <c r="E4" s="556" t="s">
        <v>3567</v>
      </c>
      <c r="F4" s="673" t="s">
        <v>3568</v>
      </c>
      <c r="G4" s="907" t="s">
        <v>3569</v>
      </c>
      <c r="H4" s="907" t="s">
        <v>3570</v>
      </c>
      <c r="I4" s="1368" t="s">
        <v>3571</v>
      </c>
      <c r="J4" s="618" t="s">
        <v>3563</v>
      </c>
      <c r="K4" s="619" t="s">
        <v>3572</v>
      </c>
      <c r="L4" s="620" t="s">
        <v>3573</v>
      </c>
      <c r="M4" s="621" t="s">
        <v>3574</v>
      </c>
      <c r="N4" s="622" t="s">
        <v>2172</v>
      </c>
      <c r="O4" s="623" t="s">
        <v>3575</v>
      </c>
      <c r="P4" s="622" t="s">
        <v>3576</v>
      </c>
      <c r="Q4" s="623" t="s">
        <v>3577</v>
      </c>
      <c r="R4" s="624" t="s">
        <v>3578</v>
      </c>
      <c r="S4" s="625" t="s">
        <v>3579</v>
      </c>
      <c r="T4" s="1597" t="s">
        <v>3580</v>
      </c>
      <c r="U4" s="627" t="s">
        <v>3581</v>
      </c>
      <c r="V4" s="628" t="s">
        <v>505</v>
      </c>
      <c r="W4" s="566"/>
      <c r="X4" s="566"/>
      <c r="Y4" s="566"/>
      <c r="Z4" s="566"/>
      <c r="AA4" s="566"/>
      <c r="AB4" s="565"/>
      <c r="AC4" s="565"/>
      <c r="AD4" s="565"/>
      <c r="AE4" s="77"/>
    </row>
    <row r="5" spans="1:31" s="557" customFormat="1" ht="14.4">
      <c r="A5" s="561"/>
      <c r="B5" s="1369" t="str">
        <f>IF(DevSourcesTbl[[#This Row],[Committed?]]&gt;0,"Construction","")</f>
        <v>Construction</v>
      </c>
      <c r="C5" s="1579" t="s">
        <v>664</v>
      </c>
      <c r="D5" s="636"/>
      <c r="E5" s="1370"/>
      <c r="F5" s="564"/>
      <c r="G5" s="908"/>
      <c r="H5" s="908"/>
      <c r="I5" s="1371">
        <f>SUM(DevSourcesTbl[[#This Row],[Residential Amount]],DevSourcesTbl[[#This Row],[Commercial Amount]])</f>
        <v>0</v>
      </c>
      <c r="J5" s="582"/>
      <c r="K5" s="570"/>
      <c r="L5" s="583"/>
      <c r="M5" s="578"/>
      <c r="N5" s="569"/>
      <c r="O5" s="564"/>
      <c r="P5" s="569"/>
      <c r="Q5" s="569"/>
      <c r="R5" s="570"/>
      <c r="S5" s="579"/>
      <c r="T5" s="576"/>
      <c r="U5" s="629"/>
      <c r="V5" s="630"/>
      <c r="W5" s="562"/>
      <c r="X5" s="562"/>
      <c r="Y5" s="562"/>
      <c r="Z5" s="562"/>
      <c r="AA5" s="562"/>
      <c r="AB5" s="563"/>
      <c r="AC5" s="563"/>
      <c r="AD5" s="563"/>
      <c r="AE5" s="1574"/>
    </row>
    <row r="6" spans="1:31" s="601" customFormat="1" ht="14.4">
      <c r="A6" s="561"/>
      <c r="B6" s="1369" t="str">
        <f>IF(DevSourcesTbl[[#This Row],[Committed?]]&gt;0,"Construction","")</f>
        <v/>
      </c>
      <c r="C6" s="1579"/>
      <c r="D6" s="283"/>
      <c r="E6" s="1370"/>
      <c r="F6" s="564"/>
      <c r="G6" s="908"/>
      <c r="H6" s="908"/>
      <c r="I6" s="1371">
        <f>SUM(DevSourcesTbl[[#This Row],[Residential Amount]],DevSourcesTbl[[#This Row],[Commercial Amount]])</f>
        <v>0</v>
      </c>
      <c r="J6" s="582"/>
      <c r="K6" s="570"/>
      <c r="L6" s="583"/>
      <c r="M6" s="578"/>
      <c r="N6" s="569"/>
      <c r="O6" s="564"/>
      <c r="P6" s="569"/>
      <c r="Q6" s="569"/>
      <c r="R6" s="570"/>
      <c r="S6" s="579"/>
      <c r="T6" s="576"/>
      <c r="U6" s="629"/>
      <c r="V6" s="630"/>
      <c r="W6" s="562"/>
      <c r="X6" s="562"/>
      <c r="Y6" s="562"/>
      <c r="Z6" s="562"/>
      <c r="AA6" s="562"/>
      <c r="AB6" s="563"/>
      <c r="AC6" s="563"/>
      <c r="AD6" s="563"/>
      <c r="AE6" s="1574"/>
    </row>
    <row r="7" spans="1:31" s="601" customFormat="1" ht="14.4">
      <c r="A7" s="561"/>
      <c r="B7" s="1369" t="str">
        <f>IF(DevSourcesTbl[[#This Row],[Committed?]]&gt;0,"Construction","")</f>
        <v/>
      </c>
      <c r="C7" s="571"/>
      <c r="D7" s="1372"/>
      <c r="E7" s="1370"/>
      <c r="F7" s="564"/>
      <c r="G7" s="908"/>
      <c r="H7" s="908"/>
      <c r="I7" s="1371">
        <f>SUM(DevSourcesTbl[[#This Row],[Residential Amount]],DevSourcesTbl[[#This Row],[Commercial Amount]])</f>
        <v>0</v>
      </c>
      <c r="J7" s="582"/>
      <c r="K7" s="570"/>
      <c r="L7" s="583"/>
      <c r="M7" s="578"/>
      <c r="N7" s="569"/>
      <c r="O7" s="564"/>
      <c r="P7" s="569"/>
      <c r="Q7" s="569"/>
      <c r="R7" s="570"/>
      <c r="S7" s="579"/>
      <c r="T7" s="576"/>
      <c r="U7" s="629"/>
      <c r="V7" s="630"/>
      <c r="W7" s="562"/>
      <c r="X7" s="562"/>
      <c r="Y7" s="562"/>
      <c r="Z7" s="562"/>
      <c r="AA7" s="562"/>
      <c r="AB7" s="563"/>
      <c r="AC7" s="563"/>
      <c r="AD7" s="563"/>
      <c r="AE7" s="1574"/>
    </row>
    <row r="8" spans="1:31" ht="17.399999999999999">
      <c r="A8" s="687"/>
      <c r="B8" s="1369" t="str">
        <f>IF(DevSourcesTbl[[#This Row],[Committed?]]&gt;0,"Construction","")</f>
        <v>Construction</v>
      </c>
      <c r="C8" s="571" t="s">
        <v>711</v>
      </c>
      <c r="D8" s="572" t="s">
        <v>3582</v>
      </c>
      <c r="E8" s="559" t="s">
        <v>3187</v>
      </c>
      <c r="F8" s="744">
        <v>2</v>
      </c>
      <c r="G8" s="908"/>
      <c r="H8" s="908"/>
      <c r="I8" s="1371">
        <f>SUM(DevSourcesTbl[[#This Row],[Residential Amount]],DevSourcesTbl[[#This Row],[Commercial Amount]])</f>
        <v>0</v>
      </c>
      <c r="J8" s="582"/>
      <c r="K8" s="570"/>
      <c r="L8" s="583"/>
      <c r="M8" s="578"/>
      <c r="N8" s="569"/>
      <c r="O8" s="564"/>
      <c r="P8" s="569"/>
      <c r="Q8" s="569"/>
      <c r="R8" s="570"/>
      <c r="S8" s="579"/>
      <c r="T8" s="576"/>
      <c r="U8" s="629"/>
      <c r="V8" s="630"/>
      <c r="W8" s="316"/>
      <c r="X8" s="316"/>
      <c r="Y8" s="316"/>
      <c r="Z8" s="317"/>
      <c r="AA8" s="317"/>
      <c r="AB8" s="317"/>
      <c r="AC8" s="43"/>
      <c r="AD8" s="1285"/>
      <c r="AE8" s="1285"/>
    </row>
    <row r="9" spans="1:31" ht="17.399999999999999" hidden="1">
      <c r="A9" s="687"/>
      <c r="B9" s="1369" t="str">
        <f>IF(DevSourcesTbl[[#This Row],[Committed?]]&gt;0,"Construction","")</f>
        <v/>
      </c>
      <c r="C9" s="571"/>
      <c r="D9" s="573" t="s">
        <v>3583</v>
      </c>
      <c r="E9" s="559" t="s">
        <v>3187</v>
      </c>
      <c r="F9" s="744">
        <v>2</v>
      </c>
      <c r="G9" s="908"/>
      <c r="H9" s="908"/>
      <c r="I9" s="1371">
        <f>SUM(DevSourcesTbl[[#This Row],[Residential Amount]],DevSourcesTbl[[#This Row],[Commercial Amount]])</f>
        <v>0</v>
      </c>
      <c r="J9" s="582"/>
      <c r="K9" s="570"/>
      <c r="L9" s="583"/>
      <c r="M9" s="578"/>
      <c r="N9" s="569"/>
      <c r="O9" s="564"/>
      <c r="P9" s="569"/>
      <c r="Q9" s="569"/>
      <c r="R9" s="570"/>
      <c r="S9" s="579"/>
      <c r="T9" s="576"/>
      <c r="U9" s="629"/>
      <c r="V9" s="630"/>
      <c r="W9" s="316"/>
      <c r="X9" s="316"/>
      <c r="Y9" s="316"/>
      <c r="Z9" s="317"/>
      <c r="AA9" s="317"/>
      <c r="AB9" s="317"/>
      <c r="AC9" s="43"/>
      <c r="AD9" s="1285"/>
      <c r="AE9" s="1285"/>
    </row>
    <row r="10" spans="1:31" ht="17.399999999999999">
      <c r="A10" s="687"/>
      <c r="B10" s="1369" t="str">
        <f>IF(DevSourcesTbl[[#This Row],[Committed?]]&gt;0,"Construction","")</f>
        <v/>
      </c>
      <c r="C10" s="1373"/>
      <c r="D10" s="572" t="s">
        <v>3584</v>
      </c>
      <c r="E10" s="559" t="s">
        <v>3187</v>
      </c>
      <c r="F10" s="745">
        <v>2</v>
      </c>
      <c r="G10" s="908"/>
      <c r="H10" s="908"/>
      <c r="I10" s="1371">
        <f>SUM(DevSourcesTbl[[#This Row],[Residential Amount]],DevSourcesTbl[[#This Row],[Commercial Amount]])</f>
        <v>0</v>
      </c>
      <c r="J10" s="580"/>
      <c r="K10" s="570"/>
      <c r="L10" s="584"/>
      <c r="M10" s="580"/>
      <c r="N10" s="1566"/>
      <c r="O10" s="1566"/>
      <c r="P10" s="1566"/>
      <c r="Q10" s="1566"/>
      <c r="R10" s="282"/>
      <c r="S10" s="581"/>
      <c r="T10" s="577"/>
      <c r="U10" s="629"/>
      <c r="V10" s="630"/>
      <c r="W10" s="316"/>
      <c r="X10" s="316"/>
      <c r="Y10" s="316"/>
      <c r="Z10" s="316"/>
      <c r="AA10" s="317"/>
      <c r="AB10" s="317"/>
      <c r="AC10" s="317"/>
      <c r="AD10" s="43"/>
      <c r="AE10" s="1285"/>
    </row>
    <row r="11" spans="1:31" ht="17.399999999999999">
      <c r="A11" s="687"/>
      <c r="B11" s="1369" t="str">
        <f>IF(DevSourcesTbl[[#This Row],[Committed?]]&gt;0,"Construction","")</f>
        <v/>
      </c>
      <c r="C11" s="1373"/>
      <c r="D11" s="572" t="s">
        <v>3585</v>
      </c>
      <c r="E11" s="559" t="s">
        <v>3187</v>
      </c>
      <c r="F11" s="745">
        <v>2</v>
      </c>
      <c r="G11" s="908"/>
      <c r="H11" s="908"/>
      <c r="I11" s="1371">
        <f>SUM(DevSourcesTbl[[#This Row],[Residential Amount]],DevSourcesTbl[[#This Row],[Commercial Amount]])</f>
        <v>0</v>
      </c>
      <c r="J11" s="580"/>
      <c r="K11" s="570"/>
      <c r="L11" s="584"/>
      <c r="M11" s="580"/>
      <c r="N11" s="1566"/>
      <c r="O11" s="1566"/>
      <c r="P11" s="1566"/>
      <c r="Q11" s="1566"/>
      <c r="R11" s="282"/>
      <c r="S11" s="581"/>
      <c r="T11" s="577"/>
      <c r="U11" s="629"/>
      <c r="V11" s="630"/>
      <c r="W11" s="316"/>
      <c r="X11" s="316"/>
      <c r="Y11" s="316"/>
      <c r="Z11" s="316"/>
      <c r="AA11" s="317"/>
      <c r="AB11" s="317"/>
      <c r="AC11" s="317"/>
      <c r="AD11" s="43"/>
      <c r="AE11" s="1285"/>
    </row>
    <row r="12" spans="1:31" ht="17.399999999999999">
      <c r="A12" s="687"/>
      <c r="B12" s="1369" t="str">
        <f>IF(DevSourcesTbl[[#This Row],[Committed?]]&gt;0,"Construction","")</f>
        <v/>
      </c>
      <c r="C12" s="1373"/>
      <c r="D12" s="572" t="s">
        <v>3586</v>
      </c>
      <c r="E12" s="559" t="s">
        <v>3187</v>
      </c>
      <c r="F12" s="745">
        <v>2</v>
      </c>
      <c r="G12" s="908"/>
      <c r="H12" s="908"/>
      <c r="I12" s="1371">
        <f>SUM(DevSourcesTbl[[#This Row],[Residential Amount]],DevSourcesTbl[[#This Row],[Commercial Amount]])</f>
        <v>0</v>
      </c>
      <c r="J12" s="580"/>
      <c r="K12" s="570"/>
      <c r="L12" s="584"/>
      <c r="M12" s="580"/>
      <c r="N12" s="1566"/>
      <c r="O12" s="1566"/>
      <c r="P12" s="1566"/>
      <c r="Q12" s="1566"/>
      <c r="R12" s="282"/>
      <c r="S12" s="581"/>
      <c r="T12" s="577"/>
      <c r="U12" s="629"/>
      <c r="V12" s="630"/>
      <c r="W12" s="316"/>
      <c r="X12" s="316"/>
      <c r="Y12" s="316"/>
      <c r="Z12" s="316"/>
      <c r="AA12" s="317"/>
      <c r="AB12" s="317"/>
      <c r="AC12" s="317"/>
      <c r="AD12" s="43"/>
      <c r="AE12" s="1285"/>
    </row>
    <row r="13" spans="1:31" ht="17.399999999999999" hidden="1">
      <c r="A13" s="687"/>
      <c r="B13" s="1369" t="str">
        <f>IF(DevSourcesTbl[[#This Row],[Committed?]]&gt;0,"Construction","")</f>
        <v/>
      </c>
      <c r="C13" s="1373"/>
      <c r="D13" s="572" t="s">
        <v>3587</v>
      </c>
      <c r="E13" s="559" t="s">
        <v>3187</v>
      </c>
      <c r="F13" s="745">
        <v>2</v>
      </c>
      <c r="G13" s="908"/>
      <c r="H13" s="908"/>
      <c r="I13" s="1371">
        <f>SUM(DevSourcesTbl[[#This Row],[Residential Amount]],DevSourcesTbl[[#This Row],[Commercial Amount]])</f>
        <v>0</v>
      </c>
      <c r="J13" s="580"/>
      <c r="K13" s="570"/>
      <c r="L13" s="584"/>
      <c r="M13" s="580"/>
      <c r="N13" s="1566"/>
      <c r="O13" s="1566"/>
      <c r="P13" s="1566"/>
      <c r="Q13" s="1566"/>
      <c r="R13" s="282"/>
      <c r="S13" s="581"/>
      <c r="T13" s="577"/>
      <c r="U13" s="629"/>
      <c r="V13" s="630"/>
      <c r="W13" s="316"/>
      <c r="X13" s="316"/>
      <c r="Y13" s="316"/>
      <c r="Z13" s="316"/>
      <c r="AA13" s="317"/>
      <c r="AB13" s="317"/>
      <c r="AC13" s="317"/>
      <c r="AD13" s="43"/>
      <c r="AE13" s="1285"/>
    </row>
    <row r="14" spans="1:31" ht="17.399999999999999">
      <c r="A14" s="66"/>
      <c r="B14" s="1369" t="str">
        <f>IF(DevSourcesTbl[[#This Row],[Committed?]]&gt;0,"Construction","")</f>
        <v/>
      </c>
      <c r="C14" s="1579"/>
      <c r="D14" s="331"/>
      <c r="E14" s="1370"/>
      <c r="F14" s="906"/>
      <c r="G14" s="908"/>
      <c r="H14" s="908"/>
      <c r="I14" s="1371">
        <f>SUM(DevSourcesTbl[[#This Row],[Residential Amount]],DevSourcesTbl[[#This Row],[Commercial Amount]])</f>
        <v>0</v>
      </c>
      <c r="J14" s="580"/>
      <c r="K14" s="570"/>
      <c r="L14" s="584"/>
      <c r="M14" s="580"/>
      <c r="N14" s="1566"/>
      <c r="O14" s="1566"/>
      <c r="P14" s="1566"/>
      <c r="Q14" s="1566"/>
      <c r="R14" s="282"/>
      <c r="S14" s="581"/>
      <c r="T14" s="577"/>
      <c r="U14" s="629"/>
      <c r="V14" s="630"/>
      <c r="W14" s="316"/>
      <c r="X14" s="316"/>
      <c r="Y14" s="316"/>
      <c r="Z14" s="316"/>
      <c r="AA14" s="317"/>
      <c r="AB14" s="317"/>
      <c r="AC14" s="317"/>
      <c r="AD14" s="43"/>
      <c r="AE14" s="1285"/>
    </row>
    <row r="15" spans="1:31" ht="17.399999999999999">
      <c r="A15" s="66"/>
      <c r="B15" s="1369" t="str">
        <f>IF(DevSourcesTbl[[#This Row],[Committed?]]&gt;0,"Construction","")</f>
        <v/>
      </c>
      <c r="C15" s="1579"/>
      <c r="D15" s="1374"/>
      <c r="E15" s="1370"/>
      <c r="F15" s="906"/>
      <c r="G15" s="908"/>
      <c r="H15" s="908"/>
      <c r="I15" s="1371">
        <f>SUM(DevSourcesTbl[[#This Row],[Residential Amount]],DevSourcesTbl[[#This Row],[Commercial Amount]])</f>
        <v>0</v>
      </c>
      <c r="J15" s="580"/>
      <c r="K15" s="570"/>
      <c r="L15" s="584"/>
      <c r="M15" s="580"/>
      <c r="N15" s="1566"/>
      <c r="O15" s="1566"/>
      <c r="P15" s="1566"/>
      <c r="Q15" s="1566"/>
      <c r="R15" s="282"/>
      <c r="S15" s="581"/>
      <c r="T15" s="577"/>
      <c r="U15" s="629"/>
      <c r="V15" s="630"/>
      <c r="W15" s="316"/>
      <c r="X15" s="316"/>
      <c r="Y15" s="316"/>
      <c r="Z15" s="316"/>
      <c r="AA15" s="317"/>
      <c r="AB15" s="317"/>
      <c r="AC15" s="317"/>
      <c r="AD15" s="43"/>
      <c r="AE15" s="1285"/>
    </row>
    <row r="16" spans="1:31" ht="17.399999999999999">
      <c r="A16" s="66"/>
      <c r="B16" s="1369" t="str">
        <f>IF(DevSourcesTbl[[#This Row],[Committed?]]&gt;0,"Construction","")</f>
        <v/>
      </c>
      <c r="C16" s="1579"/>
      <c r="D16" s="1374"/>
      <c r="E16" s="1370"/>
      <c r="F16" s="906"/>
      <c r="G16" s="908"/>
      <c r="H16" s="908"/>
      <c r="I16" s="1371">
        <f>SUM(DevSourcesTbl[[#This Row],[Residential Amount]],DevSourcesTbl[[#This Row],[Commercial Amount]])</f>
        <v>0</v>
      </c>
      <c r="J16" s="580"/>
      <c r="K16" s="570"/>
      <c r="L16" s="584"/>
      <c r="M16" s="580"/>
      <c r="N16" s="1566"/>
      <c r="O16" s="1566"/>
      <c r="P16" s="1566"/>
      <c r="Q16" s="1566"/>
      <c r="R16" s="282"/>
      <c r="S16" s="581"/>
      <c r="T16" s="577"/>
      <c r="U16" s="629"/>
      <c r="V16" s="630"/>
      <c r="W16" s="316"/>
      <c r="X16" s="316"/>
      <c r="Y16" s="316"/>
      <c r="Z16" s="316"/>
      <c r="AA16" s="317"/>
      <c r="AB16" s="317"/>
      <c r="AC16" s="317"/>
      <c r="AD16" s="43"/>
      <c r="AE16" s="1285"/>
    </row>
    <row r="17" spans="1:30" ht="17.399999999999999">
      <c r="A17" s="66"/>
      <c r="B17" s="1369" t="str">
        <f>IF(DevSourcesTbl[[#This Row],[Committed?]]&gt;0,"Construction","")</f>
        <v/>
      </c>
      <c r="C17" s="1373"/>
      <c r="D17" s="283"/>
      <c r="E17" s="1370"/>
      <c r="F17" s="608"/>
      <c r="G17" s="908"/>
      <c r="H17" s="908"/>
      <c r="I17" s="1371">
        <f>SUM(DevSourcesTbl[[#This Row],[Residential Amount]],DevSourcesTbl[[#This Row],[Commercial Amount]])</f>
        <v>0</v>
      </c>
      <c r="J17" s="580"/>
      <c r="K17" s="570"/>
      <c r="L17" s="584"/>
      <c r="M17" s="580"/>
      <c r="N17" s="1566"/>
      <c r="O17" s="1566"/>
      <c r="P17" s="1566"/>
      <c r="Q17" s="1566"/>
      <c r="R17" s="282"/>
      <c r="S17" s="581"/>
      <c r="T17" s="577"/>
      <c r="U17" s="629"/>
      <c r="V17" s="630"/>
      <c r="W17" s="316"/>
      <c r="X17" s="316"/>
      <c r="Y17" s="316"/>
      <c r="Z17" s="316"/>
      <c r="AA17" s="317"/>
      <c r="AB17" s="317"/>
      <c r="AC17" s="317"/>
      <c r="AD17" s="43"/>
    </row>
    <row r="18" spans="1:30" ht="17.399999999999999">
      <c r="A18" s="66"/>
      <c r="B18" s="1369" t="str">
        <f>IF(DevSourcesTbl[[#This Row],[Committed?]]&gt;0,"Construction","")</f>
        <v/>
      </c>
      <c r="C18" s="571"/>
      <c r="D18" s="283"/>
      <c r="E18" s="1370"/>
      <c r="F18" s="564"/>
      <c r="G18" s="908"/>
      <c r="H18" s="908"/>
      <c r="I18" s="1371">
        <f>SUM(DevSourcesTbl[[#This Row],[Residential Amount]],DevSourcesTbl[[#This Row],[Commercial Amount]])</f>
        <v>0</v>
      </c>
      <c r="J18" s="582"/>
      <c r="K18" s="570"/>
      <c r="L18" s="583"/>
      <c r="M18" s="578"/>
      <c r="N18" s="569"/>
      <c r="O18" s="564"/>
      <c r="P18" s="569"/>
      <c r="Q18" s="569"/>
      <c r="R18" s="570"/>
      <c r="S18" s="579"/>
      <c r="T18" s="576"/>
      <c r="U18" s="629"/>
      <c r="V18" s="630"/>
      <c r="W18" s="316"/>
      <c r="X18" s="316"/>
      <c r="Y18" s="316"/>
      <c r="Z18" s="316"/>
      <c r="AA18" s="317"/>
      <c r="AB18" s="317"/>
      <c r="AC18" s="317"/>
      <c r="AD18" s="43"/>
    </row>
    <row r="19" spans="1:30" ht="17.399999999999999">
      <c r="A19" s="66"/>
      <c r="B19" s="1369" t="str">
        <f>IF(DevSourcesTbl[[#This Row],[Committed?]]&gt;0,"Construction","")</f>
        <v/>
      </c>
      <c r="C19" s="1373"/>
      <c r="D19" s="331"/>
      <c r="E19" s="1370"/>
      <c r="F19" s="608"/>
      <c r="G19" s="908"/>
      <c r="H19" s="908"/>
      <c r="I19" s="1371">
        <f>SUM(DevSourcesTbl[[#This Row],[Residential Amount]],DevSourcesTbl[[#This Row],[Commercial Amount]])</f>
        <v>0</v>
      </c>
      <c r="J19" s="580"/>
      <c r="K19" s="570"/>
      <c r="L19" s="584"/>
      <c r="M19" s="580"/>
      <c r="N19" s="1566"/>
      <c r="O19" s="1566"/>
      <c r="P19" s="1566"/>
      <c r="Q19" s="1566"/>
      <c r="R19" s="282"/>
      <c r="S19" s="581"/>
      <c r="T19" s="577"/>
      <c r="U19" s="629"/>
      <c r="V19" s="630"/>
      <c r="W19" s="316"/>
      <c r="X19" s="316"/>
      <c r="Y19" s="316"/>
      <c r="Z19" s="316"/>
      <c r="AA19" s="317"/>
      <c r="AB19" s="317"/>
      <c r="AC19" s="317"/>
      <c r="AD19" s="43"/>
    </row>
    <row r="20" spans="1:30" ht="17.399999999999999">
      <c r="A20" s="66"/>
      <c r="B20" s="1369" t="str">
        <f>IF(DevSourcesTbl[[#This Row],[Committed?]]&gt;0,"Construction","")</f>
        <v/>
      </c>
      <c r="C20" s="1579"/>
      <c r="D20" s="636"/>
      <c r="E20" s="1370"/>
      <c r="F20" s="906"/>
      <c r="G20" s="908"/>
      <c r="H20" s="908"/>
      <c r="I20" s="1371">
        <f>SUM(DevSourcesTbl[[#This Row],[Residential Amount]],DevSourcesTbl[[#This Row],[Commercial Amount]])</f>
        <v>0</v>
      </c>
      <c r="J20" s="580"/>
      <c r="K20" s="570"/>
      <c r="L20" s="584"/>
      <c r="M20" s="580"/>
      <c r="N20" s="1566"/>
      <c r="O20" s="1566"/>
      <c r="P20" s="1566"/>
      <c r="Q20" s="1566"/>
      <c r="R20" s="282"/>
      <c r="S20" s="581"/>
      <c r="T20" s="577"/>
      <c r="U20" s="629"/>
      <c r="V20" s="630"/>
      <c r="W20" s="316"/>
      <c r="X20" s="316"/>
      <c r="Y20" s="316"/>
      <c r="Z20" s="316"/>
      <c r="AA20" s="317"/>
      <c r="AB20" s="317"/>
      <c r="AC20" s="317"/>
      <c r="AD20" s="43"/>
    </row>
    <row r="21" spans="1:30" ht="17.399999999999999">
      <c r="A21" s="66"/>
      <c r="B21" s="1369" t="str">
        <f>IF(DevSourcesTbl[[#This Row],[Committed?]]&gt;0,"Construction","")</f>
        <v/>
      </c>
      <c r="C21" s="1373"/>
      <c r="D21" s="636"/>
      <c r="E21" s="1370"/>
      <c r="F21" s="608"/>
      <c r="G21" s="908"/>
      <c r="H21" s="908"/>
      <c r="I21" s="1371">
        <f>SUM(DevSourcesTbl[[#This Row],[Residential Amount]],DevSourcesTbl[[#This Row],[Commercial Amount]])</f>
        <v>0</v>
      </c>
      <c r="J21" s="580"/>
      <c r="K21" s="570"/>
      <c r="L21" s="584"/>
      <c r="M21" s="580"/>
      <c r="N21" s="1566"/>
      <c r="O21" s="1566"/>
      <c r="P21" s="1566"/>
      <c r="Q21" s="1566"/>
      <c r="R21" s="282"/>
      <c r="S21" s="581"/>
      <c r="T21" s="577"/>
      <c r="U21" s="629"/>
      <c r="V21" s="630"/>
      <c r="W21" s="316"/>
      <c r="X21" s="316"/>
      <c r="Y21" s="316"/>
      <c r="Z21" s="316"/>
      <c r="AA21" s="317"/>
      <c r="AB21" s="317"/>
      <c r="AC21" s="317"/>
      <c r="AD21" s="43"/>
    </row>
    <row r="22" spans="1:30" ht="17.399999999999999">
      <c r="A22" s="66"/>
      <c r="B22" s="1369" t="str">
        <f>IF(DevSourcesTbl[[#This Row],[Committed?]]&gt;0,"Construction","")</f>
        <v/>
      </c>
      <c r="C22" s="1373"/>
      <c r="D22" s="636"/>
      <c r="E22" s="1370"/>
      <c r="F22" s="608"/>
      <c r="G22" s="908"/>
      <c r="H22" s="908"/>
      <c r="I22" s="1371">
        <f>SUM(DevSourcesTbl[[#This Row],[Residential Amount]],DevSourcesTbl[[#This Row],[Commercial Amount]])</f>
        <v>0</v>
      </c>
      <c r="J22" s="580"/>
      <c r="K22" s="570"/>
      <c r="L22" s="584"/>
      <c r="M22" s="580"/>
      <c r="N22" s="1566"/>
      <c r="O22" s="1566"/>
      <c r="P22" s="1566"/>
      <c r="Q22" s="1566"/>
      <c r="R22" s="282"/>
      <c r="S22" s="581"/>
      <c r="T22" s="577"/>
      <c r="U22" s="629"/>
      <c r="V22" s="630"/>
      <c r="W22" s="316"/>
      <c r="X22" s="316"/>
      <c r="Y22" s="316"/>
      <c r="Z22" s="316"/>
      <c r="AA22" s="317"/>
      <c r="AB22" s="317"/>
      <c r="AC22" s="317"/>
      <c r="AD22" s="43"/>
    </row>
    <row r="23" spans="1:30" ht="17.399999999999999">
      <c r="A23" s="66"/>
      <c r="B23" s="1369" t="str">
        <f>IF(DevSourcesTbl[[#This Row],[Committed?]]&gt;0,"Construction","")</f>
        <v/>
      </c>
      <c r="C23" s="1579"/>
      <c r="D23" s="636"/>
      <c r="E23" s="1370"/>
      <c r="F23" s="906"/>
      <c r="G23" s="908"/>
      <c r="H23" s="908"/>
      <c r="I23" s="1371">
        <f>SUM(DevSourcesTbl[[#This Row],[Residential Amount]],DevSourcesTbl[[#This Row],[Commercial Amount]])</f>
        <v>0</v>
      </c>
      <c r="J23" s="580"/>
      <c r="K23" s="570"/>
      <c r="L23" s="584"/>
      <c r="M23" s="580"/>
      <c r="N23" s="1566"/>
      <c r="O23" s="1566"/>
      <c r="P23" s="1566"/>
      <c r="Q23" s="1566"/>
      <c r="R23" s="282"/>
      <c r="S23" s="581"/>
      <c r="T23" s="577"/>
      <c r="U23" s="629"/>
      <c r="V23" s="630"/>
      <c r="W23" s="316"/>
      <c r="X23" s="316"/>
      <c r="Y23" s="316"/>
      <c r="Z23" s="316"/>
      <c r="AA23" s="317"/>
      <c r="AB23" s="317"/>
      <c r="AC23" s="317"/>
      <c r="AD23" s="43"/>
    </row>
    <row r="24" spans="1:30" ht="17.399999999999999">
      <c r="A24" s="66"/>
      <c r="B24" s="1369" t="str">
        <f>IF(DevSourcesTbl[[#This Row],[Committed?]]&gt;0,"Construction","")</f>
        <v/>
      </c>
      <c r="C24" s="1579"/>
      <c r="D24" s="636"/>
      <c r="E24" s="1370"/>
      <c r="F24" s="906"/>
      <c r="G24" s="908"/>
      <c r="H24" s="908"/>
      <c r="I24" s="1371">
        <f>SUM(DevSourcesTbl[[#This Row],[Residential Amount]],DevSourcesTbl[[#This Row],[Commercial Amount]])</f>
        <v>0</v>
      </c>
      <c r="J24" s="580"/>
      <c r="K24" s="570"/>
      <c r="L24" s="584"/>
      <c r="M24" s="580"/>
      <c r="N24" s="1566"/>
      <c r="O24" s="1566"/>
      <c r="P24" s="1566"/>
      <c r="Q24" s="1566"/>
      <c r="R24" s="282"/>
      <c r="S24" s="581"/>
      <c r="T24" s="577"/>
      <c r="U24" s="629"/>
      <c r="V24" s="630"/>
      <c r="W24" s="316"/>
      <c r="X24" s="316"/>
      <c r="Y24" s="316"/>
      <c r="Z24" s="316"/>
      <c r="AA24" s="317"/>
      <c r="AB24" s="317"/>
      <c r="AC24" s="317"/>
      <c r="AD24" s="43"/>
    </row>
    <row r="25" spans="1:30" ht="17.399999999999999">
      <c r="A25" s="66"/>
      <c r="B25" s="1369" t="str">
        <f>IF(DevSourcesTbl[[#This Row],[Committed?]]&gt;0,"Construction","")</f>
        <v/>
      </c>
      <c r="C25" s="1579"/>
      <c r="D25" s="331"/>
      <c r="E25" s="1370"/>
      <c r="F25" s="906"/>
      <c r="G25" s="908"/>
      <c r="H25" s="908"/>
      <c r="I25" s="1371">
        <f>SUM(DevSourcesTbl[[#This Row],[Residential Amount]],DevSourcesTbl[[#This Row],[Commercial Amount]])</f>
        <v>0</v>
      </c>
      <c r="J25" s="580"/>
      <c r="K25" s="570"/>
      <c r="L25" s="584"/>
      <c r="M25" s="580"/>
      <c r="N25" s="1566"/>
      <c r="O25" s="1566"/>
      <c r="P25" s="1566"/>
      <c r="Q25" s="1566"/>
      <c r="R25" s="282"/>
      <c r="S25" s="581"/>
      <c r="T25" s="577"/>
      <c r="U25" s="629"/>
      <c r="V25" s="630"/>
      <c r="W25" s="316"/>
      <c r="X25" s="316"/>
      <c r="Y25" s="316"/>
      <c r="Z25" s="316"/>
      <c r="AA25" s="317"/>
      <c r="AB25" s="317"/>
      <c r="AC25" s="317"/>
      <c r="AD25" s="43"/>
    </row>
    <row r="26" spans="1:30" ht="17.399999999999999">
      <c r="A26" s="66"/>
      <c r="B26" s="1369" t="str">
        <f>IF(DevSourcesTbl[[#This Row],[Committed?]]&gt;0,"Construction","")</f>
        <v/>
      </c>
      <c r="C26" s="1579"/>
      <c r="D26" s="1374"/>
      <c r="E26" s="1370"/>
      <c r="F26" s="906"/>
      <c r="G26" s="908"/>
      <c r="H26" s="908"/>
      <c r="I26" s="1371">
        <f>SUM(DevSourcesTbl[[#This Row],[Residential Amount]],DevSourcesTbl[[#This Row],[Commercial Amount]])</f>
        <v>0</v>
      </c>
      <c r="J26" s="580"/>
      <c r="K26" s="570"/>
      <c r="L26" s="584"/>
      <c r="M26" s="580"/>
      <c r="N26" s="1566"/>
      <c r="O26" s="1566"/>
      <c r="P26" s="1566"/>
      <c r="Q26" s="1566"/>
      <c r="R26" s="282"/>
      <c r="S26" s="581"/>
      <c r="T26" s="577"/>
      <c r="U26" s="629"/>
      <c r="V26" s="630"/>
      <c r="W26" s="316"/>
      <c r="X26" s="316"/>
      <c r="Y26" s="316"/>
      <c r="Z26" s="316"/>
      <c r="AA26" s="317"/>
      <c r="AB26" s="317"/>
      <c r="AC26" s="317"/>
      <c r="AD26" s="43"/>
    </row>
    <row r="27" spans="1:30" ht="17.399999999999999">
      <c r="A27" s="66"/>
      <c r="B27" s="1369" t="str">
        <f>IF(DevSourcesTbl[[#This Row],[Committed?]]&gt;0,"Construction","")</f>
        <v/>
      </c>
      <c r="C27" s="571"/>
      <c r="D27" s="1374"/>
      <c r="E27" s="1370"/>
      <c r="F27" s="564"/>
      <c r="G27" s="908"/>
      <c r="H27" s="908"/>
      <c r="I27" s="1371">
        <f>SUM(DevSourcesTbl[[#This Row],[Residential Amount]],DevSourcesTbl[[#This Row],[Commercial Amount]])</f>
        <v>0</v>
      </c>
      <c r="J27" s="589"/>
      <c r="K27" s="570"/>
      <c r="L27" s="1375"/>
      <c r="M27" s="590"/>
      <c r="N27" s="1376"/>
      <c r="O27" s="1377"/>
      <c r="P27" s="1376"/>
      <c r="Q27" s="1376"/>
      <c r="R27" s="1378"/>
      <c r="S27" s="1379"/>
      <c r="T27" s="684"/>
      <c r="U27" s="629"/>
      <c r="V27" s="630"/>
      <c r="W27" s="316"/>
      <c r="X27" s="316"/>
      <c r="Y27" s="316"/>
      <c r="Z27" s="316"/>
      <c r="AA27" s="317"/>
      <c r="AB27" s="317"/>
      <c r="AC27" s="317"/>
      <c r="AD27" s="43"/>
    </row>
    <row r="28" spans="1:30" ht="17.399999999999999">
      <c r="A28" s="66"/>
      <c r="B28" s="1369" t="str">
        <f>IF(DevSourcesTbl[[#This Row],[Committed?]]&gt;0,"Construction","")</f>
        <v/>
      </c>
      <c r="C28" s="1579"/>
      <c r="D28" s="1380" t="s">
        <v>3588</v>
      </c>
      <c r="E28" s="1370"/>
      <c r="F28" s="906"/>
      <c r="G28" s="908"/>
      <c r="H28" s="908"/>
      <c r="I28" s="1371">
        <f>SUM(DevSourcesTbl[[#This Row],[Residential Amount]],DevSourcesTbl[[#This Row],[Commercial Amount]])</f>
        <v>0</v>
      </c>
      <c r="J28" s="580"/>
      <c r="K28" s="570"/>
      <c r="L28" s="584"/>
      <c r="M28" s="580"/>
      <c r="N28" s="1566"/>
      <c r="O28" s="1566"/>
      <c r="P28" s="1566"/>
      <c r="Q28" s="1566"/>
      <c r="R28" s="282"/>
      <c r="S28" s="581"/>
      <c r="T28" s="577"/>
      <c r="U28" s="629"/>
      <c r="V28" s="630"/>
      <c r="W28" s="316"/>
      <c r="X28" s="316"/>
      <c r="Y28" s="316"/>
      <c r="Z28" s="316"/>
      <c r="AA28" s="317"/>
      <c r="AB28" s="317"/>
      <c r="AC28" s="317"/>
      <c r="AD28" s="43"/>
    </row>
    <row r="29" spans="1:30" s="905" customFormat="1" ht="17.399999999999999">
      <c r="A29" s="66"/>
      <c r="B29" s="1369" t="str">
        <f>IF(DevSourcesTbl[[#This Row],[Committed?]]&gt;0,"Construction","")</f>
        <v/>
      </c>
      <c r="C29" s="571"/>
      <c r="D29" s="917" t="s">
        <v>3589</v>
      </c>
      <c r="E29" s="1370"/>
      <c r="F29" s="916"/>
      <c r="G29" s="1050" t="str">
        <f>IF($U$3&gt;0,$U$3,"")</f>
        <v/>
      </c>
      <c r="H29" s="906"/>
      <c r="I29" s="1371">
        <f>SUM(DevSourcesTbl[[#This Row],[Residential Amount]],DevSourcesTbl[[#This Row],[Commercial Amount]])</f>
        <v>0</v>
      </c>
      <c r="J29" s="582"/>
      <c r="K29" s="570"/>
      <c r="L29" s="569"/>
      <c r="M29" s="578"/>
      <c r="N29" s="569"/>
      <c r="O29" s="564"/>
      <c r="P29" s="569"/>
      <c r="Q29" s="569"/>
      <c r="R29" s="570"/>
      <c r="S29" s="570"/>
      <c r="T29" s="570"/>
      <c r="U29" s="629"/>
      <c r="V29" s="630"/>
      <c r="W29" s="316"/>
      <c r="X29" s="316"/>
      <c r="Y29" s="316"/>
      <c r="Z29" s="316"/>
      <c r="AA29" s="317"/>
      <c r="AB29" s="317"/>
      <c r="AC29" s="317"/>
      <c r="AD29" s="43"/>
    </row>
    <row r="30" spans="1:30" ht="17.399999999999999">
      <c r="A30" s="66"/>
      <c r="B30" s="1369" t="str">
        <f>IF(DevSourcesTbl[[#This Row],[Committed?]]&gt;0,"Construction","")</f>
        <v/>
      </c>
      <c r="C30" s="1579"/>
      <c r="D30" s="1380" t="s">
        <v>3590</v>
      </c>
      <c r="E30" s="1370"/>
      <c r="F30" s="906"/>
      <c r="G30" s="908"/>
      <c r="H30" s="908"/>
      <c r="I30" s="1371">
        <f>SUM(DevSourcesTbl[[#This Row],[Residential Amount]],DevSourcesTbl[[#This Row],[Commercial Amount]])</f>
        <v>0</v>
      </c>
      <c r="J30" s="580"/>
      <c r="K30" s="570"/>
      <c r="L30" s="584"/>
      <c r="M30" s="580"/>
      <c r="N30" s="1566"/>
      <c r="O30" s="1566"/>
      <c r="P30" s="1566"/>
      <c r="Q30" s="1566"/>
      <c r="R30" s="282"/>
      <c r="S30" s="581"/>
      <c r="T30" s="577"/>
      <c r="U30" s="629"/>
      <c r="V30" s="630"/>
      <c r="W30" s="316"/>
      <c r="X30" s="316"/>
      <c r="Y30" s="316"/>
      <c r="Z30" s="316"/>
      <c r="AA30" s="317"/>
      <c r="AB30" s="317"/>
      <c r="AC30" s="317"/>
      <c r="AD30" s="43"/>
    </row>
    <row r="31" spans="1:30" ht="17.399999999999999">
      <c r="A31" s="66"/>
      <c r="B31" s="1369" t="str">
        <f>IF(DevSourcesTbl[[#This Row],[Committed?]]&gt;0,"Construction","")</f>
        <v/>
      </c>
      <c r="C31" s="1579"/>
      <c r="D31" s="1380" t="s">
        <v>3591</v>
      </c>
      <c r="E31" s="1370"/>
      <c r="F31" s="906"/>
      <c r="G31" s="908"/>
      <c r="H31" s="908"/>
      <c r="I31" s="1371">
        <f>SUM(DevSourcesTbl[[#This Row],[Residential Amount]],DevSourcesTbl[[#This Row],[Commercial Amount]])</f>
        <v>0</v>
      </c>
      <c r="J31" s="580"/>
      <c r="K31" s="570"/>
      <c r="L31" s="584"/>
      <c r="M31" s="580"/>
      <c r="N31" s="1566"/>
      <c r="O31" s="1566"/>
      <c r="P31" s="1566"/>
      <c r="Q31" s="1566"/>
      <c r="R31" s="282"/>
      <c r="S31" s="581"/>
      <c r="T31" s="577"/>
      <c r="U31" s="629"/>
      <c r="V31" s="630"/>
      <c r="W31" s="316"/>
      <c r="X31" s="316"/>
      <c r="Y31" s="316"/>
      <c r="Z31" s="316"/>
      <c r="AA31" s="317"/>
      <c r="AB31" s="317"/>
      <c r="AC31" s="317"/>
      <c r="AD31" s="43"/>
    </row>
    <row r="32" spans="1:30" ht="17.399999999999999">
      <c r="A32" s="66"/>
      <c r="B32" s="1369" t="str">
        <f>IF(DevSourcesTbl[[#This Row],[Committed?]]&gt;0,"Construction","")</f>
        <v/>
      </c>
      <c r="C32" s="571"/>
      <c r="D32" s="574" t="s">
        <v>3592</v>
      </c>
      <c r="E32" s="1370"/>
      <c r="F32" s="564"/>
      <c r="G32" s="908"/>
      <c r="H32" s="908"/>
      <c r="I32" s="1371">
        <f>SUM(DevSourcesTbl[[#This Row],[Residential Amount]],DevSourcesTbl[[#This Row],[Commercial Amount]])</f>
        <v>0</v>
      </c>
      <c r="J32" s="582"/>
      <c r="K32" s="570"/>
      <c r="L32" s="583"/>
      <c r="M32" s="582"/>
      <c r="N32" s="569"/>
      <c r="O32" s="569"/>
      <c r="P32" s="569"/>
      <c r="Q32" s="569"/>
      <c r="R32" s="570"/>
      <c r="S32" s="579"/>
      <c r="T32" s="576"/>
      <c r="U32" s="678"/>
      <c r="V32" s="679"/>
      <c r="W32" s="316"/>
      <c r="X32" s="316"/>
      <c r="Y32" s="316"/>
      <c r="Z32" s="316"/>
      <c r="AA32" s="317"/>
      <c r="AB32" s="317"/>
      <c r="AC32" s="317"/>
      <c r="AD32" s="43"/>
    </row>
    <row r="33" spans="1:30" s="637" customFormat="1" ht="21" customHeight="1">
      <c r="A33" s="77"/>
      <c r="B33" s="1381" t="s">
        <v>3593</v>
      </c>
      <c r="C33" s="1168"/>
      <c r="D33" s="1169"/>
      <c r="E33" s="1170"/>
      <c r="F33" s="1171"/>
      <c r="G33" s="1171"/>
      <c r="H33" s="1171"/>
      <c r="I33" s="1171"/>
      <c r="J33" s="1172"/>
      <c r="K33" s="1173"/>
      <c r="L33" s="1171"/>
      <c r="M33" s="1172"/>
      <c r="N33" s="1171"/>
      <c r="O33" s="1171"/>
      <c r="P33" s="1171"/>
      <c r="Q33" s="1171"/>
      <c r="R33" s="1173"/>
      <c r="S33" s="1173"/>
      <c r="T33" s="1173"/>
      <c r="U33" s="1174"/>
      <c r="V33" s="1175"/>
      <c r="W33" s="1572"/>
      <c r="X33" s="1572"/>
      <c r="Y33" s="1572"/>
      <c r="Z33" s="1572"/>
      <c r="AA33" s="638"/>
      <c r="AB33" s="638"/>
      <c r="AC33" s="638"/>
    </row>
    <row r="34" spans="1:30" ht="17.399999999999999">
      <c r="A34" s="66"/>
      <c r="B34" s="1369" t="str">
        <f>IF(DevSourcesTbl[[#This Row],[Committed?]]&gt;0,"Permanent","")</f>
        <v/>
      </c>
      <c r="C34" s="635"/>
      <c r="D34" s="1372"/>
      <c r="E34" s="1370"/>
      <c r="F34" s="674"/>
      <c r="G34" s="908"/>
      <c r="H34" s="908"/>
      <c r="I34" s="1371">
        <f>SUM(DevSourcesTbl[[#This Row],[Residential Amount]],DevSourcesTbl[[#This Row],[Commercial Amount]])</f>
        <v>0</v>
      </c>
      <c r="J34" s="591"/>
      <c r="K34" s="570"/>
      <c r="L34" s="593"/>
      <c r="M34" s="591"/>
      <c r="N34" s="1580"/>
      <c r="O34" s="1580"/>
      <c r="P34" s="1580"/>
      <c r="Q34" s="1580"/>
      <c r="R34" s="592"/>
      <c r="S34" s="594"/>
      <c r="T34" s="1598"/>
      <c r="U34" s="909"/>
      <c r="V34" s="910"/>
      <c r="W34" s="316"/>
      <c r="X34" s="316"/>
      <c r="Y34" s="316"/>
      <c r="Z34" s="316"/>
      <c r="AA34" s="317"/>
      <c r="AB34" s="317"/>
      <c r="AC34" s="317"/>
      <c r="AD34" s="43"/>
    </row>
    <row r="35" spans="1:30" s="600" customFormat="1" ht="17.399999999999999">
      <c r="A35" s="66"/>
      <c r="B35" s="1369" t="str">
        <f>IF(DevSourcesTbl[[#This Row],[Committed?]]&gt;0,"Permanent","")</f>
        <v/>
      </c>
      <c r="C35" s="1579"/>
      <c r="D35" s="283"/>
      <c r="E35" s="1370"/>
      <c r="F35" s="906"/>
      <c r="G35" s="908"/>
      <c r="H35" s="908"/>
      <c r="I35" s="1371">
        <f>SUM(DevSourcesTbl[[#This Row],[Residential Amount]],DevSourcesTbl[[#This Row],[Commercial Amount]])</f>
        <v>0</v>
      </c>
      <c r="J35" s="582"/>
      <c r="K35" s="570"/>
      <c r="L35" s="583"/>
      <c r="M35" s="578"/>
      <c r="N35" s="569"/>
      <c r="O35" s="564"/>
      <c r="P35" s="569"/>
      <c r="Q35" s="569"/>
      <c r="R35" s="570"/>
      <c r="S35" s="579"/>
      <c r="T35" s="576"/>
      <c r="U35" s="911"/>
      <c r="V35" s="912"/>
      <c r="W35" s="316"/>
      <c r="X35" s="316"/>
      <c r="Y35" s="316"/>
      <c r="Z35" s="316"/>
      <c r="AA35" s="317"/>
      <c r="AB35" s="317"/>
      <c r="AC35" s="317"/>
      <c r="AD35" s="43"/>
    </row>
    <row r="36" spans="1:30" s="600" customFormat="1" ht="17.399999999999999">
      <c r="A36" s="66"/>
      <c r="B36" s="1369" t="str">
        <f>IF(DevSourcesTbl[[#This Row],[Committed?]]&gt;0,"Permanent","")</f>
        <v/>
      </c>
      <c r="C36" s="1382"/>
      <c r="D36" s="574"/>
      <c r="E36" s="1370"/>
      <c r="F36" s="1377"/>
      <c r="G36" s="908"/>
      <c r="H36" s="908"/>
      <c r="I36" s="1371">
        <f>SUM(DevSourcesTbl[[#This Row],[Residential Amount]],DevSourcesTbl[[#This Row],[Commercial Amount]])</f>
        <v>0</v>
      </c>
      <c r="J36" s="582"/>
      <c r="K36" s="570"/>
      <c r="L36" s="583"/>
      <c r="M36" s="578"/>
      <c r="N36" s="569"/>
      <c r="O36" s="564"/>
      <c r="P36" s="569"/>
      <c r="Q36" s="569"/>
      <c r="R36" s="570"/>
      <c r="S36" s="579"/>
      <c r="T36" s="576"/>
      <c r="U36" s="911"/>
      <c r="V36" s="912"/>
      <c r="W36" s="316"/>
      <c r="X36" s="316"/>
      <c r="Y36" s="316"/>
      <c r="Z36" s="316"/>
      <c r="AA36" s="317"/>
      <c r="AB36" s="317"/>
      <c r="AC36" s="317"/>
      <c r="AD36" s="43"/>
    </row>
    <row r="37" spans="1:30" ht="17.399999999999999">
      <c r="A37" s="687"/>
      <c r="B37" s="1369" t="str">
        <f>IF(DevSourcesTbl[[#This Row],[Committed?]]&gt;0,"Permanent","")</f>
        <v>Permanent</v>
      </c>
      <c r="C37" s="571" t="s">
        <v>664</v>
      </c>
      <c r="D37" s="572" t="s">
        <v>3582</v>
      </c>
      <c r="E37" s="559" t="s">
        <v>3187</v>
      </c>
      <c r="F37" s="744">
        <v>2</v>
      </c>
      <c r="G37" s="915">
        <f>'Dev Budget SU'!$K$3</f>
        <v>3118197</v>
      </c>
      <c r="H37" s="908"/>
      <c r="I37" s="1371">
        <f>SUM(DevSourcesTbl[[#This Row],[Residential Amount]],DevSourcesTbl[[#This Row],[Commercial Amount]])</f>
        <v>3118197</v>
      </c>
      <c r="J37" s="580"/>
      <c r="K37" s="570"/>
      <c r="L37" s="584"/>
      <c r="M37" s="580"/>
      <c r="N37" s="1566"/>
      <c r="O37" s="1566"/>
      <c r="P37" s="1566"/>
      <c r="Q37" s="1566"/>
      <c r="R37" s="282"/>
      <c r="S37" s="581"/>
      <c r="T37" s="577"/>
      <c r="U37" s="911"/>
      <c r="V37" s="912"/>
      <c r="W37" s="316"/>
      <c r="X37" s="316"/>
      <c r="Y37" s="316"/>
      <c r="Z37" s="316"/>
      <c r="AA37" s="317"/>
      <c r="AB37" s="317"/>
      <c r="AC37" s="317"/>
      <c r="AD37" s="43"/>
    </row>
    <row r="38" spans="1:30" ht="17.399999999999999" hidden="1">
      <c r="A38" s="687"/>
      <c r="B38" s="1369" t="str">
        <f>IF(DevSourcesTbl[[#This Row],[Committed?]]&gt;0,"Permanent","")</f>
        <v/>
      </c>
      <c r="C38" s="571"/>
      <c r="D38" s="573" t="s">
        <v>3594</v>
      </c>
      <c r="E38" s="559" t="s">
        <v>3187</v>
      </c>
      <c r="F38" s="744">
        <v>2</v>
      </c>
      <c r="G38" s="915"/>
      <c r="H38" s="908"/>
      <c r="I38" s="1371">
        <f>SUM(DevSourcesTbl[[#This Row],[Residential Amount]],DevSourcesTbl[[#This Row],[Commercial Amount]])</f>
        <v>0</v>
      </c>
      <c r="J38" s="580"/>
      <c r="K38" s="570"/>
      <c r="L38" s="584"/>
      <c r="M38" s="580"/>
      <c r="N38" s="1566"/>
      <c r="O38" s="1566"/>
      <c r="P38" s="1566"/>
      <c r="Q38" s="1566"/>
      <c r="R38" s="282"/>
      <c r="S38" s="581"/>
      <c r="T38" s="577"/>
      <c r="U38" s="911"/>
      <c r="V38" s="912"/>
      <c r="W38" s="316"/>
      <c r="X38" s="316"/>
      <c r="Y38" s="316"/>
      <c r="Z38" s="316"/>
      <c r="AA38" s="317"/>
      <c r="AB38" s="317"/>
      <c r="AC38" s="317"/>
      <c r="AD38" s="43"/>
    </row>
    <row r="39" spans="1:30" ht="17.399999999999999">
      <c r="A39" s="687"/>
      <c r="B39" s="1369" t="str">
        <f>IF(DevSourcesTbl[[#This Row],[Committed?]]&gt;0,"Permanent","")</f>
        <v/>
      </c>
      <c r="C39" s="1373"/>
      <c r="D39" s="572" t="s">
        <v>3584</v>
      </c>
      <c r="E39" s="559" t="s">
        <v>3187</v>
      </c>
      <c r="F39" s="745">
        <v>2</v>
      </c>
      <c r="G39" s="915">
        <f>'Dev Budget SU'!$M$3</f>
        <v>0</v>
      </c>
      <c r="H39" s="908"/>
      <c r="I39" s="1371">
        <f>SUM(DevSourcesTbl[[#This Row],[Residential Amount]],DevSourcesTbl[[#This Row],[Commercial Amount]])</f>
        <v>0</v>
      </c>
      <c r="J39" s="580"/>
      <c r="K39" s="570"/>
      <c r="L39" s="584"/>
      <c r="M39" s="580"/>
      <c r="N39" s="1566"/>
      <c r="O39" s="1566"/>
      <c r="P39" s="1566"/>
      <c r="Q39" s="1566"/>
      <c r="R39" s="282"/>
      <c r="S39" s="581"/>
      <c r="T39" s="577"/>
      <c r="U39" s="911"/>
      <c r="V39" s="912"/>
      <c r="W39" s="316"/>
      <c r="X39" s="316"/>
      <c r="Y39" s="316"/>
      <c r="Z39" s="316"/>
      <c r="AA39" s="317"/>
      <c r="AB39" s="317"/>
      <c r="AC39" s="317"/>
      <c r="AD39" s="43"/>
    </row>
    <row r="40" spans="1:30" ht="17.399999999999999">
      <c r="A40" s="687"/>
      <c r="B40" s="1369" t="str">
        <f>IF(DevSourcesTbl[[#This Row],[Committed?]]&gt;0,"Permanent","")</f>
        <v>Permanent</v>
      </c>
      <c r="C40" s="1373" t="s">
        <v>664</v>
      </c>
      <c r="D40" s="572" t="s">
        <v>3585</v>
      </c>
      <c r="E40" s="559" t="s">
        <v>3187</v>
      </c>
      <c r="F40" s="745">
        <v>2</v>
      </c>
      <c r="G40" s="915">
        <f>'Dev Budget SU'!$N$3</f>
        <v>45000000</v>
      </c>
      <c r="H40" s="908"/>
      <c r="I40" s="1371">
        <f>SUM(DevSourcesTbl[[#This Row],[Residential Amount]],DevSourcesTbl[[#This Row],[Commercial Amount]])</f>
        <v>45000000</v>
      </c>
      <c r="J40" s="580"/>
      <c r="K40" s="570"/>
      <c r="L40" s="584"/>
      <c r="M40" s="580"/>
      <c r="N40" s="1566"/>
      <c r="O40" s="1566"/>
      <c r="P40" s="1566"/>
      <c r="Q40" s="1566"/>
      <c r="R40" s="282"/>
      <c r="S40" s="581"/>
      <c r="T40" s="577"/>
      <c r="U40" s="911"/>
      <c r="V40" s="912"/>
      <c r="W40" s="316"/>
      <c r="X40" s="316"/>
      <c r="Y40" s="316"/>
      <c r="Z40" s="316"/>
      <c r="AA40" s="317"/>
      <c r="AB40" s="317"/>
      <c r="AC40" s="317"/>
      <c r="AD40" s="43"/>
    </row>
    <row r="41" spans="1:30" ht="17.399999999999999">
      <c r="A41" s="687"/>
      <c r="B41" s="1369" t="str">
        <f>IF(DevSourcesTbl[[#This Row],[Committed?]]&gt;0,"Permanent","")</f>
        <v/>
      </c>
      <c r="C41" s="1373"/>
      <c r="D41" s="572" t="s">
        <v>3595</v>
      </c>
      <c r="E41" s="559" t="s">
        <v>3187</v>
      </c>
      <c r="F41" s="745">
        <v>2</v>
      </c>
      <c r="G41" s="915"/>
      <c r="H41" s="908"/>
      <c r="I41" s="1371">
        <f>SUM(DevSourcesTbl[[#This Row],[Residential Amount]],DevSourcesTbl[[#This Row],[Commercial Amount]])</f>
        <v>0</v>
      </c>
      <c r="J41" s="580"/>
      <c r="K41" s="570"/>
      <c r="L41" s="584"/>
      <c r="M41" s="580"/>
      <c r="N41" s="1566"/>
      <c r="O41" s="1566"/>
      <c r="P41" s="1566"/>
      <c r="Q41" s="1566"/>
      <c r="R41" s="282"/>
      <c r="S41" s="581"/>
      <c r="T41" s="577"/>
      <c r="U41" s="911"/>
      <c r="V41" s="912"/>
      <c r="W41" s="316"/>
      <c r="X41" s="316"/>
      <c r="Y41" s="316"/>
      <c r="Z41" s="316"/>
      <c r="AA41" s="317"/>
      <c r="AB41" s="317"/>
      <c r="AC41" s="317"/>
      <c r="AD41" s="43"/>
    </row>
    <row r="42" spans="1:30" ht="17.399999999999999" hidden="1">
      <c r="A42" s="687"/>
      <c r="B42" s="1369" t="str">
        <f>IF(DevSourcesTbl[[#This Row],[Committed?]]&gt;0,"Permanent","")</f>
        <v/>
      </c>
      <c r="C42" s="1373"/>
      <c r="D42" s="572" t="s">
        <v>3587</v>
      </c>
      <c r="E42" s="559" t="s">
        <v>3187</v>
      </c>
      <c r="F42" s="745">
        <v>2</v>
      </c>
      <c r="G42" s="915">
        <f>'Dev Budget SU'!$P$3</f>
        <v>0</v>
      </c>
      <c r="H42" s="908"/>
      <c r="I42" s="1371">
        <f>SUM(DevSourcesTbl[[#This Row],[Residential Amount]],DevSourcesTbl[[#This Row],[Commercial Amount]])</f>
        <v>0</v>
      </c>
      <c r="J42" s="580"/>
      <c r="K42" s="570"/>
      <c r="L42" s="584"/>
      <c r="M42" s="580"/>
      <c r="N42" s="1566"/>
      <c r="O42" s="1566"/>
      <c r="P42" s="1566"/>
      <c r="Q42" s="1566"/>
      <c r="R42" s="282"/>
      <c r="S42" s="581"/>
      <c r="T42" s="577"/>
      <c r="U42" s="911"/>
      <c r="V42" s="912"/>
      <c r="W42" s="316"/>
      <c r="X42" s="316"/>
      <c r="Y42" s="316"/>
      <c r="Z42" s="316"/>
      <c r="AA42" s="317"/>
      <c r="AB42" s="317"/>
      <c r="AC42" s="317"/>
      <c r="AD42" s="43"/>
    </row>
    <row r="43" spans="1:30" ht="17.399999999999999">
      <c r="A43" s="66"/>
      <c r="B43" s="1369" t="str">
        <f>IF(DevSourcesTbl[[#This Row],[Committed?]]&gt;0,"Permanent","")</f>
        <v>Permanent</v>
      </c>
      <c r="C43" s="1579" t="s">
        <v>664</v>
      </c>
      <c r="D43" s="1383" t="s">
        <v>3596</v>
      </c>
      <c r="E43" s="1370" t="s">
        <v>3181</v>
      </c>
      <c r="F43" s="906"/>
      <c r="G43" s="908">
        <v>4350000</v>
      </c>
      <c r="H43" s="908"/>
      <c r="I43" s="1371">
        <f>SUM(DevSourcesTbl[[#This Row],[Residential Amount]],DevSourcesTbl[[#This Row],[Commercial Amount]])</f>
        <v>4350000</v>
      </c>
      <c r="J43" s="582"/>
      <c r="K43" s="570"/>
      <c r="L43" s="583"/>
      <c r="M43" s="578"/>
      <c r="N43" s="569"/>
      <c r="O43" s="564"/>
      <c r="P43" s="569"/>
      <c r="Q43" s="569"/>
      <c r="R43" s="570"/>
      <c r="S43" s="579"/>
      <c r="T43" s="576"/>
      <c r="U43" s="911"/>
      <c r="V43" s="912"/>
      <c r="W43" s="316"/>
      <c r="X43" s="316"/>
      <c r="Y43" s="316"/>
      <c r="Z43" s="316"/>
      <c r="AA43" s="317"/>
      <c r="AB43" s="317"/>
      <c r="AC43" s="317"/>
      <c r="AD43" s="43"/>
    </row>
    <row r="44" spans="1:30" ht="17.399999999999999">
      <c r="A44" s="66"/>
      <c r="B44" s="1369" t="str">
        <f>IF(DevSourcesTbl[[#This Row],[Committed?]]&gt;0,"Permanent","")</f>
        <v>Permanent</v>
      </c>
      <c r="C44" s="1579" t="s">
        <v>664</v>
      </c>
      <c r="D44" s="331" t="s">
        <v>3597</v>
      </c>
      <c r="E44" s="1370" t="s">
        <v>3183</v>
      </c>
      <c r="F44" s="906">
        <v>3</v>
      </c>
      <c r="G44" s="908">
        <v>1280795</v>
      </c>
      <c r="H44" s="908"/>
      <c r="I44" s="1371">
        <f>SUM(DevSourcesTbl[[#This Row],[Residential Amount]],DevSourcesTbl[[#This Row],[Commercial Amount]])</f>
        <v>1280795</v>
      </c>
      <c r="J44" s="580"/>
      <c r="K44" s="570"/>
      <c r="L44" s="584"/>
      <c r="M44" s="580"/>
      <c r="N44" s="1566"/>
      <c r="O44" s="1566"/>
      <c r="P44" s="1566"/>
      <c r="Q44" s="1566"/>
      <c r="R44" s="282"/>
      <c r="S44" s="581"/>
      <c r="T44" s="577"/>
      <c r="U44" s="911"/>
      <c r="V44" s="912"/>
      <c r="W44" s="316"/>
      <c r="X44" s="316"/>
      <c r="Y44" s="316"/>
      <c r="Z44" s="316"/>
      <c r="AA44" s="317"/>
      <c r="AB44" s="317"/>
      <c r="AC44" s="317"/>
      <c r="AD44" s="43"/>
    </row>
    <row r="45" spans="1:30" ht="17.399999999999999">
      <c r="A45" s="66"/>
      <c r="B45" s="1369" t="str">
        <f>IF(DevSourcesTbl[[#This Row],[Committed?]]&gt;0,"Permanent","")</f>
        <v>Permanent</v>
      </c>
      <c r="C45" s="1579" t="s">
        <v>664</v>
      </c>
      <c r="D45" s="1374" t="s">
        <v>3598</v>
      </c>
      <c r="E45" s="1370" t="s">
        <v>3182</v>
      </c>
      <c r="F45" s="906">
        <v>3</v>
      </c>
      <c r="G45" s="908">
        <v>891475</v>
      </c>
      <c r="H45" s="908"/>
      <c r="I45" s="1371">
        <f>SUM(DevSourcesTbl[[#This Row],[Residential Amount]],DevSourcesTbl[[#This Row],[Commercial Amount]])</f>
        <v>891475</v>
      </c>
      <c r="J45" s="580"/>
      <c r="K45" s="570"/>
      <c r="L45" s="584"/>
      <c r="M45" s="580"/>
      <c r="N45" s="1566"/>
      <c r="O45" s="1566"/>
      <c r="P45" s="1566"/>
      <c r="Q45" s="1566"/>
      <c r="R45" s="282"/>
      <c r="S45" s="581"/>
      <c r="T45" s="577"/>
      <c r="U45" s="911"/>
      <c r="V45" s="912"/>
      <c r="W45" s="316"/>
      <c r="X45" s="316"/>
      <c r="Y45" s="316"/>
      <c r="Z45" s="316"/>
      <c r="AA45" s="317"/>
      <c r="AB45" s="317"/>
      <c r="AC45" s="317"/>
      <c r="AD45" s="43"/>
    </row>
    <row r="46" spans="1:30" ht="17.399999999999999">
      <c r="A46" s="66"/>
      <c r="B46" s="1369" t="str">
        <f>IF(DevSourcesTbl[[#This Row],[Committed?]]&gt;0,"Permanent","")</f>
        <v/>
      </c>
      <c r="C46" s="1373"/>
      <c r="D46" s="283"/>
      <c r="E46" s="1370"/>
      <c r="F46" s="608"/>
      <c r="G46" s="908"/>
      <c r="H46" s="908"/>
      <c r="I46" s="1371">
        <f>SUM(DevSourcesTbl[[#This Row],[Residential Amount]],DevSourcesTbl[[#This Row],[Commercial Amount]])</f>
        <v>0</v>
      </c>
      <c r="J46" s="580"/>
      <c r="K46" s="570"/>
      <c r="L46" s="584"/>
      <c r="M46" s="580"/>
      <c r="N46" s="1566"/>
      <c r="O46" s="1566"/>
      <c r="P46" s="1566"/>
      <c r="Q46" s="1566"/>
      <c r="R46" s="282"/>
      <c r="S46" s="581"/>
      <c r="T46" s="577"/>
      <c r="U46" s="911"/>
      <c r="V46" s="912"/>
      <c r="W46" s="316"/>
      <c r="X46" s="316"/>
      <c r="Y46" s="316"/>
      <c r="Z46" s="316"/>
      <c r="AA46" s="317"/>
      <c r="AB46" s="317"/>
      <c r="AC46" s="317"/>
      <c r="AD46" s="43"/>
    </row>
    <row r="47" spans="1:30" ht="17.399999999999999">
      <c r="A47" s="66"/>
      <c r="B47" s="1369" t="str">
        <f>IF(DevSourcesTbl[[#This Row],[Committed?]]&gt;0,"Permanent","")</f>
        <v/>
      </c>
      <c r="C47" s="1373"/>
      <c r="D47" s="331"/>
      <c r="E47" s="1370"/>
      <c r="F47" s="608"/>
      <c r="G47" s="908"/>
      <c r="H47" s="908"/>
      <c r="I47" s="1371">
        <f>SUM(DevSourcesTbl[[#This Row],[Residential Amount]],DevSourcesTbl[[#This Row],[Commercial Amount]])</f>
        <v>0</v>
      </c>
      <c r="J47" s="580"/>
      <c r="K47" s="570"/>
      <c r="L47" s="584"/>
      <c r="M47" s="580"/>
      <c r="N47" s="1566"/>
      <c r="O47" s="1566"/>
      <c r="P47" s="1566"/>
      <c r="Q47" s="1566"/>
      <c r="R47" s="282"/>
      <c r="S47" s="581"/>
      <c r="T47" s="577"/>
      <c r="U47" s="911"/>
      <c r="V47" s="912"/>
      <c r="W47" s="316"/>
      <c r="X47" s="316"/>
      <c r="Y47" s="316"/>
      <c r="Z47" s="316"/>
      <c r="AA47" s="317"/>
      <c r="AB47" s="317"/>
      <c r="AC47" s="317"/>
      <c r="AD47" s="43"/>
    </row>
    <row r="48" spans="1:30" ht="17.399999999999999">
      <c r="A48" s="66"/>
      <c r="B48" s="1369" t="str">
        <f>IF(DevSourcesTbl[[#This Row],[Committed?]]&gt;0,"Permanent","")</f>
        <v/>
      </c>
      <c r="C48" s="571"/>
      <c r="D48" s="331"/>
      <c r="E48" s="1370"/>
      <c r="F48" s="564"/>
      <c r="G48" s="908"/>
      <c r="H48" s="908"/>
      <c r="I48" s="1371">
        <f>SUM(DevSourcesTbl[[#This Row],[Residential Amount]],DevSourcesTbl[[#This Row],[Commercial Amount]])</f>
        <v>0</v>
      </c>
      <c r="J48" s="582"/>
      <c r="K48" s="570"/>
      <c r="L48" s="583"/>
      <c r="M48" s="578"/>
      <c r="N48" s="569"/>
      <c r="O48" s="564"/>
      <c r="P48" s="569"/>
      <c r="Q48" s="569"/>
      <c r="R48" s="570"/>
      <c r="S48" s="579"/>
      <c r="T48" s="576"/>
      <c r="U48" s="911"/>
      <c r="V48" s="912"/>
      <c r="W48" s="316"/>
      <c r="X48" s="316"/>
      <c r="Y48" s="316"/>
      <c r="Z48" s="316"/>
      <c r="AA48" s="317"/>
      <c r="AB48" s="317"/>
      <c r="AC48" s="317"/>
      <c r="AD48" s="43"/>
    </row>
    <row r="49" spans="1:30" ht="17.399999999999999">
      <c r="A49" s="66"/>
      <c r="B49" s="1369" t="str">
        <f>IF(DevSourcesTbl[[#This Row],[Committed?]]&gt;0,"Permanent","")</f>
        <v/>
      </c>
      <c r="C49" s="1579"/>
      <c r="D49" s="1374"/>
      <c r="E49" s="1370"/>
      <c r="F49" s="906"/>
      <c r="G49" s="908"/>
      <c r="H49" s="908"/>
      <c r="I49" s="1371">
        <f>SUM(DevSourcesTbl[[#This Row],[Residential Amount]],DevSourcesTbl[[#This Row],[Commercial Amount]])</f>
        <v>0</v>
      </c>
      <c r="J49" s="580"/>
      <c r="K49" s="570"/>
      <c r="L49" s="584"/>
      <c r="M49" s="580"/>
      <c r="N49" s="1566"/>
      <c r="O49" s="1566"/>
      <c r="P49" s="1566"/>
      <c r="Q49" s="1566"/>
      <c r="R49" s="282"/>
      <c r="S49" s="581"/>
      <c r="T49" s="577"/>
      <c r="U49" s="911"/>
      <c r="V49" s="912"/>
      <c r="W49" s="316"/>
      <c r="X49" s="316"/>
      <c r="Y49" s="316"/>
      <c r="Z49" s="316"/>
      <c r="AA49" s="317"/>
      <c r="AB49" s="317"/>
      <c r="AC49" s="317"/>
      <c r="AD49" s="43"/>
    </row>
    <row r="50" spans="1:30" ht="17.399999999999999">
      <c r="A50" s="66"/>
      <c r="B50" s="1369" t="str">
        <f>IF(DevSourcesTbl[[#This Row],[Committed?]]&gt;0,"Permanent","")</f>
        <v/>
      </c>
      <c r="C50" s="1373"/>
      <c r="D50" s="283"/>
      <c r="E50" s="1370"/>
      <c r="F50" s="608"/>
      <c r="G50" s="908"/>
      <c r="H50" s="908"/>
      <c r="I50" s="1371">
        <f>SUM(DevSourcesTbl[[#This Row],[Residential Amount]],DevSourcesTbl[[#This Row],[Commercial Amount]])</f>
        <v>0</v>
      </c>
      <c r="J50" s="580"/>
      <c r="K50" s="570"/>
      <c r="L50" s="584"/>
      <c r="M50" s="580"/>
      <c r="N50" s="1566"/>
      <c r="O50" s="1566"/>
      <c r="P50" s="1566"/>
      <c r="Q50" s="1566"/>
      <c r="R50" s="282"/>
      <c r="S50" s="581"/>
      <c r="T50" s="577"/>
      <c r="U50" s="911"/>
      <c r="V50" s="912"/>
      <c r="W50" s="316"/>
      <c r="X50" s="316"/>
      <c r="Y50" s="316"/>
      <c r="Z50" s="316"/>
      <c r="AA50" s="317"/>
      <c r="AB50" s="317"/>
      <c r="AC50" s="317"/>
      <c r="AD50" s="43"/>
    </row>
    <row r="51" spans="1:30" ht="17.399999999999999">
      <c r="A51" s="66"/>
      <c r="B51" s="1369" t="str">
        <f>IF(DevSourcesTbl[[#This Row],[Committed?]]&gt;0,"Permanent","")</f>
        <v/>
      </c>
      <c r="C51" s="1373"/>
      <c r="D51" s="331"/>
      <c r="E51" s="1370"/>
      <c r="F51" s="608"/>
      <c r="G51" s="908"/>
      <c r="H51" s="908"/>
      <c r="I51" s="1371">
        <f>SUM(DevSourcesTbl[[#This Row],[Residential Amount]],DevSourcesTbl[[#This Row],[Commercial Amount]])</f>
        <v>0</v>
      </c>
      <c r="J51" s="580"/>
      <c r="K51" s="570"/>
      <c r="L51" s="584"/>
      <c r="M51" s="580"/>
      <c r="N51" s="1566"/>
      <c r="O51" s="1566"/>
      <c r="P51" s="1566"/>
      <c r="Q51" s="1566"/>
      <c r="R51" s="282"/>
      <c r="S51" s="581"/>
      <c r="T51" s="577"/>
      <c r="U51" s="911"/>
      <c r="V51" s="912"/>
      <c r="W51" s="316"/>
      <c r="X51" s="316"/>
      <c r="Y51" s="316"/>
      <c r="Z51" s="316"/>
      <c r="AA51" s="317"/>
      <c r="AB51" s="317"/>
      <c r="AC51" s="317"/>
      <c r="AD51" s="43"/>
    </row>
    <row r="52" spans="1:30" ht="17.399999999999999">
      <c r="A52" s="66"/>
      <c r="B52" s="1369" t="str">
        <f>IF(DevSourcesTbl[[#This Row],[Committed?]]&gt;0,"Permanent","")</f>
        <v/>
      </c>
      <c r="C52" s="1579"/>
      <c r="D52" s="1374"/>
      <c r="E52" s="1370"/>
      <c r="F52" s="906"/>
      <c r="G52" s="908"/>
      <c r="H52" s="908"/>
      <c r="I52" s="1371">
        <f>SUM(DevSourcesTbl[[#This Row],[Residential Amount]],DevSourcesTbl[[#This Row],[Commercial Amount]])</f>
        <v>0</v>
      </c>
      <c r="J52" s="580"/>
      <c r="K52" s="570"/>
      <c r="L52" s="584"/>
      <c r="M52" s="580"/>
      <c r="N52" s="1566"/>
      <c r="O52" s="1566"/>
      <c r="P52" s="1566"/>
      <c r="Q52" s="1566"/>
      <c r="R52" s="282"/>
      <c r="S52" s="581"/>
      <c r="T52" s="577"/>
      <c r="U52" s="911"/>
      <c r="V52" s="912"/>
      <c r="W52" s="316"/>
      <c r="X52" s="316"/>
      <c r="Y52" s="316"/>
      <c r="Z52" s="316"/>
      <c r="AA52" s="317"/>
      <c r="AB52" s="317"/>
      <c r="AC52" s="317"/>
      <c r="AD52" s="43"/>
    </row>
    <row r="53" spans="1:30" ht="17.399999999999999">
      <c r="A53" s="66"/>
      <c r="B53" s="1369" t="str">
        <f>IF(DevSourcesTbl[[#This Row],[Committed?]]&gt;0,"Permanent","")</f>
        <v/>
      </c>
      <c r="C53" s="1579"/>
      <c r="D53" s="1374"/>
      <c r="E53" s="1370"/>
      <c r="F53" s="906"/>
      <c r="G53" s="908"/>
      <c r="H53" s="908"/>
      <c r="I53" s="1371">
        <f>SUM(DevSourcesTbl[[#This Row],[Residential Amount]],DevSourcesTbl[[#This Row],[Commercial Amount]])</f>
        <v>0</v>
      </c>
      <c r="J53" s="580"/>
      <c r="K53" s="570"/>
      <c r="L53" s="584"/>
      <c r="M53" s="580"/>
      <c r="N53" s="1566"/>
      <c r="O53" s="1566"/>
      <c r="P53" s="1566"/>
      <c r="Q53" s="1566"/>
      <c r="R53" s="282"/>
      <c r="S53" s="581"/>
      <c r="T53" s="577"/>
      <c r="U53" s="911"/>
      <c r="V53" s="912"/>
      <c r="W53" s="316"/>
      <c r="X53" s="316"/>
      <c r="Y53" s="316"/>
      <c r="Z53" s="316"/>
      <c r="AA53" s="317"/>
      <c r="AB53" s="317"/>
      <c r="AC53" s="317"/>
      <c r="AD53" s="43"/>
    </row>
    <row r="54" spans="1:30" ht="17.399999999999999">
      <c r="A54" s="66"/>
      <c r="B54" s="1369" t="str">
        <f>IF(DevSourcesTbl[[#This Row],[Committed?]]&gt;0,"Permanent","")</f>
        <v/>
      </c>
      <c r="C54" s="1579"/>
      <c r="D54" s="1374"/>
      <c r="E54" s="1370"/>
      <c r="F54" s="906"/>
      <c r="G54" s="908"/>
      <c r="H54" s="908"/>
      <c r="I54" s="1371">
        <f>SUM(DevSourcesTbl[[#This Row],[Residential Amount]],DevSourcesTbl[[#This Row],[Commercial Amount]])</f>
        <v>0</v>
      </c>
      <c r="J54" s="580"/>
      <c r="K54" s="570"/>
      <c r="L54" s="584"/>
      <c r="M54" s="580"/>
      <c r="N54" s="1566"/>
      <c r="O54" s="1566"/>
      <c r="P54" s="1566"/>
      <c r="Q54" s="1566"/>
      <c r="R54" s="282"/>
      <c r="S54" s="581"/>
      <c r="T54" s="577"/>
      <c r="U54" s="911"/>
      <c r="V54" s="912"/>
      <c r="W54" s="316"/>
      <c r="X54" s="316"/>
      <c r="Y54" s="316"/>
      <c r="Z54" s="316"/>
      <c r="AA54" s="317"/>
      <c r="AB54" s="317"/>
      <c r="AC54" s="317"/>
      <c r="AD54" s="43"/>
    </row>
    <row r="55" spans="1:30" ht="17.399999999999999">
      <c r="A55" s="66"/>
      <c r="B55" s="1369" t="str">
        <f>IF(DevSourcesTbl[[#This Row],[Committed?]]&gt;0,"Permanent","")</f>
        <v/>
      </c>
      <c r="C55" s="1579"/>
      <c r="D55" s="1374"/>
      <c r="E55" s="1370"/>
      <c r="F55" s="906"/>
      <c r="G55" s="908"/>
      <c r="H55" s="908"/>
      <c r="I55" s="1371">
        <f>SUM(DevSourcesTbl[[#This Row],[Residential Amount]],DevSourcesTbl[[#This Row],[Commercial Amount]])</f>
        <v>0</v>
      </c>
      <c r="J55" s="580"/>
      <c r="K55" s="570"/>
      <c r="L55" s="584"/>
      <c r="M55" s="580"/>
      <c r="N55" s="1566"/>
      <c r="O55" s="1566"/>
      <c r="P55" s="1566"/>
      <c r="Q55" s="1566"/>
      <c r="R55" s="282"/>
      <c r="S55" s="581"/>
      <c r="T55" s="577"/>
      <c r="U55" s="911"/>
      <c r="V55" s="912"/>
      <c r="W55" s="316"/>
      <c r="X55" s="316"/>
      <c r="Y55" s="316"/>
      <c r="Z55" s="316"/>
      <c r="AA55" s="317"/>
      <c r="AB55" s="317"/>
      <c r="AC55" s="317"/>
      <c r="AD55" s="43"/>
    </row>
    <row r="56" spans="1:30" ht="17.399999999999999">
      <c r="A56" s="66"/>
      <c r="B56" s="1369" t="str">
        <f>IF(DevSourcesTbl[[#This Row],[Committed?]]&gt;0,"Permanent","")</f>
        <v/>
      </c>
      <c r="C56" s="571"/>
      <c r="D56" s="1374"/>
      <c r="E56" s="1370"/>
      <c r="F56" s="564"/>
      <c r="G56" s="908"/>
      <c r="H56" s="908"/>
      <c r="I56" s="1371">
        <f>SUM(DevSourcesTbl[[#This Row],[Residential Amount]],DevSourcesTbl[[#This Row],[Commercial Amount]])</f>
        <v>0</v>
      </c>
      <c r="J56" s="580"/>
      <c r="K56" s="570"/>
      <c r="L56" s="584"/>
      <c r="M56" s="580"/>
      <c r="N56" s="1566"/>
      <c r="O56" s="1566"/>
      <c r="P56" s="1566"/>
      <c r="Q56" s="1566"/>
      <c r="R56" s="282"/>
      <c r="S56" s="581"/>
      <c r="T56" s="577"/>
      <c r="U56" s="911"/>
      <c r="V56" s="912"/>
      <c r="W56" s="316"/>
      <c r="X56" s="316"/>
      <c r="Y56" s="316"/>
      <c r="Z56" s="316"/>
      <c r="AA56" s="317"/>
      <c r="AB56" s="317"/>
      <c r="AC56" s="317"/>
      <c r="AD56" s="43"/>
    </row>
    <row r="57" spans="1:30" ht="17.399999999999999">
      <c r="A57" s="66"/>
      <c r="B57" s="1369" t="str">
        <f>IF(DevSourcesTbl[[#This Row],[Committed?]]&gt;0,"Permanent","")</f>
        <v/>
      </c>
      <c r="C57" s="1579"/>
      <c r="D57" s="1383"/>
      <c r="E57" s="1370"/>
      <c r="F57" s="906"/>
      <c r="G57" s="908"/>
      <c r="H57" s="908"/>
      <c r="I57" s="1371">
        <f>SUM(DevSourcesTbl[[#This Row],[Residential Amount]],DevSourcesTbl[[#This Row],[Commercial Amount]])</f>
        <v>0</v>
      </c>
      <c r="J57" s="580"/>
      <c r="K57" s="570"/>
      <c r="L57" s="584"/>
      <c r="M57" s="580"/>
      <c r="N57" s="1566"/>
      <c r="O57" s="1566"/>
      <c r="P57" s="1566"/>
      <c r="Q57" s="1566"/>
      <c r="R57" s="282"/>
      <c r="S57" s="581"/>
      <c r="T57" s="577"/>
      <c r="U57" s="911"/>
      <c r="V57" s="912"/>
      <c r="W57" s="316"/>
      <c r="X57" s="316"/>
      <c r="Y57" s="316"/>
      <c r="Z57" s="316"/>
      <c r="AA57" s="317"/>
      <c r="AB57" s="317"/>
      <c r="AC57" s="317"/>
      <c r="AD57" s="43"/>
    </row>
    <row r="58" spans="1:30" ht="17.399999999999999">
      <c r="A58" s="66"/>
      <c r="B58" s="1369" t="str">
        <f>IF(DevSourcesTbl[[#This Row],[Committed?]]&gt;0,"Permanent","")</f>
        <v/>
      </c>
      <c r="C58" s="1579"/>
      <c r="D58" s="1380" t="s">
        <v>3588</v>
      </c>
      <c r="E58" s="1370"/>
      <c r="F58" s="906"/>
      <c r="G58" s="908"/>
      <c r="H58" s="908"/>
      <c r="I58" s="1371">
        <f>SUM(DevSourcesTbl[[#This Row],[Residential Amount]],DevSourcesTbl[[#This Row],[Commercial Amount]])</f>
        <v>0</v>
      </c>
      <c r="J58" s="580"/>
      <c r="K58" s="570"/>
      <c r="L58" s="584"/>
      <c r="M58" s="580"/>
      <c r="N58" s="1566"/>
      <c r="O58" s="1566"/>
      <c r="P58" s="1566"/>
      <c r="Q58" s="1566"/>
      <c r="R58" s="282"/>
      <c r="S58" s="581"/>
      <c r="T58" s="577"/>
      <c r="U58" s="911"/>
      <c r="V58" s="912"/>
      <c r="W58" s="316"/>
      <c r="X58" s="316"/>
      <c r="Y58" s="316"/>
      <c r="Z58" s="316"/>
      <c r="AA58" s="317"/>
      <c r="AB58" s="317"/>
      <c r="AC58" s="317"/>
      <c r="AD58" s="43"/>
    </row>
    <row r="59" spans="1:30" ht="17.399999999999999">
      <c r="A59" s="66"/>
      <c r="B59" s="1369" t="str">
        <f>IF(DevSourcesTbl[[#This Row],[Committed?]]&gt;0,"Permanent","")</f>
        <v/>
      </c>
      <c r="C59" s="1579"/>
      <c r="D59" s="1380" t="s">
        <v>3590</v>
      </c>
      <c r="E59" s="1370"/>
      <c r="F59" s="906"/>
      <c r="G59" s="908"/>
      <c r="H59" s="908"/>
      <c r="I59" s="1371">
        <f>SUM(DevSourcesTbl[[#This Row],[Residential Amount]],DevSourcesTbl[[#This Row],[Commercial Amount]])</f>
        <v>0</v>
      </c>
      <c r="J59" s="580"/>
      <c r="K59" s="570"/>
      <c r="L59" s="584"/>
      <c r="M59" s="580"/>
      <c r="N59" s="1566"/>
      <c r="O59" s="1566"/>
      <c r="P59" s="1566"/>
      <c r="Q59" s="1566"/>
      <c r="R59" s="282"/>
      <c r="S59" s="581"/>
      <c r="T59" s="577"/>
      <c r="U59" s="911"/>
      <c r="V59" s="912"/>
      <c r="W59" s="316"/>
      <c r="X59" s="316"/>
      <c r="Y59" s="316"/>
      <c r="Z59" s="316"/>
      <c r="AA59" s="317"/>
      <c r="AB59" s="317"/>
      <c r="AC59" s="317"/>
      <c r="AD59" s="43"/>
    </row>
    <row r="60" spans="1:30" ht="17.399999999999999">
      <c r="A60" s="66"/>
      <c r="B60" s="1369" t="str">
        <f>IF(DevSourcesTbl[[#This Row],[Committed?]]&gt;0,"Permanent","")</f>
        <v/>
      </c>
      <c r="C60" s="1579"/>
      <c r="D60" s="1380" t="s">
        <v>3591</v>
      </c>
      <c r="E60" s="1370"/>
      <c r="F60" s="906"/>
      <c r="G60" s="908"/>
      <c r="H60" s="908"/>
      <c r="I60" s="1371">
        <f>SUM(DevSourcesTbl[[#This Row],[Residential Amount]],DevSourcesTbl[[#This Row],[Commercial Amount]])</f>
        <v>0</v>
      </c>
      <c r="J60" s="580"/>
      <c r="K60" s="570"/>
      <c r="L60" s="584"/>
      <c r="M60" s="580"/>
      <c r="N60" s="1566"/>
      <c r="O60" s="1566"/>
      <c r="P60" s="1566"/>
      <c r="Q60" s="1566"/>
      <c r="R60" s="282"/>
      <c r="S60" s="581"/>
      <c r="T60" s="577"/>
      <c r="U60" s="911"/>
      <c r="V60" s="912"/>
      <c r="W60" s="316"/>
      <c r="X60" s="316"/>
      <c r="Y60" s="316"/>
      <c r="Z60" s="316"/>
      <c r="AA60" s="317"/>
      <c r="AB60" s="317"/>
      <c r="AC60" s="317"/>
      <c r="AD60" s="43"/>
    </row>
    <row r="61" spans="1:30" thickBot="1">
      <c r="A61" s="66"/>
      <c r="B61" s="1369" t="str">
        <f>IF(DevSourcesTbl[[#This Row],[Committed?]]&gt;0,"Permanent","")</f>
        <v/>
      </c>
      <c r="C61" s="571"/>
      <c r="D61" s="574" t="s">
        <v>3592</v>
      </c>
      <c r="E61" s="1370"/>
      <c r="F61" s="564"/>
      <c r="G61" s="908"/>
      <c r="H61" s="908"/>
      <c r="I61" s="1371">
        <f>SUM(DevSourcesTbl[[#This Row],[Residential Amount]],DevSourcesTbl[[#This Row],[Commercial Amount]])</f>
        <v>0</v>
      </c>
      <c r="J61" s="603"/>
      <c r="K61" s="570"/>
      <c r="L61" s="605"/>
      <c r="M61" s="603"/>
      <c r="N61" s="606"/>
      <c r="O61" s="606"/>
      <c r="P61" s="606"/>
      <c r="Q61" s="606"/>
      <c r="R61" s="604"/>
      <c r="S61" s="607"/>
      <c r="T61" s="577"/>
      <c r="U61" s="913"/>
      <c r="V61" s="914"/>
      <c r="W61" s="316"/>
      <c r="X61" s="316"/>
      <c r="Y61" s="316"/>
      <c r="Z61" s="316"/>
      <c r="AA61" s="317"/>
      <c r="AB61" s="317"/>
      <c r="AC61" s="317"/>
      <c r="AD61" s="43"/>
    </row>
    <row r="62" spans="1:30" ht="17.399999999999999">
      <c r="A62" s="66"/>
      <c r="B62" s="316"/>
      <c r="C62" s="316"/>
      <c r="D62" s="560"/>
      <c r="E62" s="558"/>
      <c r="F62" s="558"/>
      <c r="G62" s="558"/>
      <c r="H62" s="558"/>
      <c r="I62" s="316"/>
      <c r="J62" s="316"/>
      <c r="K62" s="316"/>
      <c r="L62" s="316"/>
      <c r="M62" s="316"/>
      <c r="N62" s="316"/>
      <c r="O62" s="316"/>
      <c r="P62" s="316"/>
      <c r="Q62" s="316"/>
      <c r="R62" s="316"/>
      <c r="S62" s="316"/>
      <c r="T62" s="558"/>
      <c r="U62" s="316"/>
      <c r="V62" s="316"/>
      <c r="W62" s="316"/>
      <c r="X62" s="316"/>
      <c r="Y62" s="316"/>
      <c r="Z62" s="316"/>
      <c r="AA62" s="317"/>
      <c r="AB62" s="317"/>
      <c r="AC62" s="317"/>
      <c r="AD62" s="43"/>
    </row>
    <row r="63" spans="1:30" s="865" customFormat="1" ht="17.399999999999999">
      <c r="A63" s="66"/>
      <c r="B63" s="2569" t="s">
        <v>3599</v>
      </c>
      <c r="C63" s="2569"/>
      <c r="D63" s="2569"/>
      <c r="E63" s="2569"/>
      <c r="F63" s="2569"/>
      <c r="G63" s="2569"/>
      <c r="H63" s="2569"/>
      <c r="I63" s="2569"/>
      <c r="J63" s="2569"/>
      <c r="K63" s="2569"/>
      <c r="L63" s="2569"/>
      <c r="M63" s="2569"/>
      <c r="N63" s="2569"/>
      <c r="O63" s="2569"/>
      <c r="P63" s="2569"/>
      <c r="Q63" s="2569"/>
      <c r="R63" s="316"/>
      <c r="S63" s="316"/>
      <c r="T63" s="558"/>
      <c r="U63" s="316"/>
      <c r="V63" s="316"/>
      <c r="W63" s="316"/>
      <c r="X63" s="316"/>
      <c r="Y63" s="316"/>
      <c r="Z63" s="316"/>
      <c r="AA63" s="317"/>
      <c r="AB63" s="317"/>
      <c r="AC63" s="317"/>
      <c r="AD63" s="43"/>
    </row>
    <row r="64" spans="1:30" s="865" customFormat="1" ht="54" customHeight="1">
      <c r="A64" s="66"/>
      <c r="B64" s="2570"/>
      <c r="C64" s="2570"/>
      <c r="D64" s="2570"/>
      <c r="E64" s="2570"/>
      <c r="F64" s="2570"/>
      <c r="G64" s="2570"/>
      <c r="H64" s="2570"/>
      <c r="I64" s="2570"/>
      <c r="J64" s="2570"/>
      <c r="K64" s="2570"/>
      <c r="L64" s="2570"/>
      <c r="M64" s="2570"/>
      <c r="N64" s="2570"/>
      <c r="O64" s="2570"/>
      <c r="P64" s="2570"/>
      <c r="Q64" s="2570"/>
      <c r="R64" s="316"/>
      <c r="S64" s="316"/>
      <c r="T64" s="558"/>
      <c r="U64" s="316"/>
      <c r="V64" s="316"/>
      <c r="W64" s="316"/>
      <c r="X64" s="316"/>
      <c r="Y64" s="316"/>
      <c r="Z64" s="316"/>
      <c r="AA64" s="317"/>
      <c r="AB64" s="317"/>
      <c r="AC64" s="317"/>
      <c r="AD64" s="43"/>
    </row>
    <row r="65" spans="1:31" s="865" customFormat="1" ht="14.4">
      <c r="A65" s="66"/>
      <c r="B65" s="873"/>
      <c r="C65" s="873"/>
      <c r="D65" s="874"/>
      <c r="E65" s="875"/>
      <c r="F65" s="875"/>
      <c r="G65" s="875"/>
      <c r="H65" s="875"/>
      <c r="I65" s="873"/>
      <c r="J65" s="873"/>
      <c r="K65" s="873"/>
      <c r="L65" s="873"/>
      <c r="M65" s="873"/>
      <c r="N65" s="873"/>
      <c r="O65" s="873"/>
      <c r="P65" s="873"/>
      <c r="Q65" s="873"/>
      <c r="R65" s="873"/>
      <c r="S65" s="873"/>
      <c r="T65" s="875"/>
      <c r="U65" s="873"/>
      <c r="V65" s="873"/>
      <c r="W65" s="873"/>
      <c r="X65" s="873"/>
      <c r="Y65" s="873"/>
      <c r="Z65" s="873"/>
      <c r="AA65" s="876"/>
      <c r="AB65" s="876"/>
      <c r="AC65" s="876"/>
      <c r="AD65" s="43"/>
      <c r="AE65" s="1285"/>
    </row>
    <row r="66" spans="1:31" s="865" customFormat="1" ht="14.4">
      <c r="A66" s="66"/>
      <c r="B66" s="873"/>
      <c r="C66" s="873"/>
      <c r="D66" s="874"/>
      <c r="E66" s="875"/>
      <c r="F66" s="875"/>
      <c r="G66" s="875"/>
      <c r="H66" s="875"/>
      <c r="I66" s="873"/>
      <c r="J66" s="873"/>
      <c r="K66" s="873"/>
      <c r="L66" s="873"/>
      <c r="M66" s="873"/>
      <c r="N66" s="873"/>
      <c r="O66" s="873"/>
      <c r="P66" s="873"/>
      <c r="Q66" s="873"/>
      <c r="R66" s="873"/>
      <c r="S66" s="873"/>
      <c r="T66" s="875"/>
      <c r="U66" s="873"/>
      <c r="V66" s="873"/>
      <c r="W66" s="873"/>
      <c r="X66" s="873"/>
      <c r="Y66" s="873"/>
      <c r="Z66" s="873"/>
      <c r="AA66" s="876"/>
      <c r="AB66" s="876"/>
      <c r="AC66" s="876"/>
      <c r="AD66" s="43"/>
      <c r="AE66" s="1285"/>
    </row>
    <row r="67" spans="1:31" s="865" customFormat="1" ht="14.4">
      <c r="A67" s="66"/>
      <c r="B67" s="873"/>
      <c r="C67" s="873"/>
      <c r="D67" s="874"/>
      <c r="E67" s="875"/>
      <c r="F67" s="875"/>
      <c r="G67" s="875"/>
      <c r="H67" s="875"/>
      <c r="I67" s="873"/>
      <c r="J67" s="873"/>
      <c r="K67" s="873"/>
      <c r="L67" s="873"/>
      <c r="M67" s="873"/>
      <c r="N67" s="873"/>
      <c r="O67" s="873"/>
      <c r="P67" s="873"/>
      <c r="Q67" s="873"/>
      <c r="R67" s="873"/>
      <c r="S67" s="873"/>
      <c r="T67" s="875"/>
      <c r="U67" s="873"/>
      <c r="V67" s="873"/>
      <c r="W67" s="873"/>
      <c r="X67" s="873"/>
      <c r="Y67" s="873"/>
      <c r="Z67" s="873"/>
      <c r="AA67" s="876"/>
      <c r="AB67" s="876"/>
      <c r="AC67" s="876"/>
      <c r="AD67" s="43"/>
      <c r="AE67" s="1285"/>
    </row>
    <row r="68" spans="1:31" ht="17.399999999999999">
      <c r="A68" s="66"/>
      <c r="B68" s="2549" t="s">
        <v>639</v>
      </c>
      <c r="C68" s="2550"/>
      <c r="D68" s="2550"/>
      <c r="E68" s="2550"/>
      <c r="F68" s="2550"/>
      <c r="G68" s="2550"/>
      <c r="H68" s="2550"/>
      <c r="I68" s="2550"/>
      <c r="J68" s="316"/>
      <c r="K68" s="316"/>
      <c r="L68" s="316"/>
      <c r="M68" s="316"/>
      <c r="N68" s="316"/>
      <c r="O68" s="316"/>
      <c r="P68" s="316"/>
      <c r="Q68" s="316"/>
      <c r="R68" s="316"/>
      <c r="S68" s="316"/>
      <c r="T68" s="558"/>
      <c r="U68" s="316"/>
      <c r="V68" s="316"/>
      <c r="W68" s="316"/>
      <c r="X68" s="316"/>
      <c r="Y68" s="316"/>
      <c r="Z68" s="316"/>
      <c r="AA68" s="317"/>
      <c r="AB68" s="317"/>
      <c r="AC68" s="317"/>
      <c r="AD68" s="43"/>
      <c r="AE68" s="1285"/>
    </row>
    <row r="69" spans="1:31" ht="17.399999999999999">
      <c r="A69" s="66"/>
      <c r="B69" s="316"/>
      <c r="C69" s="316"/>
      <c r="D69" s="560"/>
      <c r="E69" s="558"/>
      <c r="F69" s="558"/>
      <c r="G69" s="558"/>
      <c r="H69" s="558"/>
      <c r="I69" s="316"/>
      <c r="J69" s="316"/>
      <c r="K69" s="316"/>
      <c r="L69" s="316"/>
      <c r="M69" s="316"/>
      <c r="N69" s="316"/>
      <c r="O69" s="316"/>
      <c r="P69" s="316"/>
      <c r="Q69" s="316"/>
      <c r="R69" s="316"/>
      <c r="S69" s="316"/>
      <c r="T69" s="558"/>
      <c r="U69" s="316"/>
      <c r="V69" s="316"/>
      <c r="W69" s="316"/>
      <c r="X69" s="316"/>
      <c r="Y69" s="316"/>
      <c r="Z69" s="316"/>
      <c r="AA69" s="317"/>
      <c r="AB69" s="317"/>
      <c r="AC69" s="317"/>
      <c r="AD69" s="43"/>
      <c r="AE69" s="1285"/>
    </row>
    <row r="70" spans="1:31" ht="17.399999999999999">
      <c r="A70" s="66"/>
      <c r="B70" s="316"/>
      <c r="C70" s="316"/>
      <c r="D70" s="560"/>
      <c r="E70" s="558"/>
      <c r="F70" s="558"/>
      <c r="G70" s="558"/>
      <c r="H70" s="558"/>
      <c r="I70" s="316"/>
      <c r="J70" s="316"/>
      <c r="K70" s="316"/>
      <c r="L70" s="316"/>
      <c r="M70" s="316"/>
      <c r="N70" s="316"/>
      <c r="O70" s="316"/>
      <c r="P70" s="316"/>
      <c r="Q70" s="316"/>
      <c r="R70" s="316"/>
      <c r="S70" s="316"/>
      <c r="T70" s="558"/>
      <c r="U70" s="316"/>
      <c r="V70" s="316"/>
      <c r="W70" s="316"/>
      <c r="X70" s="316"/>
      <c r="Y70" s="316"/>
      <c r="Z70" s="316"/>
      <c r="AA70" s="317"/>
      <c r="AB70" s="317"/>
      <c r="AC70" s="317"/>
      <c r="AD70" s="43"/>
      <c r="AE70" s="1285"/>
    </row>
    <row r="71" spans="1:31" ht="17.399999999999999">
      <c r="A71" s="66"/>
      <c r="B71" s="316"/>
      <c r="C71" s="316"/>
      <c r="D71" s="560"/>
      <c r="E71" s="558"/>
      <c r="F71" s="558"/>
      <c r="G71" s="558"/>
      <c r="H71" s="558"/>
      <c r="I71" s="316"/>
      <c r="J71" s="316"/>
      <c r="K71" s="316"/>
      <c r="L71" s="316"/>
      <c r="M71" s="316"/>
      <c r="N71" s="316"/>
      <c r="O71" s="316"/>
      <c r="P71" s="316"/>
      <c r="Q71" s="316"/>
      <c r="R71" s="316"/>
      <c r="S71" s="316"/>
      <c r="T71" s="558"/>
      <c r="U71" s="316"/>
      <c r="V71" s="316"/>
      <c r="W71" s="316"/>
      <c r="X71" s="316"/>
      <c r="Y71" s="316"/>
      <c r="Z71" s="316"/>
      <c r="AA71" s="317"/>
      <c r="AB71" s="317"/>
      <c r="AC71" s="317"/>
      <c r="AD71" s="43"/>
      <c r="AE71" s="1285"/>
    </row>
    <row r="72" spans="1:31" ht="18" customHeight="1">
      <c r="B72" s="1285"/>
      <c r="C72" s="46"/>
      <c r="D72" s="567"/>
      <c r="E72" s="45"/>
      <c r="F72" s="568"/>
      <c r="G72" s="568"/>
      <c r="H72" s="568"/>
      <c r="I72" s="46"/>
      <c r="J72" s="46"/>
      <c r="K72" s="46"/>
      <c r="L72" s="46"/>
      <c r="M72" s="46"/>
      <c r="N72" s="46"/>
      <c r="O72" s="46"/>
      <c r="P72" s="46"/>
      <c r="Q72" s="46"/>
      <c r="R72" s="46"/>
      <c r="S72" s="46"/>
      <c r="T72" s="45"/>
      <c r="U72" s="46"/>
      <c r="V72" s="46"/>
      <c r="W72" s="46"/>
      <c r="X72" s="46"/>
      <c r="Y72" s="46"/>
      <c r="Z72" s="46"/>
      <c r="AA72" s="46"/>
      <c r="AB72" s="46"/>
      <c r="AC72" s="46"/>
      <c r="AD72" s="43"/>
      <c r="AE72" s="1285"/>
    </row>
    <row r="73" spans="1:31" ht="18" customHeight="1">
      <c r="B73" s="46"/>
      <c r="C73" s="46"/>
      <c r="D73" s="567"/>
      <c r="E73" s="45"/>
      <c r="F73" s="568"/>
      <c r="G73" s="568"/>
      <c r="H73" s="568"/>
      <c r="I73" s="46"/>
      <c r="J73" s="46"/>
      <c r="K73" s="46"/>
      <c r="L73" s="46"/>
      <c r="M73" s="46"/>
      <c r="N73" s="46"/>
      <c r="O73" s="46"/>
      <c r="P73" s="46"/>
      <c r="Q73" s="46"/>
      <c r="R73" s="46"/>
      <c r="S73" s="46"/>
      <c r="T73" s="45"/>
      <c r="U73" s="46"/>
      <c r="V73" s="46"/>
      <c r="W73" s="46"/>
      <c r="X73" s="46"/>
      <c r="Y73" s="46"/>
      <c r="Z73" s="46"/>
      <c r="AA73" s="46"/>
      <c r="AB73" s="46"/>
      <c r="AC73" s="46"/>
      <c r="AD73" s="1285"/>
      <c r="AE73" s="46"/>
    </row>
    <row r="74" spans="1:31" ht="18" customHeight="1">
      <c r="B74" s="46"/>
      <c r="C74" s="46"/>
      <c r="D74" s="567"/>
      <c r="E74" s="45"/>
      <c r="F74" s="568"/>
      <c r="G74" s="568"/>
      <c r="H74" s="568"/>
      <c r="I74" s="46"/>
      <c r="J74" s="46"/>
      <c r="K74" s="46"/>
      <c r="L74" s="46"/>
      <c r="M74" s="46"/>
      <c r="N74" s="46"/>
      <c r="O74" s="46"/>
      <c r="P74" s="46"/>
      <c r="Q74" s="46"/>
      <c r="R74" s="46"/>
      <c r="S74" s="46"/>
      <c r="T74" s="45"/>
      <c r="U74" s="46"/>
      <c r="V74" s="46"/>
      <c r="W74" s="46"/>
      <c r="X74" s="46"/>
      <c r="Y74" s="46"/>
      <c r="Z74" s="46"/>
      <c r="AA74" s="46"/>
      <c r="AB74" s="46"/>
      <c r="AC74" s="46"/>
      <c r="AD74" s="46"/>
      <c r="AE74" s="46"/>
    </row>
    <row r="75" spans="1:31" ht="18" customHeight="1">
      <c r="B75" s="45"/>
      <c r="C75" s="46"/>
      <c r="D75" s="567"/>
      <c r="E75" s="45"/>
      <c r="F75" s="568"/>
      <c r="G75" s="568"/>
      <c r="H75" s="568"/>
      <c r="I75" s="46"/>
      <c r="J75" s="46"/>
      <c r="K75" s="46"/>
      <c r="L75" s="46"/>
      <c r="M75" s="46"/>
      <c r="N75" s="46"/>
      <c r="O75" s="46"/>
      <c r="P75" s="46"/>
      <c r="Q75" s="46"/>
      <c r="R75" s="46"/>
      <c r="S75" s="46"/>
      <c r="T75" s="45"/>
      <c r="U75" s="46"/>
      <c r="V75" s="46"/>
      <c r="W75" s="46"/>
      <c r="X75" s="46"/>
      <c r="Y75" s="46"/>
      <c r="Z75" s="46"/>
      <c r="AA75" s="46"/>
      <c r="AB75" s="46"/>
      <c r="AC75" s="46"/>
      <c r="AD75" s="46"/>
      <c r="AE75" s="46"/>
    </row>
    <row r="76" spans="1:31" ht="18" customHeight="1">
      <c r="B76" s="46"/>
      <c r="C76" s="46"/>
      <c r="D76" s="567"/>
      <c r="E76" s="45"/>
      <c r="F76" s="568"/>
      <c r="G76" s="568"/>
      <c r="H76" s="568"/>
      <c r="I76" s="46"/>
      <c r="J76" s="46"/>
      <c r="K76" s="46"/>
      <c r="L76" s="46"/>
      <c r="M76" s="46"/>
      <c r="N76" s="46"/>
      <c r="O76" s="46"/>
      <c r="P76" s="46"/>
      <c r="Q76" s="46"/>
      <c r="R76" s="46"/>
      <c r="S76" s="46"/>
      <c r="T76" s="45"/>
      <c r="U76" s="46"/>
      <c r="V76" s="46"/>
      <c r="W76" s="46"/>
      <c r="X76" s="46"/>
      <c r="Y76" s="46"/>
      <c r="Z76" s="46"/>
      <c r="AA76" s="46"/>
      <c r="AB76" s="46"/>
      <c r="AC76" s="46"/>
      <c r="AD76" s="46"/>
      <c r="AE76" s="46"/>
    </row>
    <row r="77" spans="1:31" ht="18" customHeight="1">
      <c r="B77" s="45"/>
      <c r="C77" s="46"/>
      <c r="D77" s="567"/>
      <c r="E77" s="45"/>
      <c r="F77" s="568"/>
      <c r="G77" s="568"/>
      <c r="H77" s="568"/>
      <c r="I77" s="46"/>
      <c r="J77" s="46"/>
      <c r="K77" s="46"/>
      <c r="L77" s="46"/>
      <c r="M77" s="46"/>
      <c r="N77" s="46"/>
      <c r="O77" s="46"/>
      <c r="P77" s="46"/>
      <c r="Q77" s="46"/>
      <c r="R77" s="46"/>
      <c r="S77" s="46"/>
      <c r="T77" s="45"/>
      <c r="U77" s="46"/>
      <c r="V77" s="46"/>
      <c r="W77" s="46"/>
      <c r="X77" s="46"/>
      <c r="Y77" s="46"/>
      <c r="Z77" s="46"/>
      <c r="AA77" s="46"/>
      <c r="AB77" s="46"/>
      <c r="AC77" s="46"/>
      <c r="AD77" s="46"/>
      <c r="AE77" s="46"/>
    </row>
    <row r="78" spans="1:31" ht="18" customHeight="1">
      <c r="B78" s="46"/>
      <c r="C78" s="46"/>
      <c r="D78" s="567"/>
      <c r="E78" s="45"/>
      <c r="F78" s="568"/>
      <c r="G78" s="568"/>
      <c r="H78" s="568"/>
      <c r="I78" s="46"/>
      <c r="J78" s="46"/>
      <c r="K78" s="46"/>
      <c r="L78" s="46"/>
      <c r="M78" s="46"/>
      <c r="N78" s="46"/>
      <c r="O78" s="46"/>
      <c r="P78" s="46"/>
      <c r="Q78" s="46"/>
      <c r="R78" s="46"/>
      <c r="S78" s="46"/>
      <c r="T78" s="45"/>
      <c r="U78" s="46"/>
      <c r="V78" s="46"/>
      <c r="W78" s="46"/>
      <c r="X78" s="46"/>
      <c r="Y78" s="46"/>
      <c r="Z78" s="46"/>
      <c r="AA78" s="46"/>
      <c r="AB78" s="46"/>
      <c r="AC78" s="46"/>
      <c r="AD78" s="46"/>
      <c r="AE78" s="46"/>
    </row>
    <row r="79" spans="1:31" ht="18" customHeight="1">
      <c r="B79" s="46"/>
      <c r="C79" s="46"/>
      <c r="D79" s="567"/>
      <c r="E79" s="45"/>
      <c r="F79" s="568"/>
      <c r="G79" s="568"/>
      <c r="H79" s="568"/>
      <c r="I79" s="46"/>
      <c r="J79" s="46"/>
      <c r="K79" s="46"/>
      <c r="L79" s="46"/>
      <c r="M79" s="46"/>
      <c r="N79" s="46"/>
      <c r="O79" s="46"/>
      <c r="P79" s="46"/>
      <c r="Q79" s="46"/>
      <c r="R79" s="46"/>
      <c r="S79" s="46"/>
      <c r="T79" s="45"/>
      <c r="U79" s="46"/>
      <c r="V79" s="46"/>
      <c r="W79" s="46"/>
      <c r="X79" s="46"/>
      <c r="Y79" s="46"/>
      <c r="Z79" s="46"/>
      <c r="AA79" s="46"/>
      <c r="AB79" s="46"/>
      <c r="AC79" s="46"/>
      <c r="AD79" s="1285"/>
      <c r="AE79" s="46"/>
    </row>
    <row r="80" spans="1:31" ht="18" customHeight="1">
      <c r="B80" s="46"/>
      <c r="C80" s="46"/>
      <c r="D80" s="567"/>
      <c r="E80" s="45"/>
      <c r="F80" s="568"/>
      <c r="G80" s="568"/>
      <c r="H80" s="568"/>
      <c r="I80" s="46"/>
      <c r="J80" s="46"/>
      <c r="K80" s="46"/>
      <c r="L80" s="46"/>
      <c r="M80" s="46"/>
      <c r="N80" s="46"/>
      <c r="O80" s="46"/>
      <c r="P80" s="46"/>
      <c r="Q80" s="46"/>
      <c r="R80" s="46"/>
      <c r="S80" s="46"/>
      <c r="T80" s="45"/>
      <c r="U80" s="46"/>
      <c r="V80" s="46"/>
      <c r="W80" s="46"/>
      <c r="X80" s="46"/>
      <c r="Y80" s="46"/>
      <c r="Z80" s="46"/>
      <c r="AA80" s="46"/>
      <c r="AB80" s="46"/>
      <c r="AC80" s="46"/>
      <c r="AD80" s="46"/>
      <c r="AE80" s="46"/>
    </row>
    <row r="81" spans="2:31" ht="18" customHeight="1">
      <c r="B81" s="46"/>
      <c r="C81" s="46"/>
      <c r="D81" s="567"/>
      <c r="E81" s="45"/>
      <c r="F81" s="568"/>
      <c r="G81" s="568"/>
      <c r="H81" s="568"/>
      <c r="I81" s="46"/>
      <c r="J81" s="46"/>
      <c r="K81" s="46"/>
      <c r="L81" s="46"/>
      <c r="M81" s="46"/>
      <c r="N81" s="46"/>
      <c r="O81" s="46"/>
      <c r="P81" s="46"/>
      <c r="Q81" s="46"/>
      <c r="R81" s="46"/>
      <c r="S81" s="46"/>
      <c r="T81" s="45"/>
      <c r="U81" s="46"/>
      <c r="V81" s="46"/>
      <c r="W81" s="46"/>
      <c r="X81" s="46"/>
      <c r="Y81" s="46"/>
      <c r="Z81" s="46"/>
      <c r="AA81" s="46"/>
      <c r="AB81" s="46"/>
      <c r="AC81" s="46"/>
      <c r="AD81" s="46"/>
      <c r="AE81" s="46"/>
    </row>
    <row r="82" spans="2:31" ht="18" customHeight="1">
      <c r="B82" s="46"/>
      <c r="C82" s="46"/>
      <c r="D82" s="567"/>
      <c r="E82" s="45"/>
      <c r="F82" s="568"/>
      <c r="G82" s="568"/>
      <c r="H82" s="568"/>
      <c r="I82" s="46"/>
      <c r="J82" s="46"/>
      <c r="K82" s="46"/>
      <c r="L82" s="46"/>
      <c r="M82" s="46"/>
      <c r="N82" s="46"/>
      <c r="O82" s="46"/>
      <c r="P82" s="46"/>
      <c r="Q82" s="46"/>
      <c r="R82" s="46"/>
      <c r="S82" s="46"/>
      <c r="T82" s="45"/>
      <c r="U82" s="46"/>
      <c r="V82" s="46"/>
      <c r="W82" s="46"/>
      <c r="X82" s="46"/>
      <c r="Y82" s="46"/>
      <c r="Z82" s="46"/>
      <c r="AA82" s="46"/>
      <c r="AB82" s="46"/>
      <c r="AC82" s="46"/>
      <c r="AD82" s="46"/>
      <c r="AE82" s="46"/>
    </row>
    <row r="83" spans="2:31" ht="18" customHeight="1">
      <c r="B83" s="46"/>
      <c r="C83" s="46"/>
      <c r="D83" s="567"/>
      <c r="E83" s="45"/>
      <c r="F83" s="568"/>
      <c r="G83" s="568"/>
      <c r="H83" s="568"/>
      <c r="I83" s="46"/>
      <c r="J83" s="46"/>
      <c r="K83" s="46"/>
      <c r="L83" s="46"/>
      <c r="M83" s="46"/>
      <c r="N83" s="46"/>
      <c r="O83" s="46"/>
      <c r="P83" s="46"/>
      <c r="Q83" s="46"/>
      <c r="R83" s="46"/>
      <c r="S83" s="46"/>
      <c r="T83" s="45"/>
      <c r="U83" s="46"/>
      <c r="V83" s="46"/>
      <c r="W83" s="46"/>
      <c r="X83" s="46"/>
      <c r="Y83" s="46"/>
      <c r="Z83" s="46"/>
      <c r="AA83" s="46"/>
      <c r="AB83" s="46"/>
      <c r="AC83" s="46"/>
      <c r="AD83" s="46"/>
      <c r="AE83" s="46"/>
    </row>
    <row r="84" spans="2:31" ht="18" customHeight="1">
      <c r="B84" s="45"/>
      <c r="C84" s="46"/>
      <c r="D84" s="567"/>
      <c r="E84" s="45"/>
      <c r="F84" s="568"/>
      <c r="G84" s="568"/>
      <c r="H84" s="568"/>
      <c r="I84" s="46"/>
      <c r="J84" s="46"/>
      <c r="K84" s="46"/>
      <c r="L84" s="46"/>
      <c r="M84" s="46"/>
      <c r="N84" s="46"/>
      <c r="O84" s="46"/>
      <c r="P84" s="46"/>
      <c r="Q84" s="46"/>
      <c r="R84" s="46"/>
      <c r="S84" s="46"/>
      <c r="T84" s="45"/>
      <c r="U84" s="46"/>
      <c r="V84" s="46"/>
      <c r="W84" s="46"/>
      <c r="X84" s="46"/>
      <c r="Y84" s="46"/>
      <c r="Z84" s="46"/>
      <c r="AA84" s="46"/>
      <c r="AB84" s="46"/>
      <c r="AC84" s="46"/>
      <c r="AD84" s="46"/>
      <c r="AE84" s="46"/>
    </row>
    <row r="85" spans="2:31" ht="18" customHeight="1">
      <c r="B85" s="47"/>
      <c r="C85" s="46"/>
      <c r="D85" s="567"/>
      <c r="E85" s="45"/>
      <c r="F85" s="568"/>
      <c r="G85" s="568"/>
      <c r="H85" s="568"/>
      <c r="I85" s="46"/>
      <c r="J85" s="46"/>
      <c r="K85" s="46"/>
      <c r="L85" s="46"/>
      <c r="M85" s="46"/>
      <c r="N85" s="46"/>
      <c r="O85" s="46"/>
      <c r="P85" s="46"/>
      <c r="Q85" s="46"/>
      <c r="R85" s="46"/>
      <c r="S85" s="46"/>
      <c r="T85" s="45"/>
      <c r="U85" s="46"/>
      <c r="V85" s="46"/>
      <c r="W85" s="46"/>
      <c r="X85" s="46"/>
      <c r="Y85" s="46"/>
      <c r="Z85" s="46"/>
      <c r="AA85" s="46"/>
      <c r="AB85" s="46"/>
      <c r="AC85" s="46"/>
      <c r="AD85" s="46"/>
      <c r="AE85" s="46"/>
    </row>
    <row r="86" spans="2:31" ht="18" customHeight="1">
      <c r="B86" s="48"/>
      <c r="C86" s="46"/>
      <c r="D86" s="567"/>
      <c r="E86" s="45"/>
      <c r="F86" s="568"/>
      <c r="G86" s="568"/>
      <c r="H86" s="568"/>
      <c r="I86" s="46"/>
      <c r="J86" s="46"/>
      <c r="K86" s="46"/>
      <c r="L86" s="46"/>
      <c r="M86" s="46"/>
      <c r="N86" s="46"/>
      <c r="O86" s="46"/>
      <c r="P86" s="46"/>
      <c r="Q86" s="46"/>
      <c r="R86" s="46"/>
      <c r="S86" s="46"/>
      <c r="T86" s="45"/>
      <c r="U86" s="46"/>
      <c r="V86" s="46"/>
      <c r="W86" s="46"/>
      <c r="X86" s="46"/>
      <c r="Y86" s="46"/>
      <c r="Z86" s="46"/>
      <c r="AA86" s="46"/>
      <c r="AB86" s="46"/>
      <c r="AC86" s="46"/>
      <c r="AD86" s="1285"/>
      <c r="AE86" s="46"/>
    </row>
    <row r="87" spans="2:31" ht="18" customHeight="1">
      <c r="B87" s="46"/>
      <c r="C87" s="46"/>
      <c r="D87" s="567"/>
      <c r="E87" s="45"/>
      <c r="F87" s="568"/>
      <c r="G87" s="568"/>
      <c r="H87" s="568"/>
      <c r="I87" s="46"/>
      <c r="J87" s="46"/>
      <c r="K87" s="46"/>
      <c r="L87" s="46"/>
      <c r="M87" s="46"/>
      <c r="N87" s="46"/>
      <c r="O87" s="46"/>
      <c r="P87" s="46"/>
      <c r="Q87" s="46"/>
      <c r="R87" s="46"/>
      <c r="S87" s="46"/>
      <c r="T87" s="45"/>
      <c r="U87" s="46"/>
      <c r="V87" s="46"/>
      <c r="W87" s="46"/>
      <c r="X87" s="46"/>
      <c r="Y87" s="46"/>
      <c r="Z87" s="46"/>
      <c r="AA87" s="46"/>
      <c r="AB87" s="46"/>
      <c r="AC87" s="46"/>
      <c r="AD87" s="46"/>
      <c r="AE87" s="46"/>
    </row>
    <row r="88" spans="2:31" ht="18" customHeight="1">
      <c r="B88" s="46"/>
      <c r="C88" s="46"/>
      <c r="D88" s="567"/>
      <c r="E88" s="45"/>
      <c r="F88" s="568"/>
      <c r="G88" s="568"/>
      <c r="H88" s="568"/>
      <c r="I88" s="46"/>
      <c r="J88" s="46"/>
      <c r="K88" s="46"/>
      <c r="L88" s="46"/>
      <c r="M88" s="46"/>
      <c r="N88" s="46"/>
      <c r="O88" s="46"/>
      <c r="P88" s="46"/>
      <c r="Q88" s="46"/>
      <c r="R88" s="46"/>
      <c r="S88" s="46"/>
      <c r="T88" s="45"/>
      <c r="U88" s="46"/>
      <c r="V88" s="46"/>
      <c r="W88" s="46"/>
      <c r="X88" s="46"/>
      <c r="Y88" s="46"/>
      <c r="Z88" s="46"/>
      <c r="AA88" s="46"/>
      <c r="AB88" s="46"/>
      <c r="AC88" s="46"/>
      <c r="AD88" s="46"/>
      <c r="AE88" s="46"/>
    </row>
    <row r="89" spans="2:31" ht="18" customHeight="1">
      <c r="B89" s="46"/>
      <c r="C89" s="46"/>
      <c r="D89" s="567"/>
      <c r="E89" s="45"/>
      <c r="F89" s="568"/>
      <c r="G89" s="568"/>
      <c r="H89" s="568"/>
      <c r="I89" s="46"/>
      <c r="J89" s="46"/>
      <c r="K89" s="46"/>
      <c r="L89" s="46"/>
      <c r="M89" s="46"/>
      <c r="N89" s="46"/>
      <c r="O89" s="46"/>
      <c r="P89" s="46"/>
      <c r="Q89" s="46"/>
      <c r="R89" s="46"/>
      <c r="S89" s="46"/>
      <c r="T89" s="45"/>
      <c r="U89" s="46"/>
      <c r="V89" s="46"/>
      <c r="W89" s="46"/>
      <c r="X89" s="46"/>
      <c r="Y89" s="46"/>
      <c r="Z89" s="46"/>
      <c r="AA89" s="46"/>
      <c r="AB89" s="46"/>
      <c r="AC89" s="46"/>
      <c r="AD89" s="46"/>
      <c r="AE89" s="46"/>
    </row>
    <row r="90" spans="2:31" ht="18" customHeight="1">
      <c r="B90" s="45"/>
      <c r="C90" s="46"/>
      <c r="D90" s="567"/>
      <c r="E90" s="45"/>
      <c r="F90" s="568"/>
      <c r="G90" s="568"/>
      <c r="H90" s="568"/>
      <c r="I90" s="46"/>
      <c r="J90" s="46"/>
      <c r="K90" s="46"/>
      <c r="L90" s="46"/>
      <c r="M90" s="46"/>
      <c r="N90" s="46"/>
      <c r="O90" s="46"/>
      <c r="P90" s="46"/>
      <c r="Q90" s="46"/>
      <c r="R90" s="46"/>
      <c r="S90" s="46"/>
      <c r="T90" s="45"/>
      <c r="U90" s="46"/>
      <c r="V90" s="46"/>
      <c r="W90" s="46"/>
      <c r="X90" s="46"/>
      <c r="Y90" s="46"/>
      <c r="Z90" s="46"/>
      <c r="AA90" s="46"/>
      <c r="AB90" s="46"/>
      <c r="AC90" s="46"/>
      <c r="AD90" s="46"/>
      <c r="AE90" s="46"/>
    </row>
    <row r="91" spans="2:31" ht="18" customHeight="1">
      <c r="B91" s="46"/>
      <c r="C91" s="46"/>
      <c r="D91" s="567"/>
      <c r="E91" s="45"/>
      <c r="F91" s="568"/>
      <c r="G91" s="568"/>
      <c r="H91" s="568"/>
      <c r="I91" s="46"/>
      <c r="J91" s="46"/>
      <c r="K91" s="46"/>
      <c r="L91" s="46"/>
      <c r="M91" s="46"/>
      <c r="N91" s="46"/>
      <c r="O91" s="46"/>
      <c r="P91" s="46"/>
      <c r="Q91" s="46"/>
      <c r="R91" s="46"/>
      <c r="S91" s="46"/>
      <c r="T91" s="45"/>
      <c r="U91" s="46"/>
      <c r="V91" s="46"/>
      <c r="W91" s="46"/>
      <c r="X91" s="46"/>
      <c r="Y91" s="46"/>
      <c r="Z91" s="46"/>
      <c r="AA91" s="46"/>
      <c r="AB91" s="46"/>
      <c r="AC91" s="46"/>
      <c r="AD91" s="46"/>
      <c r="AE91" s="46"/>
    </row>
    <row r="92" spans="2:31" ht="18" customHeight="1">
      <c r="B92" s="46"/>
      <c r="C92" s="46"/>
      <c r="D92" s="567"/>
      <c r="E92" s="45"/>
      <c r="F92" s="568"/>
      <c r="G92" s="568"/>
      <c r="H92" s="568"/>
      <c r="I92" s="46"/>
      <c r="J92" s="46"/>
      <c r="K92" s="46"/>
      <c r="L92" s="46"/>
      <c r="M92" s="46"/>
      <c r="N92" s="46"/>
      <c r="O92" s="46"/>
      <c r="P92" s="46"/>
      <c r="Q92" s="46"/>
      <c r="R92" s="46"/>
      <c r="S92" s="46"/>
      <c r="T92" s="45"/>
      <c r="U92" s="46"/>
      <c r="V92" s="46"/>
      <c r="W92" s="46"/>
      <c r="X92" s="46"/>
      <c r="Y92" s="46"/>
      <c r="Z92" s="46"/>
      <c r="AA92" s="46"/>
      <c r="AB92" s="46"/>
      <c r="AC92" s="46"/>
      <c r="AD92" s="1285"/>
      <c r="AE92" s="46"/>
    </row>
    <row r="93" spans="2:31" ht="18" customHeight="1">
      <c r="B93" s="46"/>
      <c r="C93" s="46"/>
      <c r="D93" s="567"/>
      <c r="E93" s="45"/>
      <c r="F93" s="568"/>
      <c r="G93" s="568"/>
      <c r="H93" s="568"/>
      <c r="I93" s="46"/>
      <c r="J93" s="46"/>
      <c r="K93" s="46"/>
      <c r="L93" s="46"/>
      <c r="M93" s="46"/>
      <c r="N93" s="46"/>
      <c r="O93" s="46"/>
      <c r="P93" s="46"/>
      <c r="Q93" s="46"/>
      <c r="R93" s="46"/>
      <c r="S93" s="46"/>
      <c r="T93" s="45"/>
      <c r="U93" s="46"/>
      <c r="V93" s="46"/>
      <c r="W93" s="46"/>
      <c r="X93" s="46"/>
      <c r="Y93" s="46"/>
      <c r="Z93" s="46"/>
      <c r="AA93" s="46"/>
      <c r="AB93" s="46"/>
      <c r="AC93" s="46"/>
      <c r="AD93" s="46"/>
      <c r="AE93" s="46"/>
    </row>
    <row r="94" spans="2:31" ht="18" customHeight="1">
      <c r="B94" s="46"/>
      <c r="C94" s="46"/>
      <c r="D94" s="567"/>
      <c r="E94" s="45"/>
      <c r="F94" s="568"/>
      <c r="G94" s="568"/>
      <c r="H94" s="568"/>
      <c r="I94" s="46"/>
      <c r="J94" s="46"/>
      <c r="K94" s="46"/>
      <c r="L94" s="46"/>
      <c r="M94" s="46"/>
      <c r="N94" s="46"/>
      <c r="O94" s="46"/>
      <c r="P94" s="46"/>
      <c r="Q94" s="46"/>
      <c r="R94" s="46"/>
      <c r="S94" s="46"/>
      <c r="T94" s="45"/>
      <c r="U94" s="46"/>
      <c r="V94" s="46"/>
      <c r="W94" s="46"/>
      <c r="X94" s="46"/>
      <c r="Y94" s="46"/>
      <c r="Z94" s="46"/>
      <c r="AA94" s="46"/>
      <c r="AB94" s="46"/>
      <c r="AC94" s="46"/>
      <c r="AD94" s="46"/>
      <c r="AE94" s="46"/>
    </row>
    <row r="95" spans="2:31" ht="18" customHeight="1">
      <c r="B95" s="46"/>
      <c r="C95" s="46"/>
      <c r="D95" s="567"/>
      <c r="E95" s="45"/>
      <c r="F95" s="568"/>
      <c r="G95" s="568"/>
      <c r="H95" s="568"/>
      <c r="I95" s="46"/>
      <c r="J95" s="46"/>
      <c r="K95" s="46"/>
      <c r="L95" s="46"/>
      <c r="M95" s="46"/>
      <c r="N95" s="46"/>
      <c r="O95" s="46"/>
      <c r="P95" s="46"/>
      <c r="Q95" s="46"/>
      <c r="R95" s="46"/>
      <c r="S95" s="46"/>
      <c r="T95" s="45"/>
      <c r="U95" s="46"/>
      <c r="V95" s="46"/>
      <c r="W95" s="46"/>
      <c r="X95" s="46"/>
      <c r="Y95" s="46"/>
      <c r="Z95" s="46"/>
      <c r="AA95" s="46"/>
      <c r="AB95" s="46"/>
      <c r="AC95" s="46"/>
      <c r="AD95" s="46"/>
      <c r="AE95" s="46"/>
    </row>
    <row r="96" spans="2:31" ht="18" customHeight="1">
      <c r="B96" s="45"/>
      <c r="C96" s="46"/>
      <c r="D96" s="567"/>
      <c r="E96" s="45"/>
      <c r="F96" s="568"/>
      <c r="G96" s="568"/>
      <c r="H96" s="568"/>
      <c r="I96" s="46"/>
      <c r="J96" s="46"/>
      <c r="K96" s="46"/>
      <c r="L96" s="46"/>
      <c r="M96" s="46"/>
      <c r="N96" s="46"/>
      <c r="O96" s="46"/>
      <c r="P96" s="46"/>
      <c r="Q96" s="46"/>
      <c r="R96" s="46"/>
      <c r="S96" s="46"/>
      <c r="T96" s="45"/>
      <c r="U96" s="46"/>
      <c r="V96" s="46"/>
      <c r="W96" s="46"/>
      <c r="X96" s="46"/>
      <c r="Y96" s="46"/>
      <c r="Z96" s="46"/>
      <c r="AA96" s="46"/>
      <c r="AB96" s="46"/>
      <c r="AC96" s="46"/>
      <c r="AD96" s="46"/>
      <c r="AE96" s="46"/>
    </row>
    <row r="97" spans="2:31" ht="18" customHeight="1">
      <c r="B97" s="46"/>
      <c r="C97" s="46"/>
      <c r="D97" s="567"/>
      <c r="E97" s="45"/>
      <c r="F97" s="568"/>
      <c r="G97" s="568"/>
      <c r="H97" s="568"/>
      <c r="I97" s="46"/>
      <c r="J97" s="46"/>
      <c r="K97" s="46"/>
      <c r="L97" s="46"/>
      <c r="M97" s="46"/>
      <c r="N97" s="46"/>
      <c r="O97" s="46"/>
      <c r="P97" s="46"/>
      <c r="Q97" s="46"/>
      <c r="R97" s="46"/>
      <c r="S97" s="46"/>
      <c r="T97" s="45"/>
      <c r="U97" s="46"/>
      <c r="V97" s="46"/>
      <c r="W97" s="46"/>
      <c r="X97" s="46"/>
      <c r="Y97" s="46"/>
      <c r="Z97" s="46"/>
      <c r="AA97" s="46"/>
      <c r="AB97" s="46"/>
      <c r="AC97" s="46"/>
      <c r="AD97" s="46"/>
      <c r="AE97" s="46"/>
    </row>
    <row r="98" spans="2:31" ht="18" customHeight="1">
      <c r="B98" s="46"/>
      <c r="C98" s="46"/>
      <c r="D98" s="567"/>
      <c r="E98" s="45"/>
      <c r="F98" s="568"/>
      <c r="G98" s="568"/>
      <c r="H98" s="568"/>
      <c r="I98" s="46"/>
      <c r="J98" s="46"/>
      <c r="K98" s="46"/>
      <c r="L98" s="46"/>
      <c r="M98" s="46"/>
      <c r="N98" s="46"/>
      <c r="O98" s="46"/>
      <c r="P98" s="46"/>
      <c r="Q98" s="46"/>
      <c r="R98" s="46"/>
      <c r="S98" s="46"/>
      <c r="T98" s="45"/>
      <c r="U98" s="46"/>
      <c r="V98" s="46"/>
      <c r="W98" s="46"/>
      <c r="X98" s="46"/>
      <c r="Y98" s="46"/>
      <c r="Z98" s="46"/>
      <c r="AA98" s="46"/>
      <c r="AB98" s="46"/>
      <c r="AC98" s="46"/>
      <c r="AD98" s="1285"/>
      <c r="AE98" s="46"/>
    </row>
    <row r="99" spans="2:31" ht="18" customHeight="1">
      <c r="B99" s="46"/>
      <c r="C99" s="46"/>
      <c r="D99" s="567"/>
      <c r="E99" s="45"/>
      <c r="F99" s="568"/>
      <c r="G99" s="568"/>
      <c r="H99" s="568"/>
      <c r="I99" s="46"/>
      <c r="J99" s="46"/>
      <c r="K99" s="46"/>
      <c r="L99" s="46"/>
      <c r="M99" s="46"/>
      <c r="N99" s="46"/>
      <c r="O99" s="46"/>
      <c r="P99" s="46"/>
      <c r="Q99" s="46"/>
      <c r="R99" s="46"/>
      <c r="S99" s="46"/>
      <c r="T99" s="45"/>
      <c r="U99" s="46"/>
      <c r="V99" s="46"/>
      <c r="W99" s="46"/>
      <c r="X99" s="46"/>
      <c r="Y99" s="46"/>
      <c r="Z99" s="46"/>
      <c r="AA99" s="46"/>
      <c r="AB99" s="46"/>
      <c r="AC99" s="46"/>
      <c r="AD99" s="46"/>
      <c r="AE99" s="46"/>
    </row>
    <row r="100" spans="2:31" ht="18" customHeight="1">
      <c r="B100" s="46"/>
      <c r="C100" s="46"/>
      <c r="D100" s="567"/>
      <c r="E100" s="45"/>
      <c r="F100" s="568"/>
      <c r="G100" s="568"/>
      <c r="H100" s="568"/>
      <c r="I100" s="46"/>
      <c r="J100" s="46"/>
      <c r="K100" s="46"/>
      <c r="L100" s="46"/>
      <c r="M100" s="46"/>
      <c r="N100" s="46"/>
      <c r="O100" s="46"/>
      <c r="P100" s="46"/>
      <c r="Q100" s="46"/>
      <c r="R100" s="46"/>
      <c r="S100" s="46"/>
      <c r="T100" s="45"/>
      <c r="U100" s="46"/>
      <c r="V100" s="46"/>
      <c r="W100" s="46"/>
      <c r="X100" s="46"/>
      <c r="Y100" s="46"/>
      <c r="Z100" s="46"/>
      <c r="AA100" s="46"/>
      <c r="AB100" s="46"/>
      <c r="AC100" s="46"/>
      <c r="AD100" s="46"/>
      <c r="AE100" s="46"/>
    </row>
    <row r="101" spans="2:31" ht="18" customHeight="1">
      <c r="B101" s="46"/>
      <c r="C101" s="46"/>
      <c r="D101" s="567"/>
      <c r="E101" s="45"/>
      <c r="F101" s="568"/>
      <c r="G101" s="568"/>
      <c r="H101" s="568"/>
      <c r="I101" s="46"/>
      <c r="J101" s="46"/>
      <c r="K101" s="46"/>
      <c r="L101" s="46"/>
      <c r="M101" s="46"/>
      <c r="N101" s="46"/>
      <c r="O101" s="46"/>
      <c r="P101" s="46"/>
      <c r="Q101" s="46"/>
      <c r="R101" s="46"/>
      <c r="S101" s="46"/>
      <c r="T101" s="45"/>
      <c r="U101" s="46"/>
      <c r="V101" s="46"/>
      <c r="W101" s="46"/>
      <c r="X101" s="46"/>
      <c r="Y101" s="46"/>
      <c r="Z101" s="46"/>
      <c r="AA101" s="46"/>
      <c r="AB101" s="46"/>
      <c r="AC101" s="46"/>
      <c r="AD101" s="46"/>
      <c r="AE101" s="46"/>
    </row>
    <row r="102" spans="2:31" ht="18" customHeight="1">
      <c r="B102" s="45"/>
      <c r="C102" s="46"/>
      <c r="D102" s="567"/>
      <c r="E102" s="45"/>
      <c r="F102" s="568"/>
      <c r="G102" s="568"/>
      <c r="H102" s="568"/>
      <c r="I102" s="46"/>
      <c r="J102" s="46"/>
      <c r="K102" s="46"/>
      <c r="L102" s="46"/>
      <c r="M102" s="46"/>
      <c r="N102" s="46"/>
      <c r="O102" s="46"/>
      <c r="P102" s="46"/>
      <c r="Q102" s="46"/>
      <c r="R102" s="46"/>
      <c r="S102" s="46"/>
      <c r="T102" s="45"/>
      <c r="U102" s="46"/>
      <c r="V102" s="46"/>
      <c r="W102" s="46"/>
      <c r="X102" s="46"/>
      <c r="Y102" s="46"/>
      <c r="Z102" s="46"/>
      <c r="AA102" s="46"/>
      <c r="AB102" s="46"/>
      <c r="AC102" s="46"/>
      <c r="AD102" s="46"/>
      <c r="AE102" s="46"/>
    </row>
    <row r="103" spans="2:31" ht="18" customHeight="1">
      <c r="B103" s="46"/>
      <c r="C103" s="46"/>
      <c r="D103" s="567"/>
      <c r="E103" s="45"/>
      <c r="F103" s="568"/>
      <c r="G103" s="568"/>
      <c r="H103" s="568"/>
      <c r="I103" s="46"/>
      <c r="J103" s="46"/>
      <c r="K103" s="46"/>
      <c r="L103" s="46"/>
      <c r="M103" s="46"/>
      <c r="N103" s="46"/>
      <c r="O103" s="46"/>
      <c r="P103" s="46"/>
      <c r="Q103" s="46"/>
      <c r="R103" s="46"/>
      <c r="S103" s="46"/>
      <c r="T103" s="45"/>
      <c r="U103" s="46"/>
      <c r="V103" s="46"/>
      <c r="W103" s="46"/>
      <c r="X103" s="46"/>
      <c r="Y103" s="46"/>
      <c r="Z103" s="46"/>
      <c r="AA103" s="46"/>
      <c r="AB103" s="46"/>
      <c r="AC103" s="46"/>
      <c r="AD103" s="46"/>
      <c r="AE103" s="46"/>
    </row>
    <row r="104" spans="2:31" ht="18" customHeight="1">
      <c r="B104" s="46"/>
      <c r="C104" s="46"/>
      <c r="D104" s="567"/>
      <c r="E104" s="45"/>
      <c r="F104" s="568"/>
      <c r="G104" s="568"/>
      <c r="H104" s="568"/>
      <c r="I104" s="46"/>
      <c r="J104" s="46"/>
      <c r="K104" s="46"/>
      <c r="L104" s="46"/>
      <c r="M104" s="46"/>
      <c r="N104" s="46"/>
      <c r="O104" s="46"/>
      <c r="P104" s="46"/>
      <c r="Q104" s="46"/>
      <c r="R104" s="46"/>
      <c r="S104" s="46"/>
      <c r="T104" s="45"/>
      <c r="U104" s="46"/>
      <c r="V104" s="46"/>
      <c r="W104" s="46"/>
      <c r="X104" s="46"/>
      <c r="Y104" s="46"/>
      <c r="Z104" s="46"/>
      <c r="AA104" s="46"/>
      <c r="AB104" s="46"/>
      <c r="AC104" s="46"/>
      <c r="AD104" s="1285"/>
      <c r="AE104" s="46"/>
    </row>
    <row r="105" spans="2:31" ht="18" customHeight="1">
      <c r="B105" s="46"/>
      <c r="C105" s="46"/>
      <c r="D105" s="567"/>
      <c r="E105" s="45"/>
      <c r="F105" s="568"/>
      <c r="G105" s="568"/>
      <c r="H105" s="568"/>
      <c r="I105" s="46"/>
      <c r="J105" s="46"/>
      <c r="K105" s="46"/>
      <c r="L105" s="46"/>
      <c r="M105" s="46"/>
      <c r="N105" s="46"/>
      <c r="O105" s="46"/>
      <c r="P105" s="46"/>
      <c r="Q105" s="46"/>
      <c r="R105" s="46"/>
      <c r="S105" s="46"/>
      <c r="T105" s="45"/>
      <c r="U105" s="46"/>
      <c r="V105" s="46"/>
      <c r="W105" s="46"/>
      <c r="X105" s="46"/>
      <c r="Y105" s="46"/>
      <c r="Z105" s="46"/>
      <c r="AA105" s="46"/>
      <c r="AB105" s="46"/>
      <c r="AC105" s="46"/>
      <c r="AD105" s="46"/>
      <c r="AE105" s="46"/>
    </row>
    <row r="106" spans="2:31" ht="18" customHeight="1">
      <c r="B106" s="46"/>
      <c r="C106" s="46"/>
      <c r="D106" s="567"/>
      <c r="E106" s="45"/>
      <c r="F106" s="568"/>
      <c r="G106" s="568"/>
      <c r="H106" s="568"/>
      <c r="I106" s="46"/>
      <c r="J106" s="46"/>
      <c r="K106" s="46"/>
      <c r="L106" s="46"/>
      <c r="M106" s="46"/>
      <c r="N106" s="46"/>
      <c r="O106" s="46"/>
      <c r="P106" s="46"/>
      <c r="Q106" s="46"/>
      <c r="R106" s="46"/>
      <c r="S106" s="46"/>
      <c r="T106" s="45"/>
      <c r="U106" s="46"/>
      <c r="V106" s="46"/>
      <c r="W106" s="46"/>
      <c r="X106" s="46"/>
      <c r="Y106" s="46"/>
      <c r="Z106" s="46"/>
      <c r="AA106" s="46"/>
      <c r="AB106" s="46"/>
      <c r="AC106" s="46"/>
      <c r="AD106" s="46"/>
      <c r="AE106" s="46"/>
    </row>
    <row r="107" spans="2:31" ht="18" customHeight="1">
      <c r="B107" s="46"/>
      <c r="C107" s="46"/>
      <c r="D107" s="567"/>
      <c r="E107" s="45"/>
      <c r="F107" s="568"/>
      <c r="G107" s="568"/>
      <c r="H107" s="568"/>
      <c r="I107" s="46"/>
      <c r="J107" s="46"/>
      <c r="K107" s="46"/>
      <c r="L107" s="46"/>
      <c r="M107" s="46"/>
      <c r="N107" s="46"/>
      <c r="O107" s="46"/>
      <c r="P107" s="46"/>
      <c r="Q107" s="46"/>
      <c r="R107" s="46"/>
      <c r="S107" s="46"/>
      <c r="T107" s="45"/>
      <c r="U107" s="46"/>
      <c r="V107" s="46"/>
      <c r="W107" s="46"/>
      <c r="X107" s="46"/>
      <c r="Y107" s="46"/>
      <c r="Z107" s="46"/>
      <c r="AA107" s="46"/>
      <c r="AB107" s="46"/>
      <c r="AC107" s="46"/>
      <c r="AD107" s="46"/>
      <c r="AE107" s="46"/>
    </row>
    <row r="108" spans="2:31" ht="18" customHeight="1">
      <c r="B108" s="45"/>
      <c r="C108" s="46"/>
      <c r="D108" s="567"/>
      <c r="E108" s="45"/>
      <c r="F108" s="568"/>
      <c r="G108" s="568"/>
      <c r="H108" s="568"/>
      <c r="I108" s="46"/>
      <c r="J108" s="46"/>
      <c r="K108" s="46"/>
      <c r="L108" s="46"/>
      <c r="M108" s="46"/>
      <c r="N108" s="46"/>
      <c r="O108" s="46"/>
      <c r="P108" s="46"/>
      <c r="Q108" s="46"/>
      <c r="R108" s="46"/>
      <c r="S108" s="46"/>
      <c r="T108" s="45"/>
      <c r="U108" s="46"/>
      <c r="V108" s="46"/>
      <c r="W108" s="46"/>
      <c r="X108" s="46"/>
      <c r="Y108" s="46"/>
      <c r="Z108" s="46"/>
      <c r="AA108" s="46"/>
      <c r="AB108" s="46"/>
      <c r="AC108" s="46"/>
      <c r="AD108" s="46"/>
      <c r="AE108" s="46"/>
    </row>
    <row r="109" spans="2:31" ht="18" customHeight="1">
      <c r="B109" s="46"/>
      <c r="C109" s="46"/>
      <c r="D109" s="567"/>
      <c r="E109" s="45"/>
      <c r="F109" s="568"/>
      <c r="G109" s="568"/>
      <c r="H109" s="568"/>
      <c r="I109" s="46"/>
      <c r="J109" s="46"/>
      <c r="K109" s="46"/>
      <c r="L109" s="46"/>
      <c r="M109" s="46"/>
      <c r="N109" s="46"/>
      <c r="O109" s="46"/>
      <c r="P109" s="46"/>
      <c r="Q109" s="46"/>
      <c r="R109" s="46"/>
      <c r="S109" s="46"/>
      <c r="T109" s="45"/>
      <c r="U109" s="46"/>
      <c r="V109" s="46"/>
      <c r="W109" s="46"/>
      <c r="X109" s="46"/>
      <c r="Y109" s="46"/>
      <c r="Z109" s="46"/>
      <c r="AA109" s="46"/>
      <c r="AB109" s="46"/>
      <c r="AC109" s="46"/>
      <c r="AD109" s="46"/>
      <c r="AE109" s="46"/>
    </row>
    <row r="110" spans="2:31" ht="18" customHeight="1">
      <c r="B110" s="46"/>
      <c r="C110" s="46"/>
      <c r="D110" s="567"/>
      <c r="E110" s="45"/>
      <c r="F110" s="568"/>
      <c r="G110" s="568"/>
      <c r="H110" s="568"/>
      <c r="I110" s="46"/>
      <c r="J110" s="46"/>
      <c r="K110" s="46"/>
      <c r="L110" s="46"/>
      <c r="M110" s="46"/>
      <c r="N110" s="46"/>
      <c r="O110" s="46"/>
      <c r="P110" s="46"/>
      <c r="Q110" s="46"/>
      <c r="R110" s="46"/>
      <c r="S110" s="46"/>
      <c r="T110" s="45"/>
      <c r="U110" s="46"/>
      <c r="V110" s="46"/>
      <c r="W110" s="46"/>
      <c r="X110" s="46"/>
      <c r="Y110" s="46"/>
      <c r="Z110" s="46"/>
      <c r="AA110" s="46"/>
      <c r="AB110" s="46"/>
      <c r="AC110" s="46"/>
      <c r="AD110" s="1285"/>
      <c r="AE110" s="46"/>
    </row>
    <row r="111" spans="2:31" ht="18" customHeight="1">
      <c r="B111" s="46"/>
      <c r="C111" s="46"/>
      <c r="D111" s="567"/>
      <c r="E111" s="45"/>
      <c r="F111" s="568"/>
      <c r="G111" s="568"/>
      <c r="H111" s="568"/>
      <c r="I111" s="46"/>
      <c r="J111" s="46"/>
      <c r="K111" s="46"/>
      <c r="L111" s="46"/>
      <c r="M111" s="46"/>
      <c r="N111" s="46"/>
      <c r="O111" s="46"/>
      <c r="P111" s="46"/>
      <c r="Q111" s="46"/>
      <c r="R111" s="46"/>
      <c r="S111" s="46"/>
      <c r="T111" s="45"/>
      <c r="U111" s="46"/>
      <c r="V111" s="46"/>
      <c r="W111" s="46"/>
      <c r="X111" s="46"/>
      <c r="Y111" s="46"/>
      <c r="Z111" s="46"/>
      <c r="AA111" s="46"/>
      <c r="AB111" s="46"/>
      <c r="AC111" s="46"/>
      <c r="AD111" s="46"/>
      <c r="AE111" s="46"/>
    </row>
    <row r="112" spans="2:31" ht="18" customHeight="1">
      <c r="B112" s="46"/>
      <c r="C112" s="46"/>
      <c r="D112" s="567"/>
      <c r="E112" s="45"/>
      <c r="F112" s="568"/>
      <c r="G112" s="568"/>
      <c r="H112" s="568"/>
      <c r="I112" s="46"/>
      <c r="J112" s="46"/>
      <c r="K112" s="46"/>
      <c r="L112" s="46"/>
      <c r="M112" s="46"/>
      <c r="N112" s="46"/>
      <c r="O112" s="46"/>
      <c r="P112" s="46"/>
      <c r="Q112" s="46"/>
      <c r="R112" s="46"/>
      <c r="S112" s="46"/>
      <c r="T112" s="45"/>
      <c r="U112" s="46"/>
      <c r="V112" s="46"/>
      <c r="W112" s="46"/>
      <c r="X112" s="46"/>
      <c r="Y112" s="46"/>
      <c r="Z112" s="46"/>
      <c r="AA112" s="46"/>
      <c r="AB112" s="46"/>
      <c r="AC112" s="46"/>
      <c r="AD112" s="46"/>
      <c r="AE112" s="46"/>
    </row>
    <row r="113" spans="2:31" ht="18" customHeight="1">
      <c r="B113" s="46"/>
      <c r="C113" s="46"/>
      <c r="D113" s="567"/>
      <c r="E113" s="45"/>
      <c r="F113" s="568"/>
      <c r="G113" s="568"/>
      <c r="H113" s="568"/>
      <c r="I113" s="46"/>
      <c r="J113" s="46"/>
      <c r="K113" s="46"/>
      <c r="L113" s="46"/>
      <c r="M113" s="46"/>
      <c r="N113" s="46"/>
      <c r="O113" s="46"/>
      <c r="P113" s="46"/>
      <c r="Q113" s="46"/>
      <c r="R113" s="46"/>
      <c r="S113" s="46"/>
      <c r="T113" s="45"/>
      <c r="U113" s="46"/>
      <c r="V113" s="46"/>
      <c r="W113" s="46"/>
      <c r="X113" s="46"/>
      <c r="Y113" s="46"/>
      <c r="Z113" s="46"/>
      <c r="AA113" s="46"/>
      <c r="AB113" s="46"/>
      <c r="AC113" s="46"/>
      <c r="AD113" s="46"/>
      <c r="AE113" s="46"/>
    </row>
    <row r="114" spans="2:31" ht="18" customHeight="1">
      <c r="B114" s="45"/>
      <c r="C114" s="46"/>
      <c r="D114" s="567"/>
      <c r="E114" s="45"/>
      <c r="F114" s="568"/>
      <c r="G114" s="568"/>
      <c r="H114" s="568"/>
      <c r="I114" s="46"/>
      <c r="J114" s="46"/>
      <c r="K114" s="46"/>
      <c r="L114" s="46"/>
      <c r="M114" s="46"/>
      <c r="N114" s="46"/>
      <c r="O114" s="46"/>
      <c r="P114" s="46"/>
      <c r="Q114" s="46"/>
      <c r="R114" s="46"/>
      <c r="S114" s="46"/>
      <c r="T114" s="45"/>
      <c r="U114" s="46"/>
      <c r="V114" s="46"/>
      <c r="W114" s="46"/>
      <c r="X114" s="46"/>
      <c r="Y114" s="46"/>
      <c r="Z114" s="46"/>
      <c r="AA114" s="46"/>
      <c r="AB114" s="46"/>
      <c r="AC114" s="46"/>
      <c r="AD114" s="46"/>
      <c r="AE114" s="46"/>
    </row>
    <row r="115" spans="2:31" ht="18" customHeight="1">
      <c r="B115" s="46"/>
      <c r="C115" s="46"/>
      <c r="D115" s="567"/>
      <c r="E115" s="45"/>
      <c r="F115" s="568"/>
      <c r="G115" s="568"/>
      <c r="H115" s="568"/>
      <c r="I115" s="46"/>
      <c r="J115" s="46"/>
      <c r="K115" s="46"/>
      <c r="L115" s="46"/>
      <c r="M115" s="46"/>
      <c r="N115" s="46"/>
      <c r="O115" s="46"/>
      <c r="P115" s="46"/>
      <c r="Q115" s="46"/>
      <c r="R115" s="46"/>
      <c r="S115" s="46"/>
      <c r="T115" s="45"/>
      <c r="U115" s="46"/>
      <c r="V115" s="46"/>
      <c r="W115" s="46"/>
      <c r="X115" s="46"/>
      <c r="Y115" s="46"/>
      <c r="Z115" s="46"/>
      <c r="AA115" s="46"/>
      <c r="AB115" s="46"/>
      <c r="AC115" s="46"/>
      <c r="AD115" s="46"/>
      <c r="AE115" s="46"/>
    </row>
    <row r="116" spans="2:31" ht="18" customHeight="1">
      <c r="B116" s="46"/>
      <c r="C116" s="46"/>
      <c r="D116" s="567"/>
      <c r="E116" s="45"/>
      <c r="F116" s="568"/>
      <c r="G116" s="568"/>
      <c r="H116" s="568"/>
      <c r="I116" s="46"/>
      <c r="J116" s="46"/>
      <c r="K116" s="46"/>
      <c r="L116" s="46"/>
      <c r="M116" s="46"/>
      <c r="N116" s="46"/>
      <c r="O116" s="46"/>
      <c r="P116" s="46"/>
      <c r="Q116" s="46"/>
      <c r="R116" s="46"/>
      <c r="S116" s="46"/>
      <c r="T116" s="45"/>
      <c r="U116" s="46"/>
      <c r="V116" s="46"/>
      <c r="W116" s="46"/>
      <c r="X116" s="46"/>
      <c r="Y116" s="46"/>
      <c r="Z116" s="46"/>
      <c r="AA116" s="46"/>
      <c r="AB116" s="46"/>
      <c r="AC116" s="46"/>
      <c r="AD116" s="1285"/>
      <c r="AE116" s="46"/>
    </row>
    <row r="117" spans="2:31" ht="18" customHeight="1">
      <c r="B117" s="46"/>
      <c r="C117" s="46"/>
      <c r="D117" s="567"/>
      <c r="E117" s="45"/>
      <c r="F117" s="568"/>
      <c r="G117" s="568"/>
      <c r="H117" s="568"/>
      <c r="I117" s="46"/>
      <c r="J117" s="46"/>
      <c r="K117" s="46"/>
      <c r="L117" s="46"/>
      <c r="M117" s="46"/>
      <c r="N117" s="46"/>
      <c r="O117" s="46"/>
      <c r="P117" s="46"/>
      <c r="Q117" s="46"/>
      <c r="R117" s="46"/>
      <c r="S117" s="46"/>
      <c r="T117" s="45"/>
      <c r="U117" s="46"/>
      <c r="V117" s="46"/>
      <c r="W117" s="46"/>
      <c r="X117" s="46"/>
      <c r="Y117" s="46"/>
      <c r="Z117" s="46"/>
      <c r="AA117" s="46"/>
      <c r="AB117" s="46"/>
      <c r="AC117" s="46"/>
      <c r="AD117" s="46"/>
      <c r="AE117" s="46"/>
    </row>
    <row r="118" spans="2:31" ht="18" customHeight="1">
      <c r="B118" s="46"/>
      <c r="C118" s="46"/>
      <c r="D118" s="567"/>
      <c r="E118" s="45"/>
      <c r="F118" s="568"/>
      <c r="G118" s="568"/>
      <c r="H118" s="568"/>
      <c r="I118" s="46"/>
      <c r="J118" s="46"/>
      <c r="K118" s="46"/>
      <c r="L118" s="46"/>
      <c r="M118" s="46"/>
      <c r="N118" s="46"/>
      <c r="O118" s="46"/>
      <c r="P118" s="46"/>
      <c r="Q118" s="46"/>
      <c r="R118" s="46"/>
      <c r="S118" s="46"/>
      <c r="T118" s="45"/>
      <c r="U118" s="46"/>
      <c r="V118" s="46"/>
      <c r="W118" s="46"/>
      <c r="X118" s="46"/>
      <c r="Y118" s="46"/>
      <c r="Z118" s="46"/>
      <c r="AA118" s="46"/>
      <c r="AB118" s="46"/>
      <c r="AC118" s="46"/>
      <c r="AD118" s="46"/>
      <c r="AE118" s="46"/>
    </row>
    <row r="119" spans="2:31" ht="18" customHeight="1">
      <c r="B119" s="46"/>
      <c r="C119" s="46"/>
      <c r="D119" s="567"/>
      <c r="E119" s="45"/>
      <c r="F119" s="568"/>
      <c r="G119" s="568"/>
      <c r="H119" s="568"/>
      <c r="I119" s="46"/>
      <c r="J119" s="46"/>
      <c r="K119" s="46"/>
      <c r="L119" s="46"/>
      <c r="M119" s="46"/>
      <c r="N119" s="46"/>
      <c r="O119" s="46"/>
      <c r="P119" s="46"/>
      <c r="Q119" s="46"/>
      <c r="R119" s="46"/>
      <c r="S119" s="46"/>
      <c r="T119" s="45"/>
      <c r="U119" s="46"/>
      <c r="V119" s="46"/>
      <c r="W119" s="46"/>
      <c r="X119" s="46"/>
      <c r="Y119" s="46"/>
      <c r="Z119" s="46"/>
      <c r="AA119" s="46"/>
      <c r="AB119" s="46"/>
      <c r="AC119" s="46"/>
      <c r="AD119" s="46"/>
      <c r="AE119" s="46"/>
    </row>
    <row r="120" spans="2:31" ht="18" customHeight="1">
      <c r="B120" s="45"/>
      <c r="C120" s="46"/>
      <c r="D120" s="567"/>
      <c r="E120" s="45"/>
      <c r="F120" s="568"/>
      <c r="G120" s="568"/>
      <c r="H120" s="568"/>
      <c r="I120" s="46"/>
      <c r="J120" s="46"/>
      <c r="K120" s="46"/>
      <c r="L120" s="46"/>
      <c r="M120" s="46"/>
      <c r="N120" s="46"/>
      <c r="O120" s="46"/>
      <c r="P120" s="46"/>
      <c r="Q120" s="46"/>
      <c r="R120" s="46"/>
      <c r="S120" s="46"/>
      <c r="T120" s="45"/>
      <c r="U120" s="46"/>
      <c r="V120" s="46"/>
      <c r="W120" s="46"/>
      <c r="X120" s="46"/>
      <c r="Y120" s="46"/>
      <c r="Z120" s="46"/>
      <c r="AA120" s="46"/>
      <c r="AB120" s="46"/>
      <c r="AC120" s="46"/>
      <c r="AD120" s="46"/>
      <c r="AE120" s="46"/>
    </row>
    <row r="121" spans="2:31" ht="18" customHeight="1">
      <c r="B121" s="46"/>
      <c r="C121" s="46"/>
      <c r="D121" s="567"/>
      <c r="E121" s="45"/>
      <c r="F121" s="568"/>
      <c r="G121" s="568"/>
      <c r="H121" s="568"/>
      <c r="I121" s="46"/>
      <c r="J121" s="46"/>
      <c r="K121" s="46"/>
      <c r="L121" s="46"/>
      <c r="M121" s="46"/>
      <c r="N121" s="46"/>
      <c r="O121" s="46"/>
      <c r="P121" s="46"/>
      <c r="Q121" s="46"/>
      <c r="R121" s="46"/>
      <c r="S121" s="46"/>
      <c r="T121" s="45"/>
      <c r="U121" s="46"/>
      <c r="V121" s="46"/>
      <c r="W121" s="46"/>
      <c r="X121" s="46"/>
      <c r="Y121" s="46"/>
      <c r="Z121" s="46"/>
      <c r="AA121" s="46"/>
      <c r="AB121" s="46"/>
      <c r="AC121" s="46"/>
      <c r="AD121" s="46"/>
      <c r="AE121" s="46"/>
    </row>
    <row r="122" spans="2:31" ht="18" customHeight="1">
      <c r="B122" s="46"/>
      <c r="C122" s="46"/>
      <c r="D122" s="567"/>
      <c r="E122" s="45"/>
      <c r="F122" s="568"/>
      <c r="G122" s="568"/>
      <c r="H122" s="568"/>
      <c r="I122" s="46"/>
      <c r="J122" s="46"/>
      <c r="K122" s="46"/>
      <c r="L122" s="46"/>
      <c r="M122" s="46"/>
      <c r="N122" s="46"/>
      <c r="O122" s="46"/>
      <c r="P122" s="46"/>
      <c r="Q122" s="46"/>
      <c r="R122" s="46"/>
      <c r="S122" s="46"/>
      <c r="T122" s="45"/>
      <c r="U122" s="46"/>
      <c r="V122" s="46"/>
      <c r="W122" s="46"/>
      <c r="X122" s="46"/>
      <c r="Y122" s="46"/>
      <c r="Z122" s="46"/>
      <c r="AA122" s="46"/>
      <c r="AB122" s="46"/>
      <c r="AC122" s="46"/>
      <c r="AD122" s="1285"/>
      <c r="AE122" s="46"/>
    </row>
    <row r="123" spans="2:31" ht="18" customHeight="1">
      <c r="B123" s="46"/>
      <c r="C123" s="46"/>
      <c r="D123" s="567"/>
      <c r="E123" s="45"/>
      <c r="F123" s="568"/>
      <c r="G123" s="568"/>
      <c r="H123" s="568"/>
      <c r="I123" s="46"/>
      <c r="J123" s="46"/>
      <c r="K123" s="46"/>
      <c r="L123" s="46"/>
      <c r="M123" s="46"/>
      <c r="N123" s="46"/>
      <c r="O123" s="46"/>
      <c r="P123" s="46"/>
      <c r="Q123" s="46"/>
      <c r="R123" s="46"/>
      <c r="S123" s="46"/>
      <c r="T123" s="45"/>
      <c r="U123" s="46"/>
      <c r="V123" s="46"/>
      <c r="W123" s="46"/>
      <c r="X123" s="46"/>
      <c r="Y123" s="46"/>
      <c r="Z123" s="46"/>
      <c r="AA123" s="46"/>
      <c r="AB123" s="46"/>
      <c r="AC123" s="46"/>
      <c r="AD123" s="46"/>
      <c r="AE123" s="46"/>
    </row>
    <row r="124" spans="2:31" ht="18" customHeight="1">
      <c r="B124" s="46"/>
      <c r="C124" s="46"/>
      <c r="D124" s="567"/>
      <c r="E124" s="45"/>
      <c r="F124" s="568"/>
      <c r="G124" s="568"/>
      <c r="H124" s="568"/>
      <c r="I124" s="46"/>
      <c r="J124" s="46"/>
      <c r="K124" s="46"/>
      <c r="L124" s="46"/>
      <c r="M124" s="46"/>
      <c r="N124" s="46"/>
      <c r="O124" s="46"/>
      <c r="P124" s="46"/>
      <c r="Q124" s="46"/>
      <c r="R124" s="46"/>
      <c r="S124" s="46"/>
      <c r="T124" s="45"/>
      <c r="U124" s="46"/>
      <c r="V124" s="46"/>
      <c r="W124" s="46"/>
      <c r="X124" s="46"/>
      <c r="Y124" s="46"/>
      <c r="Z124" s="46"/>
      <c r="AA124" s="46"/>
      <c r="AB124" s="46"/>
      <c r="AC124" s="46"/>
      <c r="AD124" s="46"/>
      <c r="AE124" s="46"/>
    </row>
    <row r="125" spans="2:31" ht="18" customHeight="1">
      <c r="B125" s="46"/>
      <c r="C125" s="46"/>
      <c r="D125" s="567"/>
      <c r="E125" s="45"/>
      <c r="F125" s="568"/>
      <c r="G125" s="568"/>
      <c r="H125" s="568"/>
      <c r="I125" s="46"/>
      <c r="J125" s="46"/>
      <c r="K125" s="46"/>
      <c r="L125" s="46"/>
      <c r="M125" s="46"/>
      <c r="N125" s="46"/>
      <c r="O125" s="46"/>
      <c r="P125" s="46"/>
      <c r="Q125" s="46"/>
      <c r="R125" s="46"/>
      <c r="S125" s="46"/>
      <c r="T125" s="45"/>
      <c r="U125" s="46"/>
      <c r="V125" s="46"/>
      <c r="W125" s="46"/>
      <c r="X125" s="46"/>
      <c r="Y125" s="46"/>
      <c r="Z125" s="46"/>
      <c r="AA125" s="46"/>
      <c r="AB125" s="46"/>
      <c r="AC125" s="46"/>
      <c r="AD125" s="46"/>
      <c r="AE125" s="46"/>
    </row>
    <row r="126" spans="2:31" ht="18" customHeight="1">
      <c r="B126" s="45"/>
      <c r="C126" s="46"/>
      <c r="D126" s="567"/>
      <c r="E126" s="45"/>
      <c r="F126" s="568"/>
      <c r="G126" s="568"/>
      <c r="H126" s="568"/>
      <c r="I126" s="46"/>
      <c r="J126" s="46"/>
      <c r="K126" s="46"/>
      <c r="L126" s="46"/>
      <c r="M126" s="46"/>
      <c r="N126" s="46"/>
      <c r="O126" s="46"/>
      <c r="P126" s="46"/>
      <c r="Q126" s="46"/>
      <c r="R126" s="46"/>
      <c r="S126" s="46"/>
      <c r="T126" s="45"/>
      <c r="U126" s="46"/>
      <c r="V126" s="46"/>
      <c r="W126" s="46"/>
      <c r="X126" s="46"/>
      <c r="Y126" s="46"/>
      <c r="Z126" s="46"/>
      <c r="AA126" s="46"/>
      <c r="AB126" s="46"/>
      <c r="AC126" s="46"/>
      <c r="AD126" s="46"/>
      <c r="AE126" s="46"/>
    </row>
    <row r="127" spans="2:31" ht="18" customHeight="1">
      <c r="B127" s="46"/>
      <c r="C127" s="46"/>
      <c r="D127" s="567"/>
      <c r="E127" s="45"/>
      <c r="F127" s="568"/>
      <c r="G127" s="568"/>
      <c r="H127" s="568"/>
      <c r="I127" s="46"/>
      <c r="J127" s="46"/>
      <c r="K127" s="46"/>
      <c r="L127" s="46"/>
      <c r="M127" s="46"/>
      <c r="N127" s="46"/>
      <c r="O127" s="46"/>
      <c r="P127" s="46"/>
      <c r="Q127" s="46"/>
      <c r="R127" s="46"/>
      <c r="S127" s="46"/>
      <c r="T127" s="45"/>
      <c r="U127" s="46"/>
      <c r="V127" s="46"/>
      <c r="W127" s="46"/>
      <c r="X127" s="46"/>
      <c r="Y127" s="46"/>
      <c r="Z127" s="46"/>
      <c r="AA127" s="46"/>
      <c r="AB127" s="46"/>
      <c r="AC127" s="46"/>
      <c r="AD127" s="46"/>
      <c r="AE127" s="46"/>
    </row>
    <row r="128" spans="2:31" ht="18" customHeight="1">
      <c r="B128" s="46"/>
      <c r="C128" s="46"/>
      <c r="D128" s="567"/>
      <c r="E128" s="45"/>
      <c r="F128" s="568"/>
      <c r="G128" s="568"/>
      <c r="H128" s="568"/>
      <c r="I128" s="46"/>
      <c r="J128" s="46"/>
      <c r="K128" s="46"/>
      <c r="L128" s="46"/>
      <c r="M128" s="46"/>
      <c r="N128" s="46"/>
      <c r="O128" s="46"/>
      <c r="P128" s="46"/>
      <c r="Q128" s="46"/>
      <c r="R128" s="46"/>
      <c r="S128" s="46"/>
      <c r="T128" s="45"/>
      <c r="U128" s="46"/>
      <c r="V128" s="46"/>
      <c r="W128" s="46"/>
      <c r="X128" s="46"/>
      <c r="Y128" s="46"/>
      <c r="Z128" s="46"/>
      <c r="AA128" s="46"/>
      <c r="AB128" s="46"/>
      <c r="AC128" s="46"/>
      <c r="AD128" s="1285"/>
      <c r="AE128" s="46"/>
    </row>
    <row r="129" spans="2:32" ht="18" customHeight="1">
      <c r="B129" s="46"/>
      <c r="C129" s="46"/>
      <c r="D129" s="567"/>
      <c r="E129" s="45"/>
      <c r="F129" s="568"/>
      <c r="G129" s="568"/>
      <c r="H129" s="568"/>
      <c r="I129" s="46"/>
      <c r="J129" s="46"/>
      <c r="K129" s="46"/>
      <c r="L129" s="46"/>
      <c r="M129" s="46"/>
      <c r="N129" s="46"/>
      <c r="O129" s="46"/>
      <c r="P129" s="46"/>
      <c r="Q129" s="46"/>
      <c r="R129" s="46"/>
      <c r="S129" s="46"/>
      <c r="T129" s="45"/>
      <c r="U129" s="46"/>
      <c r="V129" s="46"/>
      <c r="W129" s="46"/>
      <c r="X129" s="46"/>
      <c r="Y129" s="46"/>
      <c r="Z129" s="46"/>
      <c r="AA129" s="46"/>
      <c r="AB129" s="46"/>
      <c r="AC129" s="46"/>
      <c r="AD129" s="46"/>
      <c r="AE129" s="46"/>
      <c r="AF129" s="46"/>
    </row>
    <row r="130" spans="2:32" ht="18" customHeight="1">
      <c r="B130" s="46"/>
      <c r="C130" s="46"/>
      <c r="D130" s="567"/>
      <c r="E130" s="45"/>
      <c r="F130" s="568"/>
      <c r="G130" s="568"/>
      <c r="H130" s="568"/>
      <c r="I130" s="46"/>
      <c r="J130" s="46"/>
      <c r="K130" s="46"/>
      <c r="L130" s="46"/>
      <c r="M130" s="46"/>
      <c r="N130" s="46"/>
      <c r="O130" s="46"/>
      <c r="P130" s="46"/>
      <c r="Q130" s="46"/>
      <c r="R130" s="46"/>
      <c r="S130" s="46"/>
      <c r="T130" s="45"/>
      <c r="U130" s="46"/>
      <c r="V130" s="46"/>
      <c r="W130" s="46"/>
      <c r="X130" s="46"/>
      <c r="Y130" s="46"/>
      <c r="Z130" s="46"/>
      <c r="AA130" s="46"/>
      <c r="AB130" s="46"/>
      <c r="AC130" s="46"/>
      <c r="AD130" s="46"/>
      <c r="AE130" s="46"/>
      <c r="AF130" s="46"/>
    </row>
    <row r="131" spans="2:32" ht="18" customHeight="1">
      <c r="B131" s="1285"/>
      <c r="C131" s="1285"/>
      <c r="E131" s="1576"/>
      <c r="I131" s="1285"/>
      <c r="J131" s="1285"/>
      <c r="K131" s="1285"/>
      <c r="L131" s="1285"/>
      <c r="M131" s="1285"/>
      <c r="N131" s="1285"/>
      <c r="O131" s="1285"/>
      <c r="P131" s="1285"/>
      <c r="Q131" s="1285"/>
      <c r="R131" s="1285"/>
      <c r="S131" s="1285"/>
      <c r="T131" s="1576"/>
      <c r="U131" s="1285"/>
      <c r="V131" s="1285"/>
      <c r="W131" s="1285"/>
      <c r="X131" s="1285"/>
      <c r="Y131" s="1285"/>
      <c r="Z131" s="1285"/>
      <c r="AA131" s="1285"/>
      <c r="AB131" s="1285"/>
      <c r="AC131" s="1285"/>
      <c r="AD131" s="46"/>
      <c r="AE131" s="46"/>
      <c r="AF131" s="46"/>
    </row>
    <row r="132" spans="2:32" ht="18" customHeight="1">
      <c r="B132" s="45"/>
      <c r="C132" s="46"/>
      <c r="D132" s="567"/>
      <c r="E132" s="45"/>
      <c r="F132" s="568"/>
      <c r="G132" s="568"/>
      <c r="H132" s="568"/>
      <c r="I132" s="46"/>
      <c r="J132" s="46"/>
      <c r="K132" s="46"/>
      <c r="L132" s="46"/>
      <c r="M132" s="46"/>
      <c r="N132" s="46"/>
      <c r="O132" s="46"/>
      <c r="P132" s="46"/>
      <c r="Q132" s="46"/>
      <c r="R132" s="46"/>
      <c r="S132" s="46"/>
      <c r="T132" s="45"/>
      <c r="U132" s="46"/>
      <c r="V132" s="46"/>
      <c r="W132" s="46"/>
      <c r="X132" s="46"/>
      <c r="Y132" s="46"/>
      <c r="Z132" s="46"/>
      <c r="AA132" s="46"/>
      <c r="AB132" s="46"/>
      <c r="AC132" s="46"/>
      <c r="AD132" s="46"/>
      <c r="AE132" s="46"/>
      <c r="AF132" s="46"/>
    </row>
    <row r="133" spans="2:32" ht="18" customHeight="1">
      <c r="B133" s="46"/>
      <c r="C133" s="46"/>
      <c r="D133" s="567"/>
      <c r="E133" s="45"/>
      <c r="F133" s="568"/>
      <c r="G133" s="568"/>
      <c r="H133" s="568"/>
      <c r="I133" s="46"/>
      <c r="J133" s="46"/>
      <c r="K133" s="46"/>
      <c r="L133" s="46"/>
      <c r="M133" s="46"/>
      <c r="N133" s="46"/>
      <c r="O133" s="46"/>
      <c r="P133" s="46"/>
      <c r="Q133" s="46"/>
      <c r="R133" s="46"/>
      <c r="S133" s="46"/>
      <c r="T133" s="45"/>
      <c r="U133" s="46"/>
      <c r="V133" s="46"/>
      <c r="W133" s="46"/>
      <c r="X133" s="46"/>
      <c r="Y133" s="46"/>
      <c r="Z133" s="46"/>
      <c r="AA133" s="46"/>
      <c r="AB133" s="46"/>
      <c r="AC133" s="46"/>
      <c r="AD133" s="46"/>
      <c r="AE133" s="46"/>
      <c r="AF133" s="46"/>
    </row>
    <row r="134" spans="2:32" ht="18" customHeight="1">
      <c r="B134" s="46"/>
      <c r="C134" s="46"/>
      <c r="D134" s="567"/>
      <c r="E134" s="45"/>
      <c r="F134" s="568"/>
      <c r="G134" s="568"/>
      <c r="H134" s="568"/>
      <c r="I134" s="46"/>
      <c r="J134" s="46"/>
      <c r="K134" s="46"/>
      <c r="L134" s="46"/>
      <c r="M134" s="46"/>
      <c r="N134" s="46"/>
      <c r="O134" s="46"/>
      <c r="P134" s="46"/>
      <c r="Q134" s="46"/>
      <c r="R134" s="46"/>
      <c r="S134" s="46"/>
      <c r="T134" s="45"/>
      <c r="U134" s="46"/>
      <c r="V134" s="46"/>
      <c r="W134" s="46"/>
      <c r="X134" s="46"/>
      <c r="Y134" s="46"/>
      <c r="Z134" s="46"/>
      <c r="AA134" s="46"/>
      <c r="AB134" s="46"/>
      <c r="AC134" s="46"/>
      <c r="AD134" s="46"/>
      <c r="AE134" s="1285"/>
      <c r="AF134" s="46"/>
    </row>
    <row r="135" spans="2:32" ht="18" customHeight="1">
      <c r="B135" s="46"/>
      <c r="C135" s="46"/>
      <c r="D135" s="567"/>
      <c r="E135" s="45"/>
      <c r="F135" s="568"/>
      <c r="G135" s="568"/>
      <c r="H135" s="568"/>
      <c r="I135" s="46"/>
      <c r="J135" s="46"/>
      <c r="K135" s="46"/>
      <c r="L135" s="46"/>
      <c r="M135" s="46"/>
      <c r="N135" s="46"/>
      <c r="O135" s="46"/>
      <c r="P135" s="46"/>
      <c r="Q135" s="46"/>
      <c r="R135" s="46"/>
      <c r="S135" s="46"/>
      <c r="T135" s="45"/>
      <c r="U135" s="46"/>
      <c r="V135" s="46"/>
      <c r="W135" s="46"/>
      <c r="X135" s="46"/>
      <c r="Y135" s="46"/>
      <c r="Z135" s="46"/>
      <c r="AA135" s="46"/>
      <c r="AB135" s="46"/>
      <c r="AC135" s="46"/>
      <c r="AD135" s="46"/>
      <c r="AE135" s="46"/>
      <c r="AF135" s="46"/>
    </row>
    <row r="136" spans="2:32" ht="18" customHeight="1">
      <c r="B136" s="46"/>
      <c r="C136" s="46"/>
      <c r="D136" s="567"/>
      <c r="E136" s="45"/>
      <c r="F136" s="568"/>
      <c r="G136" s="568"/>
      <c r="H136" s="568"/>
      <c r="I136" s="46"/>
      <c r="J136" s="46"/>
      <c r="K136" s="46"/>
      <c r="L136" s="46"/>
      <c r="M136" s="46"/>
      <c r="N136" s="46"/>
      <c r="O136" s="46"/>
      <c r="P136" s="46"/>
      <c r="Q136" s="46"/>
      <c r="R136" s="46"/>
      <c r="S136" s="46"/>
      <c r="T136" s="45"/>
      <c r="U136" s="46"/>
      <c r="V136" s="46"/>
      <c r="W136" s="46"/>
      <c r="X136" s="46"/>
      <c r="Y136" s="46"/>
      <c r="Z136" s="46"/>
      <c r="AA136" s="46"/>
      <c r="AB136" s="46"/>
      <c r="AC136" s="46"/>
      <c r="AD136" s="46"/>
      <c r="AE136" s="46"/>
      <c r="AF136" s="46"/>
    </row>
    <row r="137" spans="2:32" ht="18" customHeight="1">
      <c r="B137" s="46"/>
      <c r="C137" s="46"/>
      <c r="D137" s="567"/>
      <c r="E137" s="45"/>
      <c r="F137" s="568"/>
      <c r="G137" s="568"/>
      <c r="H137" s="568"/>
      <c r="I137" s="46"/>
      <c r="J137" s="46"/>
      <c r="K137" s="46"/>
      <c r="L137" s="46"/>
      <c r="M137" s="46"/>
      <c r="N137" s="46"/>
      <c r="O137" s="46"/>
      <c r="P137" s="46"/>
      <c r="Q137" s="46"/>
      <c r="R137" s="46"/>
      <c r="S137" s="46"/>
      <c r="T137" s="45"/>
      <c r="U137" s="46"/>
      <c r="V137" s="46"/>
      <c r="W137" s="46"/>
      <c r="X137" s="46"/>
      <c r="Y137" s="46"/>
      <c r="Z137" s="46"/>
      <c r="AA137" s="46"/>
      <c r="AB137" s="46"/>
      <c r="AC137" s="46"/>
      <c r="AD137" s="1285"/>
      <c r="AE137" s="1285"/>
      <c r="AF137" s="1285"/>
    </row>
    <row r="138" spans="2:32" ht="18" customHeight="1">
      <c r="B138" s="45"/>
      <c r="C138" s="46"/>
      <c r="D138" s="567"/>
      <c r="E138" s="45"/>
      <c r="F138" s="568"/>
      <c r="G138" s="568"/>
      <c r="H138" s="568"/>
      <c r="I138" s="46"/>
      <c r="J138" s="46"/>
      <c r="K138" s="46"/>
      <c r="L138" s="46"/>
      <c r="M138" s="46"/>
      <c r="N138" s="46"/>
      <c r="O138" s="46"/>
      <c r="P138" s="46"/>
      <c r="Q138" s="46"/>
      <c r="R138" s="46"/>
      <c r="S138" s="46"/>
      <c r="T138" s="45"/>
      <c r="U138" s="46"/>
      <c r="V138" s="46"/>
      <c r="W138" s="46"/>
      <c r="X138" s="46"/>
      <c r="Y138" s="46"/>
      <c r="Z138" s="46"/>
      <c r="AA138" s="46"/>
      <c r="AB138" s="46"/>
      <c r="AC138" s="46"/>
      <c r="AD138" s="46"/>
      <c r="AE138" s="46"/>
      <c r="AF138" s="1285"/>
    </row>
    <row r="139" spans="2:32" ht="18" customHeight="1">
      <c r="B139" s="46"/>
      <c r="C139" s="46"/>
      <c r="D139" s="567"/>
      <c r="E139" s="45"/>
      <c r="F139" s="568"/>
      <c r="G139" s="568"/>
      <c r="H139" s="568"/>
      <c r="I139" s="46"/>
      <c r="J139" s="46"/>
      <c r="K139" s="46"/>
      <c r="L139" s="46"/>
      <c r="M139" s="46"/>
      <c r="N139" s="46"/>
      <c r="O139" s="46"/>
      <c r="P139" s="46"/>
      <c r="Q139" s="46"/>
      <c r="R139" s="46"/>
      <c r="S139" s="46"/>
      <c r="T139" s="45"/>
      <c r="U139" s="46"/>
      <c r="V139" s="46"/>
      <c r="W139" s="46"/>
      <c r="X139" s="46"/>
      <c r="Y139" s="46"/>
      <c r="Z139" s="46"/>
      <c r="AA139" s="46"/>
      <c r="AB139" s="46"/>
      <c r="AC139" s="46"/>
      <c r="AD139" s="46"/>
      <c r="AE139" s="46"/>
      <c r="AF139" s="1285"/>
    </row>
    <row r="140" spans="2:32" ht="18" customHeight="1">
      <c r="B140" s="46"/>
      <c r="C140" s="46"/>
      <c r="D140" s="567"/>
      <c r="E140" s="45"/>
      <c r="F140" s="568"/>
      <c r="G140" s="568"/>
      <c r="H140" s="568"/>
      <c r="I140" s="46"/>
      <c r="J140" s="46"/>
      <c r="K140" s="46"/>
      <c r="L140" s="46"/>
      <c r="M140" s="46"/>
      <c r="N140" s="46"/>
      <c r="O140" s="46"/>
      <c r="P140" s="46"/>
      <c r="Q140" s="46"/>
      <c r="R140" s="46"/>
      <c r="S140" s="46"/>
      <c r="T140" s="45"/>
      <c r="U140" s="46"/>
      <c r="V140" s="46"/>
      <c r="W140" s="46"/>
      <c r="X140" s="46"/>
      <c r="Y140" s="46"/>
      <c r="Z140" s="46"/>
      <c r="AA140" s="46"/>
      <c r="AB140" s="46"/>
      <c r="AC140" s="46"/>
      <c r="AD140" s="46"/>
      <c r="AE140" s="1285"/>
      <c r="AF140" s="46"/>
    </row>
    <row r="141" spans="2:32" ht="18" customHeight="1">
      <c r="B141" s="46"/>
      <c r="C141" s="46"/>
      <c r="D141" s="567"/>
      <c r="E141" s="45"/>
      <c r="F141" s="568"/>
      <c r="G141" s="568"/>
      <c r="H141" s="568"/>
      <c r="I141" s="46"/>
      <c r="J141" s="46"/>
      <c r="K141" s="46"/>
      <c r="L141" s="46"/>
      <c r="M141" s="46"/>
      <c r="N141" s="46"/>
      <c r="O141" s="46"/>
      <c r="P141" s="46"/>
      <c r="Q141" s="46"/>
      <c r="R141" s="46"/>
      <c r="S141" s="46"/>
      <c r="T141" s="45"/>
      <c r="U141" s="46"/>
      <c r="V141" s="46"/>
      <c r="W141" s="46"/>
      <c r="X141" s="46"/>
      <c r="Y141" s="46"/>
      <c r="Z141" s="46"/>
      <c r="AA141" s="46"/>
      <c r="AB141" s="46"/>
      <c r="AC141" s="46"/>
      <c r="AD141" s="46"/>
      <c r="AE141" s="46"/>
      <c r="AF141" s="1285"/>
    </row>
    <row r="142" spans="2:32" ht="18" customHeight="1">
      <c r="B142" s="45"/>
      <c r="C142" s="46"/>
      <c r="D142" s="567"/>
      <c r="E142" s="45"/>
      <c r="F142" s="568"/>
      <c r="G142" s="568"/>
      <c r="H142" s="568"/>
      <c r="I142" s="46"/>
      <c r="J142" s="46"/>
      <c r="K142" s="46"/>
      <c r="L142" s="46"/>
      <c r="M142" s="46"/>
      <c r="N142" s="46"/>
      <c r="O142" s="46"/>
      <c r="P142" s="46"/>
      <c r="Q142" s="46"/>
      <c r="R142" s="46"/>
      <c r="S142" s="46"/>
      <c r="T142" s="45"/>
      <c r="U142" s="46"/>
      <c r="V142" s="46"/>
      <c r="W142" s="46"/>
      <c r="X142" s="46"/>
      <c r="Y142" s="46"/>
      <c r="Z142" s="46"/>
      <c r="AA142" s="46"/>
      <c r="AB142" s="46"/>
      <c r="AC142" s="46"/>
      <c r="AD142" s="46"/>
      <c r="AE142" s="46"/>
      <c r="AF142" s="1285"/>
    </row>
    <row r="143" spans="2:32" ht="18" customHeight="1">
      <c r="B143" s="46"/>
      <c r="C143" s="46"/>
      <c r="D143" s="567"/>
      <c r="E143" s="45"/>
      <c r="F143" s="568"/>
      <c r="G143" s="568"/>
      <c r="H143" s="568"/>
      <c r="I143" s="46"/>
      <c r="J143" s="46"/>
      <c r="K143" s="46"/>
      <c r="L143" s="46"/>
      <c r="M143" s="46"/>
      <c r="N143" s="46"/>
      <c r="O143" s="46"/>
      <c r="P143" s="46"/>
      <c r="Q143" s="46"/>
      <c r="R143" s="46"/>
      <c r="S143" s="46"/>
      <c r="T143" s="45"/>
      <c r="U143" s="46"/>
      <c r="V143" s="46"/>
      <c r="W143" s="46"/>
      <c r="X143" s="46"/>
      <c r="Y143" s="46"/>
      <c r="Z143" s="46"/>
      <c r="AA143" s="46"/>
      <c r="AB143" s="46"/>
      <c r="AC143" s="46"/>
      <c r="AD143" s="46"/>
      <c r="AE143" s="46"/>
      <c r="AF143" s="1285"/>
    </row>
    <row r="144" spans="2:32" ht="18" customHeight="1">
      <c r="B144" s="45"/>
      <c r="C144" s="46"/>
      <c r="D144" s="567"/>
      <c r="E144" s="45"/>
      <c r="F144" s="568"/>
      <c r="G144" s="568"/>
      <c r="H144" s="568"/>
      <c r="I144" s="46"/>
      <c r="J144" s="46"/>
      <c r="K144" s="46"/>
      <c r="L144" s="46"/>
      <c r="M144" s="46"/>
      <c r="N144" s="46"/>
      <c r="O144" s="46"/>
      <c r="P144" s="46"/>
      <c r="Q144" s="46"/>
      <c r="R144" s="46"/>
      <c r="S144" s="46"/>
      <c r="T144" s="45"/>
      <c r="U144" s="46"/>
      <c r="V144" s="46"/>
      <c r="W144" s="46"/>
      <c r="X144" s="46"/>
      <c r="Y144" s="46"/>
      <c r="Z144" s="46"/>
      <c r="AA144" s="46"/>
      <c r="AB144" s="46"/>
      <c r="AC144" s="46"/>
      <c r="AD144" s="46"/>
      <c r="AE144" s="46"/>
      <c r="AF144" s="1285"/>
    </row>
    <row r="145" spans="2:32" ht="18" customHeight="1">
      <c r="B145" s="46"/>
      <c r="C145" s="46"/>
      <c r="D145" s="567"/>
      <c r="E145" s="45"/>
      <c r="F145" s="568"/>
      <c r="G145" s="568"/>
      <c r="H145" s="568"/>
      <c r="I145" s="46"/>
      <c r="J145" s="46"/>
      <c r="K145" s="46"/>
      <c r="L145" s="46"/>
      <c r="M145" s="46"/>
      <c r="N145" s="46"/>
      <c r="O145" s="46"/>
      <c r="P145" s="46"/>
      <c r="Q145" s="46"/>
      <c r="R145" s="46"/>
      <c r="S145" s="46"/>
      <c r="T145" s="45"/>
      <c r="U145" s="46"/>
      <c r="V145" s="46"/>
      <c r="W145" s="46"/>
      <c r="X145" s="46"/>
      <c r="Y145" s="46"/>
      <c r="Z145" s="46"/>
      <c r="AA145" s="46"/>
      <c r="AB145" s="46"/>
      <c r="AC145" s="46"/>
      <c r="AD145" s="46"/>
      <c r="AE145" s="46"/>
      <c r="AF145" s="1285"/>
    </row>
    <row r="146" spans="2:32" ht="18" customHeight="1">
      <c r="B146" s="46"/>
      <c r="C146" s="46"/>
      <c r="D146" s="567"/>
      <c r="E146" s="45"/>
      <c r="F146" s="568"/>
      <c r="G146" s="568"/>
      <c r="H146" s="568"/>
      <c r="I146" s="46"/>
      <c r="J146" s="46"/>
      <c r="K146" s="46"/>
      <c r="L146" s="46"/>
      <c r="M146" s="46"/>
      <c r="N146" s="46"/>
      <c r="O146" s="46"/>
      <c r="P146" s="46"/>
      <c r="Q146" s="46"/>
      <c r="R146" s="46"/>
      <c r="S146" s="46"/>
      <c r="T146" s="45"/>
      <c r="U146" s="46"/>
      <c r="V146" s="46"/>
      <c r="W146" s="46"/>
      <c r="X146" s="46"/>
      <c r="Y146" s="46"/>
      <c r="Z146" s="46"/>
      <c r="AA146" s="46"/>
      <c r="AB146" s="46"/>
      <c r="AC146" s="46"/>
      <c r="AD146" s="46"/>
      <c r="AE146" s="1285"/>
      <c r="AF146" s="46"/>
    </row>
    <row r="147" spans="2:32" ht="18" customHeight="1">
      <c r="B147" s="46"/>
      <c r="C147" s="46"/>
      <c r="D147" s="567"/>
      <c r="E147" s="45"/>
      <c r="F147" s="568"/>
      <c r="G147" s="568"/>
      <c r="H147" s="568"/>
      <c r="I147" s="46"/>
      <c r="J147" s="46"/>
      <c r="K147" s="46"/>
      <c r="L147" s="46"/>
      <c r="M147" s="46"/>
      <c r="N147" s="46"/>
      <c r="O147" s="46"/>
      <c r="P147" s="46"/>
      <c r="Q147" s="46"/>
      <c r="R147" s="46"/>
      <c r="S147" s="46"/>
      <c r="T147" s="45"/>
      <c r="U147" s="46"/>
      <c r="V147" s="46"/>
      <c r="W147" s="46"/>
      <c r="X147" s="46"/>
      <c r="Y147" s="46"/>
      <c r="Z147" s="46"/>
      <c r="AA147" s="46"/>
      <c r="AB147" s="46"/>
      <c r="AC147" s="46"/>
      <c r="AD147" s="46"/>
      <c r="AE147" s="46"/>
      <c r="AF147" s="1285"/>
    </row>
    <row r="148" spans="2:32" ht="18" customHeight="1">
      <c r="B148" s="46"/>
      <c r="C148" s="46"/>
      <c r="D148" s="567"/>
      <c r="E148" s="45"/>
      <c r="F148" s="568"/>
      <c r="G148" s="568"/>
      <c r="H148" s="568"/>
      <c r="I148" s="46"/>
      <c r="J148" s="46"/>
      <c r="K148" s="46"/>
      <c r="L148" s="46"/>
      <c r="M148" s="46"/>
      <c r="N148" s="46"/>
      <c r="O148" s="46"/>
      <c r="P148" s="46"/>
      <c r="Q148" s="46"/>
      <c r="R148" s="46"/>
      <c r="S148" s="46"/>
      <c r="T148" s="45"/>
      <c r="U148" s="46"/>
      <c r="V148" s="46"/>
      <c r="W148" s="46"/>
      <c r="X148" s="46"/>
      <c r="Y148" s="46"/>
      <c r="Z148" s="46"/>
      <c r="AA148" s="46"/>
      <c r="AB148" s="46"/>
      <c r="AC148" s="46"/>
      <c r="AD148" s="46"/>
      <c r="AE148" s="46"/>
      <c r="AF148" s="1285"/>
    </row>
    <row r="149" spans="2:32" ht="18" customHeight="1">
      <c r="B149" s="46"/>
      <c r="C149" s="46"/>
      <c r="D149" s="567"/>
      <c r="E149" s="45"/>
      <c r="F149" s="568"/>
      <c r="G149" s="568"/>
      <c r="H149" s="568"/>
      <c r="I149" s="46"/>
      <c r="J149" s="46"/>
      <c r="K149" s="46"/>
      <c r="L149" s="46"/>
      <c r="M149" s="46"/>
      <c r="N149" s="46"/>
      <c r="O149" s="46"/>
      <c r="P149" s="46"/>
      <c r="Q149" s="46"/>
      <c r="R149" s="46"/>
      <c r="S149" s="46"/>
      <c r="T149" s="45"/>
      <c r="U149" s="46"/>
      <c r="V149" s="46"/>
      <c r="W149" s="46"/>
      <c r="X149" s="46"/>
      <c r="Y149" s="46"/>
      <c r="Z149" s="46"/>
      <c r="AA149" s="46"/>
      <c r="AB149" s="46"/>
      <c r="AC149" s="46"/>
      <c r="AD149" s="46"/>
      <c r="AE149" s="46"/>
      <c r="AF149" s="1285"/>
    </row>
    <row r="150" spans="2:32" ht="18" customHeight="1">
      <c r="B150" s="45"/>
      <c r="C150" s="46"/>
      <c r="D150" s="567"/>
      <c r="E150" s="45"/>
      <c r="F150" s="568"/>
      <c r="G150" s="568"/>
      <c r="H150" s="568"/>
      <c r="I150" s="46"/>
      <c r="J150" s="46"/>
      <c r="K150" s="46"/>
      <c r="L150" s="46"/>
      <c r="M150" s="46"/>
      <c r="N150" s="46"/>
      <c r="O150" s="46"/>
      <c r="P150" s="46"/>
      <c r="Q150" s="46"/>
      <c r="R150" s="46"/>
      <c r="S150" s="46"/>
      <c r="T150" s="45"/>
      <c r="U150" s="46"/>
      <c r="V150" s="46"/>
      <c r="W150" s="46"/>
      <c r="X150" s="46"/>
      <c r="Y150" s="46"/>
      <c r="Z150" s="46"/>
      <c r="AA150" s="46"/>
      <c r="AB150" s="46"/>
      <c r="AC150" s="46"/>
      <c r="AD150" s="46"/>
      <c r="AE150" s="46"/>
      <c r="AF150" s="1285"/>
    </row>
    <row r="151" spans="2:32" ht="18" customHeight="1">
      <c r="B151" s="46"/>
      <c r="C151" s="46"/>
      <c r="D151" s="567"/>
      <c r="E151" s="45"/>
      <c r="F151" s="568"/>
      <c r="G151" s="568"/>
      <c r="H151" s="568"/>
      <c r="I151" s="46"/>
      <c r="J151" s="46"/>
      <c r="K151" s="46"/>
      <c r="L151" s="46"/>
      <c r="M151" s="46"/>
      <c r="N151" s="46"/>
      <c r="O151" s="46"/>
      <c r="P151" s="46"/>
      <c r="Q151" s="46"/>
      <c r="R151" s="46"/>
      <c r="S151" s="46"/>
      <c r="T151" s="45"/>
      <c r="U151" s="46"/>
      <c r="V151" s="46"/>
      <c r="W151" s="46"/>
      <c r="X151" s="46"/>
      <c r="Y151" s="46"/>
      <c r="Z151" s="46"/>
      <c r="AA151" s="46"/>
      <c r="AB151" s="46"/>
      <c r="AC151" s="46"/>
      <c r="AD151" s="46"/>
      <c r="AE151" s="46"/>
      <c r="AF151" s="1285"/>
    </row>
    <row r="152" spans="2:32" ht="18" customHeight="1">
      <c r="B152" s="46"/>
      <c r="C152" s="46"/>
      <c r="D152" s="567"/>
      <c r="E152" s="45"/>
      <c r="F152" s="568"/>
      <c r="G152" s="568"/>
      <c r="H152" s="568"/>
      <c r="I152" s="46"/>
      <c r="J152" s="46"/>
      <c r="K152" s="46"/>
      <c r="L152" s="46"/>
      <c r="M152" s="46"/>
      <c r="N152" s="46"/>
      <c r="O152" s="46"/>
      <c r="P152" s="46"/>
      <c r="Q152" s="46"/>
      <c r="R152" s="46"/>
      <c r="S152" s="46"/>
      <c r="T152" s="45"/>
      <c r="U152" s="46"/>
      <c r="V152" s="46"/>
      <c r="W152" s="46"/>
      <c r="X152" s="46"/>
      <c r="Y152" s="46"/>
      <c r="Z152" s="46"/>
      <c r="AA152" s="46"/>
      <c r="AB152" s="46"/>
      <c r="AC152" s="46"/>
      <c r="AD152" s="46"/>
      <c r="AE152" s="1285"/>
      <c r="AF152" s="46"/>
    </row>
    <row r="153" spans="2:32" ht="18" customHeight="1">
      <c r="B153" s="46"/>
      <c r="C153" s="46"/>
      <c r="D153" s="567"/>
      <c r="E153" s="45"/>
      <c r="F153" s="568"/>
      <c r="G153" s="568"/>
      <c r="H153" s="568"/>
      <c r="I153" s="46"/>
      <c r="J153" s="46"/>
      <c r="K153" s="46"/>
      <c r="L153" s="46"/>
      <c r="M153" s="46"/>
      <c r="N153" s="46"/>
      <c r="O153" s="46"/>
      <c r="P153" s="46"/>
      <c r="Q153" s="46"/>
      <c r="R153" s="46"/>
      <c r="S153" s="46"/>
      <c r="T153" s="45"/>
      <c r="U153" s="46"/>
      <c r="V153" s="46"/>
      <c r="W153" s="46"/>
      <c r="X153" s="46"/>
      <c r="Y153" s="46"/>
      <c r="Z153" s="46"/>
      <c r="AA153" s="46"/>
      <c r="AB153" s="46"/>
      <c r="AC153" s="46"/>
      <c r="AD153" s="46"/>
      <c r="AE153" s="46"/>
      <c r="AF153" s="1285"/>
    </row>
    <row r="154" spans="2:32" ht="18" customHeight="1">
      <c r="B154" s="46"/>
      <c r="C154" s="46"/>
      <c r="D154" s="567"/>
      <c r="E154" s="45"/>
      <c r="F154" s="568"/>
      <c r="G154" s="568"/>
      <c r="H154" s="568"/>
      <c r="I154" s="46"/>
      <c r="J154" s="46"/>
      <c r="K154" s="46"/>
      <c r="L154" s="46"/>
      <c r="M154" s="46"/>
      <c r="N154" s="46"/>
      <c r="O154" s="46"/>
      <c r="P154" s="46"/>
      <c r="Q154" s="46"/>
      <c r="R154" s="46"/>
      <c r="S154" s="46"/>
      <c r="T154" s="45"/>
      <c r="U154" s="46"/>
      <c r="V154" s="46"/>
      <c r="W154" s="46"/>
      <c r="X154" s="46"/>
      <c r="Y154" s="46"/>
      <c r="Z154" s="46"/>
      <c r="AA154" s="46"/>
      <c r="AB154" s="46"/>
      <c r="AC154" s="46"/>
      <c r="AD154" s="46"/>
      <c r="AE154" s="46"/>
      <c r="AF154" s="1285"/>
    </row>
    <row r="155" spans="2:32" ht="18" customHeight="1">
      <c r="B155" s="46"/>
      <c r="C155" s="46"/>
      <c r="D155" s="567"/>
      <c r="E155" s="45"/>
      <c r="F155" s="568"/>
      <c r="G155" s="568"/>
      <c r="H155" s="568"/>
      <c r="I155" s="46"/>
      <c r="J155" s="46"/>
      <c r="K155" s="46"/>
      <c r="L155" s="46"/>
      <c r="M155" s="46"/>
      <c r="N155" s="46"/>
      <c r="O155" s="46"/>
      <c r="P155" s="46"/>
      <c r="Q155" s="46"/>
      <c r="R155" s="46"/>
      <c r="S155" s="46"/>
      <c r="T155" s="45"/>
      <c r="U155" s="46"/>
      <c r="V155" s="46"/>
      <c r="W155" s="46"/>
      <c r="X155" s="46"/>
      <c r="Y155" s="46"/>
      <c r="Z155" s="46"/>
      <c r="AA155" s="46"/>
      <c r="AB155" s="46"/>
      <c r="AC155" s="46"/>
      <c r="AD155" s="46"/>
      <c r="AE155" s="46"/>
      <c r="AF155" s="1285"/>
    </row>
    <row r="156" spans="2:32" ht="18" customHeight="1">
      <c r="B156" s="45"/>
      <c r="C156" s="46"/>
      <c r="D156" s="567"/>
      <c r="E156" s="45"/>
      <c r="F156" s="568"/>
      <c r="G156" s="568"/>
      <c r="H156" s="568"/>
      <c r="I156" s="46"/>
      <c r="J156" s="46"/>
      <c r="K156" s="46"/>
      <c r="L156" s="46"/>
      <c r="M156" s="46"/>
      <c r="N156" s="46"/>
      <c r="O156" s="46"/>
      <c r="P156" s="46"/>
      <c r="Q156" s="46"/>
      <c r="R156" s="46"/>
      <c r="S156" s="46"/>
      <c r="T156" s="45"/>
      <c r="U156" s="46"/>
      <c r="V156" s="46"/>
      <c r="W156" s="46"/>
      <c r="X156" s="46"/>
      <c r="Y156" s="46"/>
      <c r="Z156" s="46"/>
      <c r="AA156" s="46"/>
      <c r="AB156" s="46"/>
      <c r="AC156" s="46"/>
      <c r="AD156" s="46"/>
      <c r="AE156" s="46"/>
      <c r="AF156" s="1285"/>
    </row>
    <row r="157" spans="2:32" ht="18" customHeight="1">
      <c r="B157" s="46"/>
      <c r="C157" s="46"/>
      <c r="D157" s="567"/>
      <c r="E157" s="45"/>
      <c r="F157" s="568"/>
      <c r="G157" s="568"/>
      <c r="H157" s="568"/>
      <c r="I157" s="46"/>
      <c r="J157" s="46"/>
      <c r="K157" s="46"/>
      <c r="L157" s="46"/>
      <c r="M157" s="46"/>
      <c r="N157" s="46"/>
      <c r="O157" s="46"/>
      <c r="P157" s="46"/>
      <c r="Q157" s="46"/>
      <c r="R157" s="46"/>
      <c r="S157" s="46"/>
      <c r="T157" s="45"/>
      <c r="U157" s="46"/>
      <c r="V157" s="46"/>
      <c r="W157" s="46"/>
      <c r="X157" s="46"/>
      <c r="Y157" s="46"/>
      <c r="Z157" s="46"/>
      <c r="AA157" s="46"/>
      <c r="AB157" s="46"/>
      <c r="AC157" s="46"/>
      <c r="AD157" s="46"/>
      <c r="AE157" s="46"/>
      <c r="AF157" s="1285"/>
    </row>
    <row r="158" spans="2:32" ht="18" customHeight="1">
      <c r="B158" s="46"/>
      <c r="C158" s="46"/>
      <c r="D158" s="567"/>
      <c r="E158" s="45"/>
      <c r="F158" s="568"/>
      <c r="G158" s="568"/>
      <c r="H158" s="568"/>
      <c r="I158" s="46"/>
      <c r="J158" s="46"/>
      <c r="K158" s="46"/>
      <c r="L158" s="46"/>
      <c r="M158" s="46"/>
      <c r="N158" s="46"/>
      <c r="O158" s="46"/>
      <c r="P158" s="46"/>
      <c r="Q158" s="46"/>
      <c r="R158" s="46"/>
      <c r="S158" s="46"/>
      <c r="T158" s="45"/>
      <c r="U158" s="46"/>
      <c r="V158" s="46"/>
      <c r="W158" s="46"/>
      <c r="X158" s="46"/>
      <c r="Y158" s="46"/>
      <c r="Z158" s="46"/>
      <c r="AA158" s="46"/>
      <c r="AB158" s="46"/>
      <c r="AC158" s="46"/>
      <c r="AD158" s="46"/>
      <c r="AE158" s="1285"/>
      <c r="AF158" s="46"/>
    </row>
    <row r="159" spans="2:32" ht="18" customHeight="1">
      <c r="B159" s="46"/>
      <c r="C159" s="46"/>
      <c r="D159" s="567"/>
      <c r="E159" s="45"/>
      <c r="F159" s="568"/>
      <c r="G159" s="568"/>
      <c r="H159" s="568"/>
      <c r="I159" s="46"/>
      <c r="J159" s="46"/>
      <c r="K159" s="46"/>
      <c r="L159" s="46"/>
      <c r="M159" s="46"/>
      <c r="N159" s="46"/>
      <c r="O159" s="46"/>
      <c r="P159" s="46"/>
      <c r="Q159" s="46"/>
      <c r="R159" s="46"/>
      <c r="S159" s="46"/>
      <c r="T159" s="45"/>
      <c r="U159" s="46"/>
      <c r="V159" s="46"/>
      <c r="W159" s="46"/>
      <c r="X159" s="46"/>
      <c r="Y159" s="46"/>
      <c r="Z159" s="46"/>
      <c r="AA159" s="46"/>
      <c r="AB159" s="46"/>
      <c r="AC159" s="46"/>
      <c r="AD159" s="46"/>
      <c r="AE159" s="46"/>
      <c r="AF159" s="1285"/>
    </row>
    <row r="160" spans="2:32" ht="18" customHeight="1">
      <c r="B160" s="46"/>
      <c r="C160" s="46"/>
      <c r="D160" s="567"/>
      <c r="E160" s="45"/>
      <c r="F160" s="568"/>
      <c r="G160" s="568"/>
      <c r="H160" s="568"/>
      <c r="I160" s="46"/>
      <c r="J160" s="46"/>
      <c r="K160" s="46"/>
      <c r="L160" s="46"/>
      <c r="M160" s="46"/>
      <c r="N160" s="46"/>
      <c r="O160" s="46"/>
      <c r="P160" s="46"/>
      <c r="Q160" s="46"/>
      <c r="R160" s="46"/>
      <c r="S160" s="46"/>
      <c r="T160" s="45"/>
      <c r="U160" s="46"/>
      <c r="V160" s="46"/>
      <c r="W160" s="46"/>
      <c r="X160" s="46"/>
      <c r="Y160" s="46"/>
      <c r="Z160" s="46"/>
      <c r="AA160" s="46"/>
      <c r="AB160" s="46"/>
      <c r="AC160" s="46"/>
      <c r="AD160" s="46"/>
      <c r="AE160" s="46"/>
      <c r="AF160" s="1285"/>
    </row>
    <row r="161" spans="2:32" ht="18" customHeight="1">
      <c r="B161" s="46"/>
      <c r="C161" s="46"/>
      <c r="D161" s="567"/>
      <c r="E161" s="45"/>
      <c r="F161" s="568"/>
      <c r="G161" s="568"/>
      <c r="H161" s="568"/>
      <c r="I161" s="46"/>
      <c r="J161" s="46"/>
      <c r="K161" s="46"/>
      <c r="L161" s="46"/>
      <c r="M161" s="46"/>
      <c r="N161" s="46"/>
      <c r="O161" s="46"/>
      <c r="P161" s="46"/>
      <c r="Q161" s="46"/>
      <c r="R161" s="46"/>
      <c r="S161" s="46"/>
      <c r="T161" s="45"/>
      <c r="U161" s="46"/>
      <c r="V161" s="46"/>
      <c r="W161" s="46"/>
      <c r="X161" s="46"/>
      <c r="Y161" s="46"/>
      <c r="Z161" s="46"/>
      <c r="AA161" s="46"/>
      <c r="AB161" s="46"/>
      <c r="AC161" s="46"/>
      <c r="AD161" s="46"/>
      <c r="AE161" s="46"/>
      <c r="AF161" s="1285"/>
    </row>
    <row r="162" spans="2:32" ht="18" customHeight="1">
      <c r="B162" s="45"/>
      <c r="C162" s="46"/>
      <c r="D162" s="567"/>
      <c r="E162" s="45"/>
      <c r="F162" s="568"/>
      <c r="G162" s="568"/>
      <c r="H162" s="568"/>
      <c r="I162" s="46"/>
      <c r="J162" s="46"/>
      <c r="K162" s="46"/>
      <c r="L162" s="46"/>
      <c r="M162" s="46"/>
      <c r="N162" s="46"/>
      <c r="O162" s="46"/>
      <c r="P162" s="46"/>
      <c r="Q162" s="46"/>
      <c r="R162" s="46"/>
      <c r="S162" s="46"/>
      <c r="T162" s="45"/>
      <c r="U162" s="46"/>
      <c r="V162" s="46"/>
      <c r="W162" s="46"/>
      <c r="X162" s="46"/>
      <c r="Y162" s="46"/>
      <c r="Z162" s="46"/>
      <c r="AA162" s="46"/>
      <c r="AB162" s="46"/>
      <c r="AC162" s="46"/>
      <c r="AD162" s="46"/>
      <c r="AE162" s="46"/>
      <c r="AF162" s="1285"/>
    </row>
    <row r="163" spans="2:32" ht="18" customHeight="1">
      <c r="B163" s="46"/>
      <c r="C163" s="46"/>
      <c r="D163" s="567"/>
      <c r="E163" s="45"/>
      <c r="F163" s="568"/>
      <c r="G163" s="568"/>
      <c r="H163" s="568"/>
      <c r="I163" s="46"/>
      <c r="J163" s="46"/>
      <c r="K163" s="46"/>
      <c r="L163" s="46"/>
      <c r="M163" s="46"/>
      <c r="N163" s="46"/>
      <c r="O163" s="46"/>
      <c r="P163" s="46"/>
      <c r="Q163" s="46"/>
      <c r="R163" s="46"/>
      <c r="S163" s="46"/>
      <c r="T163" s="45"/>
      <c r="U163" s="46"/>
      <c r="V163" s="46"/>
      <c r="W163" s="46"/>
      <c r="X163" s="46"/>
      <c r="Y163" s="46"/>
      <c r="Z163" s="46"/>
      <c r="AA163" s="46"/>
      <c r="AB163" s="46"/>
      <c r="AC163" s="46"/>
      <c r="AD163" s="46"/>
      <c r="AE163" s="46"/>
      <c r="AF163" s="1285"/>
    </row>
    <row r="164" spans="2:32" ht="18" customHeight="1">
      <c r="B164" s="46"/>
      <c r="C164" s="46"/>
      <c r="D164" s="567"/>
      <c r="E164" s="45"/>
      <c r="F164" s="568"/>
      <c r="G164" s="568"/>
      <c r="H164" s="568"/>
      <c r="I164" s="46"/>
      <c r="J164" s="46"/>
      <c r="K164" s="46"/>
      <c r="L164" s="46"/>
      <c r="M164" s="46"/>
      <c r="N164" s="46"/>
      <c r="O164" s="46"/>
      <c r="P164" s="46"/>
      <c r="Q164" s="46"/>
      <c r="R164" s="46"/>
      <c r="S164" s="46"/>
      <c r="T164" s="45"/>
      <c r="U164" s="46"/>
      <c r="V164" s="46"/>
      <c r="W164" s="46"/>
      <c r="X164" s="46"/>
      <c r="Y164" s="46"/>
      <c r="Z164" s="46"/>
      <c r="AA164" s="46"/>
      <c r="AB164" s="46"/>
      <c r="AC164" s="46"/>
      <c r="AD164" s="46"/>
      <c r="AE164" s="1285"/>
      <c r="AF164" s="46"/>
    </row>
    <row r="165" spans="2:32" ht="18" customHeight="1">
      <c r="B165" s="46"/>
      <c r="C165" s="46"/>
      <c r="D165" s="567"/>
      <c r="E165" s="45"/>
      <c r="F165" s="568"/>
      <c r="G165" s="568"/>
      <c r="H165" s="568"/>
      <c r="I165" s="46"/>
      <c r="J165" s="46"/>
      <c r="K165" s="46"/>
      <c r="L165" s="46"/>
      <c r="M165" s="46"/>
      <c r="N165" s="46"/>
      <c r="O165" s="46"/>
      <c r="P165" s="46"/>
      <c r="Q165" s="46"/>
      <c r="R165" s="46"/>
      <c r="S165" s="46"/>
      <c r="T165" s="45"/>
      <c r="U165" s="46"/>
      <c r="V165" s="46"/>
      <c r="W165" s="46"/>
      <c r="X165" s="46"/>
      <c r="Y165" s="46"/>
      <c r="Z165" s="46"/>
      <c r="AA165" s="46"/>
      <c r="AB165" s="46"/>
      <c r="AC165" s="46"/>
      <c r="AD165" s="46"/>
      <c r="AE165" s="46"/>
      <c r="AF165" s="1285"/>
    </row>
    <row r="166" spans="2:32" ht="18" customHeight="1">
      <c r="B166" s="46"/>
      <c r="C166" s="46"/>
      <c r="D166" s="567"/>
      <c r="E166" s="45"/>
      <c r="F166" s="568"/>
      <c r="G166" s="568"/>
      <c r="H166" s="568"/>
      <c r="I166" s="46"/>
      <c r="J166" s="46"/>
      <c r="K166" s="46"/>
      <c r="L166" s="46"/>
      <c r="M166" s="46"/>
      <c r="N166" s="46"/>
      <c r="O166" s="46"/>
      <c r="P166" s="46"/>
      <c r="Q166" s="46"/>
      <c r="R166" s="46"/>
      <c r="S166" s="46"/>
      <c r="T166" s="45"/>
      <c r="U166" s="46"/>
      <c r="V166" s="46"/>
      <c r="W166" s="46"/>
      <c r="X166" s="46"/>
      <c r="Y166" s="46"/>
      <c r="Z166" s="46"/>
      <c r="AA166" s="46"/>
      <c r="AB166" s="46"/>
      <c r="AC166" s="46"/>
      <c r="AD166" s="46"/>
      <c r="AE166" s="46"/>
      <c r="AF166" s="1285"/>
    </row>
    <row r="167" spans="2:32" ht="18" customHeight="1">
      <c r="B167" s="46"/>
      <c r="C167" s="46"/>
      <c r="D167" s="567"/>
      <c r="E167" s="45"/>
      <c r="F167" s="568"/>
      <c r="G167" s="568"/>
      <c r="H167" s="568"/>
      <c r="I167" s="46"/>
      <c r="J167" s="46"/>
      <c r="K167" s="46"/>
      <c r="L167" s="46"/>
      <c r="M167" s="46"/>
      <c r="N167" s="46"/>
      <c r="O167" s="46"/>
      <c r="P167" s="46"/>
      <c r="Q167" s="46"/>
      <c r="R167" s="46"/>
      <c r="S167" s="46"/>
      <c r="T167" s="45"/>
      <c r="U167" s="46"/>
      <c r="V167" s="46"/>
      <c r="W167" s="46"/>
      <c r="X167" s="46"/>
      <c r="Y167" s="46"/>
      <c r="Z167" s="46"/>
      <c r="AA167" s="46"/>
      <c r="AB167" s="46"/>
      <c r="AC167" s="46"/>
      <c r="AD167" s="46"/>
      <c r="AE167" s="46"/>
      <c r="AF167" s="1285"/>
    </row>
    <row r="168" spans="2:32" ht="18" customHeight="1">
      <c r="B168" s="45"/>
      <c r="C168" s="46"/>
      <c r="D168" s="567"/>
      <c r="E168" s="45"/>
      <c r="F168" s="568"/>
      <c r="G168" s="568"/>
      <c r="H168" s="568"/>
      <c r="I168" s="46"/>
      <c r="J168" s="46"/>
      <c r="K168" s="46"/>
      <c r="L168" s="46"/>
      <c r="M168" s="46"/>
      <c r="N168" s="46"/>
      <c r="O168" s="46"/>
      <c r="P168" s="46"/>
      <c r="Q168" s="46"/>
      <c r="R168" s="46"/>
      <c r="S168" s="46"/>
      <c r="T168" s="45"/>
      <c r="U168" s="46"/>
      <c r="V168" s="46"/>
      <c r="W168" s="46"/>
      <c r="X168" s="46"/>
      <c r="Y168" s="46"/>
      <c r="Z168" s="46"/>
      <c r="AA168" s="46"/>
      <c r="AB168" s="46"/>
      <c r="AC168" s="46"/>
      <c r="AD168" s="46"/>
      <c r="AE168" s="46"/>
      <c r="AF168" s="1285"/>
    </row>
    <row r="169" spans="2:32" ht="18" customHeight="1">
      <c r="B169" s="46"/>
      <c r="C169" s="46"/>
      <c r="D169" s="567"/>
      <c r="E169" s="45"/>
      <c r="F169" s="568"/>
      <c r="G169" s="568"/>
      <c r="H169" s="568"/>
      <c r="I169" s="46"/>
      <c r="J169" s="46"/>
      <c r="K169" s="46"/>
      <c r="L169" s="46"/>
      <c r="M169" s="46"/>
      <c r="N169" s="46"/>
      <c r="O169" s="46"/>
      <c r="P169" s="46"/>
      <c r="Q169" s="46"/>
      <c r="R169" s="46"/>
      <c r="S169" s="46"/>
      <c r="T169" s="45"/>
      <c r="U169" s="46"/>
      <c r="V169" s="46"/>
      <c r="W169" s="46"/>
      <c r="X169" s="46"/>
      <c r="Y169" s="46"/>
      <c r="Z169" s="46"/>
      <c r="AA169" s="46"/>
      <c r="AB169" s="46"/>
      <c r="AC169" s="46"/>
      <c r="AD169" s="46"/>
      <c r="AE169" s="46"/>
      <c r="AF169" s="1285"/>
    </row>
    <row r="170" spans="2:32" ht="18" customHeight="1">
      <c r="B170" s="46"/>
      <c r="C170" s="46"/>
      <c r="D170" s="567"/>
      <c r="E170" s="45"/>
      <c r="F170" s="568"/>
      <c r="G170" s="568"/>
      <c r="H170" s="568"/>
      <c r="I170" s="46"/>
      <c r="J170" s="46"/>
      <c r="K170" s="46"/>
      <c r="L170" s="46"/>
      <c r="M170" s="46"/>
      <c r="N170" s="46"/>
      <c r="O170" s="46"/>
      <c r="P170" s="46"/>
      <c r="Q170" s="46"/>
      <c r="R170" s="46"/>
      <c r="S170" s="46"/>
      <c r="T170" s="45"/>
      <c r="U170" s="46"/>
      <c r="V170" s="46"/>
      <c r="W170" s="46"/>
      <c r="X170" s="46"/>
      <c r="Y170" s="46"/>
      <c r="Z170" s="46"/>
      <c r="AA170" s="46"/>
      <c r="AB170" s="46"/>
      <c r="AC170" s="46"/>
      <c r="AD170" s="46"/>
      <c r="AE170" s="1285"/>
      <c r="AF170" s="46"/>
    </row>
    <row r="171" spans="2:32" ht="18" customHeight="1">
      <c r="B171" s="46"/>
      <c r="C171" s="46"/>
      <c r="D171" s="567"/>
      <c r="E171" s="45"/>
      <c r="F171" s="568"/>
      <c r="G171" s="568"/>
      <c r="H171" s="568"/>
      <c r="I171" s="46"/>
      <c r="J171" s="46"/>
      <c r="K171" s="46"/>
      <c r="L171" s="46"/>
      <c r="M171" s="46"/>
      <c r="N171" s="46"/>
      <c r="O171" s="46"/>
      <c r="P171" s="46"/>
      <c r="Q171" s="46"/>
      <c r="R171" s="46"/>
      <c r="S171" s="46"/>
      <c r="T171" s="45"/>
      <c r="U171" s="46"/>
      <c r="V171" s="46"/>
      <c r="W171" s="46"/>
      <c r="X171" s="46"/>
      <c r="Y171" s="46"/>
      <c r="Z171" s="46"/>
      <c r="AA171" s="46"/>
      <c r="AB171" s="46"/>
      <c r="AC171" s="46"/>
      <c r="AD171" s="46"/>
      <c r="AE171" s="46"/>
      <c r="AF171" s="1285"/>
    </row>
    <row r="172" spans="2:32" ht="18" customHeight="1">
      <c r="B172" s="46"/>
      <c r="C172" s="46"/>
      <c r="D172" s="567"/>
      <c r="E172" s="45"/>
      <c r="F172" s="568"/>
      <c r="G172" s="568"/>
      <c r="H172" s="568"/>
      <c r="I172" s="46"/>
      <c r="J172" s="46"/>
      <c r="K172" s="46"/>
      <c r="L172" s="46"/>
      <c r="M172" s="46"/>
      <c r="N172" s="46"/>
      <c r="O172" s="46"/>
      <c r="P172" s="46"/>
      <c r="Q172" s="46"/>
      <c r="R172" s="46"/>
      <c r="S172" s="46"/>
      <c r="T172" s="45"/>
      <c r="U172" s="46"/>
      <c r="V172" s="46"/>
      <c r="W172" s="46"/>
      <c r="X172" s="46"/>
      <c r="Y172" s="46"/>
      <c r="Z172" s="46"/>
      <c r="AA172" s="46"/>
      <c r="AB172" s="46"/>
      <c r="AC172" s="46"/>
      <c r="AD172" s="46"/>
      <c r="AE172" s="46"/>
      <c r="AF172" s="1285"/>
    </row>
    <row r="173" spans="2:32" ht="18" customHeight="1">
      <c r="B173" s="46"/>
      <c r="C173" s="46"/>
      <c r="D173" s="567"/>
      <c r="E173" s="45"/>
      <c r="F173" s="568"/>
      <c r="G173" s="568"/>
      <c r="H173" s="568"/>
      <c r="I173" s="46"/>
      <c r="J173" s="46"/>
      <c r="K173" s="46"/>
      <c r="L173" s="46"/>
      <c r="M173" s="46"/>
      <c r="N173" s="46"/>
      <c r="O173" s="46"/>
      <c r="P173" s="46"/>
      <c r="Q173" s="46"/>
      <c r="R173" s="46"/>
      <c r="S173" s="46"/>
      <c r="T173" s="45"/>
      <c r="U173" s="46"/>
      <c r="V173" s="46"/>
      <c r="W173" s="46"/>
      <c r="X173" s="46"/>
      <c r="Y173" s="46"/>
      <c r="Z173" s="46"/>
      <c r="AA173" s="46"/>
      <c r="AB173" s="46"/>
      <c r="AC173" s="46"/>
      <c r="AD173" s="46"/>
      <c r="AE173" s="46"/>
      <c r="AF173" s="1285"/>
    </row>
    <row r="174" spans="2:32" ht="18" customHeight="1">
      <c r="B174" s="45"/>
      <c r="C174" s="46"/>
      <c r="D174" s="567"/>
      <c r="E174" s="45"/>
      <c r="F174" s="568"/>
      <c r="G174" s="568"/>
      <c r="H174" s="568"/>
      <c r="I174" s="46"/>
      <c r="J174" s="46"/>
      <c r="K174" s="46"/>
      <c r="L174" s="46"/>
      <c r="M174" s="46"/>
      <c r="N174" s="46"/>
      <c r="O174" s="46"/>
      <c r="P174" s="46"/>
      <c r="Q174" s="46"/>
      <c r="R174" s="46"/>
      <c r="S174" s="46"/>
      <c r="T174" s="45"/>
      <c r="U174" s="46"/>
      <c r="V174" s="46"/>
      <c r="W174" s="46"/>
      <c r="X174" s="46"/>
      <c r="Y174" s="46"/>
      <c r="Z174" s="46"/>
      <c r="AA174" s="46"/>
      <c r="AB174" s="46"/>
      <c r="AC174" s="46"/>
      <c r="AD174" s="46"/>
      <c r="AE174" s="46"/>
      <c r="AF174" s="1285"/>
    </row>
    <row r="175" spans="2:32" ht="18" customHeight="1">
      <c r="B175" s="46"/>
      <c r="C175" s="46"/>
      <c r="D175" s="567"/>
      <c r="E175" s="45"/>
      <c r="F175" s="568"/>
      <c r="G175" s="568"/>
      <c r="H175" s="568"/>
      <c r="I175" s="46"/>
      <c r="J175" s="46"/>
      <c r="K175" s="46"/>
      <c r="L175" s="46"/>
      <c r="M175" s="46"/>
      <c r="N175" s="46"/>
      <c r="O175" s="46"/>
      <c r="P175" s="46"/>
      <c r="Q175" s="46"/>
      <c r="R175" s="46"/>
      <c r="S175" s="46"/>
      <c r="T175" s="45"/>
      <c r="U175" s="46"/>
      <c r="V175" s="46"/>
      <c r="W175" s="46"/>
      <c r="X175" s="46"/>
      <c r="Y175" s="46"/>
      <c r="Z175" s="46"/>
      <c r="AA175" s="46"/>
      <c r="AB175" s="46"/>
      <c r="AC175" s="46"/>
      <c r="AD175" s="46"/>
      <c r="AE175" s="46"/>
      <c r="AF175" s="1285"/>
    </row>
    <row r="176" spans="2:32" ht="18" customHeight="1">
      <c r="B176" s="46"/>
      <c r="C176" s="46"/>
      <c r="D176" s="567"/>
      <c r="E176" s="45"/>
      <c r="F176" s="568"/>
      <c r="G176" s="568"/>
      <c r="H176" s="568"/>
      <c r="I176" s="46"/>
      <c r="J176" s="46"/>
      <c r="K176" s="46"/>
      <c r="L176" s="46"/>
      <c r="M176" s="46"/>
      <c r="N176" s="46"/>
      <c r="O176" s="46"/>
      <c r="P176" s="46"/>
      <c r="Q176" s="46"/>
      <c r="R176" s="46"/>
      <c r="S176" s="46"/>
      <c r="T176" s="45"/>
      <c r="U176" s="46"/>
      <c r="V176" s="46"/>
      <c r="W176" s="46"/>
      <c r="X176" s="46"/>
      <c r="Y176" s="46"/>
      <c r="Z176" s="46"/>
      <c r="AA176" s="46"/>
      <c r="AB176" s="46"/>
      <c r="AC176" s="46"/>
      <c r="AD176" s="46"/>
      <c r="AE176" s="1285"/>
      <c r="AF176" s="46"/>
    </row>
    <row r="177" spans="2:32" ht="18" customHeight="1">
      <c r="B177" s="46"/>
      <c r="C177" s="46"/>
      <c r="D177" s="567"/>
      <c r="E177" s="45"/>
      <c r="F177" s="568"/>
      <c r="G177" s="568"/>
      <c r="H177" s="568"/>
      <c r="I177" s="46"/>
      <c r="J177" s="46"/>
      <c r="K177" s="46"/>
      <c r="L177" s="46"/>
      <c r="M177" s="46"/>
      <c r="N177" s="46"/>
      <c r="O177" s="46"/>
      <c r="P177" s="46"/>
      <c r="Q177" s="46"/>
      <c r="R177" s="46"/>
      <c r="S177" s="46"/>
      <c r="T177" s="45"/>
      <c r="U177" s="46"/>
      <c r="V177" s="46"/>
      <c r="W177" s="46"/>
      <c r="X177" s="46"/>
      <c r="Y177" s="46"/>
      <c r="Z177" s="46"/>
      <c r="AA177" s="46"/>
      <c r="AB177" s="46"/>
      <c r="AC177" s="46"/>
      <c r="AD177" s="46"/>
      <c r="AE177" s="46"/>
      <c r="AF177" s="1285"/>
    </row>
    <row r="178" spans="2:32" ht="18" customHeight="1">
      <c r="B178" s="46"/>
      <c r="C178" s="46"/>
      <c r="D178" s="567"/>
      <c r="E178" s="45"/>
      <c r="F178" s="568"/>
      <c r="G178" s="568"/>
      <c r="H178" s="568"/>
      <c r="I178" s="46"/>
      <c r="J178" s="46"/>
      <c r="K178" s="46"/>
      <c r="L178" s="46"/>
      <c r="M178" s="46"/>
      <c r="N178" s="46"/>
      <c r="O178" s="46"/>
      <c r="P178" s="46"/>
      <c r="Q178" s="46"/>
      <c r="R178" s="46"/>
      <c r="S178" s="46"/>
      <c r="T178" s="45"/>
      <c r="U178" s="46"/>
      <c r="V178" s="46"/>
      <c r="W178" s="46"/>
      <c r="X178" s="46"/>
      <c r="Y178" s="46"/>
      <c r="Z178" s="46"/>
      <c r="AA178" s="46"/>
      <c r="AB178" s="46"/>
      <c r="AC178" s="46"/>
      <c r="AD178" s="46"/>
      <c r="AE178" s="46"/>
      <c r="AF178" s="1285"/>
    </row>
    <row r="179" spans="2:32" ht="18" customHeight="1">
      <c r="B179" s="46"/>
      <c r="C179" s="46"/>
      <c r="D179" s="567"/>
      <c r="E179" s="45"/>
      <c r="F179" s="568"/>
      <c r="G179" s="568"/>
      <c r="H179" s="568"/>
      <c r="I179" s="46"/>
      <c r="J179" s="46"/>
      <c r="K179" s="46"/>
      <c r="L179" s="46"/>
      <c r="M179" s="46"/>
      <c r="N179" s="46"/>
      <c r="O179" s="46"/>
      <c r="P179" s="46"/>
      <c r="Q179" s="46"/>
      <c r="R179" s="46"/>
      <c r="S179" s="46"/>
      <c r="T179" s="45"/>
      <c r="U179" s="46"/>
      <c r="V179" s="46"/>
      <c r="W179" s="46"/>
      <c r="X179" s="46"/>
      <c r="Y179" s="46"/>
      <c r="Z179" s="46"/>
      <c r="AA179" s="46"/>
      <c r="AB179" s="46"/>
      <c r="AC179" s="46"/>
      <c r="AD179" s="46"/>
      <c r="AE179" s="46"/>
      <c r="AF179" s="1285"/>
    </row>
    <row r="180" spans="2:32" ht="18" customHeight="1">
      <c r="B180" s="45"/>
      <c r="C180" s="46"/>
      <c r="D180" s="567"/>
      <c r="E180" s="45"/>
      <c r="F180" s="568"/>
      <c r="G180" s="568"/>
      <c r="H180" s="568"/>
      <c r="I180" s="46"/>
      <c r="J180" s="46"/>
      <c r="K180" s="46"/>
      <c r="L180" s="46"/>
      <c r="M180" s="46"/>
      <c r="N180" s="46"/>
      <c r="O180" s="46"/>
      <c r="P180" s="46"/>
      <c r="Q180" s="46"/>
      <c r="R180" s="46"/>
      <c r="S180" s="46"/>
      <c r="T180" s="45"/>
      <c r="U180" s="46"/>
      <c r="V180" s="46"/>
      <c r="W180" s="46"/>
      <c r="X180" s="46"/>
      <c r="Y180" s="46"/>
      <c r="Z180" s="46"/>
      <c r="AA180" s="46"/>
      <c r="AB180" s="46"/>
      <c r="AC180" s="46"/>
      <c r="AD180" s="46"/>
      <c r="AE180" s="46"/>
      <c r="AF180" s="1285"/>
    </row>
    <row r="181" spans="2:32" ht="18" customHeight="1">
      <c r="B181" s="46"/>
      <c r="C181" s="46"/>
      <c r="D181" s="567"/>
      <c r="E181" s="45"/>
      <c r="F181" s="568"/>
      <c r="G181" s="568"/>
      <c r="H181" s="568"/>
      <c r="I181" s="46"/>
      <c r="J181" s="46"/>
      <c r="K181" s="46"/>
      <c r="L181" s="46"/>
      <c r="M181" s="46"/>
      <c r="N181" s="46"/>
      <c r="O181" s="46"/>
      <c r="P181" s="46"/>
      <c r="Q181" s="46"/>
      <c r="R181" s="46"/>
      <c r="S181" s="46"/>
      <c r="T181" s="45"/>
      <c r="U181" s="46"/>
      <c r="V181" s="46"/>
      <c r="W181" s="46"/>
      <c r="X181" s="46"/>
      <c r="Y181" s="46"/>
      <c r="Z181" s="46"/>
      <c r="AA181" s="46"/>
      <c r="AB181" s="46"/>
      <c r="AC181" s="46"/>
      <c r="AD181" s="46"/>
      <c r="AE181" s="46"/>
      <c r="AF181" s="1285"/>
    </row>
    <row r="182" spans="2:32" ht="18" customHeight="1">
      <c r="B182" s="46"/>
      <c r="C182" s="46"/>
      <c r="D182" s="567"/>
      <c r="E182" s="45"/>
      <c r="F182" s="568"/>
      <c r="G182" s="568"/>
      <c r="H182" s="568"/>
      <c r="I182" s="46"/>
      <c r="J182" s="46"/>
      <c r="K182" s="46"/>
      <c r="L182" s="46"/>
      <c r="M182" s="46"/>
      <c r="N182" s="46"/>
      <c r="O182" s="46"/>
      <c r="P182" s="46"/>
      <c r="Q182" s="46"/>
      <c r="R182" s="46"/>
      <c r="S182" s="46"/>
      <c r="T182" s="45"/>
      <c r="U182" s="46"/>
      <c r="V182" s="46"/>
      <c r="W182" s="46"/>
      <c r="X182" s="46"/>
      <c r="Y182" s="46"/>
      <c r="Z182" s="46"/>
      <c r="AA182" s="46"/>
      <c r="AB182" s="46"/>
      <c r="AC182" s="46"/>
      <c r="AD182" s="46"/>
      <c r="AE182" s="1285"/>
      <c r="AF182" s="46"/>
    </row>
    <row r="183" spans="2:32" ht="18" customHeight="1">
      <c r="B183" s="46"/>
      <c r="C183" s="46"/>
      <c r="D183" s="567"/>
      <c r="E183" s="45"/>
      <c r="F183" s="568"/>
      <c r="G183" s="568"/>
      <c r="H183" s="568"/>
      <c r="I183" s="46"/>
      <c r="J183" s="46"/>
      <c r="K183" s="46"/>
      <c r="L183" s="46"/>
      <c r="M183" s="46"/>
      <c r="N183" s="46"/>
      <c r="O183" s="46"/>
      <c r="P183" s="46"/>
      <c r="Q183" s="46"/>
      <c r="R183" s="46"/>
      <c r="S183" s="46"/>
      <c r="T183" s="45"/>
      <c r="U183" s="46"/>
      <c r="V183" s="46"/>
      <c r="W183" s="46"/>
      <c r="X183" s="46"/>
      <c r="Y183" s="46"/>
      <c r="Z183" s="46"/>
      <c r="AA183" s="46"/>
      <c r="AB183" s="46"/>
      <c r="AC183" s="46"/>
      <c r="AD183" s="46"/>
      <c r="AE183" s="46"/>
      <c r="AF183" s="1285"/>
    </row>
    <row r="184" spans="2:32" ht="18" customHeight="1">
      <c r="B184" s="46"/>
      <c r="C184" s="46"/>
      <c r="D184" s="567"/>
      <c r="E184" s="45"/>
      <c r="F184" s="568"/>
      <c r="G184" s="568"/>
      <c r="H184" s="568"/>
      <c r="I184" s="46"/>
      <c r="J184" s="46"/>
      <c r="K184" s="46"/>
      <c r="L184" s="46"/>
      <c r="M184" s="46"/>
      <c r="N184" s="46"/>
      <c r="O184" s="46"/>
      <c r="P184" s="46"/>
      <c r="Q184" s="46"/>
      <c r="R184" s="46"/>
      <c r="S184" s="46"/>
      <c r="T184" s="45"/>
      <c r="U184" s="46"/>
      <c r="V184" s="46"/>
      <c r="W184" s="46"/>
      <c r="X184" s="46"/>
      <c r="Y184" s="46"/>
      <c r="Z184" s="46"/>
      <c r="AA184" s="46"/>
      <c r="AB184" s="46"/>
      <c r="AC184" s="46"/>
      <c r="AD184" s="46"/>
      <c r="AE184" s="46"/>
      <c r="AF184" s="1285"/>
    </row>
    <row r="185" spans="2:32" ht="18" customHeight="1">
      <c r="B185" s="46"/>
      <c r="C185" s="46"/>
      <c r="D185" s="567"/>
      <c r="E185" s="45"/>
      <c r="F185" s="568"/>
      <c r="G185" s="568"/>
      <c r="H185" s="568"/>
      <c r="I185" s="46"/>
      <c r="J185" s="46"/>
      <c r="K185" s="46"/>
      <c r="L185" s="46"/>
      <c r="M185" s="46"/>
      <c r="N185" s="46"/>
      <c r="O185" s="46"/>
      <c r="P185" s="46"/>
      <c r="Q185" s="46"/>
      <c r="R185" s="46"/>
      <c r="S185" s="46"/>
      <c r="T185" s="45"/>
      <c r="U185" s="46"/>
      <c r="V185" s="46"/>
      <c r="W185" s="46"/>
      <c r="X185" s="46"/>
      <c r="Y185" s="46"/>
      <c r="Z185" s="46"/>
      <c r="AA185" s="46"/>
      <c r="AB185" s="46"/>
      <c r="AC185" s="46"/>
      <c r="AD185" s="46"/>
      <c r="AE185" s="46"/>
      <c r="AF185" s="1285"/>
    </row>
    <row r="186" spans="2:32" ht="18" customHeight="1">
      <c r="B186" s="45"/>
      <c r="C186" s="46"/>
      <c r="D186" s="567"/>
      <c r="E186" s="45"/>
      <c r="F186" s="568"/>
      <c r="G186" s="568"/>
      <c r="H186" s="568"/>
      <c r="I186" s="46"/>
      <c r="J186" s="46"/>
      <c r="K186" s="46"/>
      <c r="L186" s="46"/>
      <c r="M186" s="46"/>
      <c r="N186" s="46"/>
      <c r="O186" s="46"/>
      <c r="P186" s="46"/>
      <c r="Q186" s="46"/>
      <c r="R186" s="46"/>
      <c r="S186" s="46"/>
      <c r="T186" s="45"/>
      <c r="U186" s="46"/>
      <c r="V186" s="46"/>
      <c r="W186" s="46"/>
      <c r="X186" s="46"/>
      <c r="Y186" s="46"/>
      <c r="Z186" s="46"/>
      <c r="AA186" s="46"/>
      <c r="AB186" s="46"/>
      <c r="AC186" s="46"/>
      <c r="AD186" s="46"/>
      <c r="AE186" s="46"/>
      <c r="AF186" s="1285"/>
    </row>
    <row r="187" spans="2:32" ht="18" customHeight="1">
      <c r="B187" s="46"/>
      <c r="C187" s="46"/>
      <c r="D187" s="567"/>
      <c r="E187" s="45"/>
      <c r="F187" s="568"/>
      <c r="G187" s="568"/>
      <c r="H187" s="568"/>
      <c r="I187" s="46"/>
      <c r="J187" s="46"/>
      <c r="K187" s="46"/>
      <c r="L187" s="46"/>
      <c r="M187" s="46"/>
      <c r="N187" s="46"/>
      <c r="O187" s="46"/>
      <c r="P187" s="46"/>
      <c r="Q187" s="46"/>
      <c r="R187" s="46"/>
      <c r="S187" s="46"/>
      <c r="T187" s="45"/>
      <c r="U187" s="46"/>
      <c r="V187" s="46"/>
      <c r="W187" s="46"/>
      <c r="X187" s="46"/>
      <c r="Y187" s="46"/>
      <c r="Z187" s="46"/>
      <c r="AA187" s="46"/>
      <c r="AB187" s="46"/>
      <c r="AC187" s="46"/>
      <c r="AD187" s="46"/>
      <c r="AE187" s="46"/>
      <c r="AF187" s="1285"/>
    </row>
    <row r="188" spans="2:32" ht="18" customHeight="1">
      <c r="B188" s="46"/>
      <c r="C188" s="46"/>
      <c r="D188" s="567"/>
      <c r="E188" s="45"/>
      <c r="F188" s="568"/>
      <c r="G188" s="568"/>
      <c r="H188" s="568"/>
      <c r="I188" s="46"/>
      <c r="J188" s="46"/>
      <c r="K188" s="46"/>
      <c r="L188" s="46"/>
      <c r="M188" s="46"/>
      <c r="N188" s="46"/>
      <c r="O188" s="46"/>
      <c r="P188" s="46"/>
      <c r="Q188" s="46"/>
      <c r="R188" s="46"/>
      <c r="S188" s="46"/>
      <c r="T188" s="45"/>
      <c r="U188" s="46"/>
      <c r="V188" s="46"/>
      <c r="W188" s="46"/>
      <c r="X188" s="46"/>
      <c r="Y188" s="46"/>
      <c r="Z188" s="46"/>
      <c r="AA188" s="46"/>
      <c r="AB188" s="46"/>
      <c r="AC188" s="46"/>
      <c r="AD188" s="46"/>
      <c r="AE188" s="1285"/>
      <c r="AF188" s="46"/>
    </row>
    <row r="189" spans="2:32" ht="18" customHeight="1">
      <c r="B189" s="46"/>
      <c r="C189" s="46"/>
      <c r="D189" s="567"/>
      <c r="E189" s="45"/>
      <c r="F189" s="568"/>
      <c r="G189" s="568"/>
      <c r="H189" s="568"/>
      <c r="I189" s="46"/>
      <c r="J189" s="46"/>
      <c r="K189" s="46"/>
      <c r="L189" s="46"/>
      <c r="M189" s="46"/>
      <c r="N189" s="46"/>
      <c r="O189" s="46"/>
      <c r="P189" s="46"/>
      <c r="Q189" s="46"/>
      <c r="R189" s="46"/>
      <c r="S189" s="46"/>
      <c r="T189" s="45"/>
      <c r="U189" s="46"/>
      <c r="V189" s="46"/>
      <c r="W189" s="46"/>
      <c r="X189" s="46"/>
      <c r="Y189" s="46"/>
      <c r="Z189" s="46"/>
      <c r="AA189" s="46"/>
      <c r="AB189" s="46"/>
      <c r="AC189" s="46"/>
      <c r="AD189" s="46"/>
      <c r="AE189" s="46"/>
      <c r="AF189" s="1285"/>
    </row>
    <row r="190" spans="2:32" ht="18" customHeight="1">
      <c r="B190" s="46"/>
      <c r="C190" s="46"/>
      <c r="D190" s="567"/>
      <c r="E190" s="45"/>
      <c r="F190" s="568"/>
      <c r="G190" s="568"/>
      <c r="H190" s="568"/>
      <c r="I190" s="46"/>
      <c r="J190" s="46"/>
      <c r="K190" s="46"/>
      <c r="L190" s="46"/>
      <c r="M190" s="46"/>
      <c r="N190" s="46"/>
      <c r="O190" s="46"/>
      <c r="P190" s="46"/>
      <c r="Q190" s="46"/>
      <c r="R190" s="46"/>
      <c r="S190" s="46"/>
      <c r="T190" s="45"/>
      <c r="U190" s="46"/>
      <c r="V190" s="46"/>
      <c r="W190" s="46"/>
      <c r="X190" s="46"/>
      <c r="Y190" s="46"/>
      <c r="Z190" s="46"/>
      <c r="AA190" s="46"/>
      <c r="AB190" s="46"/>
      <c r="AC190" s="46"/>
      <c r="AD190" s="46"/>
      <c r="AE190" s="46"/>
      <c r="AF190" s="1285"/>
    </row>
    <row r="191" spans="2:32" ht="18" customHeight="1">
      <c r="B191" s="46"/>
      <c r="C191" s="46"/>
      <c r="D191" s="567"/>
      <c r="E191" s="45"/>
      <c r="F191" s="568"/>
      <c r="G191" s="568"/>
      <c r="H191" s="568"/>
      <c r="I191" s="46"/>
      <c r="J191" s="46"/>
      <c r="K191" s="46"/>
      <c r="L191" s="46"/>
      <c r="M191" s="46"/>
      <c r="N191" s="46"/>
      <c r="O191" s="46"/>
      <c r="P191" s="46"/>
      <c r="Q191" s="46"/>
      <c r="R191" s="46"/>
      <c r="S191" s="46"/>
      <c r="T191" s="45"/>
      <c r="U191" s="46"/>
      <c r="V191" s="46"/>
      <c r="W191" s="46"/>
      <c r="X191" s="46"/>
      <c r="Y191" s="46"/>
      <c r="Z191" s="46"/>
      <c r="AA191" s="46"/>
      <c r="AB191" s="46"/>
      <c r="AC191" s="46"/>
      <c r="AD191" s="46"/>
      <c r="AE191" s="46"/>
      <c r="AF191" s="1285"/>
    </row>
    <row r="192" spans="2:32" ht="18" customHeight="1">
      <c r="B192" s="45"/>
      <c r="C192" s="46"/>
      <c r="D192" s="567"/>
      <c r="E192" s="45"/>
      <c r="F192" s="568"/>
      <c r="G192" s="568"/>
      <c r="H192" s="568"/>
      <c r="I192" s="46"/>
      <c r="J192" s="46"/>
      <c r="K192" s="46"/>
      <c r="L192" s="46"/>
      <c r="M192" s="46"/>
      <c r="N192" s="46"/>
      <c r="O192" s="46"/>
      <c r="P192" s="46"/>
      <c r="Q192" s="46"/>
      <c r="R192" s="46"/>
      <c r="S192" s="46"/>
      <c r="T192" s="45"/>
      <c r="U192" s="46"/>
      <c r="V192" s="46"/>
      <c r="W192" s="46"/>
      <c r="X192" s="46"/>
      <c r="Y192" s="46"/>
      <c r="Z192" s="46"/>
      <c r="AA192" s="46"/>
      <c r="AB192" s="46"/>
      <c r="AC192" s="46"/>
      <c r="AD192" s="46"/>
      <c r="AE192" s="46"/>
      <c r="AF192" s="1285"/>
    </row>
    <row r="193" spans="2:32" ht="18" customHeight="1">
      <c r="B193" s="46"/>
      <c r="C193" s="46"/>
      <c r="D193" s="567"/>
      <c r="E193" s="45"/>
      <c r="F193" s="568"/>
      <c r="G193" s="568"/>
      <c r="H193" s="568"/>
      <c r="I193" s="46"/>
      <c r="J193" s="46"/>
      <c r="K193" s="46"/>
      <c r="L193" s="46"/>
      <c r="M193" s="46"/>
      <c r="N193" s="46"/>
      <c r="O193" s="46"/>
      <c r="P193" s="46"/>
      <c r="Q193" s="46"/>
      <c r="R193" s="46"/>
      <c r="S193" s="46"/>
      <c r="T193" s="45"/>
      <c r="U193" s="46"/>
      <c r="V193" s="46"/>
      <c r="W193" s="46"/>
      <c r="X193" s="46"/>
      <c r="Y193" s="46"/>
      <c r="Z193" s="46"/>
      <c r="AA193" s="46"/>
      <c r="AB193" s="46"/>
      <c r="AC193" s="46"/>
      <c r="AD193" s="46"/>
      <c r="AE193" s="46"/>
      <c r="AF193" s="1285"/>
    </row>
    <row r="194" spans="2:32" ht="18" customHeight="1">
      <c r="B194" s="46"/>
      <c r="C194" s="46"/>
      <c r="D194" s="567"/>
      <c r="E194" s="45"/>
      <c r="F194" s="568"/>
      <c r="G194" s="568"/>
      <c r="H194" s="568"/>
      <c r="I194" s="46"/>
      <c r="J194" s="46"/>
      <c r="K194" s="46"/>
      <c r="L194" s="46"/>
      <c r="M194" s="46"/>
      <c r="N194" s="46"/>
      <c r="O194" s="46"/>
      <c r="P194" s="46"/>
      <c r="Q194" s="46"/>
      <c r="R194" s="46"/>
      <c r="S194" s="46"/>
      <c r="T194" s="45"/>
      <c r="U194" s="46"/>
      <c r="V194" s="46"/>
      <c r="W194" s="46"/>
      <c r="X194" s="46"/>
      <c r="Y194" s="46"/>
      <c r="Z194" s="46"/>
      <c r="AA194" s="46"/>
      <c r="AB194" s="46"/>
      <c r="AC194" s="46"/>
      <c r="AD194" s="46"/>
      <c r="AE194" s="1285"/>
      <c r="AF194" s="46"/>
    </row>
    <row r="195" spans="2:32" ht="18" customHeight="1">
      <c r="B195" s="46"/>
      <c r="C195" s="46"/>
      <c r="D195" s="567"/>
      <c r="E195" s="45"/>
      <c r="F195" s="568"/>
      <c r="G195" s="568"/>
      <c r="H195" s="568"/>
      <c r="I195" s="46"/>
      <c r="J195" s="46"/>
      <c r="K195" s="46"/>
      <c r="L195" s="46"/>
      <c r="M195" s="46"/>
      <c r="N195" s="46"/>
      <c r="O195" s="46"/>
      <c r="P195" s="46"/>
      <c r="Q195" s="46"/>
      <c r="R195" s="46"/>
      <c r="S195" s="46"/>
      <c r="T195" s="45"/>
      <c r="U195" s="46"/>
      <c r="V195" s="46"/>
      <c r="W195" s="46"/>
      <c r="X195" s="46"/>
      <c r="Y195" s="46"/>
      <c r="Z195" s="46"/>
      <c r="AA195" s="46"/>
      <c r="AB195" s="46"/>
      <c r="AC195" s="46"/>
      <c r="AD195" s="46"/>
      <c r="AE195" s="46"/>
      <c r="AF195" s="1285"/>
    </row>
    <row r="196" spans="2:32" ht="18" customHeight="1">
      <c r="B196" s="46"/>
      <c r="C196" s="46"/>
      <c r="D196" s="567"/>
      <c r="E196" s="45"/>
      <c r="F196" s="568"/>
      <c r="G196" s="568"/>
      <c r="H196" s="568"/>
      <c r="I196" s="46"/>
      <c r="J196" s="46"/>
      <c r="K196" s="46"/>
      <c r="L196" s="46"/>
      <c r="M196" s="46"/>
      <c r="N196" s="46"/>
      <c r="O196" s="46"/>
      <c r="P196" s="46"/>
      <c r="Q196" s="46"/>
      <c r="R196" s="46"/>
      <c r="S196" s="46"/>
      <c r="T196" s="45"/>
      <c r="U196" s="46"/>
      <c r="V196" s="46"/>
      <c r="W196" s="46"/>
      <c r="X196" s="46"/>
      <c r="Y196" s="46"/>
      <c r="Z196" s="46"/>
      <c r="AA196" s="46"/>
      <c r="AB196" s="46"/>
      <c r="AC196" s="46"/>
      <c r="AD196" s="46"/>
      <c r="AE196" s="46"/>
      <c r="AF196" s="1285"/>
    </row>
    <row r="197" spans="2:32" ht="18" customHeight="1">
      <c r="B197" s="46"/>
      <c r="C197" s="46"/>
      <c r="D197" s="567"/>
      <c r="E197" s="45"/>
      <c r="F197" s="568"/>
      <c r="G197" s="568"/>
      <c r="H197" s="568"/>
      <c r="I197" s="46"/>
      <c r="J197" s="46"/>
      <c r="K197" s="46"/>
      <c r="L197" s="46"/>
      <c r="M197" s="46"/>
      <c r="N197" s="46"/>
      <c r="O197" s="46"/>
      <c r="P197" s="46"/>
      <c r="Q197" s="46"/>
      <c r="R197" s="46"/>
      <c r="S197" s="46"/>
      <c r="T197" s="45"/>
      <c r="U197" s="46"/>
      <c r="V197" s="46"/>
      <c r="W197" s="46"/>
      <c r="X197" s="46"/>
      <c r="Y197" s="46"/>
      <c r="Z197" s="46"/>
      <c r="AA197" s="46"/>
      <c r="AB197" s="46"/>
      <c r="AC197" s="46"/>
      <c r="AD197" s="46"/>
      <c r="AE197" s="46"/>
      <c r="AF197" s="1285"/>
    </row>
    <row r="198" spans="2:32" ht="18" customHeight="1">
      <c r="B198" s="45"/>
      <c r="C198" s="46"/>
      <c r="D198" s="567"/>
      <c r="E198" s="45"/>
      <c r="F198" s="568"/>
      <c r="G198" s="568"/>
      <c r="H198" s="568"/>
      <c r="I198" s="46"/>
      <c r="J198" s="46"/>
      <c r="K198" s="46"/>
      <c r="L198" s="46"/>
      <c r="M198" s="46"/>
      <c r="N198" s="46"/>
      <c r="O198" s="46"/>
      <c r="P198" s="46"/>
      <c r="Q198" s="46"/>
      <c r="R198" s="46"/>
      <c r="S198" s="46"/>
      <c r="T198" s="45"/>
      <c r="U198" s="46"/>
      <c r="V198" s="46"/>
      <c r="W198" s="46"/>
      <c r="X198" s="46"/>
      <c r="Y198" s="46"/>
      <c r="Z198" s="46"/>
      <c r="AA198" s="46"/>
      <c r="AB198" s="46"/>
      <c r="AC198" s="46"/>
      <c r="AD198" s="46"/>
      <c r="AE198" s="46"/>
      <c r="AF198" s="1285"/>
    </row>
    <row r="199" spans="2:32" ht="18" customHeight="1">
      <c r="B199" s="46"/>
      <c r="C199" s="46"/>
      <c r="D199" s="567"/>
      <c r="E199" s="45"/>
      <c r="F199" s="568"/>
      <c r="G199" s="568"/>
      <c r="H199" s="568"/>
      <c r="I199" s="46"/>
      <c r="J199" s="46"/>
      <c r="K199" s="46"/>
      <c r="L199" s="46"/>
      <c r="M199" s="46"/>
      <c r="N199" s="46"/>
      <c r="O199" s="46"/>
      <c r="P199" s="46"/>
      <c r="Q199" s="46"/>
      <c r="R199" s="46"/>
      <c r="S199" s="46"/>
      <c r="T199" s="45"/>
      <c r="U199" s="46"/>
      <c r="V199" s="46"/>
      <c r="W199" s="46"/>
      <c r="X199" s="46"/>
      <c r="Y199" s="46"/>
      <c r="Z199" s="46"/>
      <c r="AA199" s="46"/>
      <c r="AB199" s="46"/>
      <c r="AC199" s="46"/>
      <c r="AD199" s="46"/>
      <c r="AE199" s="46"/>
      <c r="AF199" s="1285"/>
    </row>
    <row r="200" spans="2:32" ht="18" customHeight="1">
      <c r="B200" s="46"/>
      <c r="C200" s="46"/>
      <c r="D200" s="567"/>
      <c r="E200" s="45"/>
      <c r="F200" s="568"/>
      <c r="G200" s="568"/>
      <c r="H200" s="568"/>
      <c r="I200" s="46"/>
      <c r="J200" s="46"/>
      <c r="K200" s="46"/>
      <c r="L200" s="46"/>
      <c r="M200" s="46"/>
      <c r="N200" s="46"/>
      <c r="O200" s="46"/>
      <c r="P200" s="46"/>
      <c r="Q200" s="46"/>
      <c r="R200" s="46"/>
      <c r="S200" s="46"/>
      <c r="T200" s="45"/>
      <c r="U200" s="46"/>
      <c r="V200" s="46"/>
      <c r="W200" s="46"/>
      <c r="X200" s="46"/>
      <c r="Y200" s="46"/>
      <c r="Z200" s="46"/>
      <c r="AA200" s="46"/>
      <c r="AB200" s="46"/>
      <c r="AC200" s="46"/>
      <c r="AD200" s="46"/>
      <c r="AE200" s="1285"/>
      <c r="AF200" s="46"/>
    </row>
    <row r="201" spans="2:32" ht="18" customHeight="1">
      <c r="B201" s="46"/>
      <c r="C201" s="46"/>
      <c r="D201" s="567"/>
      <c r="E201" s="45"/>
      <c r="F201" s="568"/>
      <c r="G201" s="568"/>
      <c r="H201" s="568"/>
      <c r="I201" s="46"/>
      <c r="J201" s="46"/>
      <c r="K201" s="46"/>
      <c r="L201" s="46"/>
      <c r="M201" s="46"/>
      <c r="N201" s="46"/>
      <c r="O201" s="46"/>
      <c r="P201" s="46"/>
      <c r="Q201" s="46"/>
      <c r="R201" s="46"/>
      <c r="S201" s="46"/>
      <c r="T201" s="45"/>
      <c r="U201" s="46"/>
      <c r="V201" s="46"/>
      <c r="W201" s="46"/>
      <c r="X201" s="46"/>
      <c r="Y201" s="46"/>
      <c r="Z201" s="46"/>
      <c r="AA201" s="46"/>
      <c r="AB201" s="46"/>
      <c r="AC201" s="46"/>
      <c r="AD201" s="46"/>
      <c r="AE201" s="46"/>
      <c r="AF201" s="1285"/>
    </row>
    <row r="202" spans="2:32" ht="18" customHeight="1">
      <c r="B202" s="46"/>
      <c r="C202" s="46"/>
      <c r="D202" s="567"/>
      <c r="E202" s="45"/>
      <c r="F202" s="568"/>
      <c r="G202" s="568"/>
      <c r="H202" s="568"/>
      <c r="I202" s="46"/>
      <c r="J202" s="46"/>
      <c r="K202" s="46"/>
      <c r="L202" s="46"/>
      <c r="M202" s="46"/>
      <c r="N202" s="46"/>
      <c r="O202" s="46"/>
      <c r="P202" s="46"/>
      <c r="Q202" s="46"/>
      <c r="R202" s="46"/>
      <c r="S202" s="46"/>
      <c r="T202" s="45"/>
      <c r="U202" s="46"/>
      <c r="V202" s="46"/>
      <c r="W202" s="46"/>
      <c r="X202" s="46"/>
      <c r="Y202" s="46"/>
      <c r="Z202" s="46"/>
      <c r="AA202" s="46"/>
      <c r="AB202" s="46"/>
      <c r="AC202" s="46"/>
      <c r="AD202" s="46"/>
      <c r="AE202" s="46"/>
      <c r="AF202" s="1285"/>
    </row>
    <row r="203" spans="2:32" ht="18" customHeight="1">
      <c r="B203" s="46"/>
      <c r="C203" s="46"/>
      <c r="D203" s="567"/>
      <c r="E203" s="45"/>
      <c r="F203" s="568"/>
      <c r="G203" s="568"/>
      <c r="H203" s="568"/>
      <c r="I203" s="46"/>
      <c r="J203" s="46"/>
      <c r="K203" s="46"/>
      <c r="L203" s="46"/>
      <c r="M203" s="46"/>
      <c r="N203" s="46"/>
      <c r="O203" s="46"/>
      <c r="P203" s="46"/>
      <c r="Q203" s="46"/>
      <c r="R203" s="46"/>
      <c r="S203" s="46"/>
      <c r="T203" s="45"/>
      <c r="U203" s="46"/>
      <c r="V203" s="46"/>
      <c r="W203" s="46"/>
      <c r="X203" s="46"/>
      <c r="Y203" s="46"/>
      <c r="Z203" s="46"/>
      <c r="AA203" s="46"/>
      <c r="AB203" s="46"/>
      <c r="AC203" s="46"/>
      <c r="AD203" s="46"/>
      <c r="AE203" s="46"/>
      <c r="AF203" s="1285"/>
    </row>
    <row r="204" spans="2:32" ht="18" customHeight="1">
      <c r="B204" s="45"/>
      <c r="C204" s="46"/>
      <c r="D204" s="567"/>
      <c r="E204" s="45"/>
      <c r="F204" s="568"/>
      <c r="G204" s="568"/>
      <c r="H204" s="568"/>
      <c r="I204" s="46"/>
      <c r="J204" s="46"/>
      <c r="K204" s="46"/>
      <c r="L204" s="46"/>
      <c r="M204" s="46"/>
      <c r="N204" s="46"/>
      <c r="O204" s="46"/>
      <c r="P204" s="46"/>
      <c r="Q204" s="46"/>
      <c r="R204" s="46"/>
      <c r="S204" s="46"/>
      <c r="T204" s="45"/>
      <c r="U204" s="46"/>
      <c r="V204" s="46"/>
      <c r="W204" s="46"/>
      <c r="X204" s="46"/>
      <c r="Y204" s="46"/>
      <c r="Z204" s="46"/>
      <c r="AA204" s="46"/>
      <c r="AB204" s="46"/>
      <c r="AC204" s="46"/>
      <c r="AD204" s="46"/>
      <c r="AE204" s="46"/>
      <c r="AF204" s="1285"/>
    </row>
    <row r="205" spans="2:32" ht="18" customHeight="1">
      <c r="B205" s="46"/>
      <c r="C205" s="46"/>
      <c r="D205" s="567"/>
      <c r="E205" s="45"/>
      <c r="F205" s="568"/>
      <c r="G205" s="568"/>
      <c r="H205" s="568"/>
      <c r="I205" s="46"/>
      <c r="J205" s="46"/>
      <c r="K205" s="46"/>
      <c r="L205" s="46"/>
      <c r="M205" s="46"/>
      <c r="N205" s="46"/>
      <c r="O205" s="46"/>
      <c r="P205" s="46"/>
      <c r="Q205" s="46"/>
      <c r="R205" s="46"/>
      <c r="S205" s="46"/>
      <c r="T205" s="45"/>
      <c r="U205" s="46"/>
      <c r="V205" s="46"/>
      <c r="W205" s="46"/>
      <c r="X205" s="46"/>
      <c r="Y205" s="46"/>
      <c r="Z205" s="46"/>
      <c r="AA205" s="46"/>
      <c r="AB205" s="46"/>
      <c r="AC205" s="46"/>
      <c r="AD205" s="46"/>
      <c r="AE205" s="46"/>
      <c r="AF205" s="1285"/>
    </row>
    <row r="206" spans="2:32" ht="18" customHeight="1">
      <c r="B206" s="46"/>
      <c r="C206" s="46"/>
      <c r="D206" s="567"/>
      <c r="E206" s="45"/>
      <c r="F206" s="568"/>
      <c r="G206" s="568"/>
      <c r="H206" s="568"/>
      <c r="I206" s="46"/>
      <c r="J206" s="46"/>
      <c r="K206" s="46"/>
      <c r="L206" s="46"/>
      <c r="M206" s="46"/>
      <c r="N206" s="46"/>
      <c r="O206" s="46"/>
      <c r="P206" s="46"/>
      <c r="Q206" s="46"/>
      <c r="R206" s="46"/>
      <c r="S206" s="46"/>
      <c r="T206" s="45"/>
      <c r="U206" s="46"/>
      <c r="V206" s="46"/>
      <c r="W206" s="46"/>
      <c r="X206" s="46"/>
      <c r="Y206" s="46"/>
      <c r="Z206" s="46"/>
      <c r="AA206" s="46"/>
      <c r="AB206" s="46"/>
      <c r="AC206" s="46"/>
      <c r="AD206" s="46"/>
      <c r="AE206" s="1285"/>
      <c r="AF206" s="46"/>
    </row>
    <row r="207" spans="2:32" ht="18" customHeight="1">
      <c r="B207" s="46"/>
      <c r="C207" s="46"/>
      <c r="D207" s="567"/>
      <c r="E207" s="45"/>
      <c r="F207" s="568"/>
      <c r="G207" s="568"/>
      <c r="H207" s="568"/>
      <c r="I207" s="46"/>
      <c r="J207" s="46"/>
      <c r="K207" s="46"/>
      <c r="L207" s="46"/>
      <c r="M207" s="46"/>
      <c r="N207" s="46"/>
      <c r="O207" s="46"/>
      <c r="P207" s="46"/>
      <c r="Q207" s="46"/>
      <c r="R207" s="46"/>
      <c r="S207" s="46"/>
      <c r="T207" s="45"/>
      <c r="U207" s="46"/>
      <c r="V207" s="46"/>
      <c r="W207" s="46"/>
      <c r="X207" s="46"/>
      <c r="Y207" s="46"/>
      <c r="Z207" s="46"/>
      <c r="AA207" s="46"/>
      <c r="AB207" s="46"/>
      <c r="AC207" s="46"/>
      <c r="AD207" s="46"/>
      <c r="AE207" s="46"/>
      <c r="AF207" s="1285"/>
    </row>
    <row r="208" spans="2:32" ht="18" customHeight="1">
      <c r="B208" s="46"/>
      <c r="C208" s="46"/>
      <c r="D208" s="567"/>
      <c r="E208" s="45"/>
      <c r="F208" s="568"/>
      <c r="G208" s="568"/>
      <c r="H208" s="568"/>
      <c r="I208" s="46"/>
      <c r="J208" s="46"/>
      <c r="K208" s="46"/>
      <c r="L208" s="46"/>
      <c r="M208" s="46"/>
      <c r="N208" s="46"/>
      <c r="O208" s="46"/>
      <c r="P208" s="46"/>
      <c r="Q208" s="46"/>
      <c r="R208" s="46"/>
      <c r="S208" s="46"/>
      <c r="T208" s="45"/>
      <c r="U208" s="46"/>
      <c r="V208" s="46"/>
      <c r="W208" s="46"/>
      <c r="X208" s="46"/>
      <c r="Y208" s="46"/>
      <c r="Z208" s="46"/>
      <c r="AA208" s="46"/>
      <c r="AB208" s="46"/>
      <c r="AC208" s="46"/>
      <c r="AD208" s="46"/>
      <c r="AE208" s="46"/>
      <c r="AF208" s="1285"/>
    </row>
    <row r="209" spans="2:32" ht="18" customHeight="1">
      <c r="B209" s="46"/>
      <c r="C209" s="46"/>
      <c r="D209" s="567"/>
      <c r="E209" s="45"/>
      <c r="F209" s="568"/>
      <c r="G209" s="568"/>
      <c r="H209" s="568"/>
      <c r="I209" s="46"/>
      <c r="J209" s="46"/>
      <c r="K209" s="46"/>
      <c r="L209" s="46"/>
      <c r="M209" s="46"/>
      <c r="N209" s="46"/>
      <c r="O209" s="46"/>
      <c r="P209" s="46"/>
      <c r="Q209" s="46"/>
      <c r="R209" s="46"/>
      <c r="S209" s="46"/>
      <c r="T209" s="45"/>
      <c r="U209" s="46"/>
      <c r="V209" s="46"/>
      <c r="W209" s="46"/>
      <c r="X209" s="46"/>
      <c r="Y209" s="46"/>
      <c r="Z209" s="46"/>
      <c r="AA209" s="46"/>
      <c r="AB209" s="46"/>
      <c r="AC209" s="46"/>
      <c r="AD209" s="46"/>
      <c r="AE209" s="46"/>
      <c r="AF209" s="1285"/>
    </row>
    <row r="210" spans="2:32" ht="18" customHeight="1">
      <c r="B210" s="45"/>
      <c r="C210" s="46"/>
      <c r="D210" s="567"/>
      <c r="E210" s="45"/>
      <c r="F210" s="568"/>
      <c r="G210" s="568"/>
      <c r="H210" s="568"/>
      <c r="I210" s="46"/>
      <c r="J210" s="46"/>
      <c r="K210" s="46"/>
      <c r="L210" s="46"/>
      <c r="M210" s="46"/>
      <c r="N210" s="46"/>
      <c r="O210" s="46"/>
      <c r="P210" s="46"/>
      <c r="Q210" s="46"/>
      <c r="R210" s="46"/>
      <c r="S210" s="46"/>
      <c r="T210" s="45"/>
      <c r="U210" s="46"/>
      <c r="V210" s="46"/>
      <c r="W210" s="46"/>
      <c r="X210" s="46"/>
      <c r="Y210" s="46"/>
      <c r="Z210" s="46"/>
      <c r="AA210" s="46"/>
      <c r="AB210" s="46"/>
      <c r="AC210" s="46"/>
      <c r="AD210" s="46"/>
      <c r="AE210" s="46"/>
      <c r="AF210" s="1285"/>
    </row>
    <row r="211" spans="2:32" ht="18" customHeight="1">
      <c r="B211" s="46"/>
      <c r="C211" s="46"/>
      <c r="D211" s="567"/>
      <c r="E211" s="45"/>
      <c r="F211" s="568"/>
      <c r="G211" s="568"/>
      <c r="H211" s="568"/>
      <c r="I211" s="46"/>
      <c r="J211" s="46"/>
      <c r="K211" s="46"/>
      <c r="L211" s="46"/>
      <c r="M211" s="46"/>
      <c r="N211" s="46"/>
      <c r="O211" s="46"/>
      <c r="P211" s="46"/>
      <c r="Q211" s="46"/>
      <c r="R211" s="46"/>
      <c r="S211" s="46"/>
      <c r="T211" s="45"/>
      <c r="U211" s="46"/>
      <c r="V211" s="46"/>
      <c r="W211" s="46"/>
      <c r="X211" s="46"/>
      <c r="Y211" s="46"/>
      <c r="Z211" s="46"/>
      <c r="AA211" s="46"/>
      <c r="AB211" s="46"/>
      <c r="AC211" s="46"/>
      <c r="AD211" s="46"/>
      <c r="AE211" s="46"/>
      <c r="AF211" s="1285"/>
    </row>
    <row r="212" spans="2:32" ht="18" customHeight="1">
      <c r="B212" s="46"/>
      <c r="C212" s="46"/>
      <c r="D212" s="567"/>
      <c r="E212" s="45"/>
      <c r="F212" s="568"/>
      <c r="G212" s="568"/>
      <c r="H212" s="568"/>
      <c r="I212" s="46"/>
      <c r="J212" s="46"/>
      <c r="K212" s="46"/>
      <c r="L212" s="46"/>
      <c r="M212" s="46"/>
      <c r="N212" s="46"/>
      <c r="O212" s="46"/>
      <c r="P212" s="46"/>
      <c r="Q212" s="46"/>
      <c r="R212" s="46"/>
      <c r="S212" s="46"/>
      <c r="T212" s="45"/>
      <c r="U212" s="46"/>
      <c r="V212" s="46"/>
      <c r="W212" s="46"/>
      <c r="X212" s="46"/>
      <c r="Y212" s="46"/>
      <c r="Z212" s="46"/>
      <c r="AA212" s="46"/>
      <c r="AB212" s="46"/>
      <c r="AC212" s="46"/>
      <c r="AD212" s="46"/>
      <c r="AE212" s="1285"/>
      <c r="AF212" s="46"/>
    </row>
    <row r="213" spans="2:32" ht="18" customHeight="1">
      <c r="B213" s="46"/>
      <c r="C213" s="46"/>
      <c r="D213" s="567"/>
      <c r="E213" s="45"/>
      <c r="F213" s="568"/>
      <c r="G213" s="568"/>
      <c r="H213" s="568"/>
      <c r="I213" s="46"/>
      <c r="J213" s="46"/>
      <c r="K213" s="46"/>
      <c r="L213" s="46"/>
      <c r="M213" s="46"/>
      <c r="N213" s="46"/>
      <c r="O213" s="46"/>
      <c r="P213" s="46"/>
      <c r="Q213" s="46"/>
      <c r="R213" s="46"/>
      <c r="S213" s="46"/>
      <c r="T213" s="45"/>
      <c r="U213" s="46"/>
      <c r="V213" s="46"/>
      <c r="W213" s="46"/>
      <c r="X213" s="46"/>
      <c r="Y213" s="46"/>
      <c r="Z213" s="46"/>
      <c r="AA213" s="46"/>
      <c r="AB213" s="46"/>
      <c r="AC213" s="46"/>
      <c r="AD213" s="46"/>
      <c r="AE213" s="46"/>
      <c r="AF213" s="1285"/>
    </row>
    <row r="214" spans="2:32" ht="18" customHeight="1">
      <c r="B214" s="46"/>
      <c r="C214" s="46"/>
      <c r="D214" s="567"/>
      <c r="E214" s="45"/>
      <c r="F214" s="568"/>
      <c r="G214" s="568"/>
      <c r="H214" s="568"/>
      <c r="I214" s="46"/>
      <c r="J214" s="46"/>
      <c r="K214" s="46"/>
      <c r="L214" s="46"/>
      <c r="M214" s="46"/>
      <c r="N214" s="46"/>
      <c r="O214" s="46"/>
      <c r="P214" s="46"/>
      <c r="Q214" s="46"/>
      <c r="R214" s="46"/>
      <c r="S214" s="46"/>
      <c r="T214" s="45"/>
      <c r="U214" s="46"/>
      <c r="V214" s="46"/>
      <c r="W214" s="46"/>
      <c r="X214" s="46"/>
      <c r="Y214" s="46"/>
      <c r="Z214" s="46"/>
      <c r="AA214" s="46"/>
      <c r="AB214" s="46"/>
      <c r="AC214" s="46"/>
      <c r="AD214" s="46"/>
      <c r="AE214" s="46"/>
      <c r="AF214" s="1285"/>
    </row>
    <row r="215" spans="2:32" ht="18" customHeight="1">
      <c r="B215" s="46"/>
      <c r="C215" s="46"/>
      <c r="D215" s="567"/>
      <c r="E215" s="45"/>
      <c r="F215" s="568"/>
      <c r="G215" s="568"/>
      <c r="H215" s="568"/>
      <c r="I215" s="46"/>
      <c r="J215" s="46"/>
      <c r="K215" s="46"/>
      <c r="L215" s="46"/>
      <c r="M215" s="46"/>
      <c r="N215" s="46"/>
      <c r="O215" s="46"/>
      <c r="P215" s="46"/>
      <c r="Q215" s="46"/>
      <c r="R215" s="46"/>
      <c r="S215" s="46"/>
      <c r="T215" s="45"/>
      <c r="U215" s="46"/>
      <c r="V215" s="46"/>
      <c r="W215" s="46"/>
      <c r="X215" s="46"/>
      <c r="Y215" s="46"/>
      <c r="Z215" s="46"/>
      <c r="AA215" s="46"/>
      <c r="AB215" s="46"/>
      <c r="AC215" s="46"/>
      <c r="AD215" s="46"/>
      <c r="AE215" s="46"/>
      <c r="AF215" s="1285"/>
    </row>
    <row r="216" spans="2:32" ht="18" customHeight="1">
      <c r="B216" s="45"/>
      <c r="C216" s="46"/>
      <c r="D216" s="567"/>
      <c r="E216" s="45"/>
      <c r="F216" s="568"/>
      <c r="G216" s="568"/>
      <c r="H216" s="568"/>
      <c r="I216" s="46"/>
      <c r="J216" s="46"/>
      <c r="K216" s="46"/>
      <c r="L216" s="46"/>
      <c r="M216" s="46"/>
      <c r="N216" s="46"/>
      <c r="O216" s="46"/>
      <c r="P216" s="46"/>
      <c r="Q216" s="46"/>
      <c r="R216" s="46"/>
      <c r="S216" s="46"/>
      <c r="T216" s="45"/>
      <c r="U216" s="46"/>
      <c r="V216" s="46"/>
      <c r="W216" s="46"/>
      <c r="X216" s="46"/>
      <c r="Y216" s="46"/>
      <c r="Z216" s="46"/>
      <c r="AA216" s="46"/>
      <c r="AB216" s="46"/>
      <c r="AC216" s="46"/>
      <c r="AD216" s="46"/>
      <c r="AE216" s="46"/>
      <c r="AF216" s="1285"/>
    </row>
    <row r="217" spans="2:32" ht="18" customHeight="1">
      <c r="B217" s="46"/>
      <c r="C217" s="46"/>
      <c r="D217" s="567"/>
      <c r="E217" s="45"/>
      <c r="F217" s="568"/>
      <c r="G217" s="568"/>
      <c r="H217" s="568"/>
      <c r="I217" s="46"/>
      <c r="J217" s="46"/>
      <c r="K217" s="46"/>
      <c r="L217" s="46"/>
      <c r="M217" s="46"/>
      <c r="N217" s="46"/>
      <c r="O217" s="46"/>
      <c r="P217" s="46"/>
      <c r="Q217" s="46"/>
      <c r="R217" s="46"/>
      <c r="S217" s="46"/>
      <c r="T217" s="45"/>
      <c r="U217" s="46"/>
      <c r="V217" s="46"/>
      <c r="W217" s="46"/>
      <c r="X217" s="46"/>
      <c r="Y217" s="46"/>
      <c r="Z217" s="46"/>
      <c r="AA217" s="46"/>
      <c r="AB217" s="46"/>
      <c r="AC217" s="46"/>
      <c r="AD217" s="46"/>
      <c r="AE217" s="46"/>
      <c r="AF217" s="1285"/>
    </row>
    <row r="218" spans="2:32" ht="18" customHeight="1">
      <c r="B218" s="46"/>
      <c r="C218" s="46"/>
      <c r="D218" s="567"/>
      <c r="E218" s="45"/>
      <c r="F218" s="568"/>
      <c r="G218" s="568"/>
      <c r="H218" s="568"/>
      <c r="I218" s="46"/>
      <c r="J218" s="46"/>
      <c r="K218" s="46"/>
      <c r="L218" s="46"/>
      <c r="M218" s="46"/>
      <c r="N218" s="46"/>
      <c r="O218" s="46"/>
      <c r="P218" s="46"/>
      <c r="Q218" s="46"/>
      <c r="R218" s="46"/>
      <c r="S218" s="46"/>
      <c r="T218" s="45"/>
      <c r="U218" s="46"/>
      <c r="V218" s="46"/>
      <c r="W218" s="46"/>
      <c r="X218" s="46"/>
      <c r="Y218" s="46"/>
      <c r="Z218" s="46"/>
      <c r="AA218" s="46"/>
      <c r="AB218" s="46"/>
      <c r="AC218" s="46"/>
      <c r="AD218" s="46"/>
      <c r="AE218" s="1285"/>
      <c r="AF218" s="46"/>
    </row>
    <row r="219" spans="2:32" ht="18" customHeight="1">
      <c r="B219" s="46"/>
      <c r="C219" s="46"/>
      <c r="D219" s="567"/>
      <c r="E219" s="45"/>
      <c r="F219" s="568"/>
      <c r="G219" s="568"/>
      <c r="H219" s="568"/>
      <c r="I219" s="46"/>
      <c r="J219" s="46"/>
      <c r="K219" s="46"/>
      <c r="L219" s="46"/>
      <c r="M219" s="46"/>
      <c r="N219" s="46"/>
      <c r="O219" s="46"/>
      <c r="P219" s="46"/>
      <c r="Q219" s="46"/>
      <c r="R219" s="46"/>
      <c r="S219" s="46"/>
      <c r="T219" s="45"/>
      <c r="U219" s="46"/>
      <c r="V219" s="46"/>
      <c r="W219" s="46"/>
      <c r="X219" s="46"/>
      <c r="Y219" s="46"/>
      <c r="Z219" s="46"/>
      <c r="AA219" s="46"/>
      <c r="AB219" s="46"/>
      <c r="AC219" s="46"/>
      <c r="AD219" s="46"/>
      <c r="AE219" s="46"/>
      <c r="AF219" s="1285"/>
    </row>
    <row r="220" spans="2:32" ht="18" customHeight="1">
      <c r="B220" s="46"/>
      <c r="C220" s="46"/>
      <c r="D220" s="567"/>
      <c r="E220" s="45"/>
      <c r="F220" s="568"/>
      <c r="G220" s="568"/>
      <c r="H220" s="568"/>
      <c r="I220" s="46"/>
      <c r="J220" s="46"/>
      <c r="K220" s="46"/>
      <c r="L220" s="46"/>
      <c r="M220" s="46"/>
      <c r="N220" s="46"/>
      <c r="O220" s="46"/>
      <c r="P220" s="46"/>
      <c r="Q220" s="46"/>
      <c r="R220" s="46"/>
      <c r="S220" s="46"/>
      <c r="T220" s="45"/>
      <c r="U220" s="46"/>
      <c r="V220" s="46"/>
      <c r="W220" s="46"/>
      <c r="X220" s="46"/>
      <c r="Y220" s="46"/>
      <c r="Z220" s="46"/>
      <c r="AA220" s="46"/>
      <c r="AB220" s="46"/>
      <c r="AC220" s="46"/>
      <c r="AD220" s="46"/>
      <c r="AE220" s="46"/>
      <c r="AF220" s="1285"/>
    </row>
    <row r="221" spans="2:32" ht="18" customHeight="1">
      <c r="B221" s="46"/>
      <c r="C221" s="46"/>
      <c r="D221" s="567"/>
      <c r="E221" s="45"/>
      <c r="F221" s="568"/>
      <c r="G221" s="568"/>
      <c r="H221" s="568"/>
      <c r="I221" s="46"/>
      <c r="J221" s="46"/>
      <c r="K221" s="46"/>
      <c r="L221" s="46"/>
      <c r="M221" s="46"/>
      <c r="N221" s="46"/>
      <c r="O221" s="46"/>
      <c r="P221" s="46"/>
      <c r="Q221" s="46"/>
      <c r="R221" s="46"/>
      <c r="S221" s="46"/>
      <c r="T221" s="45"/>
      <c r="U221" s="46"/>
      <c r="V221" s="46"/>
      <c r="W221" s="46"/>
      <c r="X221" s="46"/>
      <c r="Y221" s="46"/>
      <c r="Z221" s="46"/>
      <c r="AA221" s="46"/>
      <c r="AB221" s="46"/>
      <c r="AC221" s="46"/>
      <c r="AD221" s="46"/>
      <c r="AE221" s="46"/>
      <c r="AF221" s="1285"/>
    </row>
    <row r="222" spans="2:32" ht="18" customHeight="1">
      <c r="B222" s="45"/>
      <c r="C222" s="46"/>
      <c r="D222" s="567"/>
      <c r="E222" s="45"/>
      <c r="F222" s="568"/>
      <c r="G222" s="568"/>
      <c r="H222" s="568"/>
      <c r="I222" s="46"/>
      <c r="J222" s="46"/>
      <c r="K222" s="46"/>
      <c r="L222" s="46"/>
      <c r="M222" s="46"/>
      <c r="N222" s="46"/>
      <c r="O222" s="46"/>
      <c r="P222" s="46"/>
      <c r="Q222" s="46"/>
      <c r="R222" s="46"/>
      <c r="S222" s="46"/>
      <c r="T222" s="45"/>
      <c r="U222" s="46"/>
      <c r="V222" s="46"/>
      <c r="W222" s="46"/>
      <c r="X222" s="46"/>
      <c r="Y222" s="46"/>
      <c r="Z222" s="46"/>
      <c r="AA222" s="46"/>
      <c r="AB222" s="46"/>
      <c r="AC222" s="46"/>
      <c r="AD222" s="46"/>
      <c r="AE222" s="46"/>
      <c r="AF222" s="1285"/>
    </row>
    <row r="223" spans="2:32" ht="18" customHeight="1">
      <c r="B223" s="46"/>
      <c r="C223" s="46"/>
      <c r="D223" s="567"/>
      <c r="E223" s="45"/>
      <c r="F223" s="568"/>
      <c r="G223" s="568"/>
      <c r="H223" s="568"/>
      <c r="I223" s="46"/>
      <c r="J223" s="46"/>
      <c r="K223" s="46"/>
      <c r="L223" s="46"/>
      <c r="M223" s="46"/>
      <c r="N223" s="46"/>
      <c r="O223" s="46"/>
      <c r="P223" s="46"/>
      <c r="Q223" s="46"/>
      <c r="R223" s="46"/>
      <c r="S223" s="46"/>
      <c r="T223" s="45"/>
      <c r="U223" s="46"/>
      <c r="V223" s="46"/>
      <c r="W223" s="46"/>
      <c r="X223" s="46"/>
      <c r="Y223" s="46"/>
      <c r="Z223" s="46"/>
      <c r="AA223" s="46"/>
      <c r="AB223" s="46"/>
      <c r="AC223" s="46"/>
      <c r="AD223" s="46"/>
      <c r="AE223" s="46"/>
      <c r="AF223" s="1285"/>
    </row>
    <row r="224" spans="2:32" ht="18" customHeight="1">
      <c r="B224" s="46"/>
      <c r="C224" s="46"/>
      <c r="D224" s="567"/>
      <c r="E224" s="45"/>
      <c r="F224" s="568"/>
      <c r="G224" s="568"/>
      <c r="H224" s="568"/>
      <c r="I224" s="46"/>
      <c r="J224" s="46"/>
      <c r="K224" s="46"/>
      <c r="L224" s="46"/>
      <c r="M224" s="46"/>
      <c r="N224" s="46"/>
      <c r="O224" s="46"/>
      <c r="P224" s="46"/>
      <c r="Q224" s="46"/>
      <c r="R224" s="46"/>
      <c r="S224" s="46"/>
      <c r="T224" s="45"/>
      <c r="U224" s="46"/>
      <c r="V224" s="46"/>
      <c r="W224" s="46"/>
      <c r="X224" s="46"/>
      <c r="Y224" s="46"/>
      <c r="Z224" s="46"/>
      <c r="AA224" s="46"/>
      <c r="AB224" s="46"/>
      <c r="AC224" s="46"/>
      <c r="AD224" s="46"/>
      <c r="AE224" s="1285"/>
      <c r="AF224" s="46"/>
    </row>
    <row r="225" spans="2:32" ht="18" customHeight="1">
      <c r="B225" s="46"/>
      <c r="C225" s="46"/>
      <c r="D225" s="567"/>
      <c r="E225" s="45"/>
      <c r="F225" s="568"/>
      <c r="G225" s="568"/>
      <c r="H225" s="568"/>
      <c r="I225" s="46"/>
      <c r="J225" s="46"/>
      <c r="K225" s="46"/>
      <c r="L225" s="46"/>
      <c r="M225" s="46"/>
      <c r="N225" s="46"/>
      <c r="O225" s="46"/>
      <c r="P225" s="46"/>
      <c r="Q225" s="46"/>
      <c r="R225" s="46"/>
      <c r="S225" s="46"/>
      <c r="T225" s="45"/>
      <c r="U225" s="46"/>
      <c r="V225" s="46"/>
      <c r="W225" s="46"/>
      <c r="X225" s="46"/>
      <c r="Y225" s="46"/>
      <c r="Z225" s="46"/>
      <c r="AA225" s="46"/>
      <c r="AB225" s="46"/>
      <c r="AC225" s="46"/>
      <c r="AD225" s="46"/>
      <c r="AE225" s="46"/>
      <c r="AF225" s="1285"/>
    </row>
    <row r="226" spans="2:32" ht="18" customHeight="1">
      <c r="B226" s="46"/>
      <c r="C226" s="46"/>
      <c r="D226" s="567"/>
      <c r="E226" s="45"/>
      <c r="F226" s="568"/>
      <c r="G226" s="568"/>
      <c r="H226" s="568"/>
      <c r="I226" s="46"/>
      <c r="J226" s="46"/>
      <c r="K226" s="46"/>
      <c r="L226" s="46"/>
      <c r="M226" s="46"/>
      <c r="N226" s="46"/>
      <c r="O226" s="46"/>
      <c r="P226" s="46"/>
      <c r="Q226" s="46"/>
      <c r="R226" s="46"/>
      <c r="S226" s="46"/>
      <c r="T226" s="45"/>
      <c r="U226" s="46"/>
      <c r="V226" s="46"/>
      <c r="W226" s="46"/>
      <c r="X226" s="46"/>
      <c r="Y226" s="46"/>
      <c r="Z226" s="46"/>
      <c r="AA226" s="46"/>
      <c r="AB226" s="46"/>
      <c r="AC226" s="46"/>
      <c r="AD226" s="46"/>
      <c r="AE226" s="46"/>
      <c r="AF226" s="1285"/>
    </row>
    <row r="227" spans="2:32" ht="18" customHeight="1">
      <c r="B227" s="46"/>
      <c r="C227" s="46"/>
      <c r="D227" s="567"/>
      <c r="E227" s="45"/>
      <c r="F227" s="568"/>
      <c r="G227" s="568"/>
      <c r="H227" s="568"/>
      <c r="I227" s="46"/>
      <c r="J227" s="46"/>
      <c r="K227" s="46"/>
      <c r="L227" s="46"/>
      <c r="M227" s="46"/>
      <c r="N227" s="46"/>
      <c r="O227" s="46"/>
      <c r="P227" s="46"/>
      <c r="Q227" s="46"/>
      <c r="R227" s="46"/>
      <c r="S227" s="46"/>
      <c r="T227" s="45"/>
      <c r="U227" s="46"/>
      <c r="V227" s="46"/>
      <c r="W227" s="46"/>
      <c r="X227" s="46"/>
      <c r="Y227" s="46"/>
      <c r="Z227" s="46"/>
      <c r="AA227" s="46"/>
      <c r="AB227" s="46"/>
      <c r="AC227" s="46"/>
      <c r="AD227" s="46"/>
      <c r="AE227" s="46"/>
      <c r="AF227" s="1285"/>
    </row>
    <row r="228" spans="2:32" ht="18" customHeight="1">
      <c r="B228" s="45"/>
      <c r="C228" s="46"/>
      <c r="D228" s="567"/>
      <c r="E228" s="45"/>
      <c r="F228" s="568"/>
      <c r="G228" s="568"/>
      <c r="H228" s="568"/>
      <c r="I228" s="46"/>
      <c r="J228" s="46"/>
      <c r="K228" s="46"/>
      <c r="L228" s="46"/>
      <c r="M228" s="46"/>
      <c r="N228" s="46"/>
      <c r="O228" s="46"/>
      <c r="P228" s="46"/>
      <c r="Q228" s="46"/>
      <c r="R228" s="46"/>
      <c r="S228" s="46"/>
      <c r="T228" s="45"/>
      <c r="U228" s="46"/>
      <c r="V228" s="46"/>
      <c r="W228" s="46"/>
      <c r="X228" s="46"/>
      <c r="Y228" s="46"/>
      <c r="Z228" s="46"/>
      <c r="AA228" s="46"/>
      <c r="AB228" s="46"/>
      <c r="AC228" s="46"/>
      <c r="AD228" s="46"/>
      <c r="AE228" s="46"/>
      <c r="AF228" s="1285"/>
    </row>
    <row r="229" spans="2:32" ht="18" customHeight="1">
      <c r="B229" s="46"/>
      <c r="C229" s="46"/>
      <c r="D229" s="567"/>
      <c r="E229" s="45"/>
      <c r="F229" s="568"/>
      <c r="G229" s="568"/>
      <c r="H229" s="568"/>
      <c r="I229" s="46"/>
      <c r="J229" s="46"/>
      <c r="K229" s="46"/>
      <c r="L229" s="46"/>
      <c r="M229" s="46"/>
      <c r="N229" s="46"/>
      <c r="O229" s="46"/>
      <c r="P229" s="46"/>
      <c r="Q229" s="46"/>
      <c r="R229" s="46"/>
      <c r="S229" s="46"/>
      <c r="T229" s="45"/>
      <c r="U229" s="46"/>
      <c r="V229" s="46"/>
      <c r="W229" s="46"/>
      <c r="X229" s="46"/>
      <c r="Y229" s="46"/>
      <c r="Z229" s="46"/>
      <c r="AA229" s="46"/>
      <c r="AB229" s="46"/>
      <c r="AC229" s="46"/>
      <c r="AD229" s="46"/>
      <c r="AE229" s="46"/>
      <c r="AF229" s="1285"/>
    </row>
    <row r="230" spans="2:32" ht="18" customHeight="1">
      <c r="B230" s="46"/>
      <c r="C230" s="46"/>
      <c r="D230" s="567"/>
      <c r="E230" s="45"/>
      <c r="F230" s="568"/>
      <c r="G230" s="568"/>
      <c r="H230" s="568"/>
      <c r="I230" s="46"/>
      <c r="J230" s="46"/>
      <c r="K230" s="46"/>
      <c r="L230" s="46"/>
      <c r="M230" s="46"/>
      <c r="N230" s="46"/>
      <c r="O230" s="46"/>
      <c r="P230" s="46"/>
      <c r="Q230" s="46"/>
      <c r="R230" s="46"/>
      <c r="S230" s="46"/>
      <c r="T230" s="45"/>
      <c r="U230" s="46"/>
      <c r="V230" s="46"/>
      <c r="W230" s="46"/>
      <c r="X230" s="46"/>
      <c r="Y230" s="46"/>
      <c r="Z230" s="46"/>
      <c r="AA230" s="46"/>
      <c r="AB230" s="46"/>
      <c r="AC230" s="46"/>
      <c r="AD230" s="46"/>
      <c r="AE230" s="1285"/>
      <c r="AF230" s="46"/>
    </row>
    <row r="231" spans="2:32" ht="18" customHeight="1">
      <c r="B231" s="46"/>
      <c r="C231" s="46"/>
      <c r="D231" s="567"/>
      <c r="E231" s="45"/>
      <c r="F231" s="568"/>
      <c r="G231" s="568"/>
      <c r="H231" s="568"/>
      <c r="I231" s="46"/>
      <c r="J231" s="46"/>
      <c r="K231" s="46"/>
      <c r="L231" s="46"/>
      <c r="M231" s="46"/>
      <c r="N231" s="46"/>
      <c r="O231" s="46"/>
      <c r="P231" s="46"/>
      <c r="Q231" s="46"/>
      <c r="R231" s="46"/>
      <c r="S231" s="46"/>
      <c r="T231" s="45"/>
      <c r="U231" s="46"/>
      <c r="V231" s="46"/>
      <c r="W231" s="46"/>
      <c r="X231" s="46"/>
      <c r="Y231" s="46"/>
      <c r="Z231" s="46"/>
      <c r="AA231" s="46"/>
      <c r="AB231" s="46"/>
      <c r="AC231" s="46"/>
      <c r="AD231" s="46"/>
      <c r="AE231" s="46"/>
      <c r="AF231" s="1285"/>
    </row>
    <row r="232" spans="2:32" ht="18" customHeight="1">
      <c r="B232" s="46"/>
      <c r="C232" s="46"/>
      <c r="D232" s="567"/>
      <c r="E232" s="45"/>
      <c r="F232" s="568"/>
      <c r="G232" s="568"/>
      <c r="H232" s="568"/>
      <c r="I232" s="46"/>
      <c r="J232" s="46"/>
      <c r="K232" s="46"/>
      <c r="L232" s="46"/>
      <c r="M232" s="46"/>
      <c r="N232" s="46"/>
      <c r="O232" s="46"/>
      <c r="P232" s="46"/>
      <c r="Q232" s="46"/>
      <c r="R232" s="46"/>
      <c r="S232" s="46"/>
      <c r="T232" s="45"/>
      <c r="U232" s="46"/>
      <c r="V232" s="46"/>
      <c r="W232" s="46"/>
      <c r="X232" s="46"/>
      <c r="Y232" s="46"/>
      <c r="Z232" s="46"/>
      <c r="AA232" s="46"/>
      <c r="AB232" s="46"/>
      <c r="AC232" s="46"/>
      <c r="AD232" s="46"/>
      <c r="AE232" s="46"/>
      <c r="AF232" s="1285"/>
    </row>
    <row r="233" spans="2:32" ht="18" customHeight="1">
      <c r="B233" s="46"/>
      <c r="C233" s="46"/>
      <c r="D233" s="567"/>
      <c r="E233" s="45"/>
      <c r="F233" s="568"/>
      <c r="G233" s="568"/>
      <c r="H233" s="568"/>
      <c r="I233" s="46"/>
      <c r="J233" s="46"/>
      <c r="K233" s="46"/>
      <c r="L233" s="46"/>
      <c r="M233" s="46"/>
      <c r="N233" s="46"/>
      <c r="O233" s="46"/>
      <c r="P233" s="46"/>
      <c r="Q233" s="46"/>
      <c r="R233" s="46"/>
      <c r="S233" s="46"/>
      <c r="T233" s="45"/>
      <c r="U233" s="46"/>
      <c r="V233" s="46"/>
      <c r="W233" s="46"/>
      <c r="X233" s="46"/>
      <c r="Y233" s="46"/>
      <c r="Z233" s="46"/>
      <c r="AA233" s="46"/>
      <c r="AB233" s="46"/>
      <c r="AC233" s="46"/>
      <c r="AD233" s="46"/>
      <c r="AE233" s="46"/>
      <c r="AF233" s="1285"/>
    </row>
    <row r="234" spans="2:32" ht="18" customHeight="1">
      <c r="B234" s="45"/>
      <c r="C234" s="46"/>
      <c r="D234" s="567"/>
      <c r="E234" s="45"/>
      <c r="F234" s="568"/>
      <c r="G234" s="568"/>
      <c r="H234" s="568"/>
      <c r="I234" s="46"/>
      <c r="J234" s="46"/>
      <c r="K234" s="46"/>
      <c r="L234" s="46"/>
      <c r="M234" s="46"/>
      <c r="N234" s="46"/>
      <c r="O234" s="46"/>
      <c r="P234" s="46"/>
      <c r="Q234" s="46"/>
      <c r="R234" s="46"/>
      <c r="S234" s="46"/>
      <c r="T234" s="45"/>
      <c r="U234" s="46"/>
      <c r="V234" s="46"/>
      <c r="W234" s="46"/>
      <c r="X234" s="46"/>
      <c r="Y234" s="46"/>
      <c r="Z234" s="46"/>
      <c r="AA234" s="46"/>
      <c r="AB234" s="46"/>
      <c r="AC234" s="46"/>
      <c r="AD234" s="46"/>
      <c r="AE234" s="46"/>
      <c r="AF234" s="1285"/>
    </row>
    <row r="235" spans="2:32" ht="18" customHeight="1">
      <c r="B235" s="46"/>
      <c r="C235" s="46"/>
      <c r="D235" s="567"/>
      <c r="E235" s="45"/>
      <c r="F235" s="568"/>
      <c r="G235" s="568"/>
      <c r="H235" s="568"/>
      <c r="I235" s="46"/>
      <c r="J235" s="46"/>
      <c r="K235" s="46"/>
      <c r="L235" s="46"/>
      <c r="M235" s="46"/>
      <c r="N235" s="46"/>
      <c r="O235" s="46"/>
      <c r="P235" s="46"/>
      <c r="Q235" s="46"/>
      <c r="R235" s="46"/>
      <c r="S235" s="46"/>
      <c r="T235" s="45"/>
      <c r="U235" s="46"/>
      <c r="V235" s="46"/>
      <c r="W235" s="46"/>
      <c r="X235" s="46"/>
      <c r="Y235" s="46"/>
      <c r="Z235" s="46"/>
      <c r="AA235" s="46"/>
      <c r="AB235" s="46"/>
      <c r="AC235" s="46"/>
      <c r="AD235" s="46"/>
      <c r="AE235" s="46"/>
      <c r="AF235" s="1285"/>
    </row>
    <row r="236" spans="2:32" ht="18" customHeight="1">
      <c r="B236" s="46"/>
      <c r="C236" s="46"/>
      <c r="D236" s="567"/>
      <c r="E236" s="45"/>
      <c r="F236" s="568"/>
      <c r="G236" s="568"/>
      <c r="H236" s="568"/>
      <c r="I236" s="46"/>
      <c r="J236" s="46"/>
      <c r="K236" s="46"/>
      <c r="L236" s="46"/>
      <c r="M236" s="46"/>
      <c r="N236" s="46"/>
      <c r="O236" s="46"/>
      <c r="P236" s="46"/>
      <c r="Q236" s="46"/>
      <c r="R236" s="46"/>
      <c r="S236" s="46"/>
      <c r="T236" s="45"/>
      <c r="U236" s="46"/>
      <c r="V236" s="46"/>
      <c r="W236" s="46"/>
      <c r="X236" s="46"/>
      <c r="Y236" s="46"/>
      <c r="Z236" s="46"/>
      <c r="AA236" s="46"/>
      <c r="AB236" s="46"/>
      <c r="AC236" s="46"/>
      <c r="AD236" s="46"/>
      <c r="AE236" s="1285"/>
      <c r="AF236" s="46"/>
    </row>
    <row r="237" spans="2:32" ht="18" customHeight="1">
      <c r="B237" s="46"/>
      <c r="C237" s="46"/>
      <c r="D237" s="567"/>
      <c r="E237" s="45"/>
      <c r="F237" s="568"/>
      <c r="G237" s="568"/>
      <c r="H237" s="568"/>
      <c r="I237" s="46"/>
      <c r="J237" s="46"/>
      <c r="K237" s="46"/>
      <c r="L237" s="46"/>
      <c r="M237" s="46"/>
      <c r="N237" s="46"/>
      <c r="O237" s="46"/>
      <c r="P237" s="46"/>
      <c r="Q237" s="46"/>
      <c r="R237" s="46"/>
      <c r="S237" s="46"/>
      <c r="T237" s="45"/>
      <c r="U237" s="46"/>
      <c r="V237" s="46"/>
      <c r="W237" s="46"/>
      <c r="X237" s="46"/>
      <c r="Y237" s="46"/>
      <c r="Z237" s="46"/>
      <c r="AA237" s="46"/>
      <c r="AB237" s="46"/>
      <c r="AC237" s="46"/>
      <c r="AD237" s="46"/>
      <c r="AE237" s="46"/>
      <c r="AF237" s="1285"/>
    </row>
    <row r="238" spans="2:32" ht="18" customHeight="1">
      <c r="B238" s="46"/>
      <c r="C238" s="46"/>
      <c r="D238" s="567"/>
      <c r="E238" s="45"/>
      <c r="F238" s="568"/>
      <c r="G238" s="568"/>
      <c r="H238" s="568"/>
      <c r="I238" s="46"/>
      <c r="J238" s="46"/>
      <c r="K238" s="46"/>
      <c r="L238" s="46"/>
      <c r="M238" s="46"/>
      <c r="N238" s="46"/>
      <c r="O238" s="46"/>
      <c r="P238" s="46"/>
      <c r="Q238" s="46"/>
      <c r="R238" s="46"/>
      <c r="S238" s="46"/>
      <c r="T238" s="45"/>
      <c r="U238" s="46"/>
      <c r="V238" s="46"/>
      <c r="W238" s="46"/>
      <c r="X238" s="46"/>
      <c r="Y238" s="46"/>
      <c r="Z238" s="46"/>
      <c r="AA238" s="46"/>
      <c r="AB238" s="46"/>
      <c r="AC238" s="46"/>
      <c r="AD238" s="46"/>
      <c r="AE238" s="46"/>
      <c r="AF238" s="1285"/>
    </row>
    <row r="239" spans="2:32" ht="18" customHeight="1">
      <c r="B239" s="46"/>
      <c r="C239" s="46"/>
      <c r="D239" s="567"/>
      <c r="E239" s="45"/>
      <c r="F239" s="568"/>
      <c r="G239" s="568"/>
      <c r="H239" s="568"/>
      <c r="I239" s="46"/>
      <c r="J239" s="46"/>
      <c r="K239" s="46"/>
      <c r="L239" s="46"/>
      <c r="M239" s="46"/>
      <c r="N239" s="46"/>
      <c r="O239" s="46"/>
      <c r="P239" s="46"/>
      <c r="Q239" s="46"/>
      <c r="R239" s="46"/>
      <c r="S239" s="46"/>
      <c r="T239" s="45"/>
      <c r="U239" s="46"/>
      <c r="V239" s="46"/>
      <c r="W239" s="46"/>
      <c r="X239" s="46"/>
      <c r="Y239" s="46"/>
      <c r="Z239" s="46"/>
      <c r="AA239" s="46"/>
      <c r="AB239" s="46"/>
      <c r="AC239" s="46"/>
      <c r="AD239" s="46"/>
      <c r="AE239" s="46"/>
      <c r="AF239" s="1285"/>
    </row>
    <row r="240" spans="2:32" ht="18" customHeight="1">
      <c r="B240" s="45"/>
      <c r="C240" s="46"/>
      <c r="D240" s="567"/>
      <c r="E240" s="45"/>
      <c r="F240" s="568"/>
      <c r="G240" s="568"/>
      <c r="H240" s="568"/>
      <c r="I240" s="46"/>
      <c r="J240" s="46"/>
      <c r="K240" s="46"/>
      <c r="L240" s="46"/>
      <c r="M240" s="46"/>
      <c r="N240" s="46"/>
      <c r="O240" s="46"/>
      <c r="P240" s="46"/>
      <c r="Q240" s="46"/>
      <c r="R240" s="46"/>
      <c r="S240" s="46"/>
      <c r="T240" s="45"/>
      <c r="U240" s="46"/>
      <c r="V240" s="46"/>
      <c r="W240" s="46"/>
      <c r="X240" s="46"/>
      <c r="Y240" s="46"/>
      <c r="Z240" s="46"/>
      <c r="AA240" s="46"/>
      <c r="AB240" s="46"/>
      <c r="AC240" s="46"/>
      <c r="AD240" s="46"/>
      <c r="AE240" s="46"/>
      <c r="AF240" s="1285"/>
    </row>
    <row r="241" spans="2:32" ht="18" customHeight="1">
      <c r="B241" s="46"/>
      <c r="C241" s="46"/>
      <c r="D241" s="567"/>
      <c r="E241" s="45"/>
      <c r="F241" s="568"/>
      <c r="G241" s="568"/>
      <c r="H241" s="568"/>
      <c r="I241" s="46"/>
      <c r="J241" s="46"/>
      <c r="K241" s="46"/>
      <c r="L241" s="46"/>
      <c r="M241" s="46"/>
      <c r="N241" s="46"/>
      <c r="O241" s="46"/>
      <c r="P241" s="46"/>
      <c r="Q241" s="46"/>
      <c r="R241" s="46"/>
      <c r="S241" s="46"/>
      <c r="T241" s="45"/>
      <c r="U241" s="46"/>
      <c r="V241" s="46"/>
      <c r="W241" s="46"/>
      <c r="X241" s="46"/>
      <c r="Y241" s="46"/>
      <c r="Z241" s="46"/>
      <c r="AA241" s="46"/>
      <c r="AB241" s="46"/>
      <c r="AC241" s="46"/>
      <c r="AD241" s="46"/>
      <c r="AE241" s="46"/>
      <c r="AF241" s="1285"/>
    </row>
    <row r="242" spans="2:32" ht="18" customHeight="1">
      <c r="B242" s="46"/>
      <c r="C242" s="46"/>
      <c r="D242" s="567"/>
      <c r="E242" s="45"/>
      <c r="F242" s="568"/>
      <c r="G242" s="568"/>
      <c r="H242" s="568"/>
      <c r="I242" s="46"/>
      <c r="J242" s="46"/>
      <c r="K242" s="46"/>
      <c r="L242" s="46"/>
      <c r="M242" s="46"/>
      <c r="N242" s="46"/>
      <c r="O242" s="46"/>
      <c r="P242" s="46"/>
      <c r="Q242" s="46"/>
      <c r="R242" s="46"/>
      <c r="S242" s="46"/>
      <c r="T242" s="45"/>
      <c r="U242" s="46"/>
      <c r="V242" s="46"/>
      <c r="W242" s="46"/>
      <c r="X242" s="46"/>
      <c r="Y242" s="46"/>
      <c r="Z242" s="46"/>
      <c r="AA242" s="46"/>
      <c r="AB242" s="46"/>
      <c r="AC242" s="46"/>
      <c r="AD242" s="46"/>
      <c r="AE242" s="1285"/>
      <c r="AF242" s="46"/>
    </row>
    <row r="243" spans="2:32" ht="18" customHeight="1">
      <c r="B243" s="46"/>
      <c r="C243" s="46"/>
      <c r="D243" s="567"/>
      <c r="E243" s="45"/>
      <c r="F243" s="568"/>
      <c r="G243" s="568"/>
      <c r="H243" s="568"/>
      <c r="I243" s="46"/>
      <c r="J243" s="46"/>
      <c r="K243" s="46"/>
      <c r="L243" s="46"/>
      <c r="M243" s="46"/>
      <c r="N243" s="46"/>
      <c r="O243" s="46"/>
      <c r="P243" s="46"/>
      <c r="Q243" s="46"/>
      <c r="R243" s="46"/>
      <c r="S243" s="46"/>
      <c r="T243" s="45"/>
      <c r="U243" s="46"/>
      <c r="V243" s="46"/>
      <c r="W243" s="46"/>
      <c r="X243" s="46"/>
      <c r="Y243" s="46"/>
      <c r="Z243" s="46"/>
      <c r="AA243" s="46"/>
      <c r="AB243" s="46"/>
      <c r="AC243" s="46"/>
      <c r="AD243" s="46"/>
      <c r="AE243" s="46"/>
      <c r="AF243" s="1285"/>
    </row>
    <row r="244" spans="2:32" ht="18" customHeight="1">
      <c r="B244" s="46"/>
      <c r="C244" s="46"/>
      <c r="D244" s="567"/>
      <c r="E244" s="45"/>
      <c r="F244" s="568"/>
      <c r="G244" s="568"/>
      <c r="H244" s="568"/>
      <c r="I244" s="46"/>
      <c r="J244" s="46"/>
      <c r="K244" s="46"/>
      <c r="L244" s="46"/>
      <c r="M244" s="46"/>
      <c r="N244" s="46"/>
      <c r="O244" s="46"/>
      <c r="P244" s="46"/>
      <c r="Q244" s="46"/>
      <c r="R244" s="46"/>
      <c r="S244" s="46"/>
      <c r="T244" s="45"/>
      <c r="U244" s="46"/>
      <c r="V244" s="46"/>
      <c r="W244" s="46"/>
      <c r="X244" s="46"/>
      <c r="Y244" s="46"/>
      <c r="Z244" s="46"/>
      <c r="AA244" s="46"/>
      <c r="AB244" s="46"/>
      <c r="AC244" s="46"/>
      <c r="AD244" s="46"/>
      <c r="AE244" s="46"/>
      <c r="AF244" s="1285"/>
    </row>
    <row r="245" spans="2:32" ht="18" customHeight="1">
      <c r="B245" s="46"/>
      <c r="C245" s="46"/>
      <c r="D245" s="567"/>
      <c r="E245" s="45"/>
      <c r="F245" s="568"/>
      <c r="G245" s="568"/>
      <c r="H245" s="568"/>
      <c r="I245" s="46"/>
      <c r="J245" s="46"/>
      <c r="K245" s="46"/>
      <c r="L245" s="46"/>
      <c r="M245" s="46"/>
      <c r="N245" s="46"/>
      <c r="O245" s="46"/>
      <c r="P245" s="46"/>
      <c r="Q245" s="46"/>
      <c r="R245" s="46"/>
      <c r="S245" s="46"/>
      <c r="T245" s="45"/>
      <c r="U245" s="46"/>
      <c r="V245" s="46"/>
      <c r="W245" s="46"/>
      <c r="X245" s="46"/>
      <c r="Y245" s="46"/>
      <c r="Z245" s="46"/>
      <c r="AA245" s="46"/>
      <c r="AB245" s="46"/>
      <c r="AC245" s="46"/>
      <c r="AD245" s="46"/>
      <c r="AE245" s="46"/>
      <c r="AF245" s="1285"/>
    </row>
    <row r="246" spans="2:32" ht="18" customHeight="1">
      <c r="B246" s="45"/>
      <c r="C246" s="46"/>
      <c r="D246" s="567"/>
      <c r="E246" s="45"/>
      <c r="F246" s="568"/>
      <c r="G246" s="568"/>
      <c r="H246" s="568"/>
      <c r="I246" s="46"/>
      <c r="J246" s="46"/>
      <c r="K246" s="46"/>
      <c r="L246" s="46"/>
      <c r="M246" s="46"/>
      <c r="N246" s="46"/>
      <c r="O246" s="46"/>
      <c r="P246" s="46"/>
      <c r="Q246" s="46"/>
      <c r="R246" s="46"/>
      <c r="S246" s="46"/>
      <c r="T246" s="45"/>
      <c r="U246" s="46"/>
      <c r="V246" s="46"/>
      <c r="W246" s="46"/>
      <c r="X246" s="46"/>
      <c r="Y246" s="46"/>
      <c r="Z246" s="46"/>
      <c r="AA246" s="46"/>
      <c r="AB246" s="46"/>
      <c r="AC246" s="46"/>
      <c r="AD246" s="46"/>
      <c r="AE246" s="46"/>
      <c r="AF246" s="1285"/>
    </row>
    <row r="247" spans="2:32" ht="18" customHeight="1">
      <c r="B247" s="46"/>
      <c r="C247" s="46"/>
      <c r="D247" s="567"/>
      <c r="E247" s="45"/>
      <c r="F247" s="568"/>
      <c r="G247" s="568"/>
      <c r="H247" s="568"/>
      <c r="I247" s="46"/>
      <c r="J247" s="46"/>
      <c r="K247" s="46"/>
      <c r="L247" s="46"/>
      <c r="M247" s="46"/>
      <c r="N247" s="46"/>
      <c r="O247" s="46"/>
      <c r="P247" s="46"/>
      <c r="Q247" s="46"/>
      <c r="R247" s="46"/>
      <c r="S247" s="46"/>
      <c r="T247" s="45"/>
      <c r="U247" s="46"/>
      <c r="V247" s="46"/>
      <c r="W247" s="46"/>
      <c r="X247" s="46"/>
      <c r="Y247" s="46"/>
      <c r="Z247" s="46"/>
      <c r="AA247" s="46"/>
      <c r="AB247" s="46"/>
      <c r="AC247" s="46"/>
      <c r="AD247" s="46"/>
      <c r="AE247" s="46"/>
      <c r="AF247" s="1285"/>
    </row>
    <row r="248" spans="2:32" ht="18" customHeight="1">
      <c r="B248" s="46"/>
      <c r="C248" s="46"/>
      <c r="D248" s="567"/>
      <c r="E248" s="45"/>
      <c r="F248" s="568"/>
      <c r="G248" s="568"/>
      <c r="H248" s="568"/>
      <c r="I248" s="46"/>
      <c r="J248" s="46"/>
      <c r="K248" s="46"/>
      <c r="L248" s="46"/>
      <c r="M248" s="46"/>
      <c r="N248" s="46"/>
      <c r="O248" s="46"/>
      <c r="P248" s="46"/>
      <c r="Q248" s="46"/>
      <c r="R248" s="46"/>
      <c r="S248" s="46"/>
      <c r="T248" s="45"/>
      <c r="U248" s="46"/>
      <c r="V248" s="46"/>
      <c r="W248" s="46"/>
      <c r="X248" s="46"/>
      <c r="Y248" s="46"/>
      <c r="Z248" s="46"/>
      <c r="AA248" s="46"/>
      <c r="AB248" s="46"/>
      <c r="AC248" s="46"/>
      <c r="AD248" s="46"/>
      <c r="AE248" s="1285"/>
      <c r="AF248" s="46"/>
    </row>
    <row r="249" spans="2:32" ht="18" customHeight="1">
      <c r="B249" s="46"/>
      <c r="C249" s="46"/>
      <c r="D249" s="567"/>
      <c r="E249" s="45"/>
      <c r="F249" s="568"/>
      <c r="G249" s="568"/>
      <c r="H249" s="568"/>
      <c r="I249" s="46"/>
      <c r="J249" s="46"/>
      <c r="K249" s="46"/>
      <c r="L249" s="46"/>
      <c r="M249" s="46"/>
      <c r="N249" s="46"/>
      <c r="O249" s="46"/>
      <c r="P249" s="46"/>
      <c r="Q249" s="46"/>
      <c r="R249" s="46"/>
      <c r="S249" s="46"/>
      <c r="T249" s="45"/>
      <c r="U249" s="46"/>
      <c r="V249" s="46"/>
      <c r="W249" s="46"/>
      <c r="X249" s="46"/>
      <c r="Y249" s="46"/>
      <c r="Z249" s="46"/>
      <c r="AA249" s="46"/>
      <c r="AB249" s="46"/>
      <c r="AC249" s="46"/>
      <c r="AD249" s="46"/>
      <c r="AE249" s="46"/>
      <c r="AF249" s="1285"/>
    </row>
    <row r="250" spans="2:32" ht="18" customHeight="1">
      <c r="B250" s="46"/>
      <c r="C250" s="46"/>
      <c r="D250" s="567"/>
      <c r="E250" s="45"/>
      <c r="F250" s="568"/>
      <c r="G250" s="568"/>
      <c r="H250" s="568"/>
      <c r="I250" s="46"/>
      <c r="J250" s="46"/>
      <c r="K250" s="46"/>
      <c r="L250" s="46"/>
      <c r="M250" s="46"/>
      <c r="N250" s="46"/>
      <c r="O250" s="46"/>
      <c r="P250" s="46"/>
      <c r="Q250" s="46"/>
      <c r="R250" s="46"/>
      <c r="S250" s="46"/>
      <c r="T250" s="45"/>
      <c r="U250" s="46"/>
      <c r="V250" s="46"/>
      <c r="W250" s="46"/>
      <c r="X250" s="46"/>
      <c r="Y250" s="46"/>
      <c r="Z250" s="46"/>
      <c r="AA250" s="46"/>
      <c r="AB250" s="46"/>
      <c r="AC250" s="46"/>
      <c r="AD250" s="46"/>
      <c r="AE250" s="46"/>
      <c r="AF250" s="1285"/>
    </row>
    <row r="251" spans="2:32" ht="18" customHeight="1">
      <c r="B251" s="46"/>
      <c r="C251" s="46"/>
      <c r="D251" s="567"/>
      <c r="E251" s="45"/>
      <c r="F251" s="568"/>
      <c r="G251" s="568"/>
      <c r="H251" s="568"/>
      <c r="I251" s="46"/>
      <c r="J251" s="46"/>
      <c r="K251" s="46"/>
      <c r="L251" s="46"/>
      <c r="M251" s="46"/>
      <c r="N251" s="46"/>
      <c r="O251" s="46"/>
      <c r="P251" s="46"/>
      <c r="Q251" s="46"/>
      <c r="R251" s="46"/>
      <c r="S251" s="46"/>
      <c r="T251" s="45"/>
      <c r="U251" s="46"/>
      <c r="V251" s="46"/>
      <c r="W251" s="46"/>
      <c r="X251" s="46"/>
      <c r="Y251" s="46"/>
      <c r="Z251" s="46"/>
      <c r="AA251" s="46"/>
      <c r="AB251" s="46"/>
      <c r="AC251" s="46"/>
      <c r="AD251" s="46"/>
      <c r="AE251" s="46"/>
      <c r="AF251" s="1285"/>
    </row>
    <row r="252" spans="2:32" ht="18" customHeight="1">
      <c r="B252" s="45"/>
      <c r="C252" s="46"/>
      <c r="D252" s="567"/>
      <c r="E252" s="45"/>
      <c r="F252" s="568"/>
      <c r="G252" s="568"/>
      <c r="H252" s="568"/>
      <c r="I252" s="46"/>
      <c r="J252" s="46"/>
      <c r="K252" s="46"/>
      <c r="L252" s="46"/>
      <c r="M252" s="46"/>
      <c r="N252" s="46"/>
      <c r="O252" s="46"/>
      <c r="P252" s="46"/>
      <c r="Q252" s="46"/>
      <c r="R252" s="46"/>
      <c r="S252" s="46"/>
      <c r="T252" s="45"/>
      <c r="U252" s="46"/>
      <c r="V252" s="46"/>
      <c r="W252" s="46"/>
      <c r="X252" s="46"/>
      <c r="Y252" s="46"/>
      <c r="Z252" s="46"/>
      <c r="AA252" s="46"/>
      <c r="AB252" s="46"/>
      <c r="AC252" s="46"/>
      <c r="AD252" s="46"/>
      <c r="AE252" s="46"/>
      <c r="AF252" s="1285"/>
    </row>
    <row r="253" spans="2:32" ht="18" customHeight="1">
      <c r="B253" s="46"/>
      <c r="C253" s="46"/>
      <c r="D253" s="567"/>
      <c r="E253" s="45"/>
      <c r="F253" s="568"/>
      <c r="G253" s="568"/>
      <c r="H253" s="568"/>
      <c r="I253" s="46"/>
      <c r="J253" s="46"/>
      <c r="K253" s="46"/>
      <c r="L253" s="46"/>
      <c r="M253" s="46"/>
      <c r="N253" s="46"/>
      <c r="O253" s="46"/>
      <c r="P253" s="46"/>
      <c r="Q253" s="46"/>
      <c r="R253" s="46"/>
      <c r="S253" s="46"/>
      <c r="T253" s="45"/>
      <c r="U253" s="46"/>
      <c r="V253" s="46"/>
      <c r="W253" s="46"/>
      <c r="X253" s="46"/>
      <c r="Y253" s="46"/>
      <c r="Z253" s="46"/>
      <c r="AA253" s="46"/>
      <c r="AB253" s="46"/>
      <c r="AC253" s="46"/>
      <c r="AD253" s="46"/>
      <c r="AE253" s="46"/>
      <c r="AF253" s="1285"/>
    </row>
    <row r="254" spans="2:32" ht="18" customHeight="1">
      <c r="B254" s="46"/>
      <c r="C254" s="46"/>
      <c r="D254" s="567"/>
      <c r="E254" s="45"/>
      <c r="F254" s="568"/>
      <c r="G254" s="568"/>
      <c r="H254" s="568"/>
      <c r="I254" s="46"/>
      <c r="J254" s="46"/>
      <c r="K254" s="46"/>
      <c r="L254" s="46"/>
      <c r="M254" s="46"/>
      <c r="N254" s="46"/>
      <c r="O254" s="46"/>
      <c r="P254" s="46"/>
      <c r="Q254" s="46"/>
      <c r="R254" s="46"/>
      <c r="S254" s="46"/>
      <c r="T254" s="45"/>
      <c r="U254" s="46"/>
      <c r="V254" s="46"/>
      <c r="W254" s="46"/>
      <c r="X254" s="46"/>
      <c r="Y254" s="46"/>
      <c r="Z254" s="46"/>
      <c r="AA254" s="46"/>
      <c r="AB254" s="46"/>
      <c r="AC254" s="46"/>
      <c r="AD254" s="46"/>
      <c r="AE254" s="1285"/>
      <c r="AF254" s="46"/>
    </row>
    <row r="255" spans="2:32" ht="18" customHeight="1">
      <c r="B255" s="46"/>
      <c r="C255" s="46"/>
      <c r="D255" s="567"/>
      <c r="E255" s="45"/>
      <c r="F255" s="568"/>
      <c r="G255" s="568"/>
      <c r="H255" s="568"/>
      <c r="I255" s="46"/>
      <c r="J255" s="46"/>
      <c r="K255" s="46"/>
      <c r="L255" s="46"/>
      <c r="M255" s="46"/>
      <c r="N255" s="46"/>
      <c r="O255" s="46"/>
      <c r="P255" s="46"/>
      <c r="Q255" s="46"/>
      <c r="R255" s="46"/>
      <c r="S255" s="46"/>
      <c r="T255" s="45"/>
      <c r="U255" s="46"/>
      <c r="V255" s="46"/>
      <c r="W255" s="46"/>
      <c r="X255" s="46"/>
      <c r="Y255" s="46"/>
      <c r="Z255" s="46"/>
      <c r="AA255" s="46"/>
      <c r="AB255" s="46"/>
      <c r="AC255" s="46"/>
      <c r="AD255" s="46"/>
      <c r="AE255" s="46"/>
      <c r="AF255" s="1285"/>
    </row>
    <row r="256" spans="2:32" ht="18" customHeight="1">
      <c r="B256" s="46"/>
      <c r="C256" s="46"/>
      <c r="D256" s="567"/>
      <c r="E256" s="45"/>
      <c r="F256" s="568"/>
      <c r="G256" s="568"/>
      <c r="H256" s="568"/>
      <c r="I256" s="46"/>
      <c r="J256" s="46"/>
      <c r="K256" s="46"/>
      <c r="L256" s="46"/>
      <c r="M256" s="46"/>
      <c r="N256" s="46"/>
      <c r="O256" s="46"/>
      <c r="P256" s="46"/>
      <c r="Q256" s="46"/>
      <c r="R256" s="46"/>
      <c r="S256" s="46"/>
      <c r="T256" s="45"/>
      <c r="U256" s="46"/>
      <c r="V256" s="46"/>
      <c r="W256" s="46"/>
      <c r="X256" s="46"/>
      <c r="Y256" s="46"/>
      <c r="Z256" s="46"/>
      <c r="AA256" s="46"/>
      <c r="AB256" s="46"/>
      <c r="AC256" s="46"/>
      <c r="AD256" s="46"/>
      <c r="AE256" s="46"/>
      <c r="AF256" s="1285"/>
    </row>
    <row r="257" spans="2:32" ht="18" customHeight="1">
      <c r="B257" s="46"/>
      <c r="C257" s="46"/>
      <c r="D257" s="567"/>
      <c r="E257" s="45"/>
      <c r="F257" s="568"/>
      <c r="G257" s="568"/>
      <c r="H257" s="568"/>
      <c r="I257" s="46"/>
      <c r="J257" s="46"/>
      <c r="K257" s="46"/>
      <c r="L257" s="46"/>
      <c r="M257" s="46"/>
      <c r="N257" s="46"/>
      <c r="O257" s="46"/>
      <c r="P257" s="46"/>
      <c r="Q257" s="46"/>
      <c r="R257" s="46"/>
      <c r="S257" s="46"/>
      <c r="T257" s="45"/>
      <c r="U257" s="46"/>
      <c r="V257" s="46"/>
      <c r="W257" s="46"/>
      <c r="X257" s="46"/>
      <c r="Y257" s="46"/>
      <c r="Z257" s="46"/>
      <c r="AA257" s="46"/>
      <c r="AB257" s="46"/>
      <c r="AC257" s="46"/>
      <c r="AD257" s="46"/>
      <c r="AE257" s="46"/>
      <c r="AF257" s="1285"/>
    </row>
    <row r="258" spans="2:32" ht="18" customHeight="1">
      <c r="B258" s="45"/>
      <c r="C258" s="46"/>
      <c r="D258" s="567"/>
      <c r="E258" s="45"/>
      <c r="F258" s="568"/>
      <c r="G258" s="568"/>
      <c r="H258" s="568"/>
      <c r="I258" s="46"/>
      <c r="J258" s="46"/>
      <c r="K258" s="46"/>
      <c r="L258" s="46"/>
      <c r="M258" s="46"/>
      <c r="N258" s="46"/>
      <c r="O258" s="46"/>
      <c r="P258" s="46"/>
      <c r="Q258" s="46"/>
      <c r="R258" s="46"/>
      <c r="S258" s="46"/>
      <c r="T258" s="45"/>
      <c r="U258" s="46"/>
      <c r="V258" s="46"/>
      <c r="W258" s="46"/>
      <c r="X258" s="46"/>
      <c r="Y258" s="46"/>
      <c r="Z258" s="46"/>
      <c r="AA258" s="46"/>
      <c r="AB258" s="46"/>
      <c r="AC258" s="46"/>
      <c r="AD258" s="46"/>
      <c r="AE258" s="46"/>
      <c r="AF258" s="1285"/>
    </row>
    <row r="259" spans="2:32" ht="18" customHeight="1">
      <c r="B259" s="46"/>
      <c r="C259" s="46"/>
      <c r="D259" s="567"/>
      <c r="E259" s="45"/>
      <c r="F259" s="568"/>
      <c r="G259" s="568"/>
      <c r="H259" s="568"/>
      <c r="I259" s="46"/>
      <c r="J259" s="46"/>
      <c r="K259" s="46"/>
      <c r="L259" s="46"/>
      <c r="M259" s="46"/>
      <c r="N259" s="46"/>
      <c r="O259" s="46"/>
      <c r="P259" s="46"/>
      <c r="Q259" s="46"/>
      <c r="R259" s="46"/>
      <c r="S259" s="46"/>
      <c r="T259" s="45"/>
      <c r="U259" s="46"/>
      <c r="V259" s="46"/>
      <c r="W259" s="46"/>
      <c r="X259" s="46"/>
      <c r="Y259" s="46"/>
      <c r="Z259" s="46"/>
      <c r="AA259" s="46"/>
      <c r="AB259" s="46"/>
      <c r="AC259" s="46"/>
      <c r="AD259" s="46"/>
      <c r="AE259" s="46"/>
      <c r="AF259" s="1285"/>
    </row>
    <row r="260" spans="2:32" ht="18" customHeight="1">
      <c r="B260" s="46"/>
      <c r="C260" s="46"/>
      <c r="D260" s="567"/>
      <c r="E260" s="45"/>
      <c r="F260" s="568"/>
      <c r="G260" s="568"/>
      <c r="H260" s="568"/>
      <c r="I260" s="46"/>
      <c r="J260" s="46"/>
      <c r="K260" s="46"/>
      <c r="L260" s="46"/>
      <c r="M260" s="46"/>
      <c r="N260" s="46"/>
      <c r="O260" s="46"/>
      <c r="P260" s="46"/>
      <c r="Q260" s="46"/>
      <c r="R260" s="46"/>
      <c r="S260" s="46"/>
      <c r="T260" s="45"/>
      <c r="U260" s="46"/>
      <c r="V260" s="46"/>
      <c r="W260" s="46"/>
      <c r="X260" s="46"/>
      <c r="Y260" s="46"/>
      <c r="Z260" s="46"/>
      <c r="AA260" s="46"/>
      <c r="AB260" s="46"/>
      <c r="AC260" s="46"/>
      <c r="AD260" s="46"/>
      <c r="AE260" s="1285"/>
      <c r="AF260" s="46"/>
    </row>
    <row r="261" spans="2:32" ht="18" customHeight="1">
      <c r="B261" s="46"/>
      <c r="C261" s="46"/>
      <c r="D261" s="567"/>
      <c r="E261" s="45"/>
      <c r="F261" s="568"/>
      <c r="G261" s="568"/>
      <c r="H261" s="568"/>
      <c r="I261" s="46"/>
      <c r="J261" s="46"/>
      <c r="K261" s="46"/>
      <c r="L261" s="46"/>
      <c r="M261" s="46"/>
      <c r="N261" s="46"/>
      <c r="O261" s="46"/>
      <c r="P261" s="46"/>
      <c r="Q261" s="46"/>
      <c r="R261" s="46"/>
      <c r="S261" s="46"/>
      <c r="T261" s="45"/>
      <c r="U261" s="46"/>
      <c r="V261" s="46"/>
      <c r="W261" s="46"/>
      <c r="X261" s="46"/>
      <c r="Y261" s="46"/>
      <c r="Z261" s="46"/>
      <c r="AA261" s="46"/>
      <c r="AB261" s="46"/>
      <c r="AC261" s="46"/>
      <c r="AD261" s="46"/>
      <c r="AE261" s="46"/>
      <c r="AF261" s="1285"/>
    </row>
    <row r="262" spans="2:32" ht="18" customHeight="1">
      <c r="B262" s="46"/>
      <c r="C262" s="46"/>
      <c r="D262" s="567"/>
      <c r="E262" s="45"/>
      <c r="F262" s="568"/>
      <c r="G262" s="568"/>
      <c r="H262" s="568"/>
      <c r="I262" s="46"/>
      <c r="J262" s="46"/>
      <c r="K262" s="46"/>
      <c r="L262" s="46"/>
      <c r="M262" s="46"/>
      <c r="N262" s="46"/>
      <c r="O262" s="46"/>
      <c r="P262" s="46"/>
      <c r="Q262" s="46"/>
      <c r="R262" s="46"/>
      <c r="S262" s="46"/>
      <c r="T262" s="45"/>
      <c r="U262" s="46"/>
      <c r="V262" s="46"/>
      <c r="W262" s="46"/>
      <c r="X262" s="46"/>
      <c r="Y262" s="46"/>
      <c r="Z262" s="46"/>
      <c r="AA262" s="46"/>
      <c r="AB262" s="46"/>
      <c r="AC262" s="46"/>
      <c r="AD262" s="46"/>
      <c r="AE262" s="46"/>
      <c r="AF262" s="1285"/>
    </row>
    <row r="263" spans="2:32" ht="18" customHeight="1">
      <c r="B263" s="46"/>
      <c r="C263" s="46"/>
      <c r="D263" s="567"/>
      <c r="E263" s="45"/>
      <c r="F263" s="568"/>
      <c r="G263" s="568"/>
      <c r="H263" s="568"/>
      <c r="I263" s="46"/>
      <c r="J263" s="46"/>
      <c r="K263" s="46"/>
      <c r="L263" s="46"/>
      <c r="M263" s="46"/>
      <c r="N263" s="46"/>
      <c r="O263" s="46"/>
      <c r="P263" s="46"/>
      <c r="Q263" s="46"/>
      <c r="R263" s="46"/>
      <c r="S263" s="46"/>
      <c r="T263" s="45"/>
      <c r="U263" s="46"/>
      <c r="V263" s="46"/>
      <c r="W263" s="46"/>
      <c r="X263" s="46"/>
      <c r="Y263" s="46"/>
      <c r="Z263" s="46"/>
      <c r="AA263" s="46"/>
      <c r="AB263" s="46"/>
      <c r="AC263" s="46"/>
      <c r="AD263" s="46"/>
      <c r="AE263" s="46"/>
      <c r="AF263" s="1285"/>
    </row>
    <row r="264" spans="2:32" ht="18" customHeight="1">
      <c r="B264" s="45"/>
      <c r="C264" s="46"/>
      <c r="D264" s="567"/>
      <c r="E264" s="45"/>
      <c r="F264" s="568"/>
      <c r="G264" s="568"/>
      <c r="H264" s="568"/>
      <c r="I264" s="46"/>
      <c r="J264" s="46"/>
      <c r="K264" s="46"/>
      <c r="L264" s="46"/>
      <c r="M264" s="46"/>
      <c r="N264" s="46"/>
      <c r="O264" s="46"/>
      <c r="P264" s="46"/>
      <c r="Q264" s="46"/>
      <c r="R264" s="46"/>
      <c r="S264" s="46"/>
      <c r="T264" s="45"/>
      <c r="U264" s="46"/>
      <c r="V264" s="46"/>
      <c r="W264" s="46"/>
      <c r="X264" s="46"/>
      <c r="Y264" s="46"/>
      <c r="Z264" s="46"/>
      <c r="AA264" s="46"/>
      <c r="AB264" s="46"/>
      <c r="AC264" s="46"/>
      <c r="AD264" s="46"/>
      <c r="AE264" s="46"/>
      <c r="AF264" s="1285"/>
    </row>
    <row r="265" spans="2:32" ht="18" customHeight="1">
      <c r="B265" s="46"/>
      <c r="C265" s="46"/>
      <c r="D265" s="567"/>
      <c r="E265" s="45"/>
      <c r="F265" s="568"/>
      <c r="G265" s="568"/>
      <c r="H265" s="568"/>
      <c r="I265" s="46"/>
      <c r="J265" s="46"/>
      <c r="K265" s="46"/>
      <c r="L265" s="46"/>
      <c r="M265" s="46"/>
      <c r="N265" s="46"/>
      <c r="O265" s="46"/>
      <c r="P265" s="46"/>
      <c r="Q265" s="46"/>
      <c r="R265" s="46"/>
      <c r="S265" s="46"/>
      <c r="T265" s="45"/>
      <c r="U265" s="46"/>
      <c r="V265" s="46"/>
      <c r="W265" s="46"/>
      <c r="X265" s="46"/>
      <c r="Y265" s="46"/>
      <c r="Z265" s="46"/>
      <c r="AA265" s="46"/>
      <c r="AB265" s="46"/>
      <c r="AC265" s="46"/>
      <c r="AD265" s="46"/>
      <c r="AE265" s="46"/>
      <c r="AF265" s="1285"/>
    </row>
    <row r="266" spans="2:32" ht="18" customHeight="1">
      <c r="B266" s="46"/>
      <c r="C266" s="46"/>
      <c r="D266" s="567"/>
      <c r="E266" s="45"/>
      <c r="F266" s="568"/>
      <c r="G266" s="568"/>
      <c r="H266" s="568"/>
      <c r="I266" s="46"/>
      <c r="J266" s="46"/>
      <c r="K266" s="46"/>
      <c r="L266" s="46"/>
      <c r="M266" s="46"/>
      <c r="N266" s="46"/>
      <c r="O266" s="46"/>
      <c r="P266" s="46"/>
      <c r="Q266" s="46"/>
      <c r="R266" s="46"/>
      <c r="S266" s="46"/>
      <c r="T266" s="45"/>
      <c r="U266" s="46"/>
      <c r="V266" s="46"/>
      <c r="W266" s="46"/>
      <c r="X266" s="46"/>
      <c r="Y266" s="46"/>
      <c r="Z266" s="46"/>
      <c r="AA266" s="46"/>
      <c r="AB266" s="46"/>
      <c r="AC266" s="46"/>
      <c r="AD266" s="46"/>
      <c r="AE266" s="1285"/>
      <c r="AF266" s="46"/>
    </row>
    <row r="267" spans="2:32" ht="18" customHeight="1">
      <c r="B267" s="46"/>
      <c r="C267" s="46"/>
      <c r="D267" s="567"/>
      <c r="E267" s="45"/>
      <c r="F267" s="568"/>
      <c r="G267" s="568"/>
      <c r="H267" s="568"/>
      <c r="I267" s="46"/>
      <c r="J267" s="46"/>
      <c r="K267" s="46"/>
      <c r="L267" s="46"/>
      <c r="M267" s="46"/>
      <c r="N267" s="46"/>
      <c r="O267" s="46"/>
      <c r="P267" s="46"/>
      <c r="Q267" s="46"/>
      <c r="R267" s="46"/>
      <c r="S267" s="46"/>
      <c r="T267" s="45"/>
      <c r="U267" s="46"/>
      <c r="V267" s="46"/>
      <c r="W267" s="46"/>
      <c r="X267" s="46"/>
      <c r="Y267" s="46"/>
      <c r="Z267" s="46"/>
      <c r="AA267" s="46"/>
      <c r="AB267" s="46"/>
      <c r="AC267" s="46"/>
      <c r="AD267" s="46"/>
      <c r="AE267" s="46"/>
      <c r="AF267" s="1285"/>
    </row>
    <row r="268" spans="2:32" ht="18" customHeight="1">
      <c r="B268" s="46"/>
      <c r="C268" s="46"/>
      <c r="D268" s="567"/>
      <c r="E268" s="45"/>
      <c r="F268" s="568"/>
      <c r="G268" s="568"/>
      <c r="H268" s="568"/>
      <c r="I268" s="46"/>
      <c r="J268" s="46"/>
      <c r="K268" s="46"/>
      <c r="L268" s="46"/>
      <c r="M268" s="46"/>
      <c r="N268" s="46"/>
      <c r="O268" s="46"/>
      <c r="P268" s="46"/>
      <c r="Q268" s="46"/>
      <c r="R268" s="46"/>
      <c r="S268" s="46"/>
      <c r="T268" s="45"/>
      <c r="U268" s="46"/>
      <c r="V268" s="46"/>
      <c r="W268" s="46"/>
      <c r="X268" s="46"/>
      <c r="Y268" s="46"/>
      <c r="Z268" s="46"/>
      <c r="AA268" s="46"/>
      <c r="AB268" s="46"/>
      <c r="AC268" s="46"/>
      <c r="AD268" s="46"/>
      <c r="AE268" s="46"/>
      <c r="AF268" s="1285"/>
    </row>
    <row r="269" spans="2:32" ht="18" customHeight="1">
      <c r="B269" s="46"/>
      <c r="C269" s="46"/>
      <c r="D269" s="567"/>
      <c r="E269" s="45"/>
      <c r="F269" s="568"/>
      <c r="G269" s="568"/>
      <c r="H269" s="568"/>
      <c r="I269" s="46"/>
      <c r="J269" s="46"/>
      <c r="K269" s="46"/>
      <c r="L269" s="46"/>
      <c r="M269" s="46"/>
      <c r="N269" s="46"/>
      <c r="O269" s="46"/>
      <c r="P269" s="46"/>
      <c r="Q269" s="46"/>
      <c r="R269" s="46"/>
      <c r="S269" s="46"/>
      <c r="T269" s="45"/>
      <c r="U269" s="46"/>
      <c r="V269" s="46"/>
      <c r="W269" s="46"/>
      <c r="X269" s="46"/>
      <c r="Y269" s="46"/>
      <c r="Z269" s="46"/>
      <c r="AA269" s="46"/>
      <c r="AB269" s="46"/>
      <c r="AC269" s="46"/>
      <c r="AD269" s="46"/>
      <c r="AE269" s="46"/>
      <c r="AF269" s="1285"/>
    </row>
    <row r="270" spans="2:32" ht="18" customHeight="1">
      <c r="B270" s="45"/>
      <c r="C270" s="46"/>
      <c r="D270" s="567"/>
      <c r="E270" s="45"/>
      <c r="F270" s="568"/>
      <c r="G270" s="568"/>
      <c r="H270" s="568"/>
      <c r="I270" s="46"/>
      <c r="J270" s="46"/>
      <c r="K270" s="46"/>
      <c r="L270" s="46"/>
      <c r="M270" s="46"/>
      <c r="N270" s="46"/>
      <c r="O270" s="46"/>
      <c r="P270" s="46"/>
      <c r="Q270" s="46"/>
      <c r="R270" s="46"/>
      <c r="S270" s="46"/>
      <c r="T270" s="45"/>
      <c r="U270" s="46"/>
      <c r="V270" s="46"/>
      <c r="W270" s="46"/>
      <c r="X270" s="46"/>
      <c r="Y270" s="46"/>
      <c r="Z270" s="46"/>
      <c r="AA270" s="46"/>
      <c r="AB270" s="46"/>
      <c r="AC270" s="46"/>
      <c r="AD270" s="46"/>
      <c r="AE270" s="46"/>
      <c r="AF270" s="1285"/>
    </row>
    <row r="271" spans="2:32" ht="18" customHeight="1">
      <c r="B271" s="46"/>
      <c r="C271" s="46"/>
      <c r="D271" s="567"/>
      <c r="E271" s="45"/>
      <c r="F271" s="568"/>
      <c r="G271" s="568"/>
      <c r="H271" s="568"/>
      <c r="I271" s="46"/>
      <c r="J271" s="46"/>
      <c r="K271" s="46"/>
      <c r="L271" s="46"/>
      <c r="M271" s="46"/>
      <c r="N271" s="46"/>
      <c r="O271" s="46"/>
      <c r="P271" s="46"/>
      <c r="Q271" s="46"/>
      <c r="R271" s="46"/>
      <c r="S271" s="46"/>
      <c r="T271" s="45"/>
      <c r="U271" s="46"/>
      <c r="V271" s="46"/>
      <c r="W271" s="46"/>
      <c r="X271" s="46"/>
      <c r="Y271" s="46"/>
      <c r="Z271" s="46"/>
      <c r="AA271" s="46"/>
      <c r="AB271" s="46"/>
      <c r="AC271" s="46"/>
      <c r="AD271" s="46"/>
      <c r="AE271" s="46"/>
      <c r="AF271" s="1285"/>
    </row>
    <row r="272" spans="2:32" ht="18" customHeight="1">
      <c r="B272" s="46"/>
      <c r="C272" s="46"/>
      <c r="D272" s="567"/>
      <c r="E272" s="45"/>
      <c r="F272" s="568"/>
      <c r="G272" s="568"/>
      <c r="H272" s="568"/>
      <c r="I272" s="46"/>
      <c r="J272" s="46"/>
      <c r="K272" s="46"/>
      <c r="L272" s="46"/>
      <c r="M272" s="46"/>
      <c r="N272" s="46"/>
      <c r="O272" s="46"/>
      <c r="P272" s="46"/>
      <c r="Q272" s="46"/>
      <c r="R272" s="46"/>
      <c r="S272" s="46"/>
      <c r="T272" s="45"/>
      <c r="U272" s="46"/>
      <c r="V272" s="46"/>
      <c r="W272" s="46"/>
      <c r="X272" s="46"/>
      <c r="Y272" s="46"/>
      <c r="Z272" s="46"/>
      <c r="AA272" s="46"/>
      <c r="AB272" s="46"/>
      <c r="AC272" s="46"/>
      <c r="AD272" s="46"/>
      <c r="AE272" s="1285"/>
      <c r="AF272" s="46"/>
    </row>
    <row r="273" spans="2:32" ht="18" customHeight="1">
      <c r="B273" s="46"/>
      <c r="C273" s="46"/>
      <c r="D273" s="567"/>
      <c r="E273" s="45"/>
      <c r="F273" s="568"/>
      <c r="G273" s="568"/>
      <c r="H273" s="568"/>
      <c r="I273" s="46"/>
      <c r="J273" s="46"/>
      <c r="K273" s="46"/>
      <c r="L273" s="46"/>
      <c r="M273" s="46"/>
      <c r="N273" s="46"/>
      <c r="O273" s="46"/>
      <c r="P273" s="46"/>
      <c r="Q273" s="46"/>
      <c r="R273" s="46"/>
      <c r="S273" s="46"/>
      <c r="T273" s="45"/>
      <c r="U273" s="46"/>
      <c r="V273" s="46"/>
      <c r="W273" s="46"/>
      <c r="X273" s="46"/>
      <c r="Y273" s="46"/>
      <c r="Z273" s="46"/>
      <c r="AA273" s="46"/>
      <c r="AB273" s="46"/>
      <c r="AC273" s="46"/>
      <c r="AD273" s="46"/>
      <c r="AE273" s="46"/>
      <c r="AF273" s="1285"/>
    </row>
    <row r="274" spans="2:32" ht="18" customHeight="1">
      <c r="B274" s="46"/>
      <c r="C274" s="46"/>
      <c r="D274" s="567"/>
      <c r="E274" s="45"/>
      <c r="F274" s="568"/>
      <c r="G274" s="568"/>
      <c r="H274" s="568"/>
      <c r="I274" s="46"/>
      <c r="J274" s="46"/>
      <c r="K274" s="46"/>
      <c r="L274" s="46"/>
      <c r="M274" s="46"/>
      <c r="N274" s="46"/>
      <c r="O274" s="46"/>
      <c r="P274" s="46"/>
      <c r="Q274" s="46"/>
      <c r="R274" s="46"/>
      <c r="S274" s="46"/>
      <c r="T274" s="45"/>
      <c r="U274" s="46"/>
      <c r="V274" s="46"/>
      <c r="W274" s="46"/>
      <c r="X274" s="46"/>
      <c r="Y274" s="46"/>
      <c r="Z274" s="46"/>
      <c r="AA274" s="46"/>
      <c r="AB274" s="46"/>
      <c r="AC274" s="46"/>
      <c r="AD274" s="46"/>
      <c r="AE274" s="46"/>
      <c r="AF274" s="1285"/>
    </row>
    <row r="275" spans="2:32" ht="18" customHeight="1">
      <c r="B275" s="46"/>
      <c r="C275" s="46"/>
      <c r="D275" s="567"/>
      <c r="E275" s="45"/>
      <c r="F275" s="568"/>
      <c r="G275" s="568"/>
      <c r="H275" s="568"/>
      <c r="I275" s="46"/>
      <c r="J275" s="46"/>
      <c r="K275" s="46"/>
      <c r="L275" s="46"/>
      <c r="M275" s="46"/>
      <c r="N275" s="46"/>
      <c r="O275" s="46"/>
      <c r="P275" s="46"/>
      <c r="Q275" s="46"/>
      <c r="R275" s="46"/>
      <c r="S275" s="46"/>
      <c r="T275" s="45"/>
      <c r="U275" s="46"/>
      <c r="V275" s="46"/>
      <c r="W275" s="46"/>
      <c r="X275" s="46"/>
      <c r="Y275" s="46"/>
      <c r="Z275" s="46"/>
      <c r="AA275" s="46"/>
      <c r="AB275" s="46"/>
      <c r="AC275" s="46"/>
      <c r="AD275" s="46"/>
      <c r="AE275" s="46"/>
      <c r="AF275" s="1285"/>
    </row>
    <row r="276" spans="2:32" ht="18" customHeight="1">
      <c r="B276" s="45"/>
      <c r="C276" s="46"/>
      <c r="D276" s="567"/>
      <c r="E276" s="45"/>
      <c r="F276" s="568"/>
      <c r="G276" s="568"/>
      <c r="H276" s="568"/>
      <c r="I276" s="46"/>
      <c r="J276" s="46"/>
      <c r="K276" s="46"/>
      <c r="L276" s="46"/>
      <c r="M276" s="46"/>
      <c r="N276" s="46"/>
      <c r="O276" s="46"/>
      <c r="P276" s="46"/>
      <c r="Q276" s="46"/>
      <c r="R276" s="46"/>
      <c r="S276" s="46"/>
      <c r="T276" s="45"/>
      <c r="U276" s="46"/>
      <c r="V276" s="46"/>
      <c r="W276" s="46"/>
      <c r="X276" s="46"/>
      <c r="Y276" s="46"/>
      <c r="Z276" s="46"/>
      <c r="AA276" s="46"/>
      <c r="AB276" s="46"/>
      <c r="AC276" s="46"/>
      <c r="AD276" s="46"/>
      <c r="AE276" s="46"/>
      <c r="AF276" s="1285"/>
    </row>
    <row r="277" spans="2:32" ht="18" customHeight="1">
      <c r="B277" s="46"/>
      <c r="C277" s="46"/>
      <c r="D277" s="567"/>
      <c r="E277" s="45"/>
      <c r="F277" s="568"/>
      <c r="G277" s="568"/>
      <c r="H277" s="568"/>
      <c r="I277" s="46"/>
      <c r="J277" s="46"/>
      <c r="K277" s="46"/>
      <c r="L277" s="46"/>
      <c r="M277" s="46"/>
      <c r="N277" s="46"/>
      <c r="O277" s="46"/>
      <c r="P277" s="46"/>
      <c r="Q277" s="46"/>
      <c r="R277" s="46"/>
      <c r="S277" s="46"/>
      <c r="T277" s="45"/>
      <c r="U277" s="46"/>
      <c r="V277" s="46"/>
      <c r="W277" s="46"/>
      <c r="X277" s="46"/>
      <c r="Y277" s="46"/>
      <c r="Z277" s="46"/>
      <c r="AA277" s="46"/>
      <c r="AB277" s="46"/>
      <c r="AC277" s="46"/>
      <c r="AD277" s="46"/>
      <c r="AE277" s="46"/>
      <c r="AF277" s="1285"/>
    </row>
    <row r="278" spans="2:32" ht="18" customHeight="1">
      <c r="B278" s="46"/>
      <c r="C278" s="46"/>
      <c r="D278" s="567"/>
      <c r="E278" s="45"/>
      <c r="F278" s="568"/>
      <c r="G278" s="568"/>
      <c r="H278" s="568"/>
      <c r="I278" s="46"/>
      <c r="J278" s="46"/>
      <c r="K278" s="46"/>
      <c r="L278" s="46"/>
      <c r="M278" s="46"/>
      <c r="N278" s="46"/>
      <c r="O278" s="46"/>
      <c r="P278" s="46"/>
      <c r="Q278" s="46"/>
      <c r="R278" s="46"/>
      <c r="S278" s="46"/>
      <c r="T278" s="45"/>
      <c r="U278" s="46"/>
      <c r="V278" s="46"/>
      <c r="W278" s="46"/>
      <c r="X278" s="46"/>
      <c r="Y278" s="46"/>
      <c r="Z278" s="46"/>
      <c r="AA278" s="46"/>
      <c r="AB278" s="46"/>
      <c r="AC278" s="46"/>
      <c r="AD278" s="46"/>
      <c r="AE278" s="1285"/>
      <c r="AF278" s="46"/>
    </row>
    <row r="279" spans="2:32" ht="18" customHeight="1">
      <c r="B279" s="46"/>
      <c r="C279" s="46"/>
      <c r="D279" s="567"/>
      <c r="E279" s="45"/>
      <c r="F279" s="568"/>
      <c r="G279" s="568"/>
      <c r="H279" s="568"/>
      <c r="I279" s="46"/>
      <c r="J279" s="46"/>
      <c r="K279" s="46"/>
      <c r="L279" s="46"/>
      <c r="M279" s="46"/>
      <c r="N279" s="46"/>
      <c r="O279" s="46"/>
      <c r="P279" s="46"/>
      <c r="Q279" s="46"/>
      <c r="R279" s="46"/>
      <c r="S279" s="46"/>
      <c r="T279" s="45"/>
      <c r="U279" s="46"/>
      <c r="V279" s="46"/>
      <c r="W279" s="46"/>
      <c r="X279" s="46"/>
      <c r="Y279" s="46"/>
      <c r="Z279" s="46"/>
      <c r="AA279" s="46"/>
      <c r="AB279" s="46"/>
      <c r="AC279" s="46"/>
      <c r="AD279" s="46"/>
      <c r="AE279" s="46"/>
      <c r="AF279" s="1285"/>
    </row>
    <row r="280" spans="2:32" ht="18" customHeight="1">
      <c r="B280" s="46"/>
      <c r="C280" s="46"/>
      <c r="D280" s="567"/>
      <c r="E280" s="45"/>
      <c r="F280" s="568"/>
      <c r="G280" s="568"/>
      <c r="H280" s="568"/>
      <c r="I280" s="46"/>
      <c r="J280" s="46"/>
      <c r="K280" s="46"/>
      <c r="L280" s="46"/>
      <c r="M280" s="46"/>
      <c r="N280" s="46"/>
      <c r="O280" s="46"/>
      <c r="P280" s="46"/>
      <c r="Q280" s="46"/>
      <c r="R280" s="46"/>
      <c r="S280" s="46"/>
      <c r="T280" s="45"/>
      <c r="U280" s="46"/>
      <c r="V280" s="46"/>
      <c r="W280" s="46"/>
      <c r="X280" s="46"/>
      <c r="Y280" s="46"/>
      <c r="Z280" s="46"/>
      <c r="AA280" s="46"/>
      <c r="AB280" s="46"/>
      <c r="AC280" s="46"/>
      <c r="AD280" s="46"/>
      <c r="AE280" s="46"/>
      <c r="AF280" s="1285"/>
    </row>
    <row r="281" spans="2:32" ht="18" customHeight="1">
      <c r="B281" s="1285"/>
      <c r="C281" s="1285"/>
      <c r="E281" s="1576"/>
      <c r="I281" s="1285"/>
      <c r="J281" s="1285"/>
      <c r="K281" s="1285"/>
      <c r="L281" s="1285"/>
      <c r="M281" s="1285"/>
      <c r="N281" s="1285"/>
      <c r="O281" s="1285"/>
      <c r="P281" s="1285"/>
      <c r="Q281" s="1285"/>
      <c r="R281" s="1285"/>
      <c r="S281" s="1285"/>
      <c r="T281" s="1576"/>
      <c r="U281" s="1285"/>
      <c r="V281" s="1285"/>
      <c r="W281" s="1285"/>
      <c r="X281" s="1285"/>
      <c r="Y281" s="1285"/>
      <c r="Z281" s="1285"/>
      <c r="AA281" s="1285"/>
      <c r="AB281" s="1285"/>
      <c r="AC281" s="1285"/>
      <c r="AD281" s="46"/>
      <c r="AE281" s="46"/>
      <c r="AF281" s="1285"/>
    </row>
    <row r="282" spans="2:32" ht="18" customHeight="1">
      <c r="B282" s="1285"/>
      <c r="C282" s="1285"/>
      <c r="E282" s="1576"/>
      <c r="I282" s="1285"/>
      <c r="J282" s="1285"/>
      <c r="K282" s="1285"/>
      <c r="L282" s="1285"/>
      <c r="M282" s="1285"/>
      <c r="N282" s="1285"/>
      <c r="O282" s="1285"/>
      <c r="P282" s="1285"/>
      <c r="Q282" s="1285"/>
      <c r="R282" s="1285"/>
      <c r="S282" s="1285"/>
      <c r="T282" s="1576"/>
      <c r="U282" s="1285"/>
      <c r="V282" s="1285"/>
      <c r="W282" s="1285"/>
      <c r="X282" s="1285"/>
      <c r="Y282" s="1285"/>
      <c r="Z282" s="1285"/>
      <c r="AA282" s="1285"/>
      <c r="AB282" s="1285"/>
      <c r="AC282" s="1285"/>
      <c r="AD282" s="46"/>
      <c r="AE282" s="46"/>
      <c r="AF282" s="1285"/>
    </row>
    <row r="283" spans="2:32" ht="18" customHeight="1">
      <c r="B283" s="1285"/>
      <c r="C283" s="1285"/>
      <c r="E283" s="1576"/>
      <c r="I283" s="1285"/>
      <c r="J283" s="1285"/>
      <c r="K283" s="1285"/>
      <c r="L283" s="1285"/>
      <c r="M283" s="1285"/>
      <c r="N283" s="1285"/>
      <c r="O283" s="1285"/>
      <c r="P283" s="1285"/>
      <c r="Q283" s="1285"/>
      <c r="R283" s="1285"/>
      <c r="S283" s="1285"/>
      <c r="T283" s="1576"/>
      <c r="U283" s="1285"/>
      <c r="V283" s="1285"/>
      <c r="W283" s="1285"/>
      <c r="X283" s="1285"/>
      <c r="Y283" s="1285"/>
      <c r="Z283" s="1285"/>
      <c r="AA283" s="1285"/>
      <c r="AB283" s="1285"/>
      <c r="AC283" s="1285"/>
      <c r="AD283" s="46"/>
      <c r="AE283" s="46"/>
      <c r="AF283" s="1285"/>
    </row>
    <row r="284" spans="2:32" ht="18" customHeight="1">
      <c r="B284" s="1285"/>
      <c r="C284" s="1285"/>
      <c r="E284" s="1576"/>
      <c r="I284" s="1285"/>
      <c r="J284" s="1285"/>
      <c r="K284" s="1285"/>
      <c r="L284" s="1285"/>
      <c r="M284" s="1285"/>
      <c r="N284" s="1285"/>
      <c r="O284" s="1285"/>
      <c r="P284" s="1285"/>
      <c r="Q284" s="1285"/>
      <c r="R284" s="1285"/>
      <c r="S284" s="1285"/>
      <c r="T284" s="1576"/>
      <c r="U284" s="1285"/>
      <c r="V284" s="1285"/>
      <c r="W284" s="1285"/>
      <c r="X284" s="1285"/>
      <c r="Y284" s="1285"/>
      <c r="Z284" s="1285"/>
      <c r="AA284" s="1285"/>
      <c r="AB284" s="1285"/>
      <c r="AC284" s="1285"/>
      <c r="AD284" s="46"/>
      <c r="AE284" s="1285"/>
      <c r="AF284" s="46"/>
    </row>
    <row r="285" spans="2:32" ht="18" customHeight="1">
      <c r="B285" s="1285"/>
      <c r="C285" s="1285"/>
      <c r="E285" s="1576"/>
      <c r="I285" s="1285"/>
      <c r="J285" s="1285"/>
      <c r="K285" s="1285"/>
      <c r="L285" s="1285"/>
      <c r="M285" s="1285"/>
      <c r="N285" s="1285"/>
      <c r="O285" s="1285"/>
      <c r="P285" s="1285"/>
      <c r="Q285" s="1285"/>
      <c r="R285" s="1285"/>
      <c r="S285" s="1285"/>
      <c r="T285" s="1576"/>
      <c r="U285" s="1285"/>
      <c r="V285" s="1285"/>
      <c r="W285" s="1285"/>
      <c r="X285" s="1285"/>
      <c r="Y285" s="1285"/>
      <c r="Z285" s="1285"/>
      <c r="AA285" s="1285"/>
      <c r="AB285" s="1285"/>
      <c r="AC285" s="1285"/>
      <c r="AD285" s="46"/>
      <c r="AE285" s="46"/>
      <c r="AF285" s="1285"/>
    </row>
    <row r="286" spans="2:32" ht="18" customHeight="1">
      <c r="B286" s="1285"/>
      <c r="C286" s="1285"/>
      <c r="E286" s="1576"/>
      <c r="I286" s="1285"/>
      <c r="J286" s="1285"/>
      <c r="K286" s="1285"/>
      <c r="L286" s="1285"/>
      <c r="M286" s="1285"/>
      <c r="N286" s="1285"/>
      <c r="O286" s="1285"/>
      <c r="P286" s="1285"/>
      <c r="Q286" s="1285"/>
      <c r="R286" s="1285"/>
      <c r="S286" s="1285"/>
      <c r="T286" s="1576"/>
      <c r="U286" s="1285"/>
      <c r="V286" s="1285"/>
      <c r="W286" s="1285"/>
      <c r="X286" s="1285"/>
      <c r="Y286" s="1285"/>
      <c r="Z286" s="1285"/>
      <c r="AA286" s="1285"/>
      <c r="AB286" s="1285"/>
      <c r="AC286" s="1285"/>
      <c r="AD286" s="46"/>
      <c r="AE286" s="46"/>
      <c r="AF286" s="1285"/>
    </row>
  </sheetData>
  <mergeCells count="11">
    <mergeCell ref="B68:I68"/>
    <mergeCell ref="M3:N3"/>
    <mergeCell ref="O3:Q3"/>
    <mergeCell ref="U2:V2"/>
    <mergeCell ref="M2:S2"/>
    <mergeCell ref="J2:L3"/>
    <mergeCell ref="B2:D2"/>
    <mergeCell ref="E2:F2"/>
    <mergeCell ref="E3:F3"/>
    <mergeCell ref="B63:Q63"/>
    <mergeCell ref="B64:Q64"/>
  </mergeCells>
  <phoneticPr fontId="91" type="noConversion"/>
  <conditionalFormatting sqref="I5:I61">
    <cfRule type="cellIs" dxfId="701" priority="1" operator="equal">
      <formula>0</formula>
    </cfRule>
  </conditionalFormatting>
  <dataValidations count="3">
    <dataValidation type="list" allowBlank="1" showInputMessage="1" showErrorMessage="1" sqref="C34:C61 C5:C32" xr:uid="{00000000-0002-0000-1000-000000000000}">
      <formula1>"Yes,No"</formula1>
    </dataValidation>
    <dataValidation type="list" allowBlank="1" showInputMessage="1" showErrorMessage="1" sqref="P34:P61 P5:P32" xr:uid="{00000000-0002-0000-1000-000002000000}">
      <formula1>"FAM,AM w/Reset,RR,Deferred,Not Yet Known,None,Interest Only,Other"</formula1>
    </dataValidation>
    <dataValidation type="list" allowBlank="1" showInputMessage="1" showErrorMessage="1" sqref="K34:K61 K5:K32" xr:uid="{F073A8FF-E0BE-490B-B686-F51CD8560683}">
      <formula1>"Interest, Interest Only,Deferred,None,Other"</formula1>
    </dataValidation>
  </dataValidations>
  <printOptions horizontalCentered="1"/>
  <pageMargins left="0" right="0.25" top="0" bottom="0" header="0.25" footer="0.25"/>
  <pageSetup paperSize="5" scale="71" firstPageNumber="16" orientation="landscape" r:id="rId1"/>
  <headerFooter>
    <oddFooter>&amp;L&amp;F&amp;C&amp;P of &amp;N&amp;R &amp;A</oddFooter>
  </headerFooter>
  <ignoredErrors>
    <ignoredError sqref="I34:I61 G37:G42 I29:I30 I5:I27 I31:I32 I28" unlockedFormula="1"/>
  </ignoredErrors>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000-000003000000}">
          <x14:formula1>
            <xm:f>Dropdowns!$A$32:$A$37</xm:f>
          </x14:formula1>
          <xm:sqref>N34:N61 N5:N32</xm:sqref>
        </x14:dataValidation>
        <x14:dataValidation type="list" allowBlank="1" showInputMessage="1" showErrorMessage="1" promptTitle="Source Type" xr:uid="{A1510754-EE05-453B-9393-38A8B32786A7}">
          <x14:formula1>
            <xm:f>Dropdowns!$B$20:$B$30</xm:f>
          </x14:formula1>
          <xm:sqref>E5:E7 E43:E61 E34:E36 E14:E32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pageSetUpPr fitToPage="1"/>
  </sheetPr>
  <dimension ref="A2:AJ205"/>
  <sheetViews>
    <sheetView showGridLines="0" zoomScaleNormal="100" zoomScaleSheetLayoutView="100" workbookViewId="0">
      <pane xSplit="7" ySplit="5" topLeftCell="H6" activePane="bottomRight" state="frozen"/>
      <selection pane="topRight" activeCell="H1" sqref="H1"/>
      <selection pane="bottomLeft" activeCell="A7" sqref="A7"/>
      <selection pane="bottomRight"/>
    </sheetView>
  </sheetViews>
  <sheetFormatPr defaultColWidth="9.109375" defaultRowHeight="18" customHeight="1"/>
  <cols>
    <col min="1" max="1" width="4" style="41" customWidth="1"/>
    <col min="2" max="2" width="6.109375" style="41" customWidth="1"/>
    <col min="3" max="3" width="35.44140625" style="41" customWidth="1"/>
    <col min="4" max="4" width="14.33203125" style="41" customWidth="1"/>
    <col min="5" max="5" width="14.44140625" style="41" customWidth="1"/>
    <col min="6" max="11" width="14.33203125" style="41" customWidth="1"/>
    <col min="12" max="12" width="14.88671875" style="41" hidden="1" customWidth="1"/>
    <col min="13" max="15" width="14.88671875" style="41" customWidth="1"/>
    <col min="16" max="16" width="14.88671875" style="41" hidden="1" customWidth="1"/>
    <col min="17" max="36" width="14.88671875" style="41" customWidth="1"/>
    <col min="37" max="16384" width="9.109375" style="41"/>
  </cols>
  <sheetData>
    <row r="2" spans="2:36" s="352" customFormat="1" ht="36" customHeight="1">
      <c r="C2" s="2571" t="s">
        <v>3388</v>
      </c>
      <c r="D2" s="2572"/>
      <c r="E2" s="2573"/>
      <c r="F2" s="2576" t="s">
        <v>3389</v>
      </c>
      <c r="G2" s="2577"/>
      <c r="H2" s="1364" t="s">
        <v>3390</v>
      </c>
      <c r="I2" s="676"/>
      <c r="J2" s="676"/>
      <c r="K2" s="685"/>
      <c r="L2" s="685"/>
      <c r="M2" s="685"/>
      <c r="N2" s="685"/>
      <c r="O2" s="685"/>
      <c r="P2" s="685"/>
      <c r="Q2" s="677"/>
      <c r="R2" s="677"/>
      <c r="S2" s="677"/>
      <c r="T2" s="677"/>
      <c r="U2" s="677"/>
      <c r="V2" s="677"/>
      <c r="W2" s="677"/>
      <c r="X2" s="677"/>
      <c r="Y2" s="677"/>
      <c r="Z2" s="677"/>
      <c r="AA2" s="677"/>
      <c r="AB2" s="677"/>
      <c r="AC2" s="677"/>
      <c r="AD2" s="677"/>
      <c r="AE2" s="677"/>
      <c r="AF2" s="677"/>
      <c r="AG2" s="677"/>
      <c r="AH2" s="677"/>
      <c r="AI2" s="2574" t="s">
        <v>3391</v>
      </c>
      <c r="AJ2" s="2575"/>
    </row>
    <row r="3" spans="2:36" s="352" customFormat="1" ht="21" customHeight="1">
      <c r="C3" s="1365"/>
      <c r="D3" s="596">
        <f>SUM(DevBudgetSUTbl[Column2])</f>
        <v>49118197</v>
      </c>
      <c r="E3" s="596">
        <f>SUM(DevBudgetSUTbl[Column3])</f>
        <v>0</v>
      </c>
      <c r="F3" s="596">
        <f>SUM(DevBudgetSUTbl[Column4])</f>
        <v>20000000</v>
      </c>
      <c r="G3" s="596">
        <f>SUM(DevBudgetSUTbl[Column5])</f>
        <v>0</v>
      </c>
      <c r="H3" s="596">
        <f>SUM(DevBudgetSUTbl[Column6])</f>
        <v>1000000</v>
      </c>
      <c r="I3" s="596">
        <f>SUM(DevBudgetSUTbl[Column7])</f>
        <v>0</v>
      </c>
      <c r="J3" s="596">
        <f>SUM(DevBudgetSUTbl[Column8])</f>
        <v>0</v>
      </c>
      <c r="K3" s="596">
        <f>IF(IsIig,SUM(DevBudgetSUTbl[Column9]),0)</f>
        <v>3118197</v>
      </c>
      <c r="L3" s="596">
        <f>IF(IsHHC,SUM(DevBudgetSUTbl[Column10]),0)</f>
        <v>0</v>
      </c>
      <c r="M3" s="596">
        <f>IF(IsSerna,SUM(DevBudgetSUTbl[Column11]),0)</f>
        <v>0</v>
      </c>
      <c r="N3" s="596">
        <f>IF(IsMhp,SUM(DevBudgetSUTbl[Column12]),0)</f>
        <v>45000000</v>
      </c>
      <c r="O3" s="596">
        <f>IF(IsTod,SUM(DevBudgetSUTbl[Column13]),0)</f>
        <v>0</v>
      </c>
      <c r="P3" s="596">
        <f>IF(IsVhhp,SUM(DevBudgetSUTbl[Column14]),0)</f>
        <v>0</v>
      </c>
      <c r="Q3" s="596">
        <f>SUM(DevBudgetSUTbl[Column15])</f>
        <v>0</v>
      </c>
      <c r="R3" s="596">
        <f>SUM(DevBudgetSUTbl[Column16])</f>
        <v>0</v>
      </c>
      <c r="S3" s="596">
        <f>SUM(DevBudgetSUTbl[Column17])</f>
        <v>0</v>
      </c>
      <c r="T3" s="596">
        <f>SUM(DevBudgetSUTbl[Column18])</f>
        <v>0</v>
      </c>
      <c r="U3" s="596">
        <f>SUM(DevBudgetSUTbl[Column19])</f>
        <v>0</v>
      </c>
      <c r="V3" s="596">
        <f>SUM(DevBudgetSUTbl[Column20])</f>
        <v>0</v>
      </c>
      <c r="W3" s="596">
        <f>SUM(DevBudgetSUTbl[Column21])</f>
        <v>0</v>
      </c>
      <c r="X3" s="596">
        <f>SUM(DevBudgetSUTbl[Column22])</f>
        <v>0</v>
      </c>
      <c r="Y3" s="596">
        <f>SUM(DevBudgetSUTbl[Column23])</f>
        <v>0</v>
      </c>
      <c r="Z3" s="596">
        <f>SUM(DevBudgetSUTbl[Column24])</f>
        <v>0</v>
      </c>
      <c r="AA3" s="596">
        <f>SUM(DevBudgetSUTbl[Column25])</f>
        <v>0</v>
      </c>
      <c r="AB3" s="596">
        <f>SUM(DevBudgetSUTbl[Column26])</f>
        <v>0</v>
      </c>
      <c r="AC3" s="596">
        <f>SUM(DevBudgetSUTbl[Column27])</f>
        <v>0</v>
      </c>
      <c r="AD3" s="596">
        <f>SUM(DevBudgetSUTbl[Column28])</f>
        <v>0</v>
      </c>
      <c r="AE3" s="596">
        <f>SUM(DevBudgetSUTbl[Column29])</f>
        <v>0</v>
      </c>
      <c r="AF3" s="596">
        <f>SUM(DevBudgetSUTbl[Column30])</f>
        <v>0</v>
      </c>
      <c r="AG3" s="596">
        <f>SUM(DevBudgetSUTbl[Column31])</f>
        <v>0</v>
      </c>
      <c r="AH3" s="596">
        <f>SUM(DevBudgetSUTbl[Column32])</f>
        <v>0</v>
      </c>
      <c r="AI3" s="596">
        <f>SUM(DevBudgetSUTbl[Column33])</f>
        <v>0</v>
      </c>
      <c r="AJ3" s="596">
        <f>SUM(DevBudgetSUTbl[Column34])</f>
        <v>0</v>
      </c>
    </row>
    <row r="4" spans="2:36" s="53" customFormat="1" ht="99" customHeight="1">
      <c r="C4" s="669" t="s">
        <v>3392</v>
      </c>
      <c r="D4" s="670" t="s">
        <v>3393</v>
      </c>
      <c r="E4" s="670" t="s">
        <v>3394</v>
      </c>
      <c r="F4" s="671" t="str">
        <f>IF(Taxcredit="","30% PVC for New Const/Rehab",IF(Taxcredit=0.09,"70% PVC for New Const/Rehab",IF(Taxcredit=0.04,"30% PVC for New Const/Rehab","N/A - No tax credits per Dev Sources")))</f>
        <v>30% PVC for New Const/Rehab</v>
      </c>
      <c r="G4" s="671" t="str">
        <f>IF(Taxcredit="","30% PVC for Acquisition",IF(Taxcredit=0.09,"30% PVC for Acquisition",IF(Taxcredit=0.04,"30% PVC for Acquisition","N/A - No tax credits per Dev Sources")))</f>
        <v>30% PVC for Acquisition</v>
      </c>
      <c r="H4" s="670" t="str">
        <f>IF('Dev Sources'!$D34&gt;0,'Dev Sources'!$D34,"")</f>
        <v/>
      </c>
      <c r="I4" s="670" t="str">
        <f>IF('Dev Sources'!$D35&gt;0,'Dev Sources'!$D35,"")</f>
        <v/>
      </c>
      <c r="J4" s="670" t="str">
        <f>IF('Dev Sources'!$D36&gt;0,'Dev Sources'!$D36,"")</f>
        <v/>
      </c>
      <c r="K4" s="670" t="str">
        <f>IF('Dev Sources'!$D37&gt;0,'Dev Sources'!$D37,"")</f>
        <v>Infill Infrastructure Grant Program (IIG) - Grant</v>
      </c>
      <c r="L4" s="670" t="str">
        <f>IF('Dev Sources'!$D38&gt;0,'Dev Sources'!$D38,"")</f>
        <v>Housing for a Healthy California Program (HHC)</v>
      </c>
      <c r="M4" s="670" t="str">
        <f>IF('Dev Sources'!$D39&gt;0,'Dev Sources'!$D39,"")</f>
        <v>Joe Serna, Jr. Farmworker Housing Grant (FWHG) Program - Loan</v>
      </c>
      <c r="N4" s="670" t="str">
        <f>IF('Dev Sources'!$D40&gt;0,'Dev Sources'!$D40,"")</f>
        <v>Multifamily Housing Program (MHP) - Loan</v>
      </c>
      <c r="O4" s="670" t="str">
        <f>IF('Dev Sources'!$D41&gt;0,'Dev Sources'!$D41,"")</f>
        <v>Transit-Oriented Development (TOD) Housing Program - Grant</v>
      </c>
      <c r="P4" s="670" t="str">
        <f>IF('Dev Sources'!$D42&gt;0,'Dev Sources'!$D42,"")</f>
        <v>Veterans Housing and Homelessness Prevention Program (VHHP) - Loan</v>
      </c>
      <c r="Q4" s="670" t="str">
        <f>IF('Dev Sources'!$D43&gt;0,'Dev Sources'!$D43,"")</f>
        <v>Local Grant</v>
      </c>
      <c r="R4" s="670" t="str">
        <f>IF('Dev Sources'!$D44&gt;0,'Dev Sources'!$D44,"")</f>
        <v>Land Donation</v>
      </c>
      <c r="S4" s="670" t="str">
        <f>IF('Dev Sources'!$D45&gt;0,'Dev Sources'!$D45,"")</f>
        <v>County Fee Waivers</v>
      </c>
      <c r="T4" s="670" t="str">
        <f>IF('Dev Sources'!$D46&gt;0,'Dev Sources'!$D46,"")</f>
        <v/>
      </c>
      <c r="U4" s="670" t="str">
        <f>IF('Dev Sources'!$D47&gt;0,'Dev Sources'!$D47,"")</f>
        <v/>
      </c>
      <c r="V4" s="670" t="str">
        <f>IF('Dev Sources'!$D48&gt;0,'Dev Sources'!$D48,"")</f>
        <v/>
      </c>
      <c r="W4" s="670" t="str">
        <f>IF('Dev Sources'!$D49&gt;0,'Dev Sources'!$D49,"")</f>
        <v/>
      </c>
      <c r="X4" s="670" t="str">
        <f>IF('Dev Sources'!$D50&gt;0,'Dev Sources'!$D50,"")</f>
        <v/>
      </c>
      <c r="Y4" s="670" t="str">
        <f>IF('Dev Sources'!$D51&gt;0,'Dev Sources'!$D51,"")</f>
        <v/>
      </c>
      <c r="Z4" s="670" t="str">
        <f>IF('Dev Sources'!$D52&gt;0,'Dev Sources'!$D52,"")</f>
        <v/>
      </c>
      <c r="AA4" s="670" t="str">
        <f>IF('Dev Sources'!$D53&gt;0,'Dev Sources'!$D53,"")</f>
        <v/>
      </c>
      <c r="AB4" s="670" t="str">
        <f>IF('Dev Sources'!$D54&gt;0,'Dev Sources'!$D54,"")</f>
        <v/>
      </c>
      <c r="AC4" s="670" t="str">
        <f>IF('Dev Sources'!$D55&gt;0,'Dev Sources'!$D55,"")</f>
        <v/>
      </c>
      <c r="AD4" s="670" t="str">
        <f>IF('Dev Sources'!$D56&gt;0,'Dev Sources'!$D56,"")</f>
        <v/>
      </c>
      <c r="AE4" s="670" t="str">
        <f>IF('Dev Sources'!$D57&gt;0,'Dev Sources'!$D57,"")</f>
        <v/>
      </c>
      <c r="AF4" s="670" t="str">
        <f>IF('Dev Sources'!$D58&gt;0,'Dev Sources'!$D58,"")</f>
        <v>Deferred Developer Fees</v>
      </c>
      <c r="AG4" s="670" t="str">
        <f>IF('Dev Sources'!$D59&gt;0,'Dev Sources'!$D59,"")</f>
        <v>Developer Fee Contribution</v>
      </c>
      <c r="AH4" s="670" t="str">
        <f>IF('Dev Sources'!$D60&gt;0,'Dev Sources'!$D60,"")</f>
        <v>GP Equity</v>
      </c>
      <c r="AI4" s="672" t="s">
        <v>3395</v>
      </c>
      <c r="AJ4" s="672" t="s">
        <v>3395</v>
      </c>
    </row>
    <row r="5" spans="2:36" s="53" customFormat="1" ht="18" customHeight="1">
      <c r="C5" s="675" t="s">
        <v>3396</v>
      </c>
      <c r="D5" s="585" t="s">
        <v>3397</v>
      </c>
      <c r="E5" s="586" t="s">
        <v>3398</v>
      </c>
      <c r="F5" s="585" t="s">
        <v>3399</v>
      </c>
      <c r="G5" s="585" t="s">
        <v>3400</v>
      </c>
      <c r="H5" s="587" t="s">
        <v>3401</v>
      </c>
      <c r="I5" s="587" t="s">
        <v>3402</v>
      </c>
      <c r="J5" s="587" t="s">
        <v>3403</v>
      </c>
      <c r="K5" s="587" t="s">
        <v>3404</v>
      </c>
      <c r="L5" s="587" t="s">
        <v>3405</v>
      </c>
      <c r="M5" s="587" t="s">
        <v>3406</v>
      </c>
      <c r="N5" s="587" t="s">
        <v>3407</v>
      </c>
      <c r="O5" s="587" t="s">
        <v>3408</v>
      </c>
      <c r="P5" s="587" t="s">
        <v>3409</v>
      </c>
      <c r="Q5" s="587" t="s">
        <v>3410</v>
      </c>
      <c r="R5" s="587" t="s">
        <v>3411</v>
      </c>
      <c r="S5" s="587" t="s">
        <v>3412</v>
      </c>
      <c r="T5" s="587" t="s">
        <v>3413</v>
      </c>
      <c r="U5" s="587" t="s">
        <v>3414</v>
      </c>
      <c r="V5" s="587" t="s">
        <v>3415</v>
      </c>
      <c r="W5" s="587" t="s">
        <v>3416</v>
      </c>
      <c r="X5" s="587" t="s">
        <v>3417</v>
      </c>
      <c r="Y5" s="587" t="s">
        <v>3418</v>
      </c>
      <c r="Z5" s="587" t="s">
        <v>3419</v>
      </c>
      <c r="AA5" s="587" t="s">
        <v>3420</v>
      </c>
      <c r="AB5" s="587" t="s">
        <v>3421</v>
      </c>
      <c r="AC5" s="587" t="s">
        <v>3422</v>
      </c>
      <c r="AD5" s="587" t="s">
        <v>3423</v>
      </c>
      <c r="AE5" s="587" t="s">
        <v>3424</v>
      </c>
      <c r="AF5" s="587" t="s">
        <v>3425</v>
      </c>
      <c r="AG5" s="587" t="s">
        <v>3426</v>
      </c>
      <c r="AH5" s="587" t="s">
        <v>3427</v>
      </c>
      <c r="AI5" s="587" t="s">
        <v>3428</v>
      </c>
      <c r="AJ5" s="587" t="s">
        <v>3429</v>
      </c>
    </row>
    <row r="6" spans="2:36" s="53" customFormat="1" ht="18" customHeight="1">
      <c r="B6" s="2581" t="s">
        <v>3430</v>
      </c>
      <c r="C6" s="764" t="s">
        <v>3431</v>
      </c>
      <c r="D6" s="772">
        <f>SUM(H6:AH6)</f>
        <v>0</v>
      </c>
      <c r="E6" s="773">
        <f t="shared" ref="E6:E14" si="0">SUM(AI6:AJ6)</f>
        <v>0</v>
      </c>
      <c r="F6" s="772"/>
      <c r="G6" s="772"/>
      <c r="H6" s="762"/>
      <c r="I6" s="762"/>
      <c r="J6" s="762"/>
      <c r="K6" s="786"/>
      <c r="L6" s="762"/>
      <c r="M6" s="762"/>
      <c r="N6" s="762"/>
      <c r="O6" s="762"/>
      <c r="P6" s="762"/>
      <c r="Q6" s="762"/>
      <c r="R6" s="762"/>
      <c r="S6" s="762"/>
      <c r="T6" s="762"/>
      <c r="U6" s="762"/>
      <c r="V6" s="762"/>
      <c r="W6" s="762"/>
      <c r="X6" s="762"/>
      <c r="Y6" s="762"/>
      <c r="Z6" s="762"/>
      <c r="AA6" s="762"/>
      <c r="AB6" s="762"/>
      <c r="AC6" s="762"/>
      <c r="AD6" s="762"/>
      <c r="AE6" s="762"/>
      <c r="AF6" s="762"/>
      <c r="AG6" s="762"/>
      <c r="AH6" s="762"/>
      <c r="AI6" s="762"/>
      <c r="AJ6" s="762"/>
    </row>
    <row r="7" spans="2:36" s="53" customFormat="1" ht="18" customHeight="1">
      <c r="B7" s="2582"/>
      <c r="C7" s="764" t="s">
        <v>3432</v>
      </c>
      <c r="D7" s="772">
        <f t="shared" ref="D7:D8" si="1">SUM(H7:AH7)</f>
        <v>0</v>
      </c>
      <c r="E7" s="773">
        <f>SUM(AI7:AJ7)</f>
        <v>0</v>
      </c>
      <c r="F7" s="772"/>
      <c r="G7" s="772"/>
      <c r="H7" s="762"/>
      <c r="I7" s="762"/>
      <c r="J7" s="762"/>
      <c r="K7" s="786"/>
      <c r="L7" s="762"/>
      <c r="M7" s="762"/>
      <c r="N7" s="762"/>
      <c r="O7" s="762"/>
      <c r="P7" s="762"/>
      <c r="Q7" s="762"/>
      <c r="R7" s="762"/>
      <c r="S7" s="762"/>
      <c r="T7" s="762"/>
      <c r="U7" s="762"/>
      <c r="V7" s="762"/>
      <c r="W7" s="762"/>
      <c r="X7" s="762"/>
      <c r="Y7" s="762"/>
      <c r="Z7" s="762"/>
      <c r="AA7" s="762"/>
      <c r="AB7" s="762"/>
      <c r="AC7" s="762"/>
      <c r="AD7" s="762"/>
      <c r="AE7" s="762"/>
      <c r="AF7" s="762"/>
      <c r="AG7" s="762"/>
      <c r="AH7" s="762"/>
      <c r="AI7" s="762"/>
      <c r="AJ7" s="762"/>
    </row>
    <row r="8" spans="2:36" s="53" customFormat="1" ht="18" customHeight="1">
      <c r="B8" s="2582"/>
      <c r="C8" s="764" t="s">
        <v>3282</v>
      </c>
      <c r="D8" s="772">
        <f t="shared" si="1"/>
        <v>0</v>
      </c>
      <c r="E8" s="773">
        <f t="shared" si="0"/>
        <v>0</v>
      </c>
      <c r="F8" s="772"/>
      <c r="G8" s="772"/>
      <c r="H8" s="762"/>
      <c r="I8" s="762"/>
      <c r="J8" s="762"/>
      <c r="K8" s="786"/>
      <c r="L8" s="762"/>
      <c r="M8" s="762"/>
      <c r="N8" s="762"/>
      <c r="O8" s="762"/>
      <c r="P8" s="762"/>
      <c r="Q8" s="762"/>
      <c r="R8" s="762"/>
      <c r="S8" s="762"/>
      <c r="T8" s="762"/>
      <c r="U8" s="762"/>
      <c r="V8" s="762"/>
      <c r="W8" s="762"/>
      <c r="X8" s="762"/>
      <c r="Y8" s="762"/>
      <c r="Z8" s="762"/>
      <c r="AA8" s="762"/>
      <c r="AB8" s="762"/>
      <c r="AC8" s="762"/>
      <c r="AD8" s="762"/>
      <c r="AE8" s="762"/>
      <c r="AF8" s="762"/>
      <c r="AG8" s="762"/>
      <c r="AH8" s="762"/>
      <c r="AI8" s="762"/>
      <c r="AJ8" s="762"/>
    </row>
    <row r="9" spans="2:36" s="53" customFormat="1" ht="18" customHeight="1">
      <c r="B9" s="2582"/>
      <c r="C9" s="764" t="s">
        <v>3433</v>
      </c>
      <c r="D9" s="772">
        <f>SUM(H9:AH9)</f>
        <v>0</v>
      </c>
      <c r="E9" s="773">
        <f t="shared" si="0"/>
        <v>0</v>
      </c>
      <c r="F9" s="772"/>
      <c r="G9" s="772"/>
      <c r="H9" s="762"/>
      <c r="I9" s="762"/>
      <c r="J9" s="762"/>
      <c r="K9" s="786"/>
      <c r="L9" s="762"/>
      <c r="M9" s="762"/>
      <c r="N9" s="762"/>
      <c r="O9" s="762"/>
      <c r="P9" s="762"/>
      <c r="Q9" s="762"/>
      <c r="R9" s="762"/>
      <c r="S9" s="762"/>
      <c r="T9" s="762"/>
      <c r="U9" s="762"/>
      <c r="V9" s="762"/>
      <c r="W9" s="762"/>
      <c r="X9" s="762"/>
      <c r="Y9" s="762"/>
      <c r="Z9" s="762"/>
      <c r="AA9" s="762"/>
      <c r="AB9" s="762"/>
      <c r="AC9" s="762"/>
      <c r="AD9" s="762"/>
      <c r="AE9" s="762"/>
      <c r="AF9" s="762"/>
      <c r="AG9" s="762"/>
      <c r="AH9" s="762"/>
      <c r="AI9" s="762"/>
      <c r="AJ9" s="762"/>
    </row>
    <row r="10" spans="2:36" s="53" customFormat="1" ht="18" customHeight="1">
      <c r="B10" s="2582"/>
      <c r="C10" s="764" t="s">
        <v>3434</v>
      </c>
      <c r="D10" s="772">
        <f>SUM(H10:AH10)</f>
        <v>0</v>
      </c>
      <c r="E10" s="773">
        <f t="shared" si="0"/>
        <v>0</v>
      </c>
      <c r="F10" s="772"/>
      <c r="G10" s="762"/>
      <c r="H10" s="762"/>
      <c r="I10" s="762"/>
      <c r="J10" s="762"/>
      <c r="K10" s="786"/>
      <c r="L10" s="762"/>
      <c r="M10" s="762"/>
      <c r="N10" s="762"/>
      <c r="O10" s="762"/>
      <c r="P10" s="762"/>
      <c r="Q10" s="762"/>
      <c r="R10" s="762"/>
      <c r="S10" s="762"/>
      <c r="T10" s="762"/>
      <c r="U10" s="762"/>
      <c r="V10" s="762"/>
      <c r="W10" s="762"/>
      <c r="X10" s="762"/>
      <c r="Y10" s="762"/>
      <c r="Z10" s="762"/>
      <c r="AA10" s="762"/>
      <c r="AB10" s="762"/>
      <c r="AC10" s="762"/>
      <c r="AD10" s="762"/>
      <c r="AE10" s="762"/>
      <c r="AF10" s="762"/>
      <c r="AG10" s="762"/>
      <c r="AH10" s="762"/>
      <c r="AI10" s="762"/>
      <c r="AJ10" s="762"/>
    </row>
    <row r="11" spans="2:36" s="53" customFormat="1" ht="13.8">
      <c r="B11" s="2582"/>
      <c r="C11" s="764" t="s">
        <v>3435</v>
      </c>
      <c r="D11" s="772">
        <f>SUM(H11:AH11)</f>
        <v>0</v>
      </c>
      <c r="E11" s="773">
        <f t="shared" si="0"/>
        <v>0</v>
      </c>
      <c r="F11" s="762"/>
      <c r="G11" s="762"/>
      <c r="H11" s="762"/>
      <c r="I11" s="762"/>
      <c r="J11" s="762"/>
      <c r="K11" s="786"/>
      <c r="L11" s="762"/>
      <c r="M11" s="762"/>
      <c r="N11" s="762"/>
      <c r="O11" s="762"/>
      <c r="P11" s="762"/>
      <c r="Q11" s="762"/>
      <c r="R11" s="762"/>
      <c r="S11" s="762"/>
      <c r="T11" s="762"/>
      <c r="U11" s="762"/>
      <c r="V11" s="762"/>
      <c r="W11" s="762"/>
      <c r="X11" s="762"/>
      <c r="Y11" s="762"/>
      <c r="Z11" s="762"/>
      <c r="AA11" s="762"/>
      <c r="AB11" s="762"/>
      <c r="AC11" s="762"/>
      <c r="AD11" s="762"/>
      <c r="AE11" s="762"/>
      <c r="AF11" s="762"/>
      <c r="AG11" s="762"/>
      <c r="AH11" s="762"/>
      <c r="AI11" s="762"/>
      <c r="AJ11" s="762"/>
    </row>
    <row r="12" spans="2:36" s="53" customFormat="1" ht="36" customHeight="1">
      <c r="B12" s="2582"/>
      <c r="C12" s="764" t="s">
        <v>3436</v>
      </c>
      <c r="D12" s="772">
        <f>SUM(H12:AH12)</f>
        <v>0</v>
      </c>
      <c r="E12" s="773">
        <f t="shared" si="0"/>
        <v>0</v>
      </c>
      <c r="F12" s="762"/>
      <c r="G12" s="762"/>
      <c r="H12" s="762"/>
      <c r="I12" s="762"/>
      <c r="J12" s="762"/>
      <c r="K12" s="786"/>
      <c r="L12" s="762"/>
      <c r="M12" s="762"/>
      <c r="N12" s="762"/>
      <c r="O12" s="762"/>
      <c r="P12" s="762"/>
      <c r="Q12" s="762"/>
      <c r="R12" s="762"/>
      <c r="S12" s="762"/>
      <c r="T12" s="762"/>
      <c r="U12" s="762"/>
      <c r="V12" s="762"/>
      <c r="W12" s="762"/>
      <c r="X12" s="762"/>
      <c r="Y12" s="762"/>
      <c r="Z12" s="762"/>
      <c r="AA12" s="762"/>
      <c r="AB12" s="762"/>
      <c r="AC12" s="762"/>
      <c r="AD12" s="762"/>
      <c r="AE12" s="762"/>
      <c r="AF12" s="762"/>
      <c r="AG12" s="762"/>
      <c r="AH12" s="762"/>
      <c r="AI12" s="762"/>
      <c r="AJ12" s="762"/>
    </row>
    <row r="13" spans="2:36" s="53" customFormat="1" ht="27.6">
      <c r="B13" s="2582"/>
      <c r="C13" s="764" t="s">
        <v>3437</v>
      </c>
      <c r="D13" s="772">
        <f t="shared" ref="D13:D14" si="2">SUM(H13:AH13)</f>
        <v>0</v>
      </c>
      <c r="E13" s="773">
        <f t="shared" si="0"/>
        <v>0</v>
      </c>
      <c r="F13" s="762"/>
      <c r="G13" s="762"/>
      <c r="H13" s="762"/>
      <c r="I13" s="762"/>
      <c r="J13" s="762"/>
      <c r="K13" s="786"/>
      <c r="L13" s="762"/>
      <c r="M13" s="762"/>
      <c r="N13" s="762"/>
      <c r="O13" s="762"/>
      <c r="P13" s="762"/>
      <c r="Q13" s="762"/>
      <c r="R13" s="762"/>
      <c r="S13" s="762"/>
      <c r="T13" s="762"/>
      <c r="U13" s="762"/>
      <c r="V13" s="762"/>
      <c r="W13" s="762"/>
      <c r="X13" s="762"/>
      <c r="Y13" s="762"/>
      <c r="Z13" s="762"/>
      <c r="AA13" s="762"/>
      <c r="AB13" s="762"/>
      <c r="AC13" s="762"/>
      <c r="AD13" s="762"/>
      <c r="AE13" s="762"/>
      <c r="AF13" s="762"/>
      <c r="AG13" s="762"/>
      <c r="AH13" s="762"/>
      <c r="AI13" s="762"/>
      <c r="AJ13" s="762"/>
    </row>
    <row r="14" spans="2:36" s="588" customFormat="1" ht="27.6">
      <c r="B14" s="2583"/>
      <c r="C14" s="764" t="s">
        <v>3438</v>
      </c>
      <c r="D14" s="772">
        <f t="shared" si="2"/>
        <v>0</v>
      </c>
      <c r="E14" s="773">
        <f t="shared" si="0"/>
        <v>0</v>
      </c>
      <c r="F14" s="772"/>
      <c r="G14" s="772"/>
      <c r="H14" s="762"/>
      <c r="I14" s="762"/>
      <c r="J14" s="762"/>
      <c r="K14" s="786"/>
      <c r="L14" s="762"/>
      <c r="M14" s="762"/>
      <c r="N14" s="762"/>
      <c r="O14" s="762"/>
      <c r="P14" s="762"/>
      <c r="Q14" s="762"/>
      <c r="R14" s="762"/>
      <c r="S14" s="762"/>
      <c r="T14" s="762"/>
      <c r="U14" s="762"/>
      <c r="V14" s="762"/>
      <c r="W14" s="762"/>
      <c r="X14" s="762"/>
      <c r="Y14" s="762"/>
      <c r="Z14" s="762"/>
      <c r="AA14" s="762"/>
      <c r="AB14" s="762"/>
      <c r="AC14" s="762"/>
      <c r="AD14" s="762"/>
      <c r="AE14" s="762"/>
      <c r="AF14" s="762"/>
      <c r="AG14" s="762"/>
      <c r="AH14" s="762"/>
      <c r="AI14" s="762"/>
      <c r="AJ14" s="762"/>
    </row>
    <row r="15" spans="2:36" s="53" customFormat="1" ht="18" customHeight="1">
      <c r="C15" s="765"/>
      <c r="D15" s="774"/>
      <c r="E15" s="775"/>
      <c r="F15" s="774"/>
      <c r="G15" s="774"/>
      <c r="H15" s="776"/>
      <c r="I15" s="777"/>
      <c r="J15" s="776"/>
      <c r="K15" s="777"/>
      <c r="L15" s="776"/>
      <c r="M15" s="776"/>
      <c r="N15" s="776"/>
      <c r="O15" s="776"/>
      <c r="P15" s="776"/>
      <c r="Q15" s="776"/>
      <c r="R15" s="776"/>
      <c r="S15" s="776"/>
      <c r="T15" s="776"/>
      <c r="U15" s="776"/>
      <c r="V15" s="776"/>
      <c r="W15" s="776"/>
      <c r="X15" s="776"/>
      <c r="Y15" s="776"/>
      <c r="Z15" s="776"/>
      <c r="AA15" s="776"/>
      <c r="AB15" s="776"/>
      <c r="AC15" s="776"/>
      <c r="AD15" s="776"/>
      <c r="AE15" s="776"/>
      <c r="AF15" s="776"/>
      <c r="AG15" s="776"/>
      <c r="AH15" s="776"/>
      <c r="AI15" s="776"/>
      <c r="AJ15" s="776"/>
    </row>
    <row r="16" spans="2:36" s="53" customFormat="1" ht="18" customHeight="1">
      <c r="B16" s="2578" t="s">
        <v>3439</v>
      </c>
      <c r="C16" s="764" t="s">
        <v>3440</v>
      </c>
      <c r="D16" s="772">
        <f>SUM(H16:AH16)</f>
        <v>45000000</v>
      </c>
      <c r="E16" s="773">
        <f t="shared" ref="E16:E26" si="3">SUM(AI16:AJ16)</f>
        <v>0</v>
      </c>
      <c r="F16" s="762"/>
      <c r="G16" s="762"/>
      <c r="H16" s="762"/>
      <c r="I16" s="762"/>
      <c r="J16" s="762"/>
      <c r="K16" s="786"/>
      <c r="L16" s="762"/>
      <c r="M16" s="762"/>
      <c r="N16" s="762">
        <v>45000000</v>
      </c>
      <c r="O16" s="762"/>
      <c r="P16" s="762"/>
      <c r="Q16" s="762"/>
      <c r="R16" s="762"/>
      <c r="S16" s="762"/>
      <c r="T16" s="762"/>
      <c r="U16" s="762"/>
      <c r="V16" s="762"/>
      <c r="W16" s="762"/>
      <c r="X16" s="762"/>
      <c r="Y16" s="762"/>
      <c r="Z16" s="762"/>
      <c r="AA16" s="762"/>
      <c r="AB16" s="762"/>
      <c r="AC16" s="762"/>
      <c r="AD16" s="762"/>
      <c r="AE16" s="762"/>
      <c r="AF16" s="762"/>
      <c r="AG16" s="762"/>
      <c r="AH16" s="762"/>
      <c r="AI16" s="762"/>
      <c r="AJ16" s="762"/>
    </row>
    <row r="17" spans="2:36" s="53" customFormat="1" ht="18" customHeight="1">
      <c r="B17" s="2579"/>
      <c r="C17" s="764" t="s">
        <v>3441</v>
      </c>
      <c r="D17" s="772">
        <f>SUM(H17:AH17)</f>
        <v>0</v>
      </c>
      <c r="E17" s="773">
        <f t="shared" si="3"/>
        <v>0</v>
      </c>
      <c r="F17" s="762">
        <v>20000000</v>
      </c>
      <c r="G17" s="762"/>
      <c r="H17" s="762"/>
      <c r="I17" s="762"/>
      <c r="J17" s="762"/>
      <c r="K17" s="786"/>
      <c r="L17" s="762"/>
      <c r="M17" s="762"/>
      <c r="N17" s="762"/>
      <c r="O17" s="762"/>
      <c r="P17" s="762"/>
      <c r="Q17" s="762"/>
      <c r="R17" s="762"/>
      <c r="S17" s="762"/>
      <c r="T17" s="762"/>
      <c r="U17" s="762"/>
      <c r="V17" s="762"/>
      <c r="W17" s="762"/>
      <c r="X17" s="762"/>
      <c r="Y17" s="762"/>
      <c r="Z17" s="762"/>
      <c r="AA17" s="762"/>
      <c r="AB17" s="762"/>
      <c r="AC17" s="762"/>
      <c r="AD17" s="762"/>
      <c r="AE17" s="762"/>
      <c r="AF17" s="762"/>
      <c r="AG17" s="762"/>
      <c r="AH17" s="762"/>
      <c r="AI17" s="762"/>
      <c r="AJ17" s="762"/>
    </row>
    <row r="18" spans="2:36" s="53" customFormat="1" ht="18" customHeight="1">
      <c r="B18" s="2579"/>
      <c r="C18" s="764" t="s">
        <v>3442</v>
      </c>
      <c r="D18" s="772">
        <f t="shared" ref="D18:D26" si="4">SUM(H18:AH18)</f>
        <v>0</v>
      </c>
      <c r="E18" s="773">
        <f>SUM(AI18:AJ18)</f>
        <v>0</v>
      </c>
      <c r="F18" s="762"/>
      <c r="G18" s="762"/>
      <c r="H18" s="762"/>
      <c r="I18" s="762"/>
      <c r="J18" s="762"/>
      <c r="K18" s="786"/>
      <c r="L18" s="762"/>
      <c r="M18" s="762"/>
      <c r="N18" s="762"/>
      <c r="O18" s="762"/>
      <c r="P18" s="762"/>
      <c r="Q18" s="762"/>
      <c r="R18" s="762"/>
      <c r="S18" s="762"/>
      <c r="T18" s="762"/>
      <c r="U18" s="762"/>
      <c r="V18" s="762"/>
      <c r="W18" s="762"/>
      <c r="X18" s="762"/>
      <c r="Y18" s="762"/>
      <c r="Z18" s="762"/>
      <c r="AA18" s="762"/>
      <c r="AB18" s="762"/>
      <c r="AC18" s="762"/>
      <c r="AD18" s="762"/>
      <c r="AE18" s="762"/>
      <c r="AF18" s="762"/>
      <c r="AG18" s="762"/>
      <c r="AH18" s="762"/>
      <c r="AI18" s="762"/>
      <c r="AJ18" s="762"/>
    </row>
    <row r="19" spans="2:36" s="53" customFormat="1" ht="18" customHeight="1">
      <c r="B19" s="2579"/>
      <c r="C19" s="764" t="s">
        <v>3443</v>
      </c>
      <c r="D19" s="772">
        <f t="shared" si="4"/>
        <v>0</v>
      </c>
      <c r="E19" s="773">
        <f t="shared" si="3"/>
        <v>0</v>
      </c>
      <c r="F19" s="762"/>
      <c r="G19" s="762"/>
      <c r="H19" s="762"/>
      <c r="I19" s="762"/>
      <c r="J19" s="762"/>
      <c r="K19" s="786"/>
      <c r="L19" s="762"/>
      <c r="M19" s="762"/>
      <c r="N19" s="762"/>
      <c r="O19" s="762"/>
      <c r="P19" s="762"/>
      <c r="Q19" s="762"/>
      <c r="R19" s="762"/>
      <c r="S19" s="762"/>
      <c r="T19" s="762"/>
      <c r="U19" s="762"/>
      <c r="V19" s="762"/>
      <c r="W19" s="762"/>
      <c r="X19" s="762"/>
      <c r="Y19" s="762"/>
      <c r="Z19" s="762"/>
      <c r="AA19" s="762"/>
      <c r="AB19" s="762"/>
      <c r="AC19" s="762"/>
      <c r="AD19" s="762"/>
      <c r="AE19" s="762"/>
      <c r="AF19" s="762"/>
      <c r="AG19" s="762"/>
      <c r="AH19" s="762"/>
      <c r="AI19" s="762"/>
      <c r="AJ19" s="762"/>
    </row>
    <row r="20" spans="2:36" s="53" customFormat="1" ht="18" customHeight="1">
      <c r="B20" s="2579"/>
      <c r="C20" s="764" t="s">
        <v>3444</v>
      </c>
      <c r="D20" s="772">
        <f t="shared" si="4"/>
        <v>0</v>
      </c>
      <c r="E20" s="773">
        <f t="shared" si="3"/>
        <v>0</v>
      </c>
      <c r="F20" s="762"/>
      <c r="G20" s="762"/>
      <c r="H20" s="762"/>
      <c r="I20" s="762"/>
      <c r="J20" s="762"/>
      <c r="K20" s="786"/>
      <c r="L20" s="762"/>
      <c r="M20" s="762"/>
      <c r="N20" s="762"/>
      <c r="O20" s="762"/>
      <c r="P20" s="762"/>
      <c r="Q20" s="762"/>
      <c r="R20" s="762"/>
      <c r="S20" s="762"/>
      <c r="T20" s="762"/>
      <c r="U20" s="762"/>
      <c r="V20" s="762"/>
      <c r="W20" s="762"/>
      <c r="X20" s="762"/>
      <c r="Y20" s="762"/>
      <c r="Z20" s="762"/>
      <c r="AA20" s="762"/>
      <c r="AB20" s="762"/>
      <c r="AC20" s="762"/>
      <c r="AD20" s="762"/>
      <c r="AE20" s="762"/>
      <c r="AF20" s="762"/>
      <c r="AG20" s="762"/>
      <c r="AH20" s="762"/>
      <c r="AI20" s="762"/>
      <c r="AJ20" s="762"/>
    </row>
    <row r="21" spans="2:36" s="53" customFormat="1" ht="18" customHeight="1">
      <c r="B21" s="2579"/>
      <c r="C21" s="764" t="s">
        <v>3445</v>
      </c>
      <c r="D21" s="772">
        <f t="shared" si="4"/>
        <v>0</v>
      </c>
      <c r="E21" s="773">
        <f t="shared" si="3"/>
        <v>0</v>
      </c>
      <c r="F21" s="762"/>
      <c r="G21" s="762"/>
      <c r="H21" s="762"/>
      <c r="I21" s="762"/>
      <c r="J21" s="762"/>
      <c r="K21" s="786"/>
      <c r="L21" s="762"/>
      <c r="M21" s="762"/>
      <c r="N21" s="762"/>
      <c r="O21" s="762"/>
      <c r="P21" s="762"/>
      <c r="Q21" s="762"/>
      <c r="R21" s="762"/>
      <c r="S21" s="762"/>
      <c r="T21" s="762"/>
      <c r="U21" s="762"/>
      <c r="V21" s="762"/>
      <c r="W21" s="762"/>
      <c r="X21" s="762"/>
      <c r="Y21" s="762"/>
      <c r="Z21" s="762"/>
      <c r="AA21" s="762"/>
      <c r="AB21" s="762"/>
      <c r="AC21" s="762"/>
      <c r="AD21" s="762"/>
      <c r="AE21" s="762"/>
      <c r="AF21" s="762"/>
      <c r="AG21" s="762"/>
      <c r="AH21" s="762"/>
      <c r="AI21" s="762"/>
      <c r="AJ21" s="762"/>
    </row>
    <row r="22" spans="2:36" s="53" customFormat="1" ht="18" customHeight="1">
      <c r="B22" s="2579"/>
      <c r="C22" s="764" t="s">
        <v>3446</v>
      </c>
      <c r="D22" s="772">
        <f t="shared" si="4"/>
        <v>0</v>
      </c>
      <c r="E22" s="773">
        <f t="shared" si="3"/>
        <v>0</v>
      </c>
      <c r="F22" s="762"/>
      <c r="G22" s="762"/>
      <c r="H22" s="762"/>
      <c r="I22" s="762"/>
      <c r="J22" s="762"/>
      <c r="K22" s="786"/>
      <c r="L22" s="762"/>
      <c r="M22" s="762"/>
      <c r="N22" s="762"/>
      <c r="O22" s="762"/>
      <c r="P22" s="762"/>
      <c r="Q22" s="762"/>
      <c r="R22" s="762"/>
      <c r="S22" s="762"/>
      <c r="T22" s="762"/>
      <c r="U22" s="762"/>
      <c r="V22" s="762"/>
      <c r="W22" s="762"/>
      <c r="X22" s="762"/>
      <c r="Y22" s="762"/>
      <c r="Z22" s="762"/>
      <c r="AA22" s="762"/>
      <c r="AB22" s="762"/>
      <c r="AC22" s="762"/>
      <c r="AD22" s="762"/>
      <c r="AE22" s="762"/>
      <c r="AF22" s="762"/>
      <c r="AG22" s="762"/>
      <c r="AH22" s="762"/>
      <c r="AI22" s="762"/>
      <c r="AJ22" s="762"/>
    </row>
    <row r="23" spans="2:36" s="53" customFormat="1" ht="18" customHeight="1">
      <c r="B23" s="2579"/>
      <c r="C23" s="426" t="s">
        <v>3447</v>
      </c>
      <c r="D23" s="772">
        <f t="shared" si="4"/>
        <v>0</v>
      </c>
      <c r="E23" s="773">
        <f t="shared" si="3"/>
        <v>0</v>
      </c>
      <c r="F23" s="762"/>
      <c r="G23" s="762"/>
      <c r="H23" s="762"/>
      <c r="I23" s="762"/>
      <c r="J23" s="762"/>
      <c r="K23" s="786"/>
      <c r="L23" s="762"/>
      <c r="M23" s="762"/>
      <c r="N23" s="762"/>
      <c r="O23" s="762"/>
      <c r="P23" s="762"/>
      <c r="Q23" s="762"/>
      <c r="R23" s="762"/>
      <c r="S23" s="762"/>
      <c r="T23" s="762"/>
      <c r="U23" s="762"/>
      <c r="V23" s="762"/>
      <c r="W23" s="762"/>
      <c r="X23" s="762"/>
      <c r="Y23" s="762"/>
      <c r="Z23" s="762"/>
      <c r="AA23" s="762"/>
      <c r="AB23" s="762"/>
      <c r="AC23" s="762"/>
      <c r="AD23" s="762"/>
      <c r="AE23" s="762"/>
      <c r="AF23" s="762"/>
      <c r="AG23" s="762"/>
      <c r="AH23" s="762"/>
      <c r="AI23" s="762"/>
      <c r="AJ23" s="762"/>
    </row>
    <row r="24" spans="2:36" s="53" customFormat="1" ht="18" customHeight="1">
      <c r="B24" s="2579"/>
      <c r="C24" s="426" t="s">
        <v>3447</v>
      </c>
      <c r="D24" s="772">
        <f t="shared" si="4"/>
        <v>0</v>
      </c>
      <c r="E24" s="773">
        <f t="shared" si="3"/>
        <v>0</v>
      </c>
      <c r="F24" s="762"/>
      <c r="G24" s="762"/>
      <c r="H24" s="762"/>
      <c r="I24" s="762"/>
      <c r="J24" s="762"/>
      <c r="K24" s="786"/>
      <c r="L24" s="762"/>
      <c r="M24" s="762"/>
      <c r="N24" s="762"/>
      <c r="O24" s="762"/>
      <c r="P24" s="762"/>
      <c r="Q24" s="762"/>
      <c r="R24" s="762"/>
      <c r="S24" s="762"/>
      <c r="T24" s="762"/>
      <c r="U24" s="762"/>
      <c r="V24" s="762"/>
      <c r="W24" s="762"/>
      <c r="X24" s="762"/>
      <c r="Y24" s="762"/>
      <c r="Z24" s="762"/>
      <c r="AA24" s="762"/>
      <c r="AB24" s="762"/>
      <c r="AC24" s="762"/>
      <c r="AD24" s="762"/>
      <c r="AE24" s="762"/>
      <c r="AF24" s="762"/>
      <c r="AG24" s="762"/>
      <c r="AH24" s="762"/>
      <c r="AI24" s="762"/>
      <c r="AJ24" s="762"/>
    </row>
    <row r="25" spans="2:36" s="53" customFormat="1" ht="18" customHeight="1">
      <c r="B25" s="2579"/>
      <c r="C25" s="426" t="s">
        <v>3447</v>
      </c>
      <c r="D25" s="772">
        <f t="shared" si="4"/>
        <v>0</v>
      </c>
      <c r="E25" s="773">
        <f t="shared" si="3"/>
        <v>0</v>
      </c>
      <c r="F25" s="762"/>
      <c r="G25" s="762"/>
      <c r="H25" s="762"/>
      <c r="I25" s="762"/>
      <c r="J25" s="762"/>
      <c r="K25" s="786"/>
      <c r="L25" s="762"/>
      <c r="M25" s="762"/>
      <c r="N25" s="762"/>
      <c r="O25" s="762"/>
      <c r="P25" s="762"/>
      <c r="Q25" s="762"/>
      <c r="R25" s="762"/>
      <c r="S25" s="762"/>
      <c r="T25" s="762"/>
      <c r="U25" s="762"/>
      <c r="V25" s="762"/>
      <c r="W25" s="762"/>
      <c r="X25" s="762"/>
      <c r="Y25" s="762"/>
      <c r="Z25" s="762"/>
      <c r="AA25" s="762"/>
      <c r="AB25" s="762"/>
      <c r="AC25" s="762"/>
      <c r="AD25" s="762"/>
      <c r="AE25" s="762"/>
      <c r="AF25" s="762"/>
      <c r="AG25" s="762"/>
      <c r="AH25" s="762"/>
      <c r="AI25" s="762"/>
      <c r="AJ25" s="762"/>
    </row>
    <row r="26" spans="2:36" s="54" customFormat="1" ht="18" customHeight="1">
      <c r="B26" s="2579"/>
      <c r="C26" s="766" t="s">
        <v>3447</v>
      </c>
      <c r="D26" s="778">
        <f t="shared" si="4"/>
        <v>0</v>
      </c>
      <c r="E26" s="779">
        <f t="shared" si="3"/>
        <v>0</v>
      </c>
      <c r="F26" s="780"/>
      <c r="G26" s="780"/>
      <c r="H26" s="780"/>
      <c r="I26" s="762"/>
      <c r="J26" s="780"/>
      <c r="K26" s="787"/>
      <c r="L26" s="780"/>
      <c r="M26" s="780"/>
      <c r="N26" s="780"/>
      <c r="O26" s="780"/>
      <c r="P26" s="780"/>
      <c r="Q26" s="780"/>
      <c r="R26" s="780"/>
      <c r="S26" s="780"/>
      <c r="T26" s="780"/>
      <c r="U26" s="780"/>
      <c r="V26" s="780"/>
      <c r="W26" s="780"/>
      <c r="X26" s="780"/>
      <c r="Y26" s="780"/>
      <c r="Z26" s="780"/>
      <c r="AA26" s="780"/>
      <c r="AB26" s="780"/>
      <c r="AC26" s="780"/>
      <c r="AD26" s="780"/>
      <c r="AE26" s="780"/>
      <c r="AF26" s="780"/>
      <c r="AG26" s="780"/>
      <c r="AH26" s="780"/>
      <c r="AI26" s="780"/>
      <c r="AJ26" s="780"/>
    </row>
    <row r="27" spans="2:36" s="595" customFormat="1" ht="18" customHeight="1">
      <c r="B27" s="2580"/>
      <c r="C27" s="764" t="s">
        <v>3448</v>
      </c>
      <c r="D27" s="772">
        <f>SUM(H27:AH27)</f>
        <v>0</v>
      </c>
      <c r="E27" s="773">
        <f>SUM(AI27:AJ27)</f>
        <v>0</v>
      </c>
      <c r="F27" s="762"/>
      <c r="G27" s="762"/>
      <c r="H27" s="762"/>
      <c r="I27" s="762"/>
      <c r="J27" s="762"/>
      <c r="K27" s="786"/>
      <c r="L27" s="762"/>
      <c r="M27" s="762"/>
      <c r="N27" s="762"/>
      <c r="O27" s="762"/>
      <c r="P27" s="762"/>
      <c r="Q27" s="762"/>
      <c r="R27" s="762"/>
      <c r="S27" s="762"/>
      <c r="T27" s="762"/>
      <c r="U27" s="762"/>
      <c r="V27" s="762"/>
      <c r="W27" s="762"/>
      <c r="X27" s="762"/>
      <c r="Y27" s="762"/>
      <c r="Z27" s="762"/>
      <c r="AA27" s="762"/>
      <c r="AB27" s="762"/>
      <c r="AC27" s="762"/>
      <c r="AD27" s="762"/>
      <c r="AE27" s="762"/>
      <c r="AF27" s="762"/>
      <c r="AG27" s="762"/>
      <c r="AH27" s="762"/>
      <c r="AI27" s="762"/>
      <c r="AJ27" s="762"/>
    </row>
    <row r="28" spans="2:36" s="53" customFormat="1" ht="18" customHeight="1">
      <c r="C28" s="767"/>
      <c r="D28" s="781"/>
      <c r="E28" s="782"/>
      <c r="F28" s="777"/>
      <c r="G28" s="777"/>
      <c r="H28" s="777"/>
      <c r="I28" s="777"/>
      <c r="J28" s="777"/>
      <c r="K28" s="777"/>
      <c r="L28" s="777"/>
      <c r="M28" s="777"/>
      <c r="N28" s="777"/>
      <c r="O28" s="777"/>
      <c r="P28" s="777"/>
      <c r="Q28" s="777"/>
      <c r="R28" s="777"/>
      <c r="S28" s="777"/>
      <c r="T28" s="777"/>
      <c r="U28" s="777"/>
      <c r="V28" s="777"/>
      <c r="W28" s="777"/>
      <c r="X28" s="777"/>
      <c r="Y28" s="777"/>
      <c r="Z28" s="777"/>
      <c r="AA28" s="777"/>
      <c r="AB28" s="777"/>
      <c r="AC28" s="777"/>
      <c r="AD28" s="777"/>
      <c r="AE28" s="777"/>
      <c r="AF28" s="777"/>
      <c r="AG28" s="777"/>
      <c r="AH28" s="777"/>
      <c r="AI28" s="777"/>
      <c r="AJ28" s="777"/>
    </row>
    <row r="29" spans="2:36" s="53" customFormat="1" ht="18" customHeight="1">
      <c r="B29" s="2578" t="s">
        <v>3449</v>
      </c>
      <c r="C29" s="764" t="s">
        <v>3440</v>
      </c>
      <c r="D29" s="772">
        <f>SUM(H29:AH29)</f>
        <v>0</v>
      </c>
      <c r="E29" s="773">
        <f t="shared" ref="E29:E39" si="5">SUM(AI29:AJ29)</f>
        <v>0</v>
      </c>
      <c r="F29" s="762"/>
      <c r="G29" s="762"/>
      <c r="H29" s="762"/>
      <c r="I29" s="762"/>
      <c r="J29" s="762"/>
      <c r="K29" s="786"/>
      <c r="L29" s="762"/>
      <c r="M29" s="762"/>
      <c r="N29" s="762"/>
      <c r="O29" s="762"/>
      <c r="P29" s="762"/>
      <c r="Q29" s="762"/>
      <c r="R29" s="762"/>
      <c r="S29" s="762"/>
      <c r="T29" s="762"/>
      <c r="U29" s="762"/>
      <c r="V29" s="762"/>
      <c r="W29" s="762"/>
      <c r="X29" s="762"/>
      <c r="Y29" s="762"/>
      <c r="Z29" s="762"/>
      <c r="AA29" s="762"/>
      <c r="AB29" s="762"/>
      <c r="AC29" s="762"/>
      <c r="AD29" s="762"/>
      <c r="AE29" s="762"/>
      <c r="AF29" s="762"/>
      <c r="AG29" s="762"/>
      <c r="AH29" s="762"/>
      <c r="AI29" s="762"/>
      <c r="AJ29" s="762"/>
    </row>
    <row r="30" spans="2:36" s="53" customFormat="1" ht="18" customHeight="1">
      <c r="B30" s="2579"/>
      <c r="C30" s="764" t="s">
        <v>3441</v>
      </c>
      <c r="D30" s="772">
        <f>SUM(H30:AH30)</f>
        <v>0</v>
      </c>
      <c r="E30" s="773">
        <f t="shared" si="5"/>
        <v>0</v>
      </c>
      <c r="F30" s="762"/>
      <c r="G30" s="762"/>
      <c r="H30" s="762"/>
      <c r="I30" s="762"/>
      <c r="J30" s="762"/>
      <c r="K30" s="786"/>
      <c r="L30" s="762"/>
      <c r="M30" s="762"/>
      <c r="N30" s="762"/>
      <c r="O30" s="762"/>
      <c r="P30" s="762"/>
      <c r="Q30" s="762"/>
      <c r="R30" s="762"/>
      <c r="S30" s="762"/>
      <c r="T30" s="762"/>
      <c r="U30" s="762"/>
      <c r="V30" s="762"/>
      <c r="W30" s="762"/>
      <c r="X30" s="762"/>
      <c r="Y30" s="762"/>
      <c r="Z30" s="762"/>
      <c r="AA30" s="762"/>
      <c r="AB30" s="762"/>
      <c r="AC30" s="762"/>
      <c r="AD30" s="762"/>
      <c r="AE30" s="762"/>
      <c r="AF30" s="762"/>
      <c r="AG30" s="762"/>
      <c r="AH30" s="762"/>
      <c r="AI30" s="762"/>
      <c r="AJ30" s="762"/>
    </row>
    <row r="31" spans="2:36" s="53" customFormat="1" ht="18" customHeight="1">
      <c r="B31" s="2579"/>
      <c r="C31" s="764" t="s">
        <v>3442</v>
      </c>
      <c r="D31" s="772">
        <f t="shared" ref="D31:D38" si="6">SUM(H31:AH31)</f>
        <v>0</v>
      </c>
      <c r="E31" s="773">
        <f t="shared" si="5"/>
        <v>0</v>
      </c>
      <c r="F31" s="762"/>
      <c r="G31" s="762"/>
      <c r="H31" s="762"/>
      <c r="I31" s="762"/>
      <c r="J31" s="762"/>
      <c r="K31" s="786"/>
      <c r="L31" s="762"/>
      <c r="M31" s="762"/>
      <c r="N31" s="762"/>
      <c r="O31" s="762"/>
      <c r="P31" s="762"/>
      <c r="Q31" s="762"/>
      <c r="R31" s="762"/>
      <c r="S31" s="762"/>
      <c r="T31" s="762"/>
      <c r="U31" s="762"/>
      <c r="V31" s="762"/>
      <c r="W31" s="762"/>
      <c r="X31" s="762"/>
      <c r="Y31" s="762"/>
      <c r="Z31" s="762"/>
      <c r="AA31" s="762"/>
      <c r="AB31" s="762"/>
      <c r="AC31" s="762"/>
      <c r="AD31" s="762"/>
      <c r="AE31" s="762"/>
      <c r="AF31" s="762"/>
      <c r="AG31" s="762"/>
      <c r="AH31" s="762"/>
      <c r="AI31" s="762"/>
      <c r="AJ31" s="762"/>
    </row>
    <row r="32" spans="2:36" s="53" customFormat="1" ht="18" customHeight="1">
      <c r="B32" s="2579"/>
      <c r="C32" s="764" t="s">
        <v>3443</v>
      </c>
      <c r="D32" s="772">
        <f t="shared" si="6"/>
        <v>0</v>
      </c>
      <c r="E32" s="773">
        <f t="shared" si="5"/>
        <v>0</v>
      </c>
      <c r="F32" s="762"/>
      <c r="G32" s="762"/>
      <c r="H32" s="762"/>
      <c r="I32" s="762"/>
      <c r="J32" s="762"/>
      <c r="K32" s="786"/>
      <c r="L32" s="762"/>
      <c r="M32" s="762"/>
      <c r="N32" s="762"/>
      <c r="O32" s="762"/>
      <c r="P32" s="762"/>
      <c r="Q32" s="762"/>
      <c r="R32" s="762"/>
      <c r="S32" s="762"/>
      <c r="T32" s="762"/>
      <c r="U32" s="762"/>
      <c r="V32" s="762"/>
      <c r="W32" s="762"/>
      <c r="X32" s="762"/>
      <c r="Y32" s="762"/>
      <c r="Z32" s="762"/>
      <c r="AA32" s="762"/>
      <c r="AB32" s="762"/>
      <c r="AC32" s="762"/>
      <c r="AD32" s="762"/>
      <c r="AE32" s="762"/>
      <c r="AF32" s="762"/>
      <c r="AG32" s="762"/>
      <c r="AH32" s="762"/>
      <c r="AI32" s="762"/>
      <c r="AJ32" s="762"/>
    </row>
    <row r="33" spans="2:36" s="53" customFormat="1" ht="18" customHeight="1">
      <c r="B33" s="2579"/>
      <c r="C33" s="764" t="s">
        <v>3444</v>
      </c>
      <c r="D33" s="772">
        <f t="shared" si="6"/>
        <v>0</v>
      </c>
      <c r="E33" s="773">
        <f t="shared" si="5"/>
        <v>0</v>
      </c>
      <c r="F33" s="762"/>
      <c r="G33" s="762"/>
      <c r="H33" s="762"/>
      <c r="I33" s="762"/>
      <c r="J33" s="762"/>
      <c r="K33" s="786"/>
      <c r="L33" s="762"/>
      <c r="M33" s="762"/>
      <c r="N33" s="762"/>
      <c r="O33" s="762"/>
      <c r="P33" s="762"/>
      <c r="Q33" s="762"/>
      <c r="R33" s="762"/>
      <c r="S33" s="762"/>
      <c r="T33" s="762"/>
      <c r="U33" s="762"/>
      <c r="V33" s="762"/>
      <c r="W33" s="762"/>
      <c r="X33" s="762"/>
      <c r="Y33" s="762"/>
      <c r="Z33" s="762"/>
      <c r="AA33" s="762"/>
      <c r="AB33" s="762"/>
      <c r="AC33" s="762"/>
      <c r="AD33" s="762"/>
      <c r="AE33" s="762"/>
      <c r="AF33" s="762"/>
      <c r="AG33" s="762"/>
      <c r="AH33" s="762"/>
      <c r="AI33" s="762"/>
      <c r="AJ33" s="762"/>
    </row>
    <row r="34" spans="2:36" s="53" customFormat="1" ht="18" customHeight="1">
      <c r="B34" s="2579"/>
      <c r="C34" s="764" t="s">
        <v>3445</v>
      </c>
      <c r="D34" s="772">
        <f t="shared" si="6"/>
        <v>0</v>
      </c>
      <c r="E34" s="773">
        <f t="shared" si="5"/>
        <v>0</v>
      </c>
      <c r="F34" s="762"/>
      <c r="G34" s="762"/>
      <c r="H34" s="762"/>
      <c r="I34" s="762"/>
      <c r="J34" s="762"/>
      <c r="K34" s="786"/>
      <c r="L34" s="762"/>
      <c r="M34" s="762"/>
      <c r="N34" s="762"/>
      <c r="O34" s="762"/>
      <c r="P34" s="762"/>
      <c r="Q34" s="762"/>
      <c r="R34" s="762"/>
      <c r="S34" s="762"/>
      <c r="T34" s="762"/>
      <c r="U34" s="762"/>
      <c r="V34" s="762"/>
      <c r="W34" s="762"/>
      <c r="X34" s="762"/>
      <c r="Y34" s="762"/>
      <c r="Z34" s="762"/>
      <c r="AA34" s="762"/>
      <c r="AB34" s="762"/>
      <c r="AC34" s="762"/>
      <c r="AD34" s="762"/>
      <c r="AE34" s="762"/>
      <c r="AF34" s="762"/>
      <c r="AG34" s="762"/>
      <c r="AH34" s="762"/>
      <c r="AI34" s="762"/>
      <c r="AJ34" s="762"/>
    </row>
    <row r="35" spans="2:36" s="53" customFormat="1" ht="18" customHeight="1">
      <c r="B35" s="2579"/>
      <c r="C35" s="764" t="s">
        <v>3446</v>
      </c>
      <c r="D35" s="772">
        <f t="shared" si="6"/>
        <v>0</v>
      </c>
      <c r="E35" s="773">
        <f t="shared" si="5"/>
        <v>0</v>
      </c>
      <c r="F35" s="762"/>
      <c r="G35" s="762"/>
      <c r="H35" s="762"/>
      <c r="I35" s="762"/>
      <c r="J35" s="762"/>
      <c r="K35" s="786"/>
      <c r="L35" s="762"/>
      <c r="M35" s="762"/>
      <c r="N35" s="762"/>
      <c r="O35" s="762"/>
      <c r="P35" s="762"/>
      <c r="Q35" s="762"/>
      <c r="R35" s="762"/>
      <c r="S35" s="762"/>
      <c r="T35" s="762"/>
      <c r="U35" s="762"/>
      <c r="V35" s="762"/>
      <c r="W35" s="762"/>
      <c r="X35" s="762"/>
      <c r="Y35" s="762"/>
      <c r="Z35" s="762"/>
      <c r="AA35" s="762"/>
      <c r="AB35" s="762"/>
      <c r="AC35" s="762"/>
      <c r="AD35" s="762"/>
      <c r="AE35" s="762"/>
      <c r="AF35" s="762"/>
      <c r="AG35" s="762"/>
      <c r="AH35" s="762"/>
      <c r="AI35" s="762"/>
      <c r="AJ35" s="762"/>
    </row>
    <row r="36" spans="2:36" s="53" customFormat="1" ht="18" customHeight="1">
      <c r="B36" s="2579"/>
      <c r="C36" s="764" t="s">
        <v>3450</v>
      </c>
      <c r="D36" s="772">
        <f t="shared" si="6"/>
        <v>0</v>
      </c>
      <c r="E36" s="773">
        <f t="shared" si="5"/>
        <v>0</v>
      </c>
      <c r="F36" s="762"/>
      <c r="G36" s="762"/>
      <c r="H36" s="762"/>
      <c r="I36" s="762"/>
      <c r="J36" s="762"/>
      <c r="K36" s="786"/>
      <c r="L36" s="762"/>
      <c r="M36" s="762"/>
      <c r="N36" s="762"/>
      <c r="O36" s="762"/>
      <c r="P36" s="762"/>
      <c r="Q36" s="762"/>
      <c r="R36" s="762"/>
      <c r="S36" s="762"/>
      <c r="T36" s="762"/>
      <c r="U36" s="762"/>
      <c r="V36" s="762"/>
      <c r="W36" s="762"/>
      <c r="X36" s="762"/>
      <c r="Y36" s="762"/>
      <c r="Z36" s="762"/>
      <c r="AA36" s="762"/>
      <c r="AB36" s="762"/>
      <c r="AC36" s="762"/>
      <c r="AD36" s="762"/>
      <c r="AE36" s="762"/>
      <c r="AF36" s="762"/>
      <c r="AG36" s="762"/>
      <c r="AH36" s="762"/>
      <c r="AI36" s="762"/>
      <c r="AJ36" s="762"/>
    </row>
    <row r="37" spans="2:36" s="53" customFormat="1" ht="18" customHeight="1">
      <c r="B37" s="2579"/>
      <c r="C37" s="426" t="s">
        <v>3447</v>
      </c>
      <c r="D37" s="772">
        <f t="shared" si="6"/>
        <v>0</v>
      </c>
      <c r="E37" s="773">
        <f t="shared" si="5"/>
        <v>0</v>
      </c>
      <c r="F37" s="762"/>
      <c r="G37" s="762"/>
      <c r="H37" s="762"/>
      <c r="I37" s="762"/>
      <c r="J37" s="762"/>
      <c r="K37" s="786"/>
      <c r="L37" s="762"/>
      <c r="M37" s="762"/>
      <c r="N37" s="762"/>
      <c r="O37" s="762"/>
      <c r="P37" s="762"/>
      <c r="Q37" s="762"/>
      <c r="R37" s="762"/>
      <c r="S37" s="762"/>
      <c r="T37" s="762"/>
      <c r="U37" s="762"/>
      <c r="V37" s="762"/>
      <c r="W37" s="762"/>
      <c r="X37" s="762"/>
      <c r="Y37" s="762"/>
      <c r="Z37" s="762"/>
      <c r="AA37" s="762"/>
      <c r="AB37" s="762"/>
      <c r="AC37" s="762"/>
      <c r="AD37" s="762"/>
      <c r="AE37" s="762"/>
      <c r="AF37" s="762"/>
      <c r="AG37" s="762"/>
      <c r="AH37" s="762"/>
      <c r="AI37" s="762"/>
      <c r="AJ37" s="762"/>
    </row>
    <row r="38" spans="2:36" s="53" customFormat="1" ht="18" customHeight="1">
      <c r="B38" s="2579"/>
      <c r="C38" s="426" t="s">
        <v>3447</v>
      </c>
      <c r="D38" s="772">
        <f t="shared" si="6"/>
        <v>0</v>
      </c>
      <c r="E38" s="773">
        <f t="shared" si="5"/>
        <v>0</v>
      </c>
      <c r="F38" s="762"/>
      <c r="G38" s="762"/>
      <c r="H38" s="762"/>
      <c r="I38" s="762"/>
      <c r="J38" s="762"/>
      <c r="K38" s="786"/>
      <c r="L38" s="762"/>
      <c r="M38" s="762"/>
      <c r="N38" s="762"/>
      <c r="O38" s="762"/>
      <c r="P38" s="762"/>
      <c r="Q38" s="762"/>
      <c r="R38" s="762"/>
      <c r="S38" s="762"/>
      <c r="T38" s="762"/>
      <c r="U38" s="762"/>
      <c r="V38" s="762"/>
      <c r="W38" s="762"/>
      <c r="X38" s="762"/>
      <c r="Y38" s="762"/>
      <c r="Z38" s="762"/>
      <c r="AA38" s="762"/>
      <c r="AB38" s="762"/>
      <c r="AC38" s="762"/>
      <c r="AD38" s="762"/>
      <c r="AE38" s="762"/>
      <c r="AF38" s="762"/>
      <c r="AG38" s="762"/>
      <c r="AH38" s="762"/>
      <c r="AI38" s="762"/>
      <c r="AJ38" s="762"/>
    </row>
    <row r="39" spans="2:36" s="334" customFormat="1" ht="18" customHeight="1">
      <c r="B39" s="2580"/>
      <c r="C39" s="426" t="s">
        <v>3447</v>
      </c>
      <c r="D39" s="772">
        <f>SUM(H39:AH39)</f>
        <v>0</v>
      </c>
      <c r="E39" s="773">
        <f t="shared" si="5"/>
        <v>0</v>
      </c>
      <c r="F39" s="762"/>
      <c r="G39" s="762"/>
      <c r="H39" s="762"/>
      <c r="I39" s="762"/>
      <c r="J39" s="762"/>
      <c r="K39" s="786"/>
      <c r="L39" s="762"/>
      <c r="M39" s="762"/>
      <c r="N39" s="762"/>
      <c r="O39" s="762"/>
      <c r="P39" s="762"/>
      <c r="Q39" s="762"/>
      <c r="R39" s="762"/>
      <c r="S39" s="762"/>
      <c r="T39" s="762"/>
      <c r="U39" s="762"/>
      <c r="V39" s="762"/>
      <c r="W39" s="762"/>
      <c r="X39" s="762"/>
      <c r="Y39" s="762"/>
      <c r="Z39" s="762"/>
      <c r="AA39" s="762"/>
      <c r="AB39" s="762"/>
      <c r="AC39" s="762"/>
      <c r="AD39" s="762"/>
      <c r="AE39" s="762"/>
      <c r="AF39" s="762"/>
      <c r="AG39" s="762"/>
      <c r="AH39" s="762"/>
      <c r="AI39" s="762"/>
      <c r="AJ39" s="762"/>
    </row>
    <row r="40" spans="2:36" s="53" customFormat="1" ht="18" customHeight="1">
      <c r="C40" s="768"/>
      <c r="D40" s="763"/>
      <c r="E40" s="763"/>
      <c r="F40" s="763"/>
      <c r="G40" s="763"/>
      <c r="H40" s="763"/>
      <c r="I40" s="783"/>
      <c r="J40" s="763"/>
      <c r="K40" s="783"/>
      <c r="L40" s="763"/>
      <c r="M40" s="763"/>
      <c r="N40" s="763"/>
      <c r="O40" s="763"/>
      <c r="P40" s="763"/>
      <c r="Q40" s="763"/>
      <c r="R40" s="763"/>
      <c r="S40" s="763"/>
      <c r="T40" s="763"/>
      <c r="U40" s="763"/>
      <c r="V40" s="763"/>
      <c r="W40" s="763"/>
      <c r="X40" s="763"/>
      <c r="Y40" s="763"/>
      <c r="Z40" s="763"/>
      <c r="AA40" s="763"/>
      <c r="AB40" s="763"/>
      <c r="AC40" s="763"/>
      <c r="AD40" s="763"/>
      <c r="AE40" s="763"/>
      <c r="AF40" s="763"/>
      <c r="AG40" s="763"/>
      <c r="AH40" s="763"/>
      <c r="AI40" s="763"/>
      <c r="AJ40" s="763"/>
    </row>
    <row r="41" spans="2:36" s="53" customFormat="1" ht="18" customHeight="1">
      <c r="B41" s="2578" t="s">
        <v>3451</v>
      </c>
      <c r="C41" s="764" t="s">
        <v>3452</v>
      </c>
      <c r="D41" s="772">
        <f>SUM(H41:AH41)</f>
        <v>0</v>
      </c>
      <c r="E41" s="773">
        <f>SUM(AI41:AJ41)</f>
        <v>0</v>
      </c>
      <c r="F41" s="762"/>
      <c r="G41" s="762"/>
      <c r="H41" s="762"/>
      <c r="I41" s="762"/>
      <c r="J41" s="762"/>
      <c r="K41" s="786"/>
      <c r="L41" s="762"/>
      <c r="M41" s="762"/>
      <c r="N41" s="762"/>
      <c r="O41" s="762"/>
      <c r="P41" s="762"/>
      <c r="Q41" s="762"/>
      <c r="R41" s="762"/>
      <c r="S41" s="762"/>
      <c r="T41" s="762"/>
      <c r="U41" s="762"/>
      <c r="V41" s="762"/>
      <c r="W41" s="762"/>
      <c r="X41" s="762"/>
      <c r="Y41" s="762"/>
      <c r="Z41" s="762"/>
      <c r="AA41" s="762"/>
      <c r="AB41" s="762"/>
      <c r="AC41" s="762"/>
      <c r="AD41" s="762"/>
      <c r="AE41" s="762"/>
      <c r="AF41" s="762"/>
      <c r="AG41" s="762"/>
      <c r="AH41" s="762"/>
      <c r="AI41" s="762"/>
      <c r="AJ41" s="762"/>
    </row>
    <row r="42" spans="2:36" s="53" customFormat="1" ht="18" customHeight="1">
      <c r="B42" s="2579"/>
      <c r="C42" s="764" t="s">
        <v>3453</v>
      </c>
      <c r="D42" s="772">
        <f>SUM(H42:AH42)</f>
        <v>0</v>
      </c>
      <c r="E42" s="773">
        <f>SUM(AI42:AJ42)</f>
        <v>0</v>
      </c>
      <c r="F42" s="762"/>
      <c r="G42" s="762"/>
      <c r="H42" s="762"/>
      <c r="I42" s="762"/>
      <c r="J42" s="762"/>
      <c r="K42" s="786"/>
      <c r="L42" s="762"/>
      <c r="M42" s="762"/>
      <c r="N42" s="762"/>
      <c r="O42" s="762"/>
      <c r="P42" s="762"/>
      <c r="Q42" s="762"/>
      <c r="R42" s="762"/>
      <c r="S42" s="762"/>
      <c r="T42" s="762"/>
      <c r="U42" s="762"/>
      <c r="V42" s="762"/>
      <c r="W42" s="762"/>
      <c r="X42" s="762"/>
      <c r="Y42" s="762"/>
      <c r="Z42" s="762"/>
      <c r="AA42" s="762"/>
      <c r="AB42" s="762"/>
      <c r="AC42" s="762"/>
      <c r="AD42" s="762"/>
      <c r="AE42" s="762"/>
      <c r="AF42" s="762"/>
      <c r="AG42" s="762"/>
      <c r="AH42" s="762"/>
      <c r="AI42" s="762"/>
      <c r="AJ42" s="762"/>
    </row>
    <row r="43" spans="2:36" s="333" customFormat="1" ht="13.8">
      <c r="B43" s="2579"/>
      <c r="C43" s="764" t="s">
        <v>3454</v>
      </c>
      <c r="D43" s="772">
        <f>SUM(H43:AH43)</f>
        <v>0</v>
      </c>
      <c r="E43" s="773">
        <f>SUM(AI43:AJ43)</f>
        <v>0</v>
      </c>
      <c r="F43" s="762"/>
      <c r="G43" s="762"/>
      <c r="H43" s="762"/>
      <c r="I43" s="762"/>
      <c r="J43" s="762"/>
      <c r="K43" s="786"/>
      <c r="L43" s="762"/>
      <c r="M43" s="762"/>
      <c r="N43" s="762"/>
      <c r="O43" s="762"/>
      <c r="P43" s="762"/>
      <c r="Q43" s="762"/>
      <c r="R43" s="762"/>
      <c r="S43" s="762"/>
      <c r="T43" s="762"/>
      <c r="U43" s="762"/>
      <c r="V43" s="762"/>
      <c r="W43" s="762"/>
      <c r="X43" s="762"/>
      <c r="Y43" s="762"/>
      <c r="Z43" s="762"/>
      <c r="AA43" s="762"/>
      <c r="AB43" s="762"/>
      <c r="AC43" s="762"/>
      <c r="AD43" s="762"/>
      <c r="AE43" s="762"/>
      <c r="AF43" s="762"/>
      <c r="AG43" s="762"/>
      <c r="AH43" s="762"/>
      <c r="AI43" s="762"/>
      <c r="AJ43" s="762"/>
    </row>
    <row r="44" spans="2:36" s="333" customFormat="1" ht="13.8">
      <c r="B44" s="2579"/>
      <c r="C44" s="426" t="s">
        <v>3447</v>
      </c>
      <c r="D44" s="772">
        <f>SUM(H44:AH44)</f>
        <v>0</v>
      </c>
      <c r="E44" s="773">
        <f t="shared" ref="E44:E45" si="7">SUM(AI44:AJ44)</f>
        <v>0</v>
      </c>
      <c r="F44" s="762"/>
      <c r="G44" s="762"/>
      <c r="H44" s="762"/>
      <c r="I44" s="762"/>
      <c r="J44" s="762"/>
      <c r="K44" s="786"/>
      <c r="L44" s="762"/>
      <c r="M44" s="762"/>
      <c r="N44" s="762"/>
      <c r="O44" s="762"/>
      <c r="P44" s="762"/>
      <c r="Q44" s="762"/>
      <c r="R44" s="762"/>
      <c r="S44" s="762"/>
      <c r="T44" s="762"/>
      <c r="U44" s="762"/>
      <c r="V44" s="762"/>
      <c r="W44" s="762"/>
      <c r="X44" s="762"/>
      <c r="Y44" s="762"/>
      <c r="Z44" s="762"/>
      <c r="AA44" s="762"/>
      <c r="AB44" s="762"/>
      <c r="AC44" s="762"/>
      <c r="AD44" s="762"/>
      <c r="AE44" s="762"/>
      <c r="AF44" s="762"/>
      <c r="AG44" s="762"/>
      <c r="AH44" s="762"/>
      <c r="AI44" s="762"/>
      <c r="AJ44" s="762"/>
    </row>
    <row r="45" spans="2:36" s="335" customFormat="1" ht="18" customHeight="1">
      <c r="B45" s="2580"/>
      <c r="C45" s="426" t="s">
        <v>3447</v>
      </c>
      <c r="D45" s="772">
        <f>SUM(H45:AH45)</f>
        <v>0</v>
      </c>
      <c r="E45" s="773">
        <f t="shared" si="7"/>
        <v>0</v>
      </c>
      <c r="F45" s="762"/>
      <c r="G45" s="762"/>
      <c r="H45" s="762"/>
      <c r="I45" s="762"/>
      <c r="J45" s="762"/>
      <c r="K45" s="786"/>
      <c r="L45" s="762"/>
      <c r="M45" s="762"/>
      <c r="N45" s="762"/>
      <c r="O45" s="762"/>
      <c r="P45" s="762"/>
      <c r="Q45" s="762"/>
      <c r="R45" s="762"/>
      <c r="S45" s="762"/>
      <c r="T45" s="762"/>
      <c r="U45" s="762"/>
      <c r="V45" s="762"/>
      <c r="W45" s="762"/>
      <c r="X45" s="762"/>
      <c r="Y45" s="762"/>
      <c r="Z45" s="762"/>
      <c r="AA45" s="762"/>
      <c r="AB45" s="762"/>
      <c r="AC45" s="762"/>
      <c r="AD45" s="762"/>
      <c r="AE45" s="762"/>
      <c r="AF45" s="762"/>
      <c r="AG45" s="762"/>
      <c r="AH45" s="762"/>
      <c r="AI45" s="762"/>
      <c r="AJ45" s="762"/>
    </row>
    <row r="46" spans="2:36" s="53" customFormat="1" ht="18" customHeight="1">
      <c r="C46" s="769"/>
      <c r="D46" s="784"/>
      <c r="E46" s="784"/>
      <c r="F46" s="784"/>
      <c r="G46" s="784"/>
      <c r="H46" s="784"/>
      <c r="I46" s="784"/>
      <c r="J46" s="784"/>
      <c r="K46" s="784"/>
      <c r="L46" s="784"/>
      <c r="M46" s="784"/>
      <c r="N46" s="784"/>
      <c r="O46" s="784"/>
      <c r="P46" s="784"/>
      <c r="Q46" s="784"/>
      <c r="R46" s="784"/>
      <c r="S46" s="784"/>
      <c r="T46" s="784"/>
      <c r="U46" s="784"/>
      <c r="V46" s="784"/>
      <c r="W46" s="784"/>
      <c r="X46" s="784"/>
      <c r="Y46" s="784"/>
      <c r="Z46" s="784"/>
      <c r="AA46" s="784"/>
      <c r="AB46" s="784"/>
      <c r="AC46" s="784"/>
      <c r="AD46" s="784"/>
      <c r="AE46" s="784"/>
      <c r="AF46" s="784"/>
      <c r="AG46" s="784"/>
      <c r="AH46" s="784"/>
      <c r="AI46" s="784"/>
      <c r="AJ46" s="784"/>
    </row>
    <row r="47" spans="2:36" s="53" customFormat="1" ht="18" customHeight="1">
      <c r="B47" s="2578" t="s">
        <v>3455</v>
      </c>
      <c r="C47" s="764" t="s">
        <v>3456</v>
      </c>
      <c r="D47" s="772">
        <f>SUM(H47:AH47)</f>
        <v>0</v>
      </c>
      <c r="E47" s="773">
        <f t="shared" ref="E47:E56" si="8">SUM(AI47:AJ47)</f>
        <v>0</v>
      </c>
      <c r="F47" s="762"/>
      <c r="G47" s="762"/>
      <c r="H47" s="762"/>
      <c r="I47" s="762"/>
      <c r="J47" s="762"/>
      <c r="K47" s="786"/>
      <c r="L47" s="762"/>
      <c r="M47" s="762"/>
      <c r="N47" s="762"/>
      <c r="O47" s="762"/>
      <c r="P47" s="762"/>
      <c r="Q47" s="762"/>
      <c r="R47" s="762"/>
      <c r="S47" s="762"/>
      <c r="T47" s="762"/>
      <c r="U47" s="762"/>
      <c r="V47" s="762"/>
      <c r="W47" s="762"/>
      <c r="X47" s="762"/>
      <c r="Y47" s="762"/>
      <c r="Z47" s="762"/>
      <c r="AA47" s="762"/>
      <c r="AB47" s="762"/>
      <c r="AC47" s="762"/>
      <c r="AD47" s="762"/>
      <c r="AE47" s="762"/>
      <c r="AF47" s="762"/>
      <c r="AG47" s="762"/>
      <c r="AH47" s="762"/>
      <c r="AI47" s="762"/>
      <c r="AJ47" s="762"/>
    </row>
    <row r="48" spans="2:36" s="53" customFormat="1" ht="18" customHeight="1">
      <c r="B48" s="2579"/>
      <c r="C48" s="764" t="s">
        <v>3457</v>
      </c>
      <c r="D48" s="772">
        <f t="shared" ref="D48:D59" si="9">SUM(H48:AH48)</f>
        <v>0</v>
      </c>
      <c r="E48" s="773">
        <f t="shared" si="8"/>
        <v>0</v>
      </c>
      <c r="F48" s="762"/>
      <c r="G48" s="762"/>
      <c r="H48" s="762"/>
      <c r="I48" s="762"/>
      <c r="J48" s="762"/>
      <c r="K48" s="786"/>
      <c r="L48" s="762"/>
      <c r="M48" s="762"/>
      <c r="N48" s="762"/>
      <c r="O48" s="762"/>
      <c r="P48" s="762"/>
      <c r="Q48" s="762"/>
      <c r="R48" s="762"/>
      <c r="S48" s="762"/>
      <c r="T48" s="762"/>
      <c r="U48" s="762"/>
      <c r="V48" s="762"/>
      <c r="W48" s="762"/>
      <c r="X48" s="762"/>
      <c r="Y48" s="762"/>
      <c r="Z48" s="762"/>
      <c r="AA48" s="762"/>
      <c r="AB48" s="762"/>
      <c r="AC48" s="762"/>
      <c r="AD48" s="762"/>
      <c r="AE48" s="762"/>
      <c r="AF48" s="762"/>
      <c r="AG48" s="762"/>
      <c r="AH48" s="762"/>
      <c r="AI48" s="762"/>
      <c r="AJ48" s="762"/>
    </row>
    <row r="49" spans="2:36" s="53" customFormat="1" ht="18" customHeight="1">
      <c r="B49" s="2579"/>
      <c r="C49" s="764" t="s">
        <v>3458</v>
      </c>
      <c r="D49" s="772">
        <f t="shared" si="9"/>
        <v>0</v>
      </c>
      <c r="E49" s="773">
        <f t="shared" si="8"/>
        <v>0</v>
      </c>
      <c r="F49" s="762"/>
      <c r="G49" s="762"/>
      <c r="H49" s="762"/>
      <c r="I49" s="762"/>
      <c r="J49" s="762"/>
      <c r="K49" s="786"/>
      <c r="L49" s="762"/>
      <c r="M49" s="762"/>
      <c r="N49" s="762"/>
      <c r="O49" s="762"/>
      <c r="P49" s="762"/>
      <c r="Q49" s="762"/>
      <c r="R49" s="762"/>
      <c r="S49" s="762"/>
      <c r="T49" s="762"/>
      <c r="U49" s="762"/>
      <c r="V49" s="762"/>
      <c r="W49" s="762"/>
      <c r="X49" s="762"/>
      <c r="Y49" s="762"/>
      <c r="Z49" s="762"/>
      <c r="AA49" s="762"/>
      <c r="AB49" s="762"/>
      <c r="AC49" s="762"/>
      <c r="AD49" s="762"/>
      <c r="AE49" s="762"/>
      <c r="AF49" s="762"/>
      <c r="AG49" s="762"/>
      <c r="AH49" s="762"/>
      <c r="AI49" s="762"/>
      <c r="AJ49" s="762"/>
    </row>
    <row r="50" spans="2:36" s="53" customFormat="1" ht="18" customHeight="1">
      <c r="B50" s="2579"/>
      <c r="C50" s="764" t="s">
        <v>3459</v>
      </c>
      <c r="D50" s="772">
        <f t="shared" si="9"/>
        <v>0</v>
      </c>
      <c r="E50" s="773">
        <f t="shared" si="8"/>
        <v>0</v>
      </c>
      <c r="F50" s="762"/>
      <c r="G50" s="762"/>
      <c r="H50" s="762"/>
      <c r="I50" s="762"/>
      <c r="J50" s="762"/>
      <c r="K50" s="786"/>
      <c r="L50" s="762"/>
      <c r="M50" s="762"/>
      <c r="N50" s="762"/>
      <c r="O50" s="762"/>
      <c r="P50" s="762"/>
      <c r="Q50" s="762"/>
      <c r="R50" s="762"/>
      <c r="S50" s="762"/>
      <c r="T50" s="762"/>
      <c r="U50" s="762"/>
      <c r="V50" s="762"/>
      <c r="W50" s="762"/>
      <c r="X50" s="762"/>
      <c r="Y50" s="762"/>
      <c r="Z50" s="762"/>
      <c r="AA50" s="762"/>
      <c r="AB50" s="762"/>
      <c r="AC50" s="762"/>
      <c r="AD50" s="762"/>
      <c r="AE50" s="762"/>
      <c r="AF50" s="762"/>
      <c r="AG50" s="762"/>
      <c r="AH50" s="762"/>
      <c r="AI50" s="762"/>
      <c r="AJ50" s="762"/>
    </row>
    <row r="51" spans="2:36" s="53" customFormat="1" ht="18" customHeight="1">
      <c r="B51" s="2579"/>
      <c r="C51" s="764" t="s">
        <v>3460</v>
      </c>
      <c r="D51" s="772">
        <f t="shared" si="9"/>
        <v>0</v>
      </c>
      <c r="E51" s="773">
        <f t="shared" si="8"/>
        <v>0</v>
      </c>
      <c r="F51" s="762"/>
      <c r="G51" s="762"/>
      <c r="H51" s="762"/>
      <c r="I51" s="762"/>
      <c r="J51" s="762"/>
      <c r="K51" s="786"/>
      <c r="L51" s="762"/>
      <c r="M51" s="762"/>
      <c r="N51" s="762"/>
      <c r="O51" s="762"/>
      <c r="P51" s="762"/>
      <c r="Q51" s="762"/>
      <c r="R51" s="762"/>
      <c r="S51" s="762"/>
      <c r="T51" s="762"/>
      <c r="U51" s="762"/>
      <c r="V51" s="762"/>
      <c r="W51" s="762"/>
      <c r="X51" s="762"/>
      <c r="Y51" s="762"/>
      <c r="Z51" s="762"/>
      <c r="AA51" s="762"/>
      <c r="AB51" s="762"/>
      <c r="AC51" s="762"/>
      <c r="AD51" s="762"/>
      <c r="AE51" s="762"/>
      <c r="AF51" s="762"/>
      <c r="AG51" s="762"/>
      <c r="AH51" s="762"/>
      <c r="AI51" s="762"/>
      <c r="AJ51" s="762"/>
    </row>
    <row r="52" spans="2:36" s="53" customFormat="1" ht="18" customHeight="1">
      <c r="B52" s="2579"/>
      <c r="C52" s="764" t="s">
        <v>3461</v>
      </c>
      <c r="D52" s="772">
        <f t="shared" si="9"/>
        <v>0</v>
      </c>
      <c r="E52" s="773">
        <f t="shared" si="8"/>
        <v>0</v>
      </c>
      <c r="F52" s="762"/>
      <c r="G52" s="762"/>
      <c r="H52" s="762"/>
      <c r="I52" s="762"/>
      <c r="J52" s="762"/>
      <c r="K52" s="786"/>
      <c r="L52" s="762"/>
      <c r="M52" s="762"/>
      <c r="N52" s="762"/>
      <c r="O52" s="762"/>
      <c r="P52" s="762"/>
      <c r="Q52" s="762"/>
      <c r="R52" s="762"/>
      <c r="S52" s="762"/>
      <c r="T52" s="762"/>
      <c r="U52" s="762"/>
      <c r="V52" s="762"/>
      <c r="W52" s="762"/>
      <c r="X52" s="762"/>
      <c r="Y52" s="762"/>
      <c r="Z52" s="762"/>
      <c r="AA52" s="762"/>
      <c r="AB52" s="762"/>
      <c r="AC52" s="762"/>
      <c r="AD52" s="762"/>
      <c r="AE52" s="762"/>
      <c r="AF52" s="762"/>
      <c r="AG52" s="762"/>
      <c r="AH52" s="762"/>
      <c r="AI52" s="762"/>
      <c r="AJ52" s="762"/>
    </row>
    <row r="53" spans="2:36" s="53" customFormat="1" ht="18" customHeight="1">
      <c r="B53" s="2579"/>
      <c r="C53" s="764" t="s">
        <v>3462</v>
      </c>
      <c r="D53" s="772">
        <f t="shared" si="9"/>
        <v>0</v>
      </c>
      <c r="E53" s="773">
        <f t="shared" si="8"/>
        <v>0</v>
      </c>
      <c r="F53" s="762"/>
      <c r="G53" s="762"/>
      <c r="H53" s="762"/>
      <c r="I53" s="762"/>
      <c r="J53" s="762"/>
      <c r="K53" s="786"/>
      <c r="L53" s="762"/>
      <c r="M53" s="762"/>
      <c r="N53" s="762"/>
      <c r="O53" s="762"/>
      <c r="P53" s="762"/>
      <c r="Q53" s="762"/>
      <c r="R53" s="762"/>
      <c r="S53" s="762"/>
      <c r="T53" s="762"/>
      <c r="U53" s="762"/>
      <c r="V53" s="762"/>
      <c r="W53" s="762"/>
      <c r="X53" s="762"/>
      <c r="Y53" s="762"/>
      <c r="Z53" s="762"/>
      <c r="AA53" s="762"/>
      <c r="AB53" s="762"/>
      <c r="AC53" s="762"/>
      <c r="AD53" s="762"/>
      <c r="AE53" s="762"/>
      <c r="AF53" s="762"/>
      <c r="AG53" s="762"/>
      <c r="AH53" s="762"/>
      <c r="AI53" s="762"/>
      <c r="AJ53" s="762"/>
    </row>
    <row r="54" spans="2:36" s="53" customFormat="1" ht="18" customHeight="1">
      <c r="B54" s="2579"/>
      <c r="C54" s="764" t="s">
        <v>3334</v>
      </c>
      <c r="D54" s="772">
        <f t="shared" si="9"/>
        <v>0</v>
      </c>
      <c r="E54" s="773">
        <f t="shared" si="8"/>
        <v>0</v>
      </c>
      <c r="F54" s="762"/>
      <c r="G54" s="762"/>
      <c r="H54" s="762"/>
      <c r="I54" s="762"/>
      <c r="J54" s="762"/>
      <c r="K54" s="786"/>
      <c r="L54" s="762"/>
      <c r="M54" s="762"/>
      <c r="N54" s="762"/>
      <c r="O54" s="762"/>
      <c r="P54" s="762"/>
      <c r="Q54" s="762"/>
      <c r="R54" s="762"/>
      <c r="S54" s="762"/>
      <c r="T54" s="762"/>
      <c r="U54" s="762"/>
      <c r="V54" s="762"/>
      <c r="W54" s="762"/>
      <c r="X54" s="762"/>
      <c r="Y54" s="762"/>
      <c r="Z54" s="762"/>
      <c r="AA54" s="762"/>
      <c r="AB54" s="762"/>
      <c r="AC54" s="762"/>
      <c r="AD54" s="762"/>
      <c r="AE54" s="762"/>
      <c r="AF54" s="762"/>
      <c r="AG54" s="762"/>
      <c r="AH54" s="762"/>
      <c r="AI54" s="762"/>
      <c r="AJ54" s="762"/>
    </row>
    <row r="55" spans="2:36" s="53" customFormat="1" ht="18" customHeight="1">
      <c r="B55" s="2579"/>
      <c r="C55" s="764" t="s">
        <v>3463</v>
      </c>
      <c r="D55" s="772">
        <f t="shared" si="9"/>
        <v>0</v>
      </c>
      <c r="E55" s="773">
        <f t="shared" si="8"/>
        <v>0</v>
      </c>
      <c r="F55" s="762"/>
      <c r="G55" s="762"/>
      <c r="H55" s="762"/>
      <c r="I55" s="762"/>
      <c r="J55" s="762"/>
      <c r="K55" s="786"/>
      <c r="L55" s="762"/>
      <c r="M55" s="762"/>
      <c r="N55" s="762"/>
      <c r="O55" s="762"/>
      <c r="P55" s="762"/>
      <c r="Q55" s="762"/>
      <c r="R55" s="762"/>
      <c r="S55" s="762"/>
      <c r="T55" s="762"/>
      <c r="U55" s="762"/>
      <c r="V55" s="762"/>
      <c r="W55" s="762"/>
      <c r="X55" s="762"/>
      <c r="Y55" s="762"/>
      <c r="Z55" s="762"/>
      <c r="AA55" s="762"/>
      <c r="AB55" s="762"/>
      <c r="AC55" s="762"/>
      <c r="AD55" s="762"/>
      <c r="AE55" s="762"/>
      <c r="AF55" s="762"/>
      <c r="AG55" s="762"/>
      <c r="AH55" s="762"/>
      <c r="AI55" s="762"/>
      <c r="AJ55" s="762"/>
    </row>
    <row r="56" spans="2:36" s="53" customFormat="1" ht="18" customHeight="1">
      <c r="B56" s="2579"/>
      <c r="C56" s="426" t="s">
        <v>3447</v>
      </c>
      <c r="D56" s="772">
        <f t="shared" si="9"/>
        <v>0</v>
      </c>
      <c r="E56" s="773">
        <f t="shared" si="8"/>
        <v>0</v>
      </c>
      <c r="F56" s="762"/>
      <c r="G56" s="762"/>
      <c r="H56" s="762"/>
      <c r="I56" s="762"/>
      <c r="J56" s="762"/>
      <c r="K56" s="786"/>
      <c r="L56" s="762"/>
      <c r="M56" s="762"/>
      <c r="N56" s="762"/>
      <c r="O56" s="762"/>
      <c r="P56" s="762"/>
      <c r="Q56" s="762"/>
      <c r="R56" s="762"/>
      <c r="S56" s="762"/>
      <c r="T56" s="762"/>
      <c r="U56" s="762"/>
      <c r="V56" s="762"/>
      <c r="W56" s="762"/>
      <c r="X56" s="762"/>
      <c r="Y56" s="762"/>
      <c r="Z56" s="762"/>
      <c r="AA56" s="762"/>
      <c r="AB56" s="762"/>
      <c r="AC56" s="762"/>
      <c r="AD56" s="762"/>
      <c r="AE56" s="762"/>
      <c r="AF56" s="762"/>
      <c r="AG56" s="762"/>
      <c r="AH56" s="762"/>
      <c r="AI56" s="762"/>
      <c r="AJ56" s="762"/>
    </row>
    <row r="57" spans="2:36" s="53" customFormat="1" ht="18" customHeight="1">
      <c r="B57" s="2579"/>
      <c r="C57" s="426" t="s">
        <v>3447</v>
      </c>
      <c r="D57" s="772">
        <f t="shared" si="9"/>
        <v>0</v>
      </c>
      <c r="E57" s="773">
        <f t="shared" ref="E57:E58" si="10">SUM(AI57:AJ57)</f>
        <v>0</v>
      </c>
      <c r="F57" s="762"/>
      <c r="G57" s="762"/>
      <c r="H57" s="762"/>
      <c r="I57" s="762"/>
      <c r="J57" s="762"/>
      <c r="K57" s="786"/>
      <c r="L57" s="762"/>
      <c r="M57" s="762"/>
      <c r="N57" s="762"/>
      <c r="O57" s="762"/>
      <c r="P57" s="762"/>
      <c r="Q57" s="762"/>
      <c r="R57" s="762"/>
      <c r="S57" s="762"/>
      <c r="T57" s="762"/>
      <c r="U57" s="762"/>
      <c r="V57" s="762"/>
      <c r="W57" s="762"/>
      <c r="X57" s="762"/>
      <c r="Y57" s="762"/>
      <c r="Z57" s="762"/>
      <c r="AA57" s="762"/>
      <c r="AB57" s="762"/>
      <c r="AC57" s="762"/>
      <c r="AD57" s="762"/>
      <c r="AE57" s="762"/>
      <c r="AF57" s="762"/>
      <c r="AG57" s="762"/>
      <c r="AH57" s="762"/>
      <c r="AI57" s="762"/>
      <c r="AJ57" s="762"/>
    </row>
    <row r="58" spans="2:36" s="53" customFormat="1" ht="18" customHeight="1">
      <c r="B58" s="2579"/>
      <c r="C58" s="426" t="s">
        <v>3447</v>
      </c>
      <c r="D58" s="772">
        <f t="shared" si="9"/>
        <v>0</v>
      </c>
      <c r="E58" s="773">
        <f t="shared" si="10"/>
        <v>0</v>
      </c>
      <c r="F58" s="762"/>
      <c r="G58" s="762"/>
      <c r="H58" s="762"/>
      <c r="I58" s="762"/>
      <c r="J58" s="762"/>
      <c r="K58" s="786"/>
      <c r="L58" s="762"/>
      <c r="M58" s="762"/>
      <c r="N58" s="762"/>
      <c r="O58" s="762"/>
      <c r="P58" s="762"/>
      <c r="Q58" s="762"/>
      <c r="R58" s="762"/>
      <c r="S58" s="762"/>
      <c r="T58" s="762"/>
      <c r="U58" s="762"/>
      <c r="V58" s="762"/>
      <c r="W58" s="762"/>
      <c r="X58" s="762"/>
      <c r="Y58" s="762"/>
      <c r="Z58" s="762"/>
      <c r="AA58" s="762"/>
      <c r="AB58" s="762"/>
      <c r="AC58" s="762"/>
      <c r="AD58" s="762"/>
      <c r="AE58" s="762"/>
      <c r="AF58" s="762"/>
      <c r="AG58" s="762"/>
      <c r="AH58" s="762"/>
      <c r="AI58" s="762"/>
      <c r="AJ58" s="762"/>
    </row>
    <row r="59" spans="2:36" s="335" customFormat="1" ht="18" customHeight="1">
      <c r="B59" s="2580"/>
      <c r="C59" s="426" t="s">
        <v>3447</v>
      </c>
      <c r="D59" s="772">
        <f t="shared" si="9"/>
        <v>0</v>
      </c>
      <c r="E59" s="773">
        <f>SUM(AI59:AJ59)</f>
        <v>0</v>
      </c>
      <c r="F59" s="762"/>
      <c r="G59" s="762"/>
      <c r="H59" s="762"/>
      <c r="I59" s="762"/>
      <c r="J59" s="762"/>
      <c r="K59" s="786"/>
      <c r="L59" s="762"/>
      <c r="M59" s="762"/>
      <c r="N59" s="762"/>
      <c r="O59" s="762"/>
      <c r="P59" s="762"/>
      <c r="Q59" s="762"/>
      <c r="R59" s="762"/>
      <c r="S59" s="762"/>
      <c r="T59" s="762"/>
      <c r="U59" s="762"/>
      <c r="V59" s="762"/>
      <c r="W59" s="762"/>
      <c r="X59" s="762"/>
      <c r="Y59" s="762"/>
      <c r="Z59" s="762"/>
      <c r="AA59" s="762"/>
      <c r="AB59" s="762"/>
      <c r="AC59" s="762"/>
      <c r="AD59" s="762"/>
      <c r="AE59" s="762"/>
      <c r="AF59" s="762"/>
      <c r="AG59" s="762"/>
      <c r="AH59" s="762"/>
      <c r="AI59" s="762"/>
      <c r="AJ59" s="762"/>
    </row>
    <row r="60" spans="2:36" s="53" customFormat="1" ht="18" customHeight="1">
      <c r="C60" s="769"/>
      <c r="D60" s="785"/>
      <c r="E60" s="785"/>
      <c r="F60" s="785"/>
      <c r="G60" s="785"/>
      <c r="H60" s="785"/>
      <c r="I60" s="785"/>
      <c r="J60" s="785"/>
      <c r="K60" s="785"/>
      <c r="L60" s="785"/>
      <c r="M60" s="785"/>
      <c r="N60" s="785"/>
      <c r="O60" s="785"/>
      <c r="P60" s="785"/>
      <c r="Q60" s="785"/>
      <c r="R60" s="785"/>
      <c r="S60" s="785"/>
      <c r="T60" s="785"/>
      <c r="U60" s="785"/>
      <c r="V60" s="785"/>
      <c r="W60" s="785"/>
      <c r="X60" s="785"/>
      <c r="Y60" s="785"/>
      <c r="Z60" s="785"/>
      <c r="AA60" s="785"/>
      <c r="AB60" s="785"/>
      <c r="AC60" s="785"/>
      <c r="AD60" s="785"/>
      <c r="AE60" s="785"/>
      <c r="AF60" s="785"/>
      <c r="AG60" s="785"/>
      <c r="AH60" s="785"/>
      <c r="AI60" s="785"/>
      <c r="AJ60" s="785"/>
    </row>
    <row r="61" spans="2:36" s="53" customFormat="1" ht="18" customHeight="1">
      <c r="B61" s="2578" t="s">
        <v>3464</v>
      </c>
      <c r="C61" s="764" t="s">
        <v>3465</v>
      </c>
      <c r="D61" s="772">
        <f t="shared" ref="D61:D68" si="11">SUM(H61:AH61)</f>
        <v>0</v>
      </c>
      <c r="E61" s="773">
        <f>SUM(AI61:AJ61)</f>
        <v>0</v>
      </c>
      <c r="F61" s="772"/>
      <c r="G61" s="772"/>
      <c r="H61" s="762"/>
      <c r="I61" s="762"/>
      <c r="J61" s="762"/>
      <c r="K61" s="786"/>
      <c r="L61" s="762"/>
      <c r="M61" s="762"/>
      <c r="N61" s="762"/>
      <c r="O61" s="762"/>
      <c r="P61" s="762"/>
      <c r="Q61" s="762"/>
      <c r="R61" s="762"/>
      <c r="S61" s="762"/>
      <c r="T61" s="762"/>
      <c r="U61" s="762"/>
      <c r="V61" s="762"/>
      <c r="W61" s="762"/>
      <c r="X61" s="762"/>
      <c r="Y61" s="762"/>
      <c r="Z61" s="762"/>
      <c r="AA61" s="762"/>
      <c r="AB61" s="762"/>
      <c r="AC61" s="762"/>
      <c r="AD61" s="762"/>
      <c r="AE61" s="762"/>
      <c r="AF61" s="762"/>
      <c r="AG61" s="762"/>
      <c r="AH61" s="762"/>
      <c r="AI61" s="762"/>
      <c r="AJ61" s="762"/>
    </row>
    <row r="62" spans="2:36" s="53" customFormat="1" ht="18" customHeight="1">
      <c r="B62" s="2579"/>
      <c r="C62" s="764" t="s">
        <v>3458</v>
      </c>
      <c r="D62" s="772">
        <f t="shared" si="11"/>
        <v>0</v>
      </c>
      <c r="E62" s="773">
        <f t="shared" ref="E62:E68" si="12">SUM(AI62:AJ62)</f>
        <v>0</v>
      </c>
      <c r="F62" s="772"/>
      <c r="G62" s="772"/>
      <c r="H62" s="762"/>
      <c r="I62" s="762"/>
      <c r="J62" s="762"/>
      <c r="K62" s="786"/>
      <c r="L62" s="762"/>
      <c r="M62" s="762"/>
      <c r="N62" s="762"/>
      <c r="O62" s="762"/>
      <c r="P62" s="762"/>
      <c r="Q62" s="762"/>
      <c r="R62" s="762"/>
      <c r="S62" s="762"/>
      <c r="T62" s="762"/>
      <c r="U62" s="762"/>
      <c r="V62" s="762"/>
      <c r="W62" s="762"/>
      <c r="X62" s="762"/>
      <c r="Y62" s="762"/>
      <c r="Z62" s="762"/>
      <c r="AA62" s="762"/>
      <c r="AB62" s="762"/>
      <c r="AC62" s="762"/>
      <c r="AD62" s="762"/>
      <c r="AE62" s="762"/>
      <c r="AF62" s="762"/>
      <c r="AG62" s="762"/>
      <c r="AH62" s="762"/>
      <c r="AI62" s="762"/>
      <c r="AJ62" s="762"/>
    </row>
    <row r="63" spans="2:36" s="53" customFormat="1" ht="18" customHeight="1">
      <c r="B63" s="2579"/>
      <c r="C63" s="764" t="s">
        <v>3461</v>
      </c>
      <c r="D63" s="772">
        <f t="shared" si="11"/>
        <v>0</v>
      </c>
      <c r="E63" s="773">
        <f t="shared" si="12"/>
        <v>0</v>
      </c>
      <c r="F63" s="772"/>
      <c r="G63" s="772"/>
      <c r="H63" s="762"/>
      <c r="I63" s="762"/>
      <c r="J63" s="762"/>
      <c r="K63" s="786"/>
      <c r="L63" s="762"/>
      <c r="M63" s="762"/>
      <c r="N63" s="762"/>
      <c r="O63" s="762"/>
      <c r="P63" s="762"/>
      <c r="Q63" s="762"/>
      <c r="R63" s="762"/>
      <c r="S63" s="762"/>
      <c r="T63" s="762"/>
      <c r="U63" s="762"/>
      <c r="V63" s="762"/>
      <c r="W63" s="762"/>
      <c r="X63" s="762"/>
      <c r="Y63" s="762"/>
      <c r="Z63" s="762"/>
      <c r="AA63" s="762"/>
      <c r="AB63" s="762"/>
      <c r="AC63" s="762"/>
      <c r="AD63" s="762"/>
      <c r="AE63" s="762"/>
      <c r="AF63" s="762"/>
      <c r="AG63" s="762"/>
      <c r="AH63" s="762"/>
      <c r="AI63" s="762"/>
      <c r="AJ63" s="762"/>
    </row>
    <row r="64" spans="2:36" s="53" customFormat="1" ht="18" customHeight="1">
      <c r="B64" s="2579"/>
      <c r="C64" s="764" t="s">
        <v>3462</v>
      </c>
      <c r="D64" s="772">
        <f t="shared" si="11"/>
        <v>0</v>
      </c>
      <c r="E64" s="773">
        <f t="shared" si="12"/>
        <v>0</v>
      </c>
      <c r="F64" s="772"/>
      <c r="G64" s="772"/>
      <c r="H64" s="762"/>
      <c r="I64" s="762"/>
      <c r="J64" s="762"/>
      <c r="K64" s="786"/>
      <c r="L64" s="762"/>
      <c r="M64" s="762"/>
      <c r="N64" s="762"/>
      <c r="O64" s="762"/>
      <c r="P64" s="762"/>
      <c r="Q64" s="762"/>
      <c r="R64" s="762"/>
      <c r="S64" s="762"/>
      <c r="T64" s="762"/>
      <c r="U64" s="762"/>
      <c r="V64" s="762"/>
      <c r="W64" s="762"/>
      <c r="X64" s="762"/>
      <c r="Y64" s="762"/>
      <c r="Z64" s="762"/>
      <c r="AA64" s="762"/>
      <c r="AB64" s="762"/>
      <c r="AC64" s="762"/>
      <c r="AD64" s="762"/>
      <c r="AE64" s="762"/>
      <c r="AF64" s="762"/>
      <c r="AG64" s="762"/>
      <c r="AH64" s="762"/>
      <c r="AI64" s="762"/>
      <c r="AJ64" s="762"/>
    </row>
    <row r="65" spans="2:36" s="53" customFormat="1" ht="18" customHeight="1">
      <c r="B65" s="2579"/>
      <c r="C65" s="764" t="s">
        <v>3334</v>
      </c>
      <c r="D65" s="772">
        <f t="shared" si="11"/>
        <v>0</v>
      </c>
      <c r="E65" s="773">
        <f t="shared" si="12"/>
        <v>0</v>
      </c>
      <c r="F65" s="772"/>
      <c r="G65" s="772"/>
      <c r="H65" s="762"/>
      <c r="I65" s="762"/>
      <c r="J65" s="762"/>
      <c r="K65" s="786"/>
      <c r="L65" s="762"/>
      <c r="M65" s="762"/>
      <c r="N65" s="762"/>
      <c r="O65" s="762"/>
      <c r="P65" s="762"/>
      <c r="Q65" s="762"/>
      <c r="R65" s="762"/>
      <c r="S65" s="762"/>
      <c r="T65" s="762"/>
      <c r="U65" s="762"/>
      <c r="V65" s="762"/>
      <c r="W65" s="762"/>
      <c r="X65" s="762"/>
      <c r="Y65" s="762"/>
      <c r="Z65" s="762"/>
      <c r="AA65" s="762"/>
      <c r="AB65" s="762"/>
      <c r="AC65" s="762"/>
      <c r="AD65" s="762"/>
      <c r="AE65" s="762"/>
      <c r="AF65" s="762"/>
      <c r="AG65" s="762"/>
      <c r="AH65" s="762"/>
      <c r="AI65" s="762"/>
      <c r="AJ65" s="762"/>
    </row>
    <row r="66" spans="2:36" s="53" customFormat="1" ht="18" customHeight="1">
      <c r="B66" s="2579"/>
      <c r="C66" s="426" t="s">
        <v>3466</v>
      </c>
      <c r="D66" s="772">
        <f t="shared" si="11"/>
        <v>0</v>
      </c>
      <c r="E66" s="773">
        <f t="shared" si="12"/>
        <v>0</v>
      </c>
      <c r="F66" s="772"/>
      <c r="G66" s="772"/>
      <c r="H66" s="762"/>
      <c r="I66" s="762"/>
      <c r="J66" s="762"/>
      <c r="K66" s="786"/>
      <c r="L66" s="762"/>
      <c r="M66" s="762"/>
      <c r="N66" s="762"/>
      <c r="O66" s="762"/>
      <c r="P66" s="762"/>
      <c r="Q66" s="762"/>
      <c r="R66" s="762"/>
      <c r="S66" s="762"/>
      <c r="T66" s="762"/>
      <c r="U66" s="762"/>
      <c r="V66" s="762"/>
      <c r="W66" s="762"/>
      <c r="X66" s="762"/>
      <c r="Y66" s="762"/>
      <c r="Z66" s="762"/>
      <c r="AA66" s="762"/>
      <c r="AB66" s="762"/>
      <c r="AC66" s="762"/>
      <c r="AD66" s="762"/>
      <c r="AE66" s="762"/>
      <c r="AF66" s="762"/>
      <c r="AG66" s="762"/>
      <c r="AH66" s="762"/>
      <c r="AI66" s="762"/>
      <c r="AJ66" s="762"/>
    </row>
    <row r="67" spans="2:36" s="53" customFormat="1" ht="18" customHeight="1">
      <c r="B67" s="2579"/>
      <c r="C67" s="426" t="s">
        <v>3447</v>
      </c>
      <c r="D67" s="772">
        <f t="shared" si="11"/>
        <v>0</v>
      </c>
      <c r="E67" s="773">
        <f t="shared" ref="E67" si="13">SUM(AI67:AJ67)</f>
        <v>0</v>
      </c>
      <c r="F67" s="772"/>
      <c r="G67" s="772"/>
      <c r="H67" s="762"/>
      <c r="I67" s="762"/>
      <c r="J67" s="762"/>
      <c r="K67" s="786"/>
      <c r="L67" s="762"/>
      <c r="M67" s="762"/>
      <c r="N67" s="762"/>
      <c r="O67" s="762"/>
      <c r="P67" s="762"/>
      <c r="Q67" s="762"/>
      <c r="R67" s="762"/>
      <c r="S67" s="762"/>
      <c r="T67" s="762"/>
      <c r="U67" s="762"/>
      <c r="V67" s="762"/>
      <c r="W67" s="762"/>
      <c r="X67" s="762"/>
      <c r="Y67" s="762"/>
      <c r="Z67" s="762"/>
      <c r="AA67" s="762"/>
      <c r="AB67" s="762"/>
      <c r="AC67" s="762"/>
      <c r="AD67" s="762"/>
      <c r="AE67" s="762"/>
      <c r="AF67" s="762"/>
      <c r="AG67" s="762"/>
      <c r="AH67" s="762"/>
      <c r="AI67" s="762"/>
      <c r="AJ67" s="762"/>
    </row>
    <row r="68" spans="2:36" s="335" customFormat="1" ht="18" customHeight="1">
      <c r="B68" s="2580"/>
      <c r="C68" s="426" t="s">
        <v>3447</v>
      </c>
      <c r="D68" s="772">
        <f t="shared" si="11"/>
        <v>0</v>
      </c>
      <c r="E68" s="773">
        <f t="shared" si="12"/>
        <v>0</v>
      </c>
      <c r="F68" s="772"/>
      <c r="G68" s="772"/>
      <c r="H68" s="762"/>
      <c r="I68" s="762"/>
      <c r="J68" s="762"/>
      <c r="K68" s="786"/>
      <c r="L68" s="762"/>
      <c r="M68" s="762"/>
      <c r="N68" s="762"/>
      <c r="O68" s="762"/>
      <c r="P68" s="762"/>
      <c r="Q68" s="762"/>
      <c r="R68" s="762"/>
      <c r="S68" s="762"/>
      <c r="T68" s="762"/>
      <c r="U68" s="762"/>
      <c r="V68" s="762"/>
      <c r="W68" s="762"/>
      <c r="X68" s="762"/>
      <c r="Y68" s="762"/>
      <c r="Z68" s="762"/>
      <c r="AA68" s="762"/>
      <c r="AB68" s="762"/>
      <c r="AC68" s="762"/>
      <c r="AD68" s="762"/>
      <c r="AE68" s="762"/>
      <c r="AF68" s="762"/>
      <c r="AG68" s="762"/>
      <c r="AH68" s="762"/>
      <c r="AI68" s="762"/>
      <c r="AJ68" s="762"/>
    </row>
    <row r="69" spans="2:36" s="53" customFormat="1" ht="18" customHeight="1">
      <c r="C69" s="769"/>
      <c r="D69" s="784"/>
      <c r="E69" s="784"/>
      <c r="F69" s="784"/>
      <c r="G69" s="784"/>
      <c r="H69" s="784"/>
      <c r="I69" s="784"/>
      <c r="J69" s="784"/>
      <c r="K69" s="784"/>
      <c r="L69" s="784"/>
      <c r="M69" s="784"/>
      <c r="N69" s="784"/>
      <c r="O69" s="784"/>
      <c r="P69" s="784"/>
      <c r="Q69" s="784"/>
      <c r="R69" s="784"/>
      <c r="S69" s="784"/>
      <c r="T69" s="784"/>
      <c r="U69" s="784"/>
      <c r="V69" s="784"/>
      <c r="W69" s="784"/>
      <c r="X69" s="784"/>
      <c r="Y69" s="784"/>
      <c r="Z69" s="784"/>
      <c r="AA69" s="784"/>
      <c r="AB69" s="784"/>
      <c r="AC69" s="784"/>
      <c r="AD69" s="784"/>
      <c r="AE69" s="784"/>
      <c r="AF69" s="784"/>
      <c r="AG69" s="784"/>
      <c r="AH69" s="784"/>
      <c r="AI69" s="784"/>
      <c r="AJ69" s="784"/>
    </row>
    <row r="70" spans="2:36" s="53" customFormat="1" ht="18" customHeight="1">
      <c r="B70" s="2578" t="s">
        <v>3467</v>
      </c>
      <c r="C70" s="764" t="s">
        <v>3468</v>
      </c>
      <c r="D70" s="772">
        <f t="shared" ref="D70:D73" si="14">SUM(H70:AH70)</f>
        <v>0</v>
      </c>
      <c r="E70" s="773">
        <f>SUM(AI70:AJ70)</f>
        <v>0</v>
      </c>
      <c r="F70" s="762"/>
      <c r="G70" s="762"/>
      <c r="H70" s="762"/>
      <c r="I70" s="762"/>
      <c r="J70" s="762"/>
      <c r="K70" s="786"/>
      <c r="L70" s="762"/>
      <c r="M70" s="762"/>
      <c r="N70" s="762"/>
      <c r="O70" s="762"/>
      <c r="P70" s="762"/>
      <c r="Q70" s="762"/>
      <c r="R70" s="762"/>
      <c r="S70" s="762"/>
      <c r="T70" s="762"/>
      <c r="U70" s="762"/>
      <c r="V70" s="762"/>
      <c r="W70" s="762"/>
      <c r="X70" s="762"/>
      <c r="Y70" s="762"/>
      <c r="Z70" s="762"/>
      <c r="AA70" s="762"/>
      <c r="AB70" s="762"/>
      <c r="AC70" s="762"/>
      <c r="AD70" s="762"/>
      <c r="AE70" s="762"/>
      <c r="AF70" s="762"/>
      <c r="AG70" s="762"/>
      <c r="AH70" s="762"/>
      <c r="AI70" s="762"/>
      <c r="AJ70" s="762"/>
    </row>
    <row r="71" spans="2:36" s="53" customFormat="1" ht="18" customHeight="1">
      <c r="B71" s="2579"/>
      <c r="C71" s="426" t="s">
        <v>3469</v>
      </c>
      <c r="D71" s="772">
        <f t="shared" si="14"/>
        <v>0</v>
      </c>
      <c r="E71" s="773">
        <f>SUM(AI71:AJ71)</f>
        <v>0</v>
      </c>
      <c r="F71" s="762"/>
      <c r="G71" s="762"/>
      <c r="H71" s="762"/>
      <c r="I71" s="762"/>
      <c r="J71" s="762"/>
      <c r="K71" s="786"/>
      <c r="L71" s="762"/>
      <c r="M71" s="762"/>
      <c r="N71" s="762"/>
      <c r="O71" s="762"/>
      <c r="P71" s="762"/>
      <c r="Q71" s="762"/>
      <c r="R71" s="762"/>
      <c r="S71" s="762"/>
      <c r="T71" s="762"/>
      <c r="U71" s="762"/>
      <c r="V71" s="762"/>
      <c r="W71" s="762"/>
      <c r="X71" s="762"/>
      <c r="Y71" s="762"/>
      <c r="Z71" s="762"/>
      <c r="AA71" s="762"/>
      <c r="AB71" s="762"/>
      <c r="AC71" s="762"/>
      <c r="AD71" s="762"/>
      <c r="AE71" s="762"/>
      <c r="AF71" s="762"/>
      <c r="AG71" s="762"/>
      <c r="AH71" s="762"/>
      <c r="AI71" s="762"/>
      <c r="AJ71" s="762"/>
    </row>
    <row r="72" spans="2:36" s="53" customFormat="1" ht="18" customHeight="1">
      <c r="B72" s="2579"/>
      <c r="C72" s="426" t="s">
        <v>3447</v>
      </c>
      <c r="D72" s="772">
        <f t="shared" ref="D72" si="15">SUM(H72:AH72)</f>
        <v>0</v>
      </c>
      <c r="E72" s="773">
        <f>SUM(AI72:AJ72)</f>
        <v>0</v>
      </c>
      <c r="F72" s="762"/>
      <c r="G72" s="762"/>
      <c r="H72" s="762"/>
      <c r="I72" s="762"/>
      <c r="J72" s="762"/>
      <c r="K72" s="786"/>
      <c r="L72" s="762"/>
      <c r="M72" s="762"/>
      <c r="N72" s="762"/>
      <c r="O72" s="762"/>
      <c r="P72" s="762"/>
      <c r="Q72" s="762"/>
      <c r="R72" s="762"/>
      <c r="S72" s="762"/>
      <c r="T72" s="762"/>
      <c r="U72" s="762"/>
      <c r="V72" s="762"/>
      <c r="W72" s="762"/>
      <c r="X72" s="762"/>
      <c r="Y72" s="762"/>
      <c r="Z72" s="762"/>
      <c r="AA72" s="762"/>
      <c r="AB72" s="762"/>
      <c r="AC72" s="762"/>
      <c r="AD72" s="762"/>
      <c r="AE72" s="762"/>
      <c r="AF72" s="762"/>
      <c r="AG72" s="762"/>
      <c r="AH72" s="762"/>
      <c r="AI72" s="762"/>
      <c r="AJ72" s="762"/>
    </row>
    <row r="73" spans="2:36" s="335" customFormat="1" ht="18" customHeight="1">
      <c r="B73" s="2580"/>
      <c r="C73" s="426" t="s">
        <v>3447</v>
      </c>
      <c r="D73" s="772">
        <f t="shared" si="14"/>
        <v>0</v>
      </c>
      <c r="E73" s="773">
        <f>SUM(AI73:AJ73)</f>
        <v>0</v>
      </c>
      <c r="F73" s="762"/>
      <c r="G73" s="762"/>
      <c r="H73" s="762"/>
      <c r="I73" s="762"/>
      <c r="J73" s="762"/>
      <c r="K73" s="786"/>
      <c r="L73" s="762"/>
      <c r="M73" s="762"/>
      <c r="N73" s="762"/>
      <c r="O73" s="762"/>
      <c r="P73" s="762"/>
      <c r="Q73" s="762"/>
      <c r="R73" s="762"/>
      <c r="S73" s="762"/>
      <c r="T73" s="762"/>
      <c r="U73" s="762"/>
      <c r="V73" s="762"/>
      <c r="W73" s="762"/>
      <c r="X73" s="762"/>
      <c r="Y73" s="762"/>
      <c r="Z73" s="762"/>
      <c r="AA73" s="762"/>
      <c r="AB73" s="762"/>
      <c r="AC73" s="762"/>
      <c r="AD73" s="762"/>
      <c r="AE73" s="762"/>
      <c r="AF73" s="762"/>
      <c r="AG73" s="762"/>
      <c r="AH73" s="762"/>
      <c r="AI73" s="762"/>
      <c r="AJ73" s="762"/>
    </row>
    <row r="74" spans="2:36" s="53" customFormat="1" ht="18" customHeight="1">
      <c r="C74" s="769"/>
      <c r="D74" s="784"/>
      <c r="E74" s="784"/>
      <c r="F74" s="784"/>
      <c r="G74" s="784"/>
      <c r="H74" s="784"/>
      <c r="I74" s="784"/>
      <c r="J74" s="784"/>
      <c r="K74" s="784"/>
      <c r="L74" s="784"/>
      <c r="M74" s="784"/>
      <c r="N74" s="784"/>
      <c r="O74" s="784"/>
      <c r="P74" s="784"/>
      <c r="Q74" s="784"/>
      <c r="R74" s="784"/>
      <c r="S74" s="784"/>
      <c r="T74" s="784"/>
      <c r="U74" s="784"/>
      <c r="V74" s="784"/>
      <c r="W74" s="784"/>
      <c r="X74" s="784"/>
      <c r="Y74" s="784"/>
      <c r="Z74" s="784"/>
      <c r="AA74" s="784"/>
      <c r="AB74" s="784"/>
      <c r="AC74" s="784"/>
      <c r="AD74" s="784"/>
      <c r="AE74" s="784"/>
      <c r="AF74" s="784"/>
      <c r="AG74" s="784"/>
      <c r="AH74" s="784"/>
      <c r="AI74" s="784"/>
      <c r="AJ74" s="784"/>
    </row>
    <row r="75" spans="2:36" s="53" customFormat="1" ht="18" customHeight="1">
      <c r="B75" s="2578" t="s">
        <v>7</v>
      </c>
      <c r="C75" s="764" t="s">
        <v>3470</v>
      </c>
      <c r="D75" s="772">
        <f t="shared" ref="D75:D81" si="16">SUM(H75:AH75)</f>
        <v>0</v>
      </c>
      <c r="E75" s="773">
        <f t="shared" ref="E75:E81" si="17">SUM(AI75:AJ75)</f>
        <v>0</v>
      </c>
      <c r="F75" s="772"/>
      <c r="G75" s="772"/>
      <c r="H75" s="762"/>
      <c r="I75" s="762"/>
      <c r="J75" s="762"/>
      <c r="K75" s="786"/>
      <c r="L75" s="762"/>
      <c r="M75" s="762"/>
      <c r="N75" s="762"/>
      <c r="O75" s="762"/>
      <c r="P75" s="762"/>
      <c r="Q75" s="762"/>
      <c r="R75" s="762"/>
      <c r="S75" s="762"/>
      <c r="T75" s="762"/>
      <c r="U75" s="762"/>
      <c r="V75" s="762"/>
      <c r="W75" s="762"/>
      <c r="X75" s="762"/>
      <c r="Y75" s="762"/>
      <c r="Z75" s="762"/>
      <c r="AA75" s="762"/>
      <c r="AB75" s="762"/>
      <c r="AC75" s="762"/>
      <c r="AD75" s="762"/>
      <c r="AE75" s="762"/>
      <c r="AF75" s="762"/>
      <c r="AG75" s="762"/>
      <c r="AH75" s="762"/>
      <c r="AI75" s="762"/>
      <c r="AJ75" s="762"/>
    </row>
    <row r="76" spans="2:36" s="53" customFormat="1" ht="18" customHeight="1">
      <c r="B76" s="2579"/>
      <c r="C76" s="764" t="s">
        <v>3471</v>
      </c>
      <c r="D76" s="772">
        <f t="shared" si="16"/>
        <v>0</v>
      </c>
      <c r="E76" s="773">
        <f t="shared" si="17"/>
        <v>0</v>
      </c>
      <c r="F76" s="772"/>
      <c r="G76" s="772"/>
      <c r="H76" s="762"/>
      <c r="I76" s="762"/>
      <c r="J76" s="762"/>
      <c r="K76" s="786"/>
      <c r="L76" s="762"/>
      <c r="M76" s="762"/>
      <c r="N76" s="762"/>
      <c r="O76" s="762"/>
      <c r="P76" s="762"/>
      <c r="Q76" s="762"/>
      <c r="R76" s="762"/>
      <c r="S76" s="762"/>
      <c r="T76" s="762"/>
      <c r="U76" s="762"/>
      <c r="V76" s="762"/>
      <c r="W76" s="762"/>
      <c r="X76" s="762"/>
      <c r="Y76" s="762"/>
      <c r="Z76" s="762"/>
      <c r="AA76" s="762"/>
      <c r="AB76" s="762"/>
      <c r="AC76" s="762"/>
      <c r="AD76" s="762"/>
      <c r="AE76" s="762"/>
      <c r="AF76" s="762"/>
      <c r="AG76" s="762"/>
      <c r="AH76" s="762"/>
      <c r="AI76" s="762"/>
      <c r="AJ76" s="762"/>
    </row>
    <row r="77" spans="2:36" s="53" customFormat="1" ht="18" customHeight="1">
      <c r="B77" s="2579"/>
      <c r="C77" s="764" t="s">
        <v>3472</v>
      </c>
      <c r="D77" s="772">
        <f t="shared" si="16"/>
        <v>0</v>
      </c>
      <c r="E77" s="773">
        <f t="shared" si="17"/>
        <v>0</v>
      </c>
      <c r="F77" s="772"/>
      <c r="G77" s="772"/>
      <c r="H77" s="762"/>
      <c r="I77" s="762"/>
      <c r="J77" s="762"/>
      <c r="K77" s="786"/>
      <c r="L77" s="762"/>
      <c r="M77" s="762"/>
      <c r="N77" s="762"/>
      <c r="O77" s="762"/>
      <c r="P77" s="762"/>
      <c r="Q77" s="762"/>
      <c r="R77" s="762"/>
      <c r="S77" s="762"/>
      <c r="T77" s="762"/>
      <c r="U77" s="762"/>
      <c r="V77" s="762"/>
      <c r="W77" s="762"/>
      <c r="X77" s="762"/>
      <c r="Y77" s="762"/>
      <c r="Z77" s="762"/>
      <c r="AA77" s="762"/>
      <c r="AB77" s="762"/>
      <c r="AC77" s="762"/>
      <c r="AD77" s="762"/>
      <c r="AE77" s="762"/>
      <c r="AF77" s="762"/>
      <c r="AG77" s="762"/>
      <c r="AH77" s="762"/>
      <c r="AI77" s="762"/>
      <c r="AJ77" s="762"/>
    </row>
    <row r="78" spans="2:36" s="53" customFormat="1" ht="18" customHeight="1">
      <c r="B78" s="2579"/>
      <c r="C78" s="764" t="s">
        <v>3473</v>
      </c>
      <c r="D78" s="772">
        <f t="shared" si="16"/>
        <v>0</v>
      </c>
      <c r="E78" s="773">
        <f t="shared" si="17"/>
        <v>0</v>
      </c>
      <c r="F78" s="772"/>
      <c r="G78" s="772"/>
      <c r="H78" s="762"/>
      <c r="I78" s="762"/>
      <c r="J78" s="762"/>
      <c r="K78" s="786"/>
      <c r="L78" s="762"/>
      <c r="M78" s="762"/>
      <c r="N78" s="762"/>
      <c r="O78" s="762"/>
      <c r="P78" s="762"/>
      <c r="Q78" s="762"/>
      <c r="R78" s="762"/>
      <c r="S78" s="762"/>
      <c r="T78" s="762"/>
      <c r="U78" s="762"/>
      <c r="V78" s="762"/>
      <c r="W78" s="762"/>
      <c r="X78" s="762"/>
      <c r="Y78" s="762"/>
      <c r="Z78" s="762"/>
      <c r="AA78" s="762"/>
      <c r="AB78" s="762"/>
      <c r="AC78" s="762"/>
      <c r="AD78" s="762"/>
      <c r="AE78" s="762"/>
      <c r="AF78" s="762"/>
      <c r="AG78" s="762"/>
      <c r="AH78" s="762"/>
      <c r="AI78" s="762"/>
      <c r="AJ78" s="762"/>
    </row>
    <row r="79" spans="2:36" s="53" customFormat="1" ht="18" customHeight="1">
      <c r="B79" s="2579"/>
      <c r="C79" s="426" t="s">
        <v>3447</v>
      </c>
      <c r="D79" s="772">
        <f t="shared" si="16"/>
        <v>0</v>
      </c>
      <c r="E79" s="773">
        <f t="shared" si="17"/>
        <v>0</v>
      </c>
      <c r="F79" s="772"/>
      <c r="G79" s="772"/>
      <c r="H79" s="762"/>
      <c r="I79" s="762"/>
      <c r="J79" s="762"/>
      <c r="K79" s="786"/>
      <c r="L79" s="762"/>
      <c r="M79" s="762"/>
      <c r="N79" s="762"/>
      <c r="O79" s="762"/>
      <c r="P79" s="762"/>
      <c r="Q79" s="762"/>
      <c r="R79" s="762"/>
      <c r="S79" s="762"/>
      <c r="T79" s="762"/>
      <c r="U79" s="762"/>
      <c r="V79" s="762"/>
      <c r="W79" s="762"/>
      <c r="X79" s="762"/>
      <c r="Y79" s="762"/>
      <c r="Z79" s="762"/>
      <c r="AA79" s="762"/>
      <c r="AB79" s="762"/>
      <c r="AC79" s="762"/>
      <c r="AD79" s="762"/>
      <c r="AE79" s="762"/>
      <c r="AF79" s="762"/>
      <c r="AG79" s="762"/>
      <c r="AH79" s="762"/>
      <c r="AI79" s="762"/>
      <c r="AJ79" s="762"/>
    </row>
    <row r="80" spans="2:36" s="53" customFormat="1" ht="18" customHeight="1">
      <c r="B80" s="2579"/>
      <c r="C80" s="426" t="s">
        <v>3447</v>
      </c>
      <c r="D80" s="772">
        <f t="shared" si="16"/>
        <v>0</v>
      </c>
      <c r="E80" s="773">
        <f t="shared" si="17"/>
        <v>0</v>
      </c>
      <c r="F80" s="772"/>
      <c r="G80" s="772"/>
      <c r="H80" s="762"/>
      <c r="I80" s="762"/>
      <c r="J80" s="762"/>
      <c r="K80" s="786"/>
      <c r="L80" s="762"/>
      <c r="M80" s="762"/>
      <c r="N80" s="762"/>
      <c r="O80" s="762"/>
      <c r="P80" s="762"/>
      <c r="Q80" s="762"/>
      <c r="R80" s="762"/>
      <c r="S80" s="762"/>
      <c r="T80" s="762"/>
      <c r="U80" s="762"/>
      <c r="V80" s="762"/>
      <c r="W80" s="762"/>
      <c r="X80" s="762"/>
      <c r="Y80" s="762"/>
      <c r="Z80" s="762"/>
      <c r="AA80" s="762"/>
      <c r="AB80" s="762"/>
      <c r="AC80" s="762"/>
      <c r="AD80" s="762"/>
      <c r="AE80" s="762"/>
      <c r="AF80" s="762"/>
      <c r="AG80" s="762"/>
      <c r="AH80" s="762"/>
      <c r="AI80" s="762"/>
      <c r="AJ80" s="762"/>
    </row>
    <row r="81" spans="2:36" s="335" customFormat="1" ht="18" customHeight="1">
      <c r="B81" s="2580"/>
      <c r="C81" s="426" t="s">
        <v>3447</v>
      </c>
      <c r="D81" s="772">
        <f t="shared" si="16"/>
        <v>0</v>
      </c>
      <c r="E81" s="773">
        <f t="shared" si="17"/>
        <v>0</v>
      </c>
      <c r="F81" s="772"/>
      <c r="G81" s="772"/>
      <c r="H81" s="762"/>
      <c r="I81" s="762"/>
      <c r="J81" s="762"/>
      <c r="K81" s="786"/>
      <c r="L81" s="762"/>
      <c r="M81" s="762"/>
      <c r="N81" s="762"/>
      <c r="O81" s="762"/>
      <c r="P81" s="762"/>
      <c r="Q81" s="762"/>
      <c r="R81" s="762"/>
      <c r="S81" s="762"/>
      <c r="T81" s="762"/>
      <c r="U81" s="762"/>
      <c r="V81" s="762"/>
      <c r="W81" s="762"/>
      <c r="X81" s="762"/>
      <c r="Y81" s="762"/>
      <c r="Z81" s="762"/>
      <c r="AA81" s="762"/>
      <c r="AB81" s="762"/>
      <c r="AC81" s="762"/>
      <c r="AD81" s="762"/>
      <c r="AE81" s="762"/>
      <c r="AF81" s="762"/>
      <c r="AG81" s="762"/>
      <c r="AH81" s="762"/>
      <c r="AI81" s="762"/>
      <c r="AJ81" s="762"/>
    </row>
    <row r="82" spans="2:36" s="53" customFormat="1" ht="18" customHeight="1">
      <c r="C82" s="769"/>
      <c r="D82" s="784"/>
      <c r="E82" s="784"/>
      <c r="F82" s="784"/>
      <c r="G82" s="784"/>
      <c r="H82" s="784"/>
      <c r="I82" s="784"/>
      <c r="J82" s="784"/>
      <c r="K82" s="784"/>
      <c r="L82" s="784"/>
      <c r="M82" s="784"/>
      <c r="N82" s="784"/>
      <c r="O82" s="784"/>
      <c r="P82" s="784"/>
      <c r="Q82" s="784"/>
      <c r="R82" s="784"/>
      <c r="S82" s="784"/>
      <c r="T82" s="784"/>
      <c r="U82" s="784"/>
      <c r="V82" s="784"/>
      <c r="W82" s="784"/>
      <c r="X82" s="784"/>
      <c r="Y82" s="784"/>
      <c r="Z82" s="784"/>
      <c r="AA82" s="784"/>
      <c r="AB82" s="784"/>
      <c r="AC82" s="784"/>
      <c r="AD82" s="784"/>
      <c r="AE82" s="784"/>
      <c r="AF82" s="784"/>
      <c r="AG82" s="784"/>
      <c r="AH82" s="784"/>
      <c r="AI82" s="784"/>
      <c r="AJ82" s="784"/>
    </row>
    <row r="83" spans="2:36" s="53" customFormat="1" ht="18" customHeight="1">
      <c r="B83" s="2578" t="s">
        <v>3474</v>
      </c>
      <c r="C83" s="764" t="s">
        <v>3475</v>
      </c>
      <c r="D83" s="772">
        <f t="shared" ref="D83:D84" si="18">SUM(H83:AH83)</f>
        <v>0</v>
      </c>
      <c r="E83" s="773">
        <f>SUM(AI83:AJ83)</f>
        <v>0</v>
      </c>
      <c r="F83" s="762"/>
      <c r="G83" s="762"/>
      <c r="H83" s="762"/>
      <c r="I83" s="762"/>
      <c r="J83" s="762"/>
      <c r="K83" s="786"/>
      <c r="L83" s="762"/>
      <c r="M83" s="762"/>
      <c r="N83" s="762"/>
      <c r="O83" s="762"/>
      <c r="P83" s="762"/>
      <c r="Q83" s="762"/>
      <c r="R83" s="762"/>
      <c r="S83" s="762"/>
      <c r="T83" s="762"/>
      <c r="U83" s="762"/>
      <c r="V83" s="762"/>
      <c r="W83" s="762"/>
      <c r="X83" s="762"/>
      <c r="Y83" s="762"/>
      <c r="Z83" s="762"/>
      <c r="AA83" s="762"/>
      <c r="AB83" s="762"/>
      <c r="AC83" s="762"/>
      <c r="AD83" s="762"/>
      <c r="AE83" s="762"/>
      <c r="AF83" s="762"/>
      <c r="AG83" s="762"/>
      <c r="AH83" s="762"/>
      <c r="AI83" s="762"/>
      <c r="AJ83" s="762"/>
    </row>
    <row r="84" spans="2:36" s="334" customFormat="1" ht="18" customHeight="1">
      <c r="B84" s="2579"/>
      <c r="C84" s="764" t="s">
        <v>3476</v>
      </c>
      <c r="D84" s="772">
        <f t="shared" si="18"/>
        <v>0</v>
      </c>
      <c r="E84" s="773">
        <f>SUM(AI84:AJ84)</f>
        <v>0</v>
      </c>
      <c r="F84" s="762"/>
      <c r="G84" s="762"/>
      <c r="H84" s="762"/>
      <c r="I84" s="762"/>
      <c r="J84" s="762"/>
      <c r="K84" s="786"/>
      <c r="L84" s="762"/>
      <c r="M84" s="762"/>
      <c r="N84" s="762"/>
      <c r="O84" s="762"/>
      <c r="P84" s="762"/>
      <c r="Q84" s="762"/>
      <c r="R84" s="762"/>
      <c r="S84" s="762"/>
      <c r="T84" s="762"/>
      <c r="U84" s="762"/>
      <c r="V84" s="762"/>
      <c r="W84" s="762"/>
      <c r="X84" s="762"/>
      <c r="Y84" s="762"/>
      <c r="Z84" s="762"/>
      <c r="AA84" s="762"/>
      <c r="AB84" s="762"/>
      <c r="AC84" s="762"/>
      <c r="AD84" s="762"/>
      <c r="AE84" s="762"/>
      <c r="AF84" s="762"/>
      <c r="AG84" s="762"/>
      <c r="AH84" s="762"/>
      <c r="AI84" s="762"/>
      <c r="AJ84" s="762"/>
    </row>
    <row r="85" spans="2:36" s="334" customFormat="1" ht="18" customHeight="1">
      <c r="B85" s="2579"/>
      <c r="C85" s="426" t="s">
        <v>3447</v>
      </c>
      <c r="D85" s="772">
        <f t="shared" ref="D85" si="19">SUM(H85:AH85)</f>
        <v>0</v>
      </c>
      <c r="E85" s="773">
        <f>SUM(AI85:AJ85)</f>
        <v>0</v>
      </c>
      <c r="F85" s="762"/>
      <c r="G85" s="762"/>
      <c r="H85" s="762"/>
      <c r="I85" s="762"/>
      <c r="J85" s="762"/>
      <c r="K85" s="786"/>
      <c r="L85" s="762"/>
      <c r="M85" s="762"/>
      <c r="N85" s="762"/>
      <c r="O85" s="762"/>
      <c r="P85" s="762"/>
      <c r="Q85" s="762"/>
      <c r="R85" s="762"/>
      <c r="S85" s="762"/>
      <c r="T85" s="762"/>
      <c r="U85" s="762"/>
      <c r="V85" s="762"/>
      <c r="W85" s="762"/>
      <c r="X85" s="762"/>
      <c r="Y85" s="762"/>
      <c r="Z85" s="762"/>
      <c r="AA85" s="762"/>
      <c r="AB85" s="762"/>
      <c r="AC85" s="762"/>
      <c r="AD85" s="762"/>
      <c r="AE85" s="762"/>
      <c r="AF85" s="762"/>
      <c r="AG85" s="762"/>
      <c r="AH85" s="762"/>
      <c r="AI85" s="762"/>
      <c r="AJ85" s="762"/>
    </row>
    <row r="86" spans="2:36" s="334" customFormat="1" ht="18" customHeight="1">
      <c r="B86" s="2579"/>
      <c r="C86" s="426" t="s">
        <v>3447</v>
      </c>
      <c r="D86" s="772">
        <f t="shared" ref="D86" si="20">SUM(H86:AH86)</f>
        <v>0</v>
      </c>
      <c r="E86" s="773">
        <f>SUM(AI86:AJ86)</f>
        <v>0</v>
      </c>
      <c r="F86" s="762"/>
      <c r="G86" s="762"/>
      <c r="H86" s="762"/>
      <c r="I86" s="762"/>
      <c r="J86" s="762"/>
      <c r="K86" s="786"/>
      <c r="L86" s="762"/>
      <c r="M86" s="762"/>
      <c r="N86" s="762"/>
      <c r="O86" s="762"/>
      <c r="P86" s="762"/>
      <c r="Q86" s="762"/>
      <c r="R86" s="762"/>
      <c r="S86" s="762"/>
      <c r="T86" s="762"/>
      <c r="U86" s="762"/>
      <c r="V86" s="762"/>
      <c r="W86" s="762"/>
      <c r="X86" s="762"/>
      <c r="Y86" s="762"/>
      <c r="Z86" s="762"/>
      <c r="AA86" s="762"/>
      <c r="AB86" s="762"/>
      <c r="AC86" s="762"/>
      <c r="AD86" s="762"/>
      <c r="AE86" s="762"/>
      <c r="AF86" s="762"/>
      <c r="AG86" s="762"/>
      <c r="AH86" s="762"/>
      <c r="AI86" s="762"/>
      <c r="AJ86" s="762"/>
    </row>
    <row r="87" spans="2:36" s="335" customFormat="1" ht="18" customHeight="1">
      <c r="B87" s="2580"/>
      <c r="C87" s="426" t="s">
        <v>3447</v>
      </c>
      <c r="D87" s="772">
        <f t="shared" ref="D87" si="21">SUM(H87:AH87)</f>
        <v>0</v>
      </c>
      <c r="E87" s="773">
        <f>SUM(AI87:AJ87)</f>
        <v>0</v>
      </c>
      <c r="F87" s="762"/>
      <c r="G87" s="762"/>
      <c r="H87" s="762"/>
      <c r="I87" s="762"/>
      <c r="J87" s="762"/>
      <c r="K87" s="786"/>
      <c r="L87" s="762"/>
      <c r="M87" s="762"/>
      <c r="N87" s="762"/>
      <c r="O87" s="762"/>
      <c r="P87" s="762"/>
      <c r="Q87" s="762"/>
      <c r="R87" s="762"/>
      <c r="S87" s="762"/>
      <c r="T87" s="762"/>
      <c r="U87" s="762"/>
      <c r="V87" s="762"/>
      <c r="W87" s="762"/>
      <c r="X87" s="762"/>
      <c r="Y87" s="762"/>
      <c r="Z87" s="762"/>
      <c r="AA87" s="762"/>
      <c r="AB87" s="762"/>
      <c r="AC87" s="762"/>
      <c r="AD87" s="762"/>
      <c r="AE87" s="762"/>
      <c r="AF87" s="762"/>
      <c r="AG87" s="762"/>
      <c r="AH87" s="762"/>
      <c r="AI87" s="762"/>
      <c r="AJ87" s="762"/>
    </row>
    <row r="88" spans="2:36" s="53" customFormat="1" ht="18" customHeight="1">
      <c r="C88" s="769"/>
      <c r="D88" s="784"/>
      <c r="E88" s="784"/>
      <c r="F88" s="784"/>
      <c r="G88" s="784"/>
      <c r="H88" s="784"/>
      <c r="I88" s="784"/>
      <c r="J88" s="784"/>
      <c r="K88" s="784"/>
      <c r="L88" s="784"/>
      <c r="M88" s="784"/>
      <c r="N88" s="784"/>
      <c r="O88" s="784"/>
      <c r="P88" s="784"/>
      <c r="Q88" s="784"/>
      <c r="R88" s="784"/>
      <c r="S88" s="784"/>
      <c r="T88" s="784"/>
      <c r="U88" s="784"/>
      <c r="V88" s="784"/>
      <c r="W88" s="784"/>
      <c r="X88" s="784"/>
      <c r="Y88" s="784"/>
      <c r="Z88" s="784"/>
      <c r="AA88" s="784"/>
      <c r="AB88" s="784"/>
      <c r="AC88" s="784"/>
      <c r="AD88" s="784"/>
      <c r="AE88" s="784"/>
      <c r="AF88" s="784"/>
      <c r="AG88" s="784"/>
      <c r="AH88" s="784"/>
      <c r="AI88" s="784"/>
      <c r="AJ88" s="784"/>
    </row>
    <row r="89" spans="2:36" s="53" customFormat="1" ht="18" customHeight="1">
      <c r="B89" s="2578" t="s">
        <v>3477</v>
      </c>
      <c r="C89" s="764" t="s">
        <v>3478</v>
      </c>
      <c r="D89" s="772">
        <f t="shared" ref="D89:D104" si="22">SUM(H89:AH89)</f>
        <v>0</v>
      </c>
      <c r="E89" s="773">
        <f t="shared" ref="E89:E104" si="23">SUM(AI89:AJ89)</f>
        <v>0</v>
      </c>
      <c r="F89" s="772"/>
      <c r="G89" s="772"/>
      <c r="H89" s="762"/>
      <c r="I89" s="762"/>
      <c r="J89" s="762"/>
      <c r="K89" s="786"/>
      <c r="L89" s="762"/>
      <c r="M89" s="762"/>
      <c r="N89" s="762"/>
      <c r="O89" s="762"/>
      <c r="P89" s="762"/>
      <c r="Q89" s="762"/>
      <c r="R89" s="762"/>
      <c r="S89" s="762"/>
      <c r="T89" s="762"/>
      <c r="U89" s="762"/>
      <c r="V89" s="762"/>
      <c r="W89" s="762"/>
      <c r="X89" s="762"/>
      <c r="Y89" s="762"/>
      <c r="Z89" s="762"/>
      <c r="AA89" s="762"/>
      <c r="AB89" s="762"/>
      <c r="AC89" s="762"/>
      <c r="AD89" s="762"/>
      <c r="AE89" s="762"/>
      <c r="AF89" s="762"/>
      <c r="AG89" s="762"/>
      <c r="AH89" s="762"/>
      <c r="AI89" s="762"/>
      <c r="AJ89" s="762"/>
    </row>
    <row r="90" spans="2:36" s="53" customFormat="1" ht="18" customHeight="1">
      <c r="B90" s="2579"/>
      <c r="C90" s="764" t="s">
        <v>3479</v>
      </c>
      <c r="D90" s="772">
        <f t="shared" si="22"/>
        <v>0</v>
      </c>
      <c r="E90" s="773">
        <f t="shared" si="23"/>
        <v>0</v>
      </c>
      <c r="F90" s="762"/>
      <c r="G90" s="762"/>
      <c r="H90" s="762"/>
      <c r="I90" s="762"/>
      <c r="J90" s="762"/>
      <c r="K90" s="786"/>
      <c r="L90" s="762"/>
      <c r="M90" s="762"/>
      <c r="N90" s="762"/>
      <c r="O90" s="762"/>
      <c r="P90" s="762"/>
      <c r="Q90" s="762"/>
      <c r="R90" s="762"/>
      <c r="S90" s="762"/>
      <c r="T90" s="762"/>
      <c r="U90" s="762"/>
      <c r="V90" s="762"/>
      <c r="W90" s="762"/>
      <c r="X90" s="762"/>
      <c r="Y90" s="762"/>
      <c r="Z90" s="762"/>
      <c r="AA90" s="762"/>
      <c r="AB90" s="762"/>
      <c r="AC90" s="762"/>
      <c r="AD90" s="762"/>
      <c r="AE90" s="762"/>
      <c r="AF90" s="762"/>
      <c r="AG90" s="762"/>
      <c r="AH90" s="762"/>
      <c r="AI90" s="762"/>
      <c r="AJ90" s="762"/>
    </row>
    <row r="91" spans="2:36" s="53" customFormat="1" ht="18" customHeight="1">
      <c r="B91" s="2579"/>
      <c r="C91" s="764" t="s">
        <v>3480</v>
      </c>
      <c r="D91" s="772">
        <f t="shared" si="22"/>
        <v>0</v>
      </c>
      <c r="E91" s="773">
        <f t="shared" si="23"/>
        <v>0</v>
      </c>
      <c r="F91" s="762"/>
      <c r="G91" s="762"/>
      <c r="H91" s="762"/>
      <c r="I91" s="762"/>
      <c r="J91" s="762"/>
      <c r="K91" s="786"/>
      <c r="L91" s="762"/>
      <c r="M91" s="762"/>
      <c r="N91" s="762"/>
      <c r="O91" s="762"/>
      <c r="P91" s="762"/>
      <c r="Q91" s="762"/>
      <c r="R91" s="762"/>
      <c r="S91" s="762"/>
      <c r="T91" s="762"/>
      <c r="U91" s="762"/>
      <c r="V91" s="762"/>
      <c r="W91" s="762"/>
      <c r="X91" s="762"/>
      <c r="Y91" s="762"/>
      <c r="Z91" s="762"/>
      <c r="AA91" s="762"/>
      <c r="AB91" s="762"/>
      <c r="AC91" s="762"/>
      <c r="AD91" s="762"/>
      <c r="AE91" s="762"/>
      <c r="AF91" s="762"/>
      <c r="AG91" s="762"/>
      <c r="AH91" s="762"/>
      <c r="AI91" s="762"/>
      <c r="AJ91" s="762"/>
    </row>
    <row r="92" spans="2:36" s="53" customFormat="1" ht="18" customHeight="1">
      <c r="B92" s="2579"/>
      <c r="C92" s="764" t="s">
        <v>3481</v>
      </c>
      <c r="D92" s="772">
        <f t="shared" si="22"/>
        <v>0</v>
      </c>
      <c r="E92" s="773">
        <f t="shared" si="23"/>
        <v>0</v>
      </c>
      <c r="F92" s="762"/>
      <c r="G92" s="762"/>
      <c r="H92" s="762"/>
      <c r="I92" s="762"/>
      <c r="J92" s="762"/>
      <c r="K92" s="786"/>
      <c r="L92" s="762"/>
      <c r="M92" s="762"/>
      <c r="N92" s="762"/>
      <c r="O92" s="762"/>
      <c r="P92" s="762"/>
      <c r="Q92" s="762"/>
      <c r="R92" s="762"/>
      <c r="S92" s="762"/>
      <c r="T92" s="762"/>
      <c r="U92" s="762"/>
      <c r="V92" s="762"/>
      <c r="W92" s="762"/>
      <c r="X92" s="762"/>
      <c r="Y92" s="762"/>
      <c r="Z92" s="762"/>
      <c r="AA92" s="762"/>
      <c r="AB92" s="762"/>
      <c r="AC92" s="762"/>
      <c r="AD92" s="762"/>
      <c r="AE92" s="762"/>
      <c r="AF92" s="762"/>
      <c r="AG92" s="762"/>
      <c r="AH92" s="762"/>
      <c r="AI92" s="762"/>
      <c r="AJ92" s="762"/>
    </row>
    <row r="93" spans="2:36" s="53" customFormat="1" ht="18" customHeight="1">
      <c r="B93" s="2579"/>
      <c r="C93" s="764" t="s">
        <v>3482</v>
      </c>
      <c r="D93" s="772">
        <f t="shared" si="22"/>
        <v>0</v>
      </c>
      <c r="E93" s="773">
        <f t="shared" si="23"/>
        <v>0</v>
      </c>
      <c r="F93" s="762"/>
      <c r="G93" s="762"/>
      <c r="H93" s="762"/>
      <c r="I93" s="762"/>
      <c r="J93" s="762"/>
      <c r="K93" s="786"/>
      <c r="L93" s="762"/>
      <c r="M93" s="762"/>
      <c r="N93" s="762"/>
      <c r="O93" s="762"/>
      <c r="P93" s="762"/>
      <c r="Q93" s="762"/>
      <c r="R93" s="762"/>
      <c r="S93" s="762"/>
      <c r="T93" s="762"/>
      <c r="U93" s="762"/>
      <c r="V93" s="762"/>
      <c r="W93" s="762"/>
      <c r="X93" s="762"/>
      <c r="Y93" s="762"/>
      <c r="Z93" s="762"/>
      <c r="AA93" s="762"/>
      <c r="AB93" s="762"/>
      <c r="AC93" s="762"/>
      <c r="AD93" s="762"/>
      <c r="AE93" s="762"/>
      <c r="AF93" s="762"/>
      <c r="AG93" s="762"/>
      <c r="AH93" s="762"/>
      <c r="AI93" s="762"/>
      <c r="AJ93" s="762"/>
    </row>
    <row r="94" spans="2:36" s="53" customFormat="1" ht="18" customHeight="1">
      <c r="B94" s="2579"/>
      <c r="C94" s="764" t="s">
        <v>3483</v>
      </c>
      <c r="D94" s="772">
        <f t="shared" si="22"/>
        <v>0</v>
      </c>
      <c r="E94" s="773">
        <f t="shared" si="23"/>
        <v>0</v>
      </c>
      <c r="F94" s="772"/>
      <c r="G94" s="772"/>
      <c r="H94" s="762"/>
      <c r="I94" s="762"/>
      <c r="J94" s="762"/>
      <c r="K94" s="786"/>
      <c r="L94" s="762"/>
      <c r="M94" s="762"/>
      <c r="N94" s="762"/>
      <c r="O94" s="762"/>
      <c r="P94" s="762"/>
      <c r="Q94" s="762"/>
      <c r="R94" s="762"/>
      <c r="S94" s="762"/>
      <c r="T94" s="762"/>
      <c r="U94" s="762"/>
      <c r="V94" s="762"/>
      <c r="W94" s="762"/>
      <c r="X94" s="762"/>
      <c r="Y94" s="762"/>
      <c r="Z94" s="762"/>
      <c r="AA94" s="762"/>
      <c r="AB94" s="762"/>
      <c r="AC94" s="762"/>
      <c r="AD94" s="762"/>
      <c r="AE94" s="762"/>
      <c r="AF94" s="762"/>
      <c r="AG94" s="762"/>
      <c r="AH94" s="762"/>
      <c r="AI94" s="762"/>
      <c r="AJ94" s="762"/>
    </row>
    <row r="95" spans="2:36" s="53" customFormat="1" ht="18" customHeight="1">
      <c r="B95" s="2579"/>
      <c r="C95" s="764" t="s">
        <v>3484</v>
      </c>
      <c r="D95" s="772">
        <f t="shared" si="22"/>
        <v>0</v>
      </c>
      <c r="E95" s="773">
        <f t="shared" si="23"/>
        <v>0</v>
      </c>
      <c r="F95" s="762"/>
      <c r="G95" s="762"/>
      <c r="H95" s="762"/>
      <c r="I95" s="762"/>
      <c r="J95" s="762"/>
      <c r="K95" s="786"/>
      <c r="L95" s="762"/>
      <c r="M95" s="762"/>
      <c r="N95" s="762"/>
      <c r="O95" s="762"/>
      <c r="P95" s="762"/>
      <c r="Q95" s="762"/>
      <c r="R95" s="762"/>
      <c r="S95" s="762"/>
      <c r="T95" s="762"/>
      <c r="U95" s="762"/>
      <c r="V95" s="762"/>
      <c r="W95" s="762"/>
      <c r="X95" s="762"/>
      <c r="Y95" s="762"/>
      <c r="Z95" s="762"/>
      <c r="AA95" s="762"/>
      <c r="AB95" s="762"/>
      <c r="AC95" s="762"/>
      <c r="AD95" s="762"/>
      <c r="AE95" s="762"/>
      <c r="AF95" s="762"/>
      <c r="AG95" s="762"/>
      <c r="AH95" s="762"/>
      <c r="AI95" s="762"/>
      <c r="AJ95" s="762"/>
    </row>
    <row r="96" spans="2:36" s="53" customFormat="1" ht="18" customHeight="1">
      <c r="B96" s="2579"/>
      <c r="C96" s="764" t="s">
        <v>3485</v>
      </c>
      <c r="D96" s="772">
        <f t="shared" si="22"/>
        <v>0</v>
      </c>
      <c r="E96" s="773">
        <f t="shared" si="23"/>
        <v>0</v>
      </c>
      <c r="F96" s="762"/>
      <c r="G96" s="762"/>
      <c r="H96" s="762"/>
      <c r="I96" s="762"/>
      <c r="J96" s="762"/>
      <c r="K96" s="786"/>
      <c r="L96" s="762"/>
      <c r="M96" s="762"/>
      <c r="N96" s="762"/>
      <c r="O96" s="762"/>
      <c r="P96" s="762"/>
      <c r="Q96" s="762"/>
      <c r="R96" s="762"/>
      <c r="S96" s="762"/>
      <c r="T96" s="762"/>
      <c r="U96" s="762"/>
      <c r="V96" s="762"/>
      <c r="W96" s="762"/>
      <c r="X96" s="762"/>
      <c r="Y96" s="762"/>
      <c r="Z96" s="762"/>
      <c r="AA96" s="762"/>
      <c r="AB96" s="762"/>
      <c r="AC96" s="762"/>
      <c r="AD96" s="762"/>
      <c r="AE96" s="762"/>
      <c r="AF96" s="762"/>
      <c r="AG96" s="762"/>
      <c r="AH96" s="762"/>
      <c r="AI96" s="762"/>
      <c r="AJ96" s="762"/>
    </row>
    <row r="97" spans="2:36" s="53" customFormat="1" ht="18" customHeight="1">
      <c r="B97" s="2579"/>
      <c r="C97" s="764" t="s">
        <v>3486</v>
      </c>
      <c r="D97" s="772">
        <f t="shared" si="22"/>
        <v>0</v>
      </c>
      <c r="E97" s="773">
        <f t="shared" si="23"/>
        <v>0</v>
      </c>
      <c r="F97" s="762"/>
      <c r="G97" s="762"/>
      <c r="H97" s="762"/>
      <c r="I97" s="762"/>
      <c r="J97" s="762"/>
      <c r="K97" s="786"/>
      <c r="L97" s="762"/>
      <c r="M97" s="762"/>
      <c r="N97" s="762"/>
      <c r="O97" s="762"/>
      <c r="P97" s="762"/>
      <c r="Q97" s="762"/>
      <c r="R97" s="762"/>
      <c r="S97" s="762"/>
      <c r="T97" s="762"/>
      <c r="U97" s="762"/>
      <c r="V97" s="762"/>
      <c r="W97" s="762"/>
      <c r="X97" s="762"/>
      <c r="Y97" s="762"/>
      <c r="Z97" s="762"/>
      <c r="AA97" s="762"/>
      <c r="AB97" s="762"/>
      <c r="AC97" s="762"/>
      <c r="AD97" s="762"/>
      <c r="AE97" s="762"/>
      <c r="AF97" s="762"/>
      <c r="AG97" s="762"/>
      <c r="AH97" s="762"/>
      <c r="AI97" s="762"/>
      <c r="AJ97" s="762"/>
    </row>
    <row r="98" spans="2:36" s="53" customFormat="1" ht="18" customHeight="1">
      <c r="B98" s="2579"/>
      <c r="C98" s="764" t="s">
        <v>3487</v>
      </c>
      <c r="D98" s="772">
        <f t="shared" si="22"/>
        <v>0</v>
      </c>
      <c r="E98" s="773">
        <f t="shared" si="23"/>
        <v>0</v>
      </c>
      <c r="F98" s="762"/>
      <c r="G98" s="762"/>
      <c r="H98" s="762"/>
      <c r="I98" s="762"/>
      <c r="J98" s="762"/>
      <c r="K98" s="786"/>
      <c r="L98" s="762"/>
      <c r="M98" s="762"/>
      <c r="N98" s="762"/>
      <c r="O98" s="762"/>
      <c r="P98" s="762"/>
      <c r="Q98" s="762"/>
      <c r="R98" s="762"/>
      <c r="S98" s="762"/>
      <c r="T98" s="762"/>
      <c r="U98" s="762"/>
      <c r="V98" s="762"/>
      <c r="W98" s="762"/>
      <c r="X98" s="762"/>
      <c r="Y98" s="762"/>
      <c r="Z98" s="762"/>
      <c r="AA98" s="762"/>
      <c r="AB98" s="762"/>
      <c r="AC98" s="762"/>
      <c r="AD98" s="762"/>
      <c r="AE98" s="762"/>
      <c r="AF98" s="762"/>
      <c r="AG98" s="762"/>
      <c r="AH98" s="762"/>
      <c r="AI98" s="762"/>
      <c r="AJ98" s="762"/>
    </row>
    <row r="99" spans="2:36" s="53" customFormat="1" ht="18" customHeight="1">
      <c r="B99" s="2579"/>
      <c r="C99" s="426" t="s">
        <v>3488</v>
      </c>
      <c r="D99" s="772">
        <f>SUM(H99:AH99)</f>
        <v>0</v>
      </c>
      <c r="E99" s="773">
        <f>SUM(AI99:AJ99)</f>
        <v>0</v>
      </c>
      <c r="F99" s="762"/>
      <c r="G99" s="762"/>
      <c r="H99" s="762"/>
      <c r="I99" s="762"/>
      <c r="J99" s="762"/>
      <c r="K99" s="786"/>
      <c r="L99" s="762"/>
      <c r="M99" s="762"/>
      <c r="N99" s="762"/>
      <c r="O99" s="762"/>
      <c r="P99" s="762"/>
      <c r="Q99" s="762"/>
      <c r="R99" s="762"/>
      <c r="S99" s="762"/>
      <c r="T99" s="762"/>
      <c r="U99" s="762"/>
      <c r="V99" s="762"/>
      <c r="W99" s="762"/>
      <c r="X99" s="762"/>
      <c r="Y99" s="762"/>
      <c r="Z99" s="762"/>
      <c r="AA99" s="762"/>
      <c r="AB99" s="762"/>
      <c r="AC99" s="762"/>
      <c r="AD99" s="762"/>
      <c r="AE99" s="762"/>
      <c r="AF99" s="762"/>
      <c r="AG99" s="762"/>
      <c r="AH99" s="762"/>
      <c r="AI99" s="762"/>
      <c r="AJ99" s="762"/>
    </row>
    <row r="100" spans="2:36" s="53" customFormat="1" ht="18" customHeight="1">
      <c r="B100" s="2579"/>
      <c r="C100" s="426" t="s">
        <v>3489</v>
      </c>
      <c r="D100" s="772">
        <f t="shared" si="22"/>
        <v>0</v>
      </c>
      <c r="E100" s="773">
        <f t="shared" si="23"/>
        <v>0</v>
      </c>
      <c r="F100" s="762"/>
      <c r="G100" s="762"/>
      <c r="H100" s="762"/>
      <c r="I100" s="762"/>
      <c r="J100" s="762"/>
      <c r="K100" s="786"/>
      <c r="L100" s="762"/>
      <c r="M100" s="762"/>
      <c r="N100" s="762"/>
      <c r="O100" s="762"/>
      <c r="P100" s="762"/>
      <c r="Q100" s="762"/>
      <c r="R100" s="762"/>
      <c r="S100" s="762"/>
      <c r="T100" s="762"/>
      <c r="U100" s="762"/>
      <c r="V100" s="762"/>
      <c r="W100" s="762"/>
      <c r="X100" s="762"/>
      <c r="Y100" s="762"/>
      <c r="Z100" s="762"/>
      <c r="AA100" s="762"/>
      <c r="AB100" s="762"/>
      <c r="AC100" s="762"/>
      <c r="AD100" s="762"/>
      <c r="AE100" s="762"/>
      <c r="AF100" s="762"/>
      <c r="AG100" s="762"/>
      <c r="AH100" s="762"/>
      <c r="AI100" s="762"/>
      <c r="AJ100" s="762"/>
    </row>
    <row r="101" spans="2:36" s="53" customFormat="1" ht="18" customHeight="1">
      <c r="B101" s="2579"/>
      <c r="C101" s="426" t="s">
        <v>3447</v>
      </c>
      <c r="D101" s="772">
        <f t="shared" si="22"/>
        <v>0</v>
      </c>
      <c r="E101" s="773">
        <f t="shared" si="23"/>
        <v>0</v>
      </c>
      <c r="F101" s="762"/>
      <c r="G101" s="762"/>
      <c r="H101" s="762"/>
      <c r="I101" s="762"/>
      <c r="J101" s="762"/>
      <c r="K101" s="786"/>
      <c r="L101" s="762"/>
      <c r="M101" s="762"/>
      <c r="N101" s="762"/>
      <c r="O101" s="762"/>
      <c r="P101" s="762"/>
      <c r="Q101" s="762"/>
      <c r="R101" s="762"/>
      <c r="S101" s="762"/>
      <c r="T101" s="762"/>
      <c r="U101" s="762"/>
      <c r="V101" s="762"/>
      <c r="W101" s="762"/>
      <c r="X101" s="762"/>
      <c r="Y101" s="762"/>
      <c r="Z101" s="762"/>
      <c r="AA101" s="762"/>
      <c r="AB101" s="762"/>
      <c r="AC101" s="762"/>
      <c r="AD101" s="762"/>
      <c r="AE101" s="762"/>
      <c r="AF101" s="762"/>
      <c r="AG101" s="762"/>
      <c r="AH101" s="762"/>
      <c r="AI101" s="762"/>
      <c r="AJ101" s="762"/>
    </row>
    <row r="102" spans="2:36" s="53" customFormat="1" ht="18" customHeight="1">
      <c r="B102" s="2579"/>
      <c r="C102" s="426" t="s">
        <v>3447</v>
      </c>
      <c r="D102" s="772">
        <f t="shared" si="22"/>
        <v>0</v>
      </c>
      <c r="E102" s="773">
        <f t="shared" si="23"/>
        <v>0</v>
      </c>
      <c r="F102" s="762"/>
      <c r="G102" s="762"/>
      <c r="H102" s="762"/>
      <c r="I102" s="762"/>
      <c r="J102" s="762"/>
      <c r="K102" s="786"/>
      <c r="L102" s="762"/>
      <c r="M102" s="762"/>
      <c r="N102" s="762"/>
      <c r="O102" s="762"/>
      <c r="P102" s="762"/>
      <c r="Q102" s="762"/>
      <c r="R102" s="762"/>
      <c r="S102" s="762"/>
      <c r="T102" s="762"/>
      <c r="U102" s="762"/>
      <c r="V102" s="762"/>
      <c r="W102" s="762"/>
      <c r="X102" s="762"/>
      <c r="Y102" s="762"/>
      <c r="Z102" s="762"/>
      <c r="AA102" s="762"/>
      <c r="AB102" s="762"/>
      <c r="AC102" s="762"/>
      <c r="AD102" s="762"/>
      <c r="AE102" s="762"/>
      <c r="AF102" s="762"/>
      <c r="AG102" s="762"/>
      <c r="AH102" s="762"/>
      <c r="AI102" s="762"/>
      <c r="AJ102" s="762"/>
    </row>
    <row r="103" spans="2:36" s="53" customFormat="1" ht="18" customHeight="1">
      <c r="B103" s="2579"/>
      <c r="C103" s="426" t="s">
        <v>3447</v>
      </c>
      <c r="D103" s="772">
        <f t="shared" si="22"/>
        <v>0</v>
      </c>
      <c r="E103" s="773">
        <f t="shared" si="23"/>
        <v>0</v>
      </c>
      <c r="F103" s="762"/>
      <c r="G103" s="762"/>
      <c r="H103" s="762"/>
      <c r="I103" s="762"/>
      <c r="J103" s="762"/>
      <c r="K103" s="786"/>
      <c r="L103" s="762"/>
      <c r="M103" s="762"/>
      <c r="N103" s="762"/>
      <c r="O103" s="762"/>
      <c r="P103" s="762"/>
      <c r="Q103" s="762"/>
      <c r="R103" s="762"/>
      <c r="S103" s="762"/>
      <c r="T103" s="762"/>
      <c r="U103" s="762"/>
      <c r="V103" s="762"/>
      <c r="W103" s="762"/>
      <c r="X103" s="762"/>
      <c r="Y103" s="762"/>
      <c r="Z103" s="762"/>
      <c r="AA103" s="762"/>
      <c r="AB103" s="762"/>
      <c r="AC103" s="762"/>
      <c r="AD103" s="762"/>
      <c r="AE103" s="762"/>
      <c r="AF103" s="762"/>
      <c r="AG103" s="762"/>
      <c r="AH103" s="762"/>
      <c r="AI103" s="762"/>
      <c r="AJ103" s="762"/>
    </row>
    <row r="104" spans="2:36" s="335" customFormat="1" ht="18" customHeight="1">
      <c r="B104" s="2580"/>
      <c r="C104" s="426" t="s">
        <v>3447</v>
      </c>
      <c r="D104" s="772">
        <f t="shared" si="22"/>
        <v>0</v>
      </c>
      <c r="E104" s="773">
        <f t="shared" si="23"/>
        <v>0</v>
      </c>
      <c r="F104" s="762"/>
      <c r="G104" s="762"/>
      <c r="H104" s="762"/>
      <c r="I104" s="762"/>
      <c r="J104" s="762"/>
      <c r="K104" s="786"/>
      <c r="L104" s="762"/>
      <c r="M104" s="762"/>
      <c r="N104" s="762"/>
      <c r="O104" s="762"/>
      <c r="P104" s="762"/>
      <c r="Q104" s="762"/>
      <c r="R104" s="762"/>
      <c r="S104" s="762"/>
      <c r="T104" s="762"/>
      <c r="U104" s="762"/>
      <c r="V104" s="762"/>
      <c r="W104" s="762"/>
      <c r="X104" s="762"/>
      <c r="Y104" s="762"/>
      <c r="Z104" s="762"/>
      <c r="AA104" s="762"/>
      <c r="AB104" s="762"/>
      <c r="AC104" s="762"/>
      <c r="AD104" s="762"/>
      <c r="AE104" s="762"/>
      <c r="AF104" s="762"/>
      <c r="AG104" s="762"/>
      <c r="AH104" s="762"/>
      <c r="AI104" s="762"/>
      <c r="AJ104" s="762"/>
    </row>
    <row r="105" spans="2:36" s="53" customFormat="1" ht="18" customHeight="1">
      <c r="C105" s="769"/>
      <c r="D105" s="784"/>
      <c r="E105" s="784"/>
      <c r="F105" s="784"/>
      <c r="G105" s="784"/>
      <c r="H105" s="784"/>
      <c r="I105" s="784"/>
      <c r="J105" s="784"/>
      <c r="K105" s="784"/>
      <c r="L105" s="784"/>
      <c r="M105" s="784"/>
      <c r="N105" s="784"/>
      <c r="O105" s="784"/>
      <c r="P105" s="784"/>
      <c r="Q105" s="784"/>
      <c r="R105" s="784"/>
      <c r="S105" s="784"/>
      <c r="T105" s="784"/>
      <c r="U105" s="784"/>
      <c r="V105" s="784"/>
      <c r="W105" s="784"/>
      <c r="X105" s="784"/>
      <c r="Y105" s="784"/>
      <c r="Z105" s="784"/>
      <c r="AA105" s="784"/>
      <c r="AB105" s="784"/>
      <c r="AC105" s="784"/>
      <c r="AD105" s="784"/>
      <c r="AE105" s="784"/>
      <c r="AF105" s="784"/>
      <c r="AG105" s="784"/>
      <c r="AH105" s="784"/>
      <c r="AI105" s="784"/>
      <c r="AJ105" s="784"/>
    </row>
    <row r="106" spans="2:36" s="53" customFormat="1" ht="18" customHeight="1">
      <c r="B106" s="2578" t="s">
        <v>3490</v>
      </c>
      <c r="C106" s="764" t="s">
        <v>3491</v>
      </c>
      <c r="D106" s="772">
        <f t="shared" ref="D106:D111" si="24">SUM(H106:AH106)</f>
        <v>1000000</v>
      </c>
      <c r="E106" s="773">
        <f t="shared" ref="E106:E111" si="25">SUM(AI106:AJ106)</f>
        <v>0</v>
      </c>
      <c r="F106" s="762"/>
      <c r="G106" s="762"/>
      <c r="H106" s="762">
        <v>1000000</v>
      </c>
      <c r="I106" s="762"/>
      <c r="J106" s="762"/>
      <c r="K106" s="786"/>
      <c r="L106" s="762"/>
      <c r="M106" s="762"/>
      <c r="N106" s="762"/>
      <c r="O106" s="762"/>
      <c r="P106" s="762"/>
      <c r="Q106" s="762"/>
      <c r="R106" s="762"/>
      <c r="S106" s="762"/>
      <c r="T106" s="762"/>
      <c r="U106" s="762"/>
      <c r="V106" s="762"/>
      <c r="W106" s="762"/>
      <c r="X106" s="762"/>
      <c r="Y106" s="762"/>
      <c r="Z106" s="762"/>
      <c r="AA106" s="762"/>
      <c r="AB106" s="762"/>
      <c r="AC106" s="762"/>
      <c r="AD106" s="762"/>
      <c r="AE106" s="762"/>
      <c r="AF106" s="762"/>
      <c r="AG106" s="762"/>
      <c r="AH106" s="762"/>
      <c r="AI106" s="762"/>
      <c r="AJ106" s="762"/>
    </row>
    <row r="107" spans="2:36" s="53" customFormat="1" ht="18" customHeight="1">
      <c r="B107" s="2579"/>
      <c r="C107" s="764" t="s">
        <v>3492</v>
      </c>
      <c r="D107" s="772">
        <f t="shared" si="24"/>
        <v>0</v>
      </c>
      <c r="E107" s="773">
        <f t="shared" si="25"/>
        <v>0</v>
      </c>
      <c r="F107" s="762"/>
      <c r="G107" s="762"/>
      <c r="H107" s="762"/>
      <c r="I107" s="762"/>
      <c r="J107" s="762"/>
      <c r="K107" s="786"/>
      <c r="L107" s="762"/>
      <c r="M107" s="762"/>
      <c r="N107" s="762"/>
      <c r="O107" s="762"/>
      <c r="P107" s="762"/>
      <c r="Q107" s="762"/>
      <c r="R107" s="762"/>
      <c r="S107" s="762"/>
      <c r="T107" s="762"/>
      <c r="U107" s="762"/>
      <c r="V107" s="762"/>
      <c r="W107" s="762"/>
      <c r="X107" s="762"/>
      <c r="Y107" s="762"/>
      <c r="Z107" s="762"/>
      <c r="AA107" s="762"/>
      <c r="AB107" s="762"/>
      <c r="AC107" s="762"/>
      <c r="AD107" s="762"/>
      <c r="AE107" s="762"/>
      <c r="AF107" s="762"/>
      <c r="AG107" s="762"/>
      <c r="AH107" s="762"/>
      <c r="AI107" s="762"/>
      <c r="AJ107" s="762"/>
    </row>
    <row r="108" spans="2:36" s="53" customFormat="1" ht="18" customHeight="1">
      <c r="B108" s="2579"/>
      <c r="C108" s="764" t="s">
        <v>3493</v>
      </c>
      <c r="D108" s="772">
        <f t="shared" si="24"/>
        <v>0</v>
      </c>
      <c r="E108" s="773">
        <f t="shared" si="25"/>
        <v>0</v>
      </c>
      <c r="F108" s="762"/>
      <c r="G108" s="762"/>
      <c r="H108" s="762"/>
      <c r="I108" s="762"/>
      <c r="J108" s="762"/>
      <c r="K108" s="786"/>
      <c r="L108" s="762"/>
      <c r="M108" s="762"/>
      <c r="N108" s="762"/>
      <c r="O108" s="762"/>
      <c r="P108" s="762"/>
      <c r="Q108" s="762"/>
      <c r="R108" s="762"/>
      <c r="S108" s="762"/>
      <c r="T108" s="762"/>
      <c r="U108" s="762"/>
      <c r="V108" s="762"/>
      <c r="W108" s="762"/>
      <c r="X108" s="762"/>
      <c r="Y108" s="762"/>
      <c r="Z108" s="762"/>
      <c r="AA108" s="762"/>
      <c r="AB108" s="762"/>
      <c r="AC108" s="762"/>
      <c r="AD108" s="762"/>
      <c r="AE108" s="762"/>
      <c r="AF108" s="762"/>
      <c r="AG108" s="762"/>
      <c r="AH108" s="762"/>
      <c r="AI108" s="762"/>
      <c r="AJ108" s="762"/>
    </row>
    <row r="109" spans="2:36" s="53" customFormat="1" ht="18" customHeight="1">
      <c r="B109" s="2579"/>
      <c r="C109" s="764" t="s">
        <v>3494</v>
      </c>
      <c r="D109" s="772">
        <f t="shared" si="24"/>
        <v>0</v>
      </c>
      <c r="E109" s="773">
        <f t="shared" si="25"/>
        <v>0</v>
      </c>
      <c r="F109" s="762"/>
      <c r="G109" s="762"/>
      <c r="H109" s="762"/>
      <c r="I109" s="762"/>
      <c r="J109" s="762"/>
      <c r="K109" s="786"/>
      <c r="L109" s="762"/>
      <c r="M109" s="762"/>
      <c r="N109" s="762"/>
      <c r="O109" s="762"/>
      <c r="P109" s="762"/>
      <c r="Q109" s="762"/>
      <c r="R109" s="762"/>
      <c r="S109" s="762"/>
      <c r="T109" s="762"/>
      <c r="U109" s="762"/>
      <c r="V109" s="762"/>
      <c r="W109" s="762"/>
      <c r="X109" s="762"/>
      <c r="Y109" s="762"/>
      <c r="Z109" s="762"/>
      <c r="AA109" s="762"/>
      <c r="AB109" s="762"/>
      <c r="AC109" s="762"/>
      <c r="AD109" s="762"/>
      <c r="AE109" s="762"/>
      <c r="AF109" s="762"/>
      <c r="AG109" s="762"/>
      <c r="AH109" s="762"/>
      <c r="AI109" s="762"/>
      <c r="AJ109" s="762"/>
    </row>
    <row r="110" spans="2:36" s="53" customFormat="1" ht="18" customHeight="1">
      <c r="B110" s="2579"/>
      <c r="C110" s="764" t="s">
        <v>3495</v>
      </c>
      <c r="D110" s="772">
        <f>SUM(H110:AH110)</f>
        <v>0</v>
      </c>
      <c r="E110" s="773">
        <f>SUM(AI110:AJ110)</f>
        <v>0</v>
      </c>
      <c r="F110" s="762"/>
      <c r="G110" s="762"/>
      <c r="H110" s="762"/>
      <c r="I110" s="762"/>
      <c r="J110" s="762"/>
      <c r="K110" s="786"/>
      <c r="L110" s="762"/>
      <c r="M110" s="762"/>
      <c r="N110" s="762"/>
      <c r="O110" s="762"/>
      <c r="P110" s="762"/>
      <c r="Q110" s="762"/>
      <c r="R110" s="762"/>
      <c r="S110" s="762"/>
      <c r="T110" s="762"/>
      <c r="U110" s="762"/>
      <c r="V110" s="762"/>
      <c r="W110" s="762"/>
      <c r="X110" s="762"/>
      <c r="Y110" s="762"/>
      <c r="Z110" s="762"/>
      <c r="AA110" s="762"/>
      <c r="AB110" s="762"/>
      <c r="AC110" s="762"/>
      <c r="AD110" s="762"/>
      <c r="AE110" s="762"/>
      <c r="AF110" s="762"/>
      <c r="AG110" s="762"/>
      <c r="AH110" s="762"/>
      <c r="AI110" s="762"/>
      <c r="AJ110" s="762"/>
    </row>
    <row r="111" spans="2:36" s="597" customFormat="1" ht="18" customHeight="1">
      <c r="B111" s="2580"/>
      <c r="C111" s="426" t="s">
        <v>3447</v>
      </c>
      <c r="D111" s="772">
        <f t="shared" si="24"/>
        <v>0</v>
      </c>
      <c r="E111" s="773">
        <f t="shared" si="25"/>
        <v>0</v>
      </c>
      <c r="F111" s="762"/>
      <c r="G111" s="762"/>
      <c r="H111" s="762"/>
      <c r="I111" s="762"/>
      <c r="J111" s="762"/>
      <c r="K111" s="786"/>
      <c r="L111" s="762"/>
      <c r="M111" s="762"/>
      <c r="N111" s="762"/>
      <c r="O111" s="762"/>
      <c r="P111" s="762"/>
      <c r="Q111" s="762"/>
      <c r="R111" s="762"/>
      <c r="S111" s="762"/>
      <c r="T111" s="762"/>
      <c r="U111" s="762"/>
      <c r="V111" s="762"/>
      <c r="W111" s="762"/>
      <c r="X111" s="762"/>
      <c r="Y111" s="762"/>
      <c r="Z111" s="762"/>
      <c r="AA111" s="762"/>
      <c r="AB111" s="762"/>
      <c r="AC111" s="762"/>
      <c r="AD111" s="762"/>
      <c r="AE111" s="762"/>
      <c r="AF111" s="762"/>
      <c r="AG111" s="762"/>
      <c r="AH111" s="762"/>
      <c r="AI111" s="762"/>
      <c r="AJ111" s="762"/>
    </row>
    <row r="112" spans="2:36" s="597" customFormat="1" ht="18" customHeight="1">
      <c r="C112" s="770"/>
      <c r="D112" s="781"/>
      <c r="E112" s="782"/>
      <c r="F112" s="777"/>
      <c r="G112" s="777"/>
      <c r="H112" s="777"/>
      <c r="I112" s="777"/>
      <c r="J112" s="777"/>
      <c r="K112" s="777"/>
      <c r="L112" s="777"/>
      <c r="M112" s="777"/>
      <c r="N112" s="777"/>
      <c r="O112" s="777"/>
      <c r="P112" s="777"/>
      <c r="Q112" s="777"/>
      <c r="R112" s="777"/>
      <c r="S112" s="777"/>
      <c r="T112" s="777"/>
      <c r="U112" s="777"/>
      <c r="V112" s="777"/>
      <c r="W112" s="777"/>
      <c r="X112" s="777"/>
      <c r="Y112" s="777"/>
      <c r="Z112" s="777"/>
      <c r="AA112" s="777"/>
      <c r="AB112" s="777"/>
      <c r="AC112" s="777"/>
      <c r="AD112" s="777"/>
      <c r="AE112" s="777"/>
      <c r="AF112" s="777"/>
      <c r="AG112" s="777"/>
      <c r="AH112" s="777"/>
      <c r="AI112" s="777"/>
      <c r="AJ112" s="777"/>
    </row>
    <row r="113" spans="1:36" s="597" customFormat="1" ht="18" customHeight="1">
      <c r="B113" s="598" t="s">
        <v>3496</v>
      </c>
      <c r="C113" s="771"/>
      <c r="D113" s="781"/>
      <c r="E113" s="782"/>
      <c r="F113" s="777"/>
      <c r="G113" s="777"/>
      <c r="H113" s="777"/>
      <c r="I113" s="777"/>
      <c r="J113" s="777"/>
      <c r="K113" s="777"/>
      <c r="L113" s="777"/>
      <c r="M113" s="777"/>
      <c r="N113" s="777"/>
      <c r="O113" s="777"/>
      <c r="P113" s="777"/>
      <c r="Q113" s="777"/>
      <c r="R113" s="777"/>
      <c r="S113" s="777"/>
      <c r="T113" s="777"/>
      <c r="U113" s="777"/>
      <c r="V113" s="777"/>
      <c r="W113" s="777"/>
      <c r="X113" s="777"/>
      <c r="Y113" s="777"/>
      <c r="Z113" s="777"/>
      <c r="AA113" s="777"/>
      <c r="AB113" s="777"/>
      <c r="AC113" s="777"/>
      <c r="AD113" s="777"/>
      <c r="AE113" s="777"/>
      <c r="AF113" s="777"/>
      <c r="AG113" s="777"/>
      <c r="AH113" s="777"/>
      <c r="AI113" s="777"/>
      <c r="AJ113" s="777"/>
    </row>
    <row r="114" spans="1:36" ht="15" customHeight="1">
      <c r="A114" s="60"/>
      <c r="B114" s="1285"/>
      <c r="C114" s="771"/>
      <c r="D114" s="781"/>
      <c r="E114" s="782"/>
      <c r="F114" s="777"/>
      <c r="G114" s="777"/>
      <c r="H114" s="777"/>
      <c r="I114" s="777"/>
      <c r="J114" s="777"/>
      <c r="K114" s="777"/>
      <c r="L114" s="777"/>
      <c r="M114" s="777"/>
      <c r="N114" s="777"/>
      <c r="O114" s="777"/>
      <c r="P114" s="777"/>
      <c r="Q114" s="777"/>
      <c r="R114" s="777"/>
      <c r="S114" s="777"/>
      <c r="T114" s="777"/>
      <c r="U114" s="777"/>
      <c r="V114" s="777"/>
      <c r="W114" s="777"/>
      <c r="X114" s="777"/>
      <c r="Y114" s="777"/>
      <c r="Z114" s="777"/>
      <c r="AA114" s="777"/>
      <c r="AB114" s="777"/>
      <c r="AC114" s="777"/>
      <c r="AD114" s="777"/>
      <c r="AE114" s="777"/>
      <c r="AF114" s="777"/>
      <c r="AG114" s="777"/>
      <c r="AH114" s="777"/>
      <c r="AI114" s="777"/>
      <c r="AJ114" s="777"/>
    </row>
    <row r="115" spans="1:36" ht="36" customHeight="1">
      <c r="A115" s="1285"/>
      <c r="B115" s="2578" t="s">
        <v>3497</v>
      </c>
      <c r="C115" s="764" t="s">
        <v>3498</v>
      </c>
      <c r="D115" s="772">
        <f>SUM(H115:AH115)</f>
        <v>0</v>
      </c>
      <c r="E115" s="773">
        <f t="shared" ref="E115" si="26">SUM(AI115:AJ115)</f>
        <v>0</v>
      </c>
      <c r="F115" s="786"/>
      <c r="G115" s="786"/>
      <c r="H115" s="762"/>
      <c r="I115" s="762"/>
      <c r="J115" s="762"/>
      <c r="K115" s="762"/>
      <c r="L115" s="762"/>
      <c r="M115" s="762"/>
      <c r="N115" s="762"/>
      <c r="O115" s="762"/>
      <c r="P115" s="762"/>
      <c r="Q115" s="762"/>
      <c r="R115" s="762"/>
      <c r="S115" s="762"/>
      <c r="T115" s="762"/>
      <c r="U115" s="762"/>
      <c r="V115" s="762"/>
      <c r="W115" s="762"/>
      <c r="X115" s="762"/>
      <c r="Y115" s="762"/>
      <c r="Z115" s="762"/>
      <c r="AA115" s="762"/>
      <c r="AB115" s="762"/>
      <c r="AC115" s="762"/>
      <c r="AD115" s="762"/>
      <c r="AE115" s="762"/>
      <c r="AF115" s="762"/>
      <c r="AG115" s="762"/>
      <c r="AH115" s="762"/>
      <c r="AI115" s="762"/>
      <c r="AJ115" s="762"/>
    </row>
    <row r="116" spans="1:36" s="66" customFormat="1" ht="18" customHeight="1">
      <c r="B116" s="2580"/>
      <c r="C116" s="426" t="s">
        <v>3447</v>
      </c>
      <c r="D116" s="772">
        <f t="shared" ref="D116:D179" si="27">SUM(H116:AH116)</f>
        <v>0</v>
      </c>
      <c r="E116" s="773">
        <f t="shared" ref="E116:E179" si="28">SUM(AI116:AJ116)</f>
        <v>0</v>
      </c>
      <c r="F116" s="786"/>
      <c r="G116" s="786"/>
      <c r="H116" s="762"/>
      <c r="I116" s="762"/>
      <c r="J116" s="762"/>
      <c r="K116" s="762"/>
      <c r="L116" s="762"/>
      <c r="M116" s="762"/>
      <c r="N116" s="762"/>
      <c r="O116" s="762"/>
      <c r="P116" s="762"/>
      <c r="Q116" s="762"/>
      <c r="R116" s="762"/>
      <c r="S116" s="762"/>
      <c r="T116" s="762"/>
      <c r="U116" s="762"/>
      <c r="V116" s="762"/>
      <c r="W116" s="762"/>
      <c r="X116" s="762"/>
      <c r="Y116" s="762"/>
      <c r="Z116" s="762"/>
      <c r="AA116" s="762"/>
      <c r="AB116" s="762"/>
      <c r="AC116" s="762"/>
      <c r="AD116" s="762"/>
      <c r="AE116" s="762"/>
      <c r="AF116" s="762"/>
      <c r="AG116" s="762"/>
      <c r="AH116" s="762"/>
      <c r="AI116" s="762"/>
      <c r="AJ116" s="762"/>
    </row>
    <row r="117" spans="1:36" ht="18" customHeight="1">
      <c r="A117" s="1285"/>
      <c r="B117" s="1285"/>
      <c r="C117" s="767"/>
      <c r="D117" s="781"/>
      <c r="E117" s="782"/>
      <c r="F117" s="777"/>
      <c r="G117" s="777"/>
      <c r="H117" s="777"/>
      <c r="I117" s="777"/>
      <c r="J117" s="777"/>
      <c r="K117" s="777"/>
      <c r="L117" s="777"/>
      <c r="M117" s="777"/>
      <c r="N117" s="777"/>
      <c r="O117" s="777"/>
      <c r="P117" s="777"/>
      <c r="Q117" s="777"/>
      <c r="R117" s="777"/>
      <c r="S117" s="777"/>
      <c r="T117" s="777"/>
      <c r="U117" s="777"/>
      <c r="V117" s="777"/>
      <c r="W117" s="777"/>
      <c r="X117" s="777"/>
      <c r="Y117" s="777"/>
      <c r="Z117" s="777"/>
      <c r="AA117" s="777"/>
      <c r="AB117" s="777"/>
      <c r="AC117" s="777"/>
      <c r="AD117" s="777"/>
      <c r="AE117" s="777"/>
      <c r="AF117" s="777"/>
      <c r="AG117" s="777"/>
      <c r="AH117" s="777"/>
      <c r="AI117" s="777"/>
      <c r="AJ117" s="777"/>
    </row>
    <row r="118" spans="1:36" ht="18" customHeight="1">
      <c r="A118" s="1285"/>
      <c r="B118" s="2578" t="s">
        <v>3499</v>
      </c>
      <c r="C118" s="764" t="s">
        <v>3500</v>
      </c>
      <c r="D118" s="772">
        <f t="shared" si="27"/>
        <v>1254</v>
      </c>
      <c r="E118" s="773">
        <f t="shared" si="28"/>
        <v>0</v>
      </c>
      <c r="F118" s="786"/>
      <c r="G118" s="786"/>
      <c r="H118" s="762"/>
      <c r="I118" s="762"/>
      <c r="J118" s="762"/>
      <c r="K118" s="762">
        <v>1254</v>
      </c>
      <c r="L118" s="762"/>
      <c r="M118" s="762"/>
      <c r="N118" s="762"/>
      <c r="O118" s="762"/>
      <c r="P118" s="762"/>
      <c r="Q118" s="762"/>
      <c r="R118" s="762"/>
      <c r="S118" s="762"/>
      <c r="T118" s="762"/>
      <c r="U118" s="762"/>
      <c r="V118" s="762"/>
      <c r="W118" s="762"/>
      <c r="X118" s="762"/>
      <c r="Y118" s="762"/>
      <c r="Z118" s="762"/>
      <c r="AA118" s="762"/>
      <c r="AB118" s="762"/>
      <c r="AC118" s="762"/>
      <c r="AD118" s="762"/>
      <c r="AE118" s="762"/>
      <c r="AF118" s="762"/>
      <c r="AG118" s="762"/>
      <c r="AH118" s="762"/>
      <c r="AI118" s="762"/>
      <c r="AJ118" s="762"/>
    </row>
    <row r="119" spans="1:36" ht="18" customHeight="1">
      <c r="A119" s="1285"/>
      <c r="B119" s="2579"/>
      <c r="C119" s="764" t="s">
        <v>3432</v>
      </c>
      <c r="D119" s="772">
        <f t="shared" si="27"/>
        <v>456456</v>
      </c>
      <c r="E119" s="773">
        <f t="shared" si="28"/>
        <v>0</v>
      </c>
      <c r="F119" s="786"/>
      <c r="G119" s="786"/>
      <c r="H119" s="762"/>
      <c r="I119" s="762"/>
      <c r="J119" s="762"/>
      <c r="K119" s="762">
        <v>456456</v>
      </c>
      <c r="L119" s="762"/>
      <c r="M119" s="762"/>
      <c r="N119" s="762"/>
      <c r="O119" s="762"/>
      <c r="P119" s="762"/>
      <c r="Q119" s="762"/>
      <c r="R119" s="762"/>
      <c r="S119" s="762"/>
      <c r="T119" s="762"/>
      <c r="U119" s="762"/>
      <c r="V119" s="762"/>
      <c r="W119" s="762"/>
      <c r="X119" s="762"/>
      <c r="Y119" s="762"/>
      <c r="Z119" s="762"/>
      <c r="AA119" s="762"/>
      <c r="AB119" s="762"/>
      <c r="AC119" s="762"/>
      <c r="AD119" s="762"/>
      <c r="AE119" s="762"/>
      <c r="AF119" s="762"/>
      <c r="AG119" s="762"/>
      <c r="AH119" s="762"/>
      <c r="AI119" s="762"/>
      <c r="AJ119" s="762"/>
    </row>
    <row r="120" spans="1:36" ht="18" customHeight="1">
      <c r="A120" s="1285"/>
      <c r="B120" s="2579"/>
      <c r="C120" s="764" t="s">
        <v>3501</v>
      </c>
      <c r="D120" s="772">
        <f t="shared" si="27"/>
        <v>45642</v>
      </c>
      <c r="E120" s="773">
        <f t="shared" si="28"/>
        <v>0</v>
      </c>
      <c r="F120" s="786"/>
      <c r="G120" s="786"/>
      <c r="H120" s="762"/>
      <c r="I120" s="762"/>
      <c r="J120" s="762"/>
      <c r="K120" s="762">
        <v>45642</v>
      </c>
      <c r="L120" s="762"/>
      <c r="M120" s="762"/>
      <c r="N120" s="762"/>
      <c r="O120" s="762"/>
      <c r="P120" s="762"/>
      <c r="Q120" s="762"/>
      <c r="R120" s="762"/>
      <c r="S120" s="762"/>
      <c r="T120" s="762"/>
      <c r="U120" s="762"/>
      <c r="V120" s="762"/>
      <c r="W120" s="762"/>
      <c r="X120" s="762"/>
      <c r="Y120" s="762"/>
      <c r="Z120" s="762"/>
      <c r="AA120" s="762"/>
      <c r="AB120" s="762"/>
      <c r="AC120" s="762"/>
      <c r="AD120" s="762"/>
      <c r="AE120" s="762"/>
      <c r="AF120" s="762"/>
      <c r="AG120" s="762"/>
      <c r="AH120" s="762"/>
      <c r="AI120" s="762"/>
      <c r="AJ120" s="762"/>
    </row>
    <row r="121" spans="1:36" ht="18" customHeight="1">
      <c r="A121" s="1285"/>
      <c r="B121" s="2579"/>
      <c r="C121" s="764" t="s">
        <v>3502</v>
      </c>
      <c r="D121" s="772">
        <f t="shared" si="27"/>
        <v>0</v>
      </c>
      <c r="E121" s="773">
        <f t="shared" si="28"/>
        <v>0</v>
      </c>
      <c r="F121" s="786"/>
      <c r="G121" s="786"/>
      <c r="H121" s="762"/>
      <c r="I121" s="762"/>
      <c r="J121" s="762"/>
      <c r="K121" s="762"/>
      <c r="L121" s="762"/>
      <c r="M121" s="762"/>
      <c r="N121" s="762"/>
      <c r="O121" s="762"/>
      <c r="P121" s="762"/>
      <c r="Q121" s="762"/>
      <c r="R121" s="762"/>
      <c r="S121" s="762"/>
      <c r="T121" s="762"/>
      <c r="U121" s="762"/>
      <c r="V121" s="762"/>
      <c r="W121" s="762"/>
      <c r="X121" s="762"/>
      <c r="Y121" s="762"/>
      <c r="Z121" s="762"/>
      <c r="AA121" s="762"/>
      <c r="AB121" s="762"/>
      <c r="AC121" s="762"/>
      <c r="AD121" s="762"/>
      <c r="AE121" s="762"/>
      <c r="AF121" s="762"/>
      <c r="AG121" s="762"/>
      <c r="AH121" s="762"/>
      <c r="AI121" s="762"/>
      <c r="AJ121" s="762"/>
    </row>
    <row r="122" spans="1:36" ht="18" customHeight="1">
      <c r="A122" s="1285"/>
      <c r="B122" s="2579"/>
      <c r="C122" s="764" t="s">
        <v>3503</v>
      </c>
      <c r="D122" s="772">
        <f t="shared" si="27"/>
        <v>456456</v>
      </c>
      <c r="E122" s="773">
        <f t="shared" si="28"/>
        <v>0</v>
      </c>
      <c r="F122" s="786"/>
      <c r="G122" s="786"/>
      <c r="H122" s="762"/>
      <c r="I122" s="762"/>
      <c r="J122" s="762"/>
      <c r="K122" s="762">
        <v>456456</v>
      </c>
      <c r="L122" s="762"/>
      <c r="M122" s="762"/>
      <c r="N122" s="762"/>
      <c r="O122" s="762"/>
      <c r="P122" s="762"/>
      <c r="Q122" s="762"/>
      <c r="R122" s="762"/>
      <c r="S122" s="762"/>
      <c r="T122" s="762"/>
      <c r="U122" s="762"/>
      <c r="V122" s="762"/>
      <c r="W122" s="762"/>
      <c r="X122" s="762"/>
      <c r="Y122" s="762"/>
      <c r="Z122" s="762"/>
      <c r="AA122" s="762"/>
      <c r="AB122" s="762"/>
      <c r="AC122" s="762"/>
      <c r="AD122" s="762"/>
      <c r="AE122" s="762"/>
      <c r="AF122" s="762"/>
      <c r="AG122" s="762"/>
      <c r="AH122" s="762"/>
      <c r="AI122" s="762"/>
      <c r="AJ122" s="762"/>
    </row>
    <row r="123" spans="1:36" ht="18" customHeight="1">
      <c r="A123" s="1285"/>
      <c r="B123" s="2579"/>
      <c r="C123" s="764" t="s">
        <v>3504</v>
      </c>
      <c r="D123" s="772">
        <f t="shared" si="27"/>
        <v>0</v>
      </c>
      <c r="E123" s="773">
        <f t="shared" si="28"/>
        <v>0</v>
      </c>
      <c r="F123" s="786"/>
      <c r="G123" s="786"/>
      <c r="H123" s="762"/>
      <c r="I123" s="762"/>
      <c r="J123" s="762"/>
      <c r="K123" s="762"/>
      <c r="L123" s="762"/>
      <c r="M123" s="762"/>
      <c r="N123" s="762"/>
      <c r="O123" s="762"/>
      <c r="P123" s="762"/>
      <c r="Q123" s="762"/>
      <c r="R123" s="762"/>
      <c r="S123" s="762"/>
      <c r="T123" s="762"/>
      <c r="U123" s="762"/>
      <c r="V123" s="762"/>
      <c r="W123" s="762"/>
      <c r="X123" s="762"/>
      <c r="Y123" s="762"/>
      <c r="Z123" s="762"/>
      <c r="AA123" s="762"/>
      <c r="AB123" s="762"/>
      <c r="AC123" s="762"/>
      <c r="AD123" s="762"/>
      <c r="AE123" s="762"/>
      <c r="AF123" s="762"/>
      <c r="AG123" s="762"/>
      <c r="AH123" s="762"/>
      <c r="AI123" s="762"/>
      <c r="AJ123" s="762"/>
    </row>
    <row r="124" spans="1:36" ht="18" customHeight="1">
      <c r="A124" s="1285"/>
      <c r="B124" s="2579"/>
      <c r="C124" s="764" t="s">
        <v>3505</v>
      </c>
      <c r="D124" s="772">
        <f t="shared" si="27"/>
        <v>45645</v>
      </c>
      <c r="E124" s="773">
        <f t="shared" si="28"/>
        <v>0</v>
      </c>
      <c r="F124" s="786"/>
      <c r="G124" s="786"/>
      <c r="H124" s="762"/>
      <c r="I124" s="762"/>
      <c r="J124" s="762"/>
      <c r="K124" s="762">
        <v>45645</v>
      </c>
      <c r="L124" s="762"/>
      <c r="M124" s="762"/>
      <c r="N124" s="762"/>
      <c r="O124" s="762"/>
      <c r="P124" s="762"/>
      <c r="Q124" s="762"/>
      <c r="R124" s="762"/>
      <c r="S124" s="762"/>
      <c r="T124" s="762"/>
      <c r="U124" s="762"/>
      <c r="V124" s="762"/>
      <c r="W124" s="762"/>
      <c r="X124" s="762"/>
      <c r="Y124" s="762"/>
      <c r="Z124" s="762"/>
      <c r="AA124" s="762"/>
      <c r="AB124" s="762"/>
      <c r="AC124" s="762"/>
      <c r="AD124" s="762"/>
      <c r="AE124" s="762"/>
      <c r="AF124" s="762"/>
      <c r="AG124" s="762"/>
      <c r="AH124" s="762"/>
      <c r="AI124" s="762"/>
      <c r="AJ124" s="762"/>
    </row>
    <row r="125" spans="1:36" ht="18" customHeight="1">
      <c r="A125" s="1285"/>
      <c r="B125" s="2579"/>
      <c r="C125" s="426" t="s">
        <v>3447</v>
      </c>
      <c r="D125" s="772">
        <f t="shared" si="27"/>
        <v>0</v>
      </c>
      <c r="E125" s="773">
        <f t="shared" si="28"/>
        <v>0</v>
      </c>
      <c r="F125" s="786"/>
      <c r="G125" s="786"/>
      <c r="H125" s="762"/>
      <c r="I125" s="762"/>
      <c r="J125" s="762"/>
      <c r="K125" s="762"/>
      <c r="L125" s="762"/>
      <c r="M125" s="762"/>
      <c r="N125" s="762"/>
      <c r="O125" s="762"/>
      <c r="P125" s="762"/>
      <c r="Q125" s="762"/>
      <c r="R125" s="762"/>
      <c r="S125" s="762"/>
      <c r="T125" s="762"/>
      <c r="U125" s="762"/>
      <c r="V125" s="762"/>
      <c r="W125" s="762"/>
      <c r="X125" s="762"/>
      <c r="Y125" s="762"/>
      <c r="Z125" s="762"/>
      <c r="AA125" s="762"/>
      <c r="AB125" s="762"/>
      <c r="AC125" s="762"/>
      <c r="AD125" s="762"/>
      <c r="AE125" s="762"/>
      <c r="AF125" s="762"/>
      <c r="AG125" s="762"/>
      <c r="AH125" s="762"/>
      <c r="AI125" s="762"/>
      <c r="AJ125" s="762"/>
    </row>
    <row r="126" spans="1:36" ht="18" customHeight="1">
      <c r="A126" s="1285"/>
      <c r="B126" s="2580"/>
      <c r="C126" s="426" t="s">
        <v>3447</v>
      </c>
      <c r="D126" s="778">
        <f t="shared" si="27"/>
        <v>0</v>
      </c>
      <c r="E126" s="779">
        <f t="shared" si="28"/>
        <v>0</v>
      </c>
      <c r="F126" s="787"/>
      <c r="G126" s="787"/>
      <c r="H126" s="780"/>
      <c r="I126" s="780"/>
      <c r="J126" s="780"/>
      <c r="K126" s="780"/>
      <c r="L126" s="780"/>
      <c r="M126" s="780"/>
      <c r="N126" s="780"/>
      <c r="O126" s="780"/>
      <c r="P126" s="780"/>
      <c r="Q126" s="780"/>
      <c r="R126" s="780"/>
      <c r="S126" s="780"/>
      <c r="T126" s="780"/>
      <c r="U126" s="780"/>
      <c r="V126" s="780"/>
      <c r="W126" s="780"/>
      <c r="X126" s="780"/>
      <c r="Y126" s="780"/>
      <c r="Z126" s="780"/>
      <c r="AA126" s="780"/>
      <c r="AB126" s="780"/>
      <c r="AC126" s="780"/>
      <c r="AD126" s="780"/>
      <c r="AE126" s="780"/>
      <c r="AF126" s="780"/>
      <c r="AG126" s="780"/>
      <c r="AH126" s="780"/>
      <c r="AI126" s="780"/>
      <c r="AJ126" s="780"/>
    </row>
    <row r="127" spans="1:36" ht="18" customHeight="1">
      <c r="A127" s="1285"/>
      <c r="B127" s="1285"/>
      <c r="C127" s="55"/>
      <c r="D127" s="788"/>
      <c r="E127" s="789"/>
      <c r="F127" s="790"/>
      <c r="G127" s="790"/>
      <c r="H127" s="790"/>
      <c r="I127" s="790"/>
      <c r="J127" s="790"/>
      <c r="K127" s="790"/>
      <c r="L127" s="790"/>
      <c r="M127" s="790"/>
      <c r="N127" s="790"/>
      <c r="O127" s="790"/>
      <c r="P127" s="790"/>
      <c r="Q127" s="790"/>
      <c r="R127" s="790"/>
      <c r="S127" s="790"/>
      <c r="T127" s="790"/>
      <c r="U127" s="790"/>
      <c r="V127" s="790"/>
      <c r="W127" s="790"/>
      <c r="X127" s="790"/>
      <c r="Y127" s="790"/>
      <c r="Z127" s="790"/>
      <c r="AA127" s="790"/>
      <c r="AB127" s="790"/>
      <c r="AC127" s="790"/>
      <c r="AD127" s="790"/>
      <c r="AE127" s="790"/>
      <c r="AF127" s="790"/>
      <c r="AG127" s="790"/>
      <c r="AH127" s="790"/>
      <c r="AI127" s="790"/>
      <c r="AJ127" s="790"/>
    </row>
    <row r="128" spans="1:36" ht="18" customHeight="1">
      <c r="A128" s="1285"/>
      <c r="B128" s="2584" t="s">
        <v>3506</v>
      </c>
      <c r="C128" s="764" t="s">
        <v>3507</v>
      </c>
      <c r="D128" s="791">
        <f t="shared" si="27"/>
        <v>54645</v>
      </c>
      <c r="E128" s="792">
        <f t="shared" si="28"/>
        <v>0</v>
      </c>
      <c r="F128" s="793"/>
      <c r="G128" s="793"/>
      <c r="H128" s="794"/>
      <c r="I128" s="794"/>
      <c r="J128" s="794"/>
      <c r="K128" s="794">
        <v>54645</v>
      </c>
      <c r="L128" s="794"/>
      <c r="M128" s="794"/>
      <c r="N128" s="794"/>
      <c r="O128" s="794"/>
      <c r="P128" s="794"/>
      <c r="Q128" s="794"/>
      <c r="R128" s="794"/>
      <c r="S128" s="794"/>
      <c r="T128" s="794"/>
      <c r="U128" s="794"/>
      <c r="V128" s="794"/>
      <c r="W128" s="794"/>
      <c r="X128" s="794"/>
      <c r="Y128" s="794"/>
      <c r="Z128" s="794"/>
      <c r="AA128" s="794"/>
      <c r="AB128" s="794"/>
      <c r="AC128" s="794"/>
      <c r="AD128" s="794"/>
      <c r="AE128" s="794"/>
      <c r="AF128" s="794"/>
      <c r="AG128" s="794"/>
      <c r="AH128" s="794"/>
      <c r="AI128" s="794"/>
      <c r="AJ128" s="794"/>
    </row>
    <row r="129" spans="2:36" ht="18" customHeight="1">
      <c r="B129" s="2584"/>
      <c r="C129" s="764" t="s">
        <v>3508</v>
      </c>
      <c r="D129" s="772">
        <f t="shared" si="27"/>
        <v>456456</v>
      </c>
      <c r="E129" s="773">
        <f t="shared" si="28"/>
        <v>0</v>
      </c>
      <c r="F129" s="786"/>
      <c r="G129" s="786"/>
      <c r="H129" s="762"/>
      <c r="I129" s="762"/>
      <c r="J129" s="762"/>
      <c r="K129" s="762">
        <v>456456</v>
      </c>
      <c r="L129" s="762"/>
      <c r="M129" s="762"/>
      <c r="N129" s="762"/>
      <c r="O129" s="762"/>
      <c r="P129" s="762"/>
      <c r="Q129" s="762"/>
      <c r="R129" s="762"/>
      <c r="S129" s="762"/>
      <c r="T129" s="762"/>
      <c r="U129" s="762"/>
      <c r="V129" s="762"/>
      <c r="W129" s="762"/>
      <c r="X129" s="762"/>
      <c r="Y129" s="762"/>
      <c r="Z129" s="762"/>
      <c r="AA129" s="762"/>
      <c r="AB129" s="762"/>
      <c r="AC129" s="762"/>
      <c r="AD129" s="762"/>
      <c r="AE129" s="762"/>
      <c r="AF129" s="762"/>
      <c r="AG129" s="762"/>
      <c r="AH129" s="762"/>
      <c r="AI129" s="762"/>
      <c r="AJ129" s="762"/>
    </row>
    <row r="130" spans="2:36" ht="18" customHeight="1">
      <c r="B130" s="2584"/>
      <c r="C130" s="764" t="s">
        <v>3509</v>
      </c>
      <c r="D130" s="772">
        <f t="shared" si="27"/>
        <v>121378</v>
      </c>
      <c r="E130" s="773">
        <f t="shared" si="28"/>
        <v>0</v>
      </c>
      <c r="F130" s="786"/>
      <c r="G130" s="786"/>
      <c r="H130" s="762"/>
      <c r="I130" s="762"/>
      <c r="J130" s="762"/>
      <c r="K130" s="762">
        <v>121378</v>
      </c>
      <c r="L130" s="762"/>
      <c r="M130" s="762"/>
      <c r="N130" s="762"/>
      <c r="O130" s="762"/>
      <c r="P130" s="762"/>
      <c r="Q130" s="762"/>
      <c r="R130" s="762"/>
      <c r="S130" s="762"/>
      <c r="T130" s="762"/>
      <c r="U130" s="762"/>
      <c r="V130" s="762"/>
      <c r="W130" s="762"/>
      <c r="X130" s="762"/>
      <c r="Y130" s="762"/>
      <c r="Z130" s="762"/>
      <c r="AA130" s="762"/>
      <c r="AB130" s="762"/>
      <c r="AC130" s="762"/>
      <c r="AD130" s="762"/>
      <c r="AE130" s="762"/>
      <c r="AF130" s="762"/>
      <c r="AG130" s="762"/>
      <c r="AH130" s="762"/>
      <c r="AI130" s="762"/>
      <c r="AJ130" s="762"/>
    </row>
    <row r="131" spans="2:36" ht="18" customHeight="1">
      <c r="B131" s="2584"/>
      <c r="C131" s="764" t="s">
        <v>3510</v>
      </c>
      <c r="D131" s="772">
        <f t="shared" si="27"/>
        <v>134588</v>
      </c>
      <c r="E131" s="773">
        <f t="shared" si="28"/>
        <v>0</v>
      </c>
      <c r="F131" s="786"/>
      <c r="G131" s="786"/>
      <c r="H131" s="762"/>
      <c r="I131" s="762"/>
      <c r="J131" s="762"/>
      <c r="K131" s="762">
        <v>134588</v>
      </c>
      <c r="L131" s="762"/>
      <c r="M131" s="762"/>
      <c r="N131" s="762"/>
      <c r="O131" s="762"/>
      <c r="P131" s="762"/>
      <c r="Q131" s="762"/>
      <c r="R131" s="762"/>
      <c r="S131" s="762"/>
      <c r="T131" s="762"/>
      <c r="U131" s="762"/>
      <c r="V131" s="762"/>
      <c r="W131" s="762"/>
      <c r="X131" s="762"/>
      <c r="Y131" s="762"/>
      <c r="Z131" s="762"/>
      <c r="AA131" s="762"/>
      <c r="AB131" s="762"/>
      <c r="AC131" s="762"/>
      <c r="AD131" s="762"/>
      <c r="AE131" s="762"/>
      <c r="AF131" s="762"/>
      <c r="AG131" s="762"/>
      <c r="AH131" s="762"/>
      <c r="AI131" s="762"/>
      <c r="AJ131" s="762"/>
    </row>
    <row r="132" spans="2:36" ht="18" customHeight="1">
      <c r="B132" s="2584"/>
      <c r="C132" s="764" t="s">
        <v>3511</v>
      </c>
      <c r="D132" s="772">
        <f t="shared" si="27"/>
        <v>1345677</v>
      </c>
      <c r="E132" s="773">
        <f t="shared" si="28"/>
        <v>0</v>
      </c>
      <c r="F132" s="786"/>
      <c r="G132" s="786"/>
      <c r="H132" s="762"/>
      <c r="I132" s="762"/>
      <c r="J132" s="762"/>
      <c r="K132" s="762">
        <v>1345677</v>
      </c>
      <c r="L132" s="762"/>
      <c r="M132" s="762"/>
      <c r="N132" s="762"/>
      <c r="O132" s="762"/>
      <c r="P132" s="762"/>
      <c r="Q132" s="762"/>
      <c r="R132" s="762"/>
      <c r="S132" s="762"/>
      <c r="T132" s="762"/>
      <c r="U132" s="762"/>
      <c r="V132" s="762"/>
      <c r="W132" s="762"/>
      <c r="X132" s="762"/>
      <c r="Y132" s="762"/>
      <c r="Z132" s="762"/>
      <c r="AA132" s="762"/>
      <c r="AB132" s="762"/>
      <c r="AC132" s="762"/>
      <c r="AD132" s="762"/>
      <c r="AE132" s="762"/>
      <c r="AF132" s="762"/>
      <c r="AG132" s="762"/>
      <c r="AH132" s="762"/>
      <c r="AI132" s="762"/>
      <c r="AJ132" s="762"/>
    </row>
    <row r="133" spans="2:36" ht="18" customHeight="1">
      <c r="B133" s="2584"/>
      <c r="C133" s="764" t="s">
        <v>3512</v>
      </c>
      <c r="D133" s="772">
        <f t="shared" si="27"/>
        <v>0</v>
      </c>
      <c r="E133" s="773">
        <f t="shared" si="28"/>
        <v>0</v>
      </c>
      <c r="F133" s="786"/>
      <c r="G133" s="786"/>
      <c r="H133" s="762"/>
      <c r="I133" s="762"/>
      <c r="J133" s="762"/>
      <c r="K133" s="762"/>
      <c r="L133" s="762"/>
      <c r="M133" s="762"/>
      <c r="N133" s="762"/>
      <c r="O133" s="762"/>
      <c r="P133" s="762"/>
      <c r="Q133" s="762"/>
      <c r="R133" s="762"/>
      <c r="S133" s="762"/>
      <c r="T133" s="762"/>
      <c r="U133" s="762"/>
      <c r="V133" s="762"/>
      <c r="W133" s="762"/>
      <c r="X133" s="762"/>
      <c r="Y133" s="762"/>
      <c r="Z133" s="762"/>
      <c r="AA133" s="762"/>
      <c r="AB133" s="762"/>
      <c r="AC133" s="762"/>
      <c r="AD133" s="762"/>
      <c r="AE133" s="762"/>
      <c r="AF133" s="762"/>
      <c r="AG133" s="762"/>
      <c r="AH133" s="762"/>
      <c r="AI133" s="762"/>
      <c r="AJ133" s="762"/>
    </row>
    <row r="134" spans="2:36" ht="18" customHeight="1">
      <c r="B134" s="2584"/>
      <c r="C134" s="426" t="s">
        <v>3447</v>
      </c>
      <c r="D134" s="778">
        <f t="shared" si="27"/>
        <v>0</v>
      </c>
      <c r="E134" s="779">
        <f t="shared" si="28"/>
        <v>0</v>
      </c>
      <c r="F134" s="787"/>
      <c r="G134" s="787"/>
      <c r="H134" s="780"/>
      <c r="I134" s="780"/>
      <c r="J134" s="780"/>
      <c r="K134" s="780"/>
      <c r="L134" s="780"/>
      <c r="M134" s="780"/>
      <c r="N134" s="780"/>
      <c r="O134" s="780"/>
      <c r="P134" s="780"/>
      <c r="Q134" s="780"/>
      <c r="R134" s="780"/>
      <c r="S134" s="780"/>
      <c r="T134" s="780"/>
      <c r="U134" s="780"/>
      <c r="V134" s="780"/>
      <c r="W134" s="780"/>
      <c r="X134" s="780"/>
      <c r="Y134" s="780"/>
      <c r="Z134" s="780"/>
      <c r="AA134" s="780"/>
      <c r="AB134" s="780"/>
      <c r="AC134" s="780"/>
      <c r="AD134" s="780"/>
      <c r="AE134" s="780"/>
      <c r="AF134" s="780"/>
      <c r="AG134" s="780"/>
      <c r="AH134" s="780"/>
      <c r="AI134" s="780"/>
      <c r="AJ134" s="780"/>
    </row>
    <row r="135" spans="2:36" ht="18" customHeight="1">
      <c r="B135" s="1285"/>
      <c r="C135" s="55"/>
      <c r="D135" s="788"/>
      <c r="E135" s="789"/>
      <c r="F135" s="790"/>
      <c r="G135" s="790"/>
      <c r="H135" s="790"/>
      <c r="I135" s="790"/>
      <c r="J135" s="790"/>
      <c r="K135" s="790"/>
      <c r="L135" s="790"/>
      <c r="M135" s="790"/>
      <c r="N135" s="790"/>
      <c r="O135" s="790"/>
      <c r="P135" s="790"/>
      <c r="Q135" s="790"/>
      <c r="R135" s="790"/>
      <c r="S135" s="790"/>
      <c r="T135" s="790"/>
      <c r="U135" s="790"/>
      <c r="V135" s="790"/>
      <c r="W135" s="790"/>
      <c r="X135" s="790"/>
      <c r="Y135" s="790"/>
      <c r="Z135" s="790"/>
      <c r="AA135" s="790"/>
      <c r="AB135" s="790"/>
      <c r="AC135" s="790"/>
      <c r="AD135" s="790"/>
      <c r="AE135" s="790"/>
      <c r="AF135" s="790"/>
      <c r="AG135" s="790"/>
      <c r="AH135" s="790"/>
      <c r="AI135" s="790"/>
      <c r="AJ135" s="790"/>
    </row>
    <row r="136" spans="2:36" ht="18" customHeight="1">
      <c r="B136" s="2584" t="s">
        <v>3513</v>
      </c>
      <c r="C136" s="764" t="s">
        <v>3514</v>
      </c>
      <c r="D136" s="791">
        <f t="shared" si="27"/>
        <v>0</v>
      </c>
      <c r="E136" s="792">
        <f t="shared" si="28"/>
        <v>0</v>
      </c>
      <c r="F136" s="793"/>
      <c r="G136" s="793"/>
      <c r="H136" s="794"/>
      <c r="I136" s="794"/>
      <c r="J136" s="794"/>
      <c r="K136" s="794"/>
      <c r="L136" s="794"/>
      <c r="M136" s="794"/>
      <c r="N136" s="794"/>
      <c r="O136" s="794"/>
      <c r="P136" s="794"/>
      <c r="Q136" s="794"/>
      <c r="R136" s="794"/>
      <c r="S136" s="794"/>
      <c r="T136" s="794"/>
      <c r="U136" s="794"/>
      <c r="V136" s="794"/>
      <c r="W136" s="794"/>
      <c r="X136" s="794"/>
      <c r="Y136" s="794"/>
      <c r="Z136" s="794"/>
      <c r="AA136" s="794"/>
      <c r="AB136" s="794"/>
      <c r="AC136" s="794"/>
      <c r="AD136" s="794"/>
      <c r="AE136" s="794"/>
      <c r="AF136" s="794"/>
      <c r="AG136" s="794"/>
      <c r="AH136" s="794"/>
      <c r="AI136" s="794"/>
      <c r="AJ136" s="794"/>
    </row>
    <row r="137" spans="2:36" ht="18" customHeight="1">
      <c r="B137" s="2584"/>
      <c r="C137" s="764" t="s">
        <v>3515</v>
      </c>
      <c r="D137" s="772">
        <f t="shared" si="27"/>
        <v>0</v>
      </c>
      <c r="E137" s="773">
        <f t="shared" si="28"/>
        <v>0</v>
      </c>
      <c r="F137" s="786"/>
      <c r="G137" s="786"/>
      <c r="H137" s="762"/>
      <c r="I137" s="762"/>
      <c r="J137" s="762"/>
      <c r="K137" s="762"/>
      <c r="L137" s="762"/>
      <c r="M137" s="762"/>
      <c r="N137" s="762"/>
      <c r="O137" s="762"/>
      <c r="P137" s="762"/>
      <c r="Q137" s="762"/>
      <c r="R137" s="762"/>
      <c r="S137" s="762"/>
      <c r="T137" s="762"/>
      <c r="U137" s="762"/>
      <c r="V137" s="762"/>
      <c r="W137" s="762"/>
      <c r="X137" s="762"/>
      <c r="Y137" s="762"/>
      <c r="Z137" s="762"/>
      <c r="AA137" s="762"/>
      <c r="AB137" s="762"/>
      <c r="AC137" s="762"/>
      <c r="AD137" s="762"/>
      <c r="AE137" s="762"/>
      <c r="AF137" s="762"/>
      <c r="AG137" s="762"/>
      <c r="AH137" s="762"/>
      <c r="AI137" s="762"/>
      <c r="AJ137" s="762"/>
    </row>
    <row r="138" spans="2:36" ht="18" customHeight="1">
      <c r="B138" s="2584"/>
      <c r="C138" s="764" t="s">
        <v>3516</v>
      </c>
      <c r="D138" s="772">
        <f t="shared" si="27"/>
        <v>0</v>
      </c>
      <c r="E138" s="773">
        <f t="shared" si="28"/>
        <v>0</v>
      </c>
      <c r="F138" s="786"/>
      <c r="G138" s="786"/>
      <c r="H138" s="762"/>
      <c r="I138" s="762"/>
      <c r="J138" s="762"/>
      <c r="K138" s="762"/>
      <c r="L138" s="762"/>
      <c r="M138" s="762"/>
      <c r="N138" s="762"/>
      <c r="O138" s="762"/>
      <c r="P138" s="762"/>
      <c r="Q138" s="762"/>
      <c r="R138" s="762"/>
      <c r="S138" s="762"/>
      <c r="T138" s="762"/>
      <c r="U138" s="762"/>
      <c r="V138" s="762"/>
      <c r="W138" s="762"/>
      <c r="X138" s="762"/>
      <c r="Y138" s="762"/>
      <c r="Z138" s="762"/>
      <c r="AA138" s="762"/>
      <c r="AB138" s="762"/>
      <c r="AC138" s="762"/>
      <c r="AD138" s="762"/>
      <c r="AE138" s="762"/>
      <c r="AF138" s="762"/>
      <c r="AG138" s="762"/>
      <c r="AH138" s="762"/>
      <c r="AI138" s="762"/>
      <c r="AJ138" s="762"/>
    </row>
    <row r="139" spans="2:36" ht="18" customHeight="1">
      <c r="B139" s="2584"/>
      <c r="C139" s="764" t="s">
        <v>3517</v>
      </c>
      <c r="D139" s="772">
        <f t="shared" si="27"/>
        <v>0</v>
      </c>
      <c r="E139" s="773">
        <f t="shared" si="28"/>
        <v>0</v>
      </c>
      <c r="F139" s="786"/>
      <c r="G139" s="786"/>
      <c r="H139" s="762"/>
      <c r="I139" s="762"/>
      <c r="J139" s="762"/>
      <c r="K139" s="762"/>
      <c r="L139" s="762"/>
      <c r="M139" s="762"/>
      <c r="N139" s="762"/>
      <c r="O139" s="762"/>
      <c r="P139" s="762"/>
      <c r="Q139" s="762"/>
      <c r="R139" s="762"/>
      <c r="S139" s="762"/>
      <c r="T139" s="762"/>
      <c r="U139" s="762"/>
      <c r="V139" s="762"/>
      <c r="W139" s="762"/>
      <c r="X139" s="762"/>
      <c r="Y139" s="762"/>
      <c r="Z139" s="762"/>
      <c r="AA139" s="762"/>
      <c r="AB139" s="762"/>
      <c r="AC139" s="762"/>
      <c r="AD139" s="762"/>
      <c r="AE139" s="762"/>
      <c r="AF139" s="762"/>
      <c r="AG139" s="762"/>
      <c r="AH139" s="762"/>
      <c r="AI139" s="762"/>
      <c r="AJ139" s="762"/>
    </row>
    <row r="140" spans="2:36" ht="18" customHeight="1">
      <c r="B140" s="2584"/>
      <c r="C140" s="764" t="s">
        <v>3518</v>
      </c>
      <c r="D140" s="772">
        <f t="shared" si="27"/>
        <v>0</v>
      </c>
      <c r="E140" s="773">
        <f t="shared" si="28"/>
        <v>0</v>
      </c>
      <c r="F140" s="786"/>
      <c r="G140" s="786"/>
      <c r="H140" s="762"/>
      <c r="I140" s="762"/>
      <c r="J140" s="762"/>
      <c r="K140" s="762"/>
      <c r="L140" s="762"/>
      <c r="M140" s="762"/>
      <c r="N140" s="762"/>
      <c r="O140" s="762"/>
      <c r="P140" s="762"/>
      <c r="Q140" s="762"/>
      <c r="R140" s="762"/>
      <c r="S140" s="762"/>
      <c r="T140" s="762"/>
      <c r="U140" s="762"/>
      <c r="V140" s="762"/>
      <c r="W140" s="762"/>
      <c r="X140" s="762"/>
      <c r="Y140" s="762"/>
      <c r="Z140" s="762"/>
      <c r="AA140" s="762"/>
      <c r="AB140" s="762"/>
      <c r="AC140" s="762"/>
      <c r="AD140" s="762"/>
      <c r="AE140" s="762"/>
      <c r="AF140" s="762"/>
      <c r="AG140" s="762"/>
      <c r="AH140" s="762"/>
      <c r="AI140" s="762"/>
      <c r="AJ140" s="762"/>
    </row>
    <row r="141" spans="2:36" ht="18" customHeight="1">
      <c r="B141" s="2584"/>
      <c r="C141" s="764" t="s">
        <v>3519</v>
      </c>
      <c r="D141" s="772">
        <f t="shared" si="27"/>
        <v>0</v>
      </c>
      <c r="E141" s="773">
        <f t="shared" si="28"/>
        <v>0</v>
      </c>
      <c r="F141" s="786"/>
      <c r="G141" s="786"/>
      <c r="H141" s="762"/>
      <c r="I141" s="762"/>
      <c r="J141" s="762"/>
      <c r="K141" s="762"/>
      <c r="L141" s="762"/>
      <c r="M141" s="762"/>
      <c r="N141" s="762"/>
      <c r="O141" s="762"/>
      <c r="P141" s="762"/>
      <c r="Q141" s="762"/>
      <c r="R141" s="762"/>
      <c r="S141" s="762"/>
      <c r="T141" s="762"/>
      <c r="U141" s="762"/>
      <c r="V141" s="762"/>
      <c r="W141" s="762"/>
      <c r="X141" s="762"/>
      <c r="Y141" s="762"/>
      <c r="Z141" s="762"/>
      <c r="AA141" s="762"/>
      <c r="AB141" s="762"/>
      <c r="AC141" s="762"/>
      <c r="AD141" s="762"/>
      <c r="AE141" s="762"/>
      <c r="AF141" s="762"/>
      <c r="AG141" s="762"/>
      <c r="AH141" s="762"/>
      <c r="AI141" s="762"/>
      <c r="AJ141" s="762"/>
    </row>
    <row r="142" spans="2:36" ht="18" customHeight="1">
      <c r="B142" s="2584"/>
      <c r="C142" s="426" t="s">
        <v>3447</v>
      </c>
      <c r="D142" s="778">
        <f t="shared" si="27"/>
        <v>0</v>
      </c>
      <c r="E142" s="779">
        <f t="shared" si="28"/>
        <v>0</v>
      </c>
      <c r="F142" s="787"/>
      <c r="G142" s="787"/>
      <c r="H142" s="780"/>
      <c r="I142" s="780"/>
      <c r="J142" s="780"/>
      <c r="K142" s="780"/>
      <c r="L142" s="780"/>
      <c r="M142" s="780"/>
      <c r="N142" s="780"/>
      <c r="O142" s="780"/>
      <c r="P142" s="780"/>
      <c r="Q142" s="780"/>
      <c r="R142" s="780"/>
      <c r="S142" s="780"/>
      <c r="T142" s="780"/>
      <c r="U142" s="780"/>
      <c r="V142" s="780"/>
      <c r="W142" s="780"/>
      <c r="X142" s="780"/>
      <c r="Y142" s="780"/>
      <c r="Z142" s="780"/>
      <c r="AA142" s="780"/>
      <c r="AB142" s="780"/>
      <c r="AC142" s="780"/>
      <c r="AD142" s="780"/>
      <c r="AE142" s="780"/>
      <c r="AF142" s="780"/>
      <c r="AG142" s="780"/>
      <c r="AH142" s="780"/>
      <c r="AI142" s="780"/>
      <c r="AJ142" s="780"/>
    </row>
    <row r="143" spans="2:36" ht="18" customHeight="1">
      <c r="B143" s="1285"/>
      <c r="C143" s="55"/>
      <c r="D143" s="788"/>
      <c r="E143" s="789"/>
      <c r="F143" s="790"/>
      <c r="G143" s="790"/>
      <c r="H143" s="790"/>
      <c r="I143" s="790"/>
      <c r="J143" s="790"/>
      <c r="K143" s="790"/>
      <c r="L143" s="790"/>
      <c r="M143" s="790"/>
      <c r="N143" s="790"/>
      <c r="O143" s="790"/>
      <c r="P143" s="790"/>
      <c r="Q143" s="790"/>
      <c r="R143" s="790"/>
      <c r="S143" s="790"/>
      <c r="T143" s="790"/>
      <c r="U143" s="790"/>
      <c r="V143" s="790"/>
      <c r="W143" s="790"/>
      <c r="X143" s="790"/>
      <c r="Y143" s="790"/>
      <c r="Z143" s="790"/>
      <c r="AA143" s="790"/>
      <c r="AB143" s="790"/>
      <c r="AC143" s="790"/>
      <c r="AD143" s="790"/>
      <c r="AE143" s="790"/>
      <c r="AF143" s="790"/>
      <c r="AG143" s="790"/>
      <c r="AH143" s="790"/>
      <c r="AI143" s="790"/>
      <c r="AJ143" s="790"/>
    </row>
    <row r="144" spans="2:36" ht="18" customHeight="1">
      <c r="B144" s="2584" t="s">
        <v>3520</v>
      </c>
      <c r="C144" s="764" t="s">
        <v>3521</v>
      </c>
      <c r="D144" s="791">
        <f t="shared" si="27"/>
        <v>0</v>
      </c>
      <c r="E144" s="792">
        <f t="shared" si="28"/>
        <v>0</v>
      </c>
      <c r="F144" s="793"/>
      <c r="G144" s="793"/>
      <c r="H144" s="794"/>
      <c r="I144" s="794"/>
      <c r="J144" s="794"/>
      <c r="K144" s="794"/>
      <c r="L144" s="794"/>
      <c r="M144" s="794"/>
      <c r="N144" s="794"/>
      <c r="O144" s="794"/>
      <c r="P144" s="794"/>
      <c r="Q144" s="794"/>
      <c r="R144" s="794"/>
      <c r="S144" s="794"/>
      <c r="T144" s="794"/>
      <c r="U144" s="794"/>
      <c r="V144" s="794"/>
      <c r="W144" s="794"/>
      <c r="X144" s="794"/>
      <c r="Y144" s="794"/>
      <c r="Z144" s="794"/>
      <c r="AA144" s="794"/>
      <c r="AB144" s="794"/>
      <c r="AC144" s="794"/>
      <c r="AD144" s="794"/>
      <c r="AE144" s="794"/>
      <c r="AF144" s="794"/>
      <c r="AG144" s="794"/>
      <c r="AH144" s="794"/>
      <c r="AI144" s="794"/>
      <c r="AJ144" s="794"/>
    </row>
    <row r="145" spans="2:36" ht="18" customHeight="1">
      <c r="B145" s="2584"/>
      <c r="C145" s="764" t="s">
        <v>3522</v>
      </c>
      <c r="D145" s="772">
        <f t="shared" si="27"/>
        <v>0</v>
      </c>
      <c r="E145" s="773">
        <f t="shared" si="28"/>
        <v>0</v>
      </c>
      <c r="F145" s="786"/>
      <c r="G145" s="786"/>
      <c r="H145" s="762"/>
      <c r="I145" s="762"/>
      <c r="J145" s="762"/>
      <c r="K145" s="762"/>
      <c r="L145" s="762"/>
      <c r="M145" s="762"/>
      <c r="N145" s="762"/>
      <c r="O145" s="762"/>
      <c r="P145" s="762"/>
      <c r="Q145" s="762"/>
      <c r="R145" s="762"/>
      <c r="S145" s="762"/>
      <c r="T145" s="762"/>
      <c r="U145" s="762"/>
      <c r="V145" s="762"/>
      <c r="W145" s="762"/>
      <c r="X145" s="762"/>
      <c r="Y145" s="762"/>
      <c r="Z145" s="762"/>
      <c r="AA145" s="762"/>
      <c r="AB145" s="762"/>
      <c r="AC145" s="762"/>
      <c r="AD145" s="762"/>
      <c r="AE145" s="762"/>
      <c r="AF145" s="762"/>
      <c r="AG145" s="762"/>
      <c r="AH145" s="762"/>
      <c r="AI145" s="762"/>
      <c r="AJ145" s="762"/>
    </row>
    <row r="146" spans="2:36" ht="18" customHeight="1">
      <c r="B146" s="2584"/>
      <c r="C146" s="764" t="s">
        <v>3523</v>
      </c>
      <c r="D146" s="772">
        <f t="shared" si="27"/>
        <v>0</v>
      </c>
      <c r="E146" s="773">
        <f t="shared" si="28"/>
        <v>0</v>
      </c>
      <c r="F146" s="786"/>
      <c r="G146" s="786"/>
      <c r="H146" s="762"/>
      <c r="I146" s="762"/>
      <c r="J146" s="762"/>
      <c r="K146" s="762"/>
      <c r="L146" s="762"/>
      <c r="M146" s="762"/>
      <c r="N146" s="762"/>
      <c r="O146" s="762"/>
      <c r="P146" s="762"/>
      <c r="Q146" s="762"/>
      <c r="R146" s="762"/>
      <c r="S146" s="762"/>
      <c r="T146" s="762"/>
      <c r="U146" s="762"/>
      <c r="V146" s="762"/>
      <c r="W146" s="762"/>
      <c r="X146" s="762"/>
      <c r="Y146" s="762"/>
      <c r="Z146" s="762"/>
      <c r="AA146" s="762"/>
      <c r="AB146" s="762"/>
      <c r="AC146" s="762"/>
      <c r="AD146" s="762"/>
      <c r="AE146" s="762"/>
      <c r="AF146" s="762"/>
      <c r="AG146" s="762"/>
      <c r="AH146" s="762"/>
      <c r="AI146" s="762"/>
      <c r="AJ146" s="762"/>
    </row>
    <row r="147" spans="2:36" ht="18" customHeight="1">
      <c r="B147" s="2584"/>
      <c r="C147" s="764" t="s">
        <v>3450</v>
      </c>
      <c r="D147" s="772">
        <f t="shared" si="27"/>
        <v>0</v>
      </c>
      <c r="E147" s="773">
        <f t="shared" si="28"/>
        <v>0</v>
      </c>
      <c r="F147" s="786"/>
      <c r="G147" s="786"/>
      <c r="H147" s="762"/>
      <c r="I147" s="762"/>
      <c r="J147" s="762"/>
      <c r="K147" s="762"/>
      <c r="L147" s="762"/>
      <c r="M147" s="762"/>
      <c r="N147" s="762"/>
      <c r="O147" s="762"/>
      <c r="P147" s="762"/>
      <c r="Q147" s="762"/>
      <c r="R147" s="762"/>
      <c r="S147" s="762"/>
      <c r="T147" s="762"/>
      <c r="U147" s="762"/>
      <c r="V147" s="762"/>
      <c r="W147" s="762"/>
      <c r="X147" s="762"/>
      <c r="Y147" s="762"/>
      <c r="Z147" s="762"/>
      <c r="AA147" s="762"/>
      <c r="AB147" s="762"/>
      <c r="AC147" s="762"/>
      <c r="AD147" s="762"/>
      <c r="AE147" s="762"/>
      <c r="AF147" s="762"/>
      <c r="AG147" s="762"/>
      <c r="AH147" s="762"/>
      <c r="AI147" s="762"/>
      <c r="AJ147" s="762"/>
    </row>
    <row r="148" spans="2:36" ht="18" customHeight="1">
      <c r="B148" s="2584"/>
      <c r="C148" s="764" t="s">
        <v>3524</v>
      </c>
      <c r="D148" s="772">
        <f t="shared" si="27"/>
        <v>0</v>
      </c>
      <c r="E148" s="773">
        <f t="shared" si="28"/>
        <v>0</v>
      </c>
      <c r="F148" s="786"/>
      <c r="G148" s="786"/>
      <c r="H148" s="762"/>
      <c r="I148" s="762"/>
      <c r="J148" s="762"/>
      <c r="K148" s="762"/>
      <c r="L148" s="762"/>
      <c r="M148" s="762"/>
      <c r="N148" s="762"/>
      <c r="O148" s="762"/>
      <c r="P148" s="762"/>
      <c r="Q148" s="762"/>
      <c r="R148" s="762"/>
      <c r="S148" s="762"/>
      <c r="T148" s="762"/>
      <c r="U148" s="762"/>
      <c r="V148" s="762"/>
      <c r="W148" s="762"/>
      <c r="X148" s="762"/>
      <c r="Y148" s="762"/>
      <c r="Z148" s="762"/>
      <c r="AA148" s="762"/>
      <c r="AB148" s="762"/>
      <c r="AC148" s="762"/>
      <c r="AD148" s="762"/>
      <c r="AE148" s="762"/>
      <c r="AF148" s="762"/>
      <c r="AG148" s="762"/>
      <c r="AH148" s="762"/>
      <c r="AI148" s="762"/>
      <c r="AJ148" s="762"/>
    </row>
    <row r="149" spans="2:36" ht="18" customHeight="1">
      <c r="B149" s="2584"/>
      <c r="C149" s="764" t="s">
        <v>3525</v>
      </c>
      <c r="D149" s="772">
        <f t="shared" si="27"/>
        <v>0</v>
      </c>
      <c r="E149" s="773">
        <f t="shared" si="28"/>
        <v>0</v>
      </c>
      <c r="F149" s="786"/>
      <c r="G149" s="786"/>
      <c r="H149" s="762"/>
      <c r="I149" s="762"/>
      <c r="J149" s="762"/>
      <c r="K149" s="762"/>
      <c r="L149" s="762"/>
      <c r="M149" s="762"/>
      <c r="N149" s="762"/>
      <c r="O149" s="762"/>
      <c r="P149" s="762"/>
      <c r="Q149" s="762"/>
      <c r="R149" s="762"/>
      <c r="S149" s="762"/>
      <c r="T149" s="762"/>
      <c r="U149" s="762"/>
      <c r="V149" s="762"/>
      <c r="W149" s="762"/>
      <c r="X149" s="762"/>
      <c r="Y149" s="762"/>
      <c r="Z149" s="762"/>
      <c r="AA149" s="762"/>
      <c r="AB149" s="762"/>
      <c r="AC149" s="762"/>
      <c r="AD149" s="762"/>
      <c r="AE149" s="762"/>
      <c r="AF149" s="762"/>
      <c r="AG149" s="762"/>
      <c r="AH149" s="762"/>
      <c r="AI149" s="762"/>
      <c r="AJ149" s="762"/>
    </row>
    <row r="150" spans="2:36" ht="18" customHeight="1">
      <c r="B150" s="2584"/>
      <c r="C150" s="764" t="s">
        <v>3526</v>
      </c>
      <c r="D150" s="772">
        <f t="shared" si="27"/>
        <v>0</v>
      </c>
      <c r="E150" s="773">
        <f t="shared" si="28"/>
        <v>0</v>
      </c>
      <c r="F150" s="786"/>
      <c r="G150" s="786"/>
      <c r="H150" s="762"/>
      <c r="I150" s="762"/>
      <c r="J150" s="762"/>
      <c r="K150" s="762"/>
      <c r="L150" s="762"/>
      <c r="M150" s="762"/>
      <c r="N150" s="762"/>
      <c r="O150" s="762"/>
      <c r="P150" s="762"/>
      <c r="Q150" s="762"/>
      <c r="R150" s="762"/>
      <c r="S150" s="762"/>
      <c r="T150" s="762"/>
      <c r="U150" s="762"/>
      <c r="V150" s="762"/>
      <c r="W150" s="762"/>
      <c r="X150" s="762"/>
      <c r="Y150" s="762"/>
      <c r="Z150" s="762"/>
      <c r="AA150" s="762"/>
      <c r="AB150" s="762"/>
      <c r="AC150" s="762"/>
      <c r="AD150" s="762"/>
      <c r="AE150" s="762"/>
      <c r="AF150" s="762"/>
      <c r="AG150" s="762"/>
      <c r="AH150" s="762"/>
      <c r="AI150" s="762"/>
      <c r="AJ150" s="762"/>
    </row>
    <row r="151" spans="2:36" ht="18" customHeight="1">
      <c r="B151" s="2584"/>
      <c r="C151" s="764" t="s">
        <v>3441</v>
      </c>
      <c r="D151" s="772">
        <f t="shared" si="27"/>
        <v>0</v>
      </c>
      <c r="E151" s="773">
        <f t="shared" si="28"/>
        <v>0</v>
      </c>
      <c r="F151" s="786"/>
      <c r="G151" s="786"/>
      <c r="H151" s="762"/>
      <c r="I151" s="762"/>
      <c r="J151" s="762"/>
      <c r="K151" s="762"/>
      <c r="L151" s="762"/>
      <c r="M151" s="762"/>
      <c r="N151" s="762"/>
      <c r="O151" s="762"/>
      <c r="P151" s="762"/>
      <c r="Q151" s="762"/>
      <c r="R151" s="762"/>
      <c r="S151" s="762"/>
      <c r="T151" s="762"/>
      <c r="U151" s="762"/>
      <c r="V151" s="762"/>
      <c r="W151" s="762"/>
      <c r="X151" s="762"/>
      <c r="Y151" s="762"/>
      <c r="Z151" s="762"/>
      <c r="AA151" s="762"/>
      <c r="AB151" s="762"/>
      <c r="AC151" s="762"/>
      <c r="AD151" s="762"/>
      <c r="AE151" s="762"/>
      <c r="AF151" s="762"/>
      <c r="AG151" s="762"/>
      <c r="AH151" s="762"/>
      <c r="AI151" s="762"/>
      <c r="AJ151" s="762"/>
    </row>
    <row r="152" spans="2:36" ht="18" customHeight="1">
      <c r="B152" s="2584"/>
      <c r="C152" s="764" t="s">
        <v>3527</v>
      </c>
      <c r="D152" s="772">
        <f t="shared" si="27"/>
        <v>0</v>
      </c>
      <c r="E152" s="773">
        <f t="shared" si="28"/>
        <v>0</v>
      </c>
      <c r="F152" s="786"/>
      <c r="G152" s="786"/>
      <c r="H152" s="762"/>
      <c r="I152" s="762"/>
      <c r="J152" s="762"/>
      <c r="K152" s="762"/>
      <c r="L152" s="762"/>
      <c r="M152" s="762"/>
      <c r="N152" s="762"/>
      <c r="O152" s="762"/>
      <c r="P152" s="762"/>
      <c r="Q152" s="762"/>
      <c r="R152" s="762"/>
      <c r="S152" s="762"/>
      <c r="T152" s="762"/>
      <c r="U152" s="762"/>
      <c r="V152" s="762"/>
      <c r="W152" s="762"/>
      <c r="X152" s="762"/>
      <c r="Y152" s="762"/>
      <c r="Z152" s="762"/>
      <c r="AA152" s="762"/>
      <c r="AB152" s="762"/>
      <c r="AC152" s="762"/>
      <c r="AD152" s="762"/>
      <c r="AE152" s="762"/>
      <c r="AF152" s="762"/>
      <c r="AG152" s="762"/>
      <c r="AH152" s="762"/>
      <c r="AI152" s="762"/>
      <c r="AJ152" s="762"/>
    </row>
    <row r="153" spans="2:36" ht="18" customHeight="1">
      <c r="B153" s="2584"/>
      <c r="C153" s="764" t="s">
        <v>3528</v>
      </c>
      <c r="D153" s="772">
        <f t="shared" si="27"/>
        <v>0</v>
      </c>
      <c r="E153" s="773">
        <f t="shared" si="28"/>
        <v>0</v>
      </c>
      <c r="F153" s="786"/>
      <c r="G153" s="786"/>
      <c r="H153" s="762"/>
      <c r="I153" s="762"/>
      <c r="J153" s="762"/>
      <c r="K153" s="762"/>
      <c r="L153" s="762"/>
      <c r="M153" s="762"/>
      <c r="N153" s="762"/>
      <c r="O153" s="762"/>
      <c r="P153" s="762"/>
      <c r="Q153" s="762"/>
      <c r="R153" s="762"/>
      <c r="S153" s="762"/>
      <c r="T153" s="762"/>
      <c r="U153" s="762"/>
      <c r="V153" s="762"/>
      <c r="W153" s="762"/>
      <c r="X153" s="762"/>
      <c r="Y153" s="762"/>
      <c r="Z153" s="762"/>
      <c r="AA153" s="762"/>
      <c r="AB153" s="762"/>
      <c r="AC153" s="762"/>
      <c r="AD153" s="762"/>
      <c r="AE153" s="762"/>
      <c r="AF153" s="762"/>
      <c r="AG153" s="762"/>
      <c r="AH153" s="762"/>
      <c r="AI153" s="762"/>
      <c r="AJ153" s="762"/>
    </row>
    <row r="154" spans="2:36" ht="18" customHeight="1">
      <c r="B154" s="2584"/>
      <c r="C154" s="426" t="s">
        <v>3447</v>
      </c>
      <c r="D154" s="778">
        <f t="shared" si="27"/>
        <v>0</v>
      </c>
      <c r="E154" s="779">
        <f t="shared" si="28"/>
        <v>0</v>
      </c>
      <c r="F154" s="787"/>
      <c r="G154" s="787"/>
      <c r="H154" s="780"/>
      <c r="I154" s="780"/>
      <c r="J154" s="780"/>
      <c r="K154" s="780"/>
      <c r="L154" s="780"/>
      <c r="M154" s="780"/>
      <c r="N154" s="780"/>
      <c r="O154" s="780"/>
      <c r="P154" s="780"/>
      <c r="Q154" s="780"/>
      <c r="R154" s="780"/>
      <c r="S154" s="780"/>
      <c r="T154" s="780"/>
      <c r="U154" s="780"/>
      <c r="V154" s="780"/>
      <c r="W154" s="780"/>
      <c r="X154" s="780"/>
      <c r="Y154" s="780"/>
      <c r="Z154" s="780"/>
      <c r="AA154" s="780"/>
      <c r="AB154" s="780"/>
      <c r="AC154" s="780"/>
      <c r="AD154" s="780"/>
      <c r="AE154" s="780"/>
      <c r="AF154" s="780"/>
      <c r="AG154" s="780"/>
      <c r="AH154" s="780"/>
      <c r="AI154" s="780"/>
      <c r="AJ154" s="780"/>
    </row>
    <row r="155" spans="2:36" ht="18" customHeight="1">
      <c r="B155" s="1285"/>
      <c r="C155" s="55"/>
      <c r="D155" s="788"/>
      <c r="E155" s="789"/>
      <c r="F155" s="790"/>
      <c r="G155" s="790"/>
      <c r="H155" s="790"/>
      <c r="I155" s="790"/>
      <c r="J155" s="790"/>
      <c r="K155" s="790"/>
      <c r="L155" s="790"/>
      <c r="M155" s="790"/>
      <c r="N155" s="790"/>
      <c r="O155" s="790"/>
      <c r="P155" s="790"/>
      <c r="Q155" s="790"/>
      <c r="R155" s="790"/>
      <c r="S155" s="790"/>
      <c r="T155" s="790"/>
      <c r="U155" s="790"/>
      <c r="V155" s="790"/>
      <c r="W155" s="790"/>
      <c r="X155" s="790"/>
      <c r="Y155" s="790"/>
      <c r="Z155" s="790"/>
      <c r="AA155" s="790"/>
      <c r="AB155" s="790"/>
      <c r="AC155" s="790"/>
      <c r="AD155" s="790"/>
      <c r="AE155" s="790"/>
      <c r="AF155" s="790"/>
      <c r="AG155" s="790"/>
      <c r="AH155" s="790"/>
      <c r="AI155" s="790"/>
      <c r="AJ155" s="790"/>
    </row>
    <row r="156" spans="2:36" ht="18" customHeight="1">
      <c r="B156" s="2584" t="s">
        <v>3529</v>
      </c>
      <c r="C156" s="764" t="s">
        <v>3530</v>
      </c>
      <c r="D156" s="791">
        <f t="shared" si="27"/>
        <v>0</v>
      </c>
      <c r="E156" s="792">
        <f t="shared" si="28"/>
        <v>0</v>
      </c>
      <c r="F156" s="793"/>
      <c r="G156" s="793"/>
      <c r="H156" s="794"/>
      <c r="I156" s="794"/>
      <c r="J156" s="794"/>
      <c r="K156" s="794"/>
      <c r="L156" s="794"/>
      <c r="M156" s="794"/>
      <c r="N156" s="794"/>
      <c r="O156" s="794"/>
      <c r="P156" s="794"/>
      <c r="Q156" s="794"/>
      <c r="R156" s="794"/>
      <c r="S156" s="794"/>
      <c r="T156" s="794"/>
      <c r="U156" s="794"/>
      <c r="V156" s="794"/>
      <c r="W156" s="794"/>
      <c r="X156" s="794"/>
      <c r="Y156" s="794"/>
      <c r="Z156" s="794"/>
      <c r="AA156" s="794"/>
      <c r="AB156" s="794"/>
      <c r="AC156" s="794"/>
      <c r="AD156" s="794"/>
      <c r="AE156" s="794"/>
      <c r="AF156" s="794"/>
      <c r="AG156" s="794"/>
      <c r="AH156" s="794"/>
      <c r="AI156" s="794"/>
      <c r="AJ156" s="794"/>
    </row>
    <row r="157" spans="2:36" ht="18" customHeight="1">
      <c r="B157" s="2584"/>
      <c r="C157" s="764" t="s">
        <v>3531</v>
      </c>
      <c r="D157" s="772">
        <f t="shared" si="27"/>
        <v>0</v>
      </c>
      <c r="E157" s="773">
        <f t="shared" si="28"/>
        <v>0</v>
      </c>
      <c r="F157" s="786"/>
      <c r="G157" s="786"/>
      <c r="H157" s="762"/>
      <c r="I157" s="762"/>
      <c r="J157" s="762"/>
      <c r="K157" s="762"/>
      <c r="L157" s="762"/>
      <c r="M157" s="762"/>
      <c r="N157" s="762"/>
      <c r="O157" s="762"/>
      <c r="P157" s="762"/>
      <c r="Q157" s="762"/>
      <c r="R157" s="762"/>
      <c r="S157" s="762"/>
      <c r="T157" s="762"/>
      <c r="U157" s="762"/>
      <c r="V157" s="762"/>
      <c r="W157" s="762"/>
      <c r="X157" s="762"/>
      <c r="Y157" s="762"/>
      <c r="Z157" s="762"/>
      <c r="AA157" s="762"/>
      <c r="AB157" s="762"/>
      <c r="AC157" s="762"/>
      <c r="AD157" s="762"/>
      <c r="AE157" s="762"/>
      <c r="AF157" s="762"/>
      <c r="AG157" s="762"/>
      <c r="AH157" s="762"/>
      <c r="AI157" s="762"/>
      <c r="AJ157" s="762"/>
    </row>
    <row r="158" spans="2:36" ht="18" customHeight="1">
      <c r="B158" s="2584"/>
      <c r="C158" s="764" t="s">
        <v>3532</v>
      </c>
      <c r="D158" s="772">
        <f t="shared" si="27"/>
        <v>0</v>
      </c>
      <c r="E158" s="773">
        <f t="shared" si="28"/>
        <v>0</v>
      </c>
      <c r="F158" s="786"/>
      <c r="G158" s="786"/>
      <c r="H158" s="762"/>
      <c r="I158" s="762"/>
      <c r="J158" s="762"/>
      <c r="K158" s="762"/>
      <c r="L158" s="762"/>
      <c r="M158" s="762"/>
      <c r="N158" s="762"/>
      <c r="O158" s="762"/>
      <c r="P158" s="762"/>
      <c r="Q158" s="762"/>
      <c r="R158" s="762"/>
      <c r="S158" s="762"/>
      <c r="T158" s="762"/>
      <c r="U158" s="762"/>
      <c r="V158" s="762"/>
      <c r="W158" s="762"/>
      <c r="X158" s="762"/>
      <c r="Y158" s="762"/>
      <c r="Z158" s="762"/>
      <c r="AA158" s="762"/>
      <c r="AB158" s="762"/>
      <c r="AC158" s="762"/>
      <c r="AD158" s="762"/>
      <c r="AE158" s="762"/>
      <c r="AF158" s="762"/>
      <c r="AG158" s="762"/>
      <c r="AH158" s="762"/>
      <c r="AI158" s="762"/>
      <c r="AJ158" s="762"/>
    </row>
    <row r="159" spans="2:36" ht="18" customHeight="1">
      <c r="B159" s="2584"/>
      <c r="C159" s="764" t="s">
        <v>3533</v>
      </c>
      <c r="D159" s="772">
        <f t="shared" si="27"/>
        <v>0</v>
      </c>
      <c r="E159" s="773">
        <f t="shared" si="28"/>
        <v>0</v>
      </c>
      <c r="F159" s="786"/>
      <c r="G159" s="786"/>
      <c r="H159" s="762"/>
      <c r="I159" s="762"/>
      <c r="J159" s="762"/>
      <c r="K159" s="762"/>
      <c r="L159" s="762"/>
      <c r="M159" s="762"/>
      <c r="N159" s="762"/>
      <c r="O159" s="762"/>
      <c r="P159" s="762"/>
      <c r="Q159" s="762"/>
      <c r="R159" s="762"/>
      <c r="S159" s="762"/>
      <c r="T159" s="762"/>
      <c r="U159" s="762"/>
      <c r="V159" s="762"/>
      <c r="W159" s="762"/>
      <c r="X159" s="762"/>
      <c r="Y159" s="762"/>
      <c r="Z159" s="762"/>
      <c r="AA159" s="762"/>
      <c r="AB159" s="762"/>
      <c r="AC159" s="762"/>
      <c r="AD159" s="762"/>
      <c r="AE159" s="762"/>
      <c r="AF159" s="762"/>
      <c r="AG159" s="762"/>
      <c r="AH159" s="762"/>
      <c r="AI159" s="762"/>
      <c r="AJ159" s="762"/>
    </row>
    <row r="160" spans="2:36" ht="18" customHeight="1">
      <c r="B160" s="2584"/>
      <c r="C160" s="426" t="s">
        <v>3447</v>
      </c>
      <c r="D160" s="778">
        <f t="shared" si="27"/>
        <v>0</v>
      </c>
      <c r="E160" s="779">
        <f t="shared" si="28"/>
        <v>0</v>
      </c>
      <c r="F160" s="787"/>
      <c r="G160" s="787"/>
      <c r="H160" s="780"/>
      <c r="I160" s="780"/>
      <c r="J160" s="780"/>
      <c r="K160" s="780"/>
      <c r="L160" s="780"/>
      <c r="M160" s="780"/>
      <c r="N160" s="780"/>
      <c r="O160" s="780"/>
      <c r="P160" s="780"/>
      <c r="Q160" s="780"/>
      <c r="R160" s="780"/>
      <c r="S160" s="780"/>
      <c r="T160" s="780"/>
      <c r="U160" s="780"/>
      <c r="V160" s="780"/>
      <c r="W160" s="780"/>
      <c r="X160" s="780"/>
      <c r="Y160" s="780"/>
      <c r="Z160" s="780"/>
      <c r="AA160" s="780"/>
      <c r="AB160" s="780"/>
      <c r="AC160" s="780"/>
      <c r="AD160" s="780"/>
      <c r="AE160" s="780"/>
      <c r="AF160" s="780"/>
      <c r="AG160" s="780"/>
      <c r="AH160" s="780"/>
      <c r="AI160" s="780"/>
      <c r="AJ160" s="780"/>
    </row>
    <row r="161" spans="2:36" ht="18" customHeight="1">
      <c r="B161" s="1285"/>
      <c r="C161" s="55"/>
      <c r="D161" s="788"/>
      <c r="E161" s="789"/>
      <c r="F161" s="790"/>
      <c r="G161" s="790"/>
      <c r="H161" s="790"/>
      <c r="I161" s="790"/>
      <c r="J161" s="790"/>
      <c r="K161" s="790"/>
      <c r="L161" s="790"/>
      <c r="M161" s="790"/>
      <c r="N161" s="790"/>
      <c r="O161" s="790"/>
      <c r="P161" s="790"/>
      <c r="Q161" s="790"/>
      <c r="R161" s="790"/>
      <c r="S161" s="790"/>
      <c r="T161" s="790"/>
      <c r="U161" s="790"/>
      <c r="V161" s="790"/>
      <c r="W161" s="790"/>
      <c r="X161" s="790"/>
      <c r="Y161" s="790"/>
      <c r="Z161" s="790"/>
      <c r="AA161" s="790"/>
      <c r="AB161" s="790"/>
      <c r="AC161" s="790"/>
      <c r="AD161" s="790"/>
      <c r="AE161" s="790"/>
      <c r="AF161" s="790"/>
      <c r="AG161" s="790"/>
      <c r="AH161" s="790"/>
      <c r="AI161" s="790"/>
      <c r="AJ161" s="790"/>
    </row>
    <row r="162" spans="2:36" ht="18" customHeight="1">
      <c r="B162" s="2584" t="s">
        <v>3534</v>
      </c>
      <c r="C162" s="764" t="s">
        <v>3535</v>
      </c>
      <c r="D162" s="791">
        <f t="shared" si="27"/>
        <v>0</v>
      </c>
      <c r="E162" s="792">
        <f t="shared" si="28"/>
        <v>0</v>
      </c>
      <c r="F162" s="793"/>
      <c r="G162" s="793"/>
      <c r="H162" s="794"/>
      <c r="I162" s="794"/>
      <c r="J162" s="794"/>
      <c r="K162" s="794"/>
      <c r="L162" s="794"/>
      <c r="M162" s="794"/>
      <c r="N162" s="794"/>
      <c r="O162" s="794"/>
      <c r="P162" s="794"/>
      <c r="Q162" s="794"/>
      <c r="R162" s="794"/>
      <c r="S162" s="794"/>
      <c r="T162" s="794"/>
      <c r="U162" s="794"/>
      <c r="V162" s="794"/>
      <c r="W162" s="794"/>
      <c r="X162" s="794"/>
      <c r="Y162" s="794"/>
      <c r="Z162" s="794"/>
      <c r="AA162" s="794"/>
      <c r="AB162" s="794"/>
      <c r="AC162" s="794"/>
      <c r="AD162" s="794"/>
      <c r="AE162" s="794"/>
      <c r="AF162" s="794"/>
      <c r="AG162" s="794"/>
      <c r="AH162" s="794"/>
      <c r="AI162" s="794"/>
      <c r="AJ162" s="794"/>
    </row>
    <row r="163" spans="2:36" ht="18" customHeight="1">
      <c r="B163" s="2584"/>
      <c r="C163" s="764" t="s">
        <v>3502</v>
      </c>
      <c r="D163" s="772">
        <f t="shared" si="27"/>
        <v>0</v>
      </c>
      <c r="E163" s="773">
        <f t="shared" si="28"/>
        <v>0</v>
      </c>
      <c r="F163" s="786"/>
      <c r="G163" s="786"/>
      <c r="H163" s="762"/>
      <c r="I163" s="762"/>
      <c r="J163" s="762"/>
      <c r="K163" s="762"/>
      <c r="L163" s="762"/>
      <c r="M163" s="762"/>
      <c r="N163" s="762"/>
      <c r="O163" s="762"/>
      <c r="P163" s="762"/>
      <c r="Q163" s="762"/>
      <c r="R163" s="762"/>
      <c r="S163" s="762"/>
      <c r="T163" s="762"/>
      <c r="U163" s="762"/>
      <c r="V163" s="762"/>
      <c r="W163" s="762"/>
      <c r="X163" s="762"/>
      <c r="Y163" s="762"/>
      <c r="Z163" s="762"/>
      <c r="AA163" s="762"/>
      <c r="AB163" s="762"/>
      <c r="AC163" s="762"/>
      <c r="AD163" s="762"/>
      <c r="AE163" s="762"/>
      <c r="AF163" s="762"/>
      <c r="AG163" s="762"/>
      <c r="AH163" s="762"/>
      <c r="AI163" s="762"/>
      <c r="AJ163" s="762"/>
    </row>
    <row r="164" spans="2:36" ht="18" customHeight="1">
      <c r="B164" s="2584"/>
      <c r="C164" s="764" t="s">
        <v>3536</v>
      </c>
      <c r="D164" s="772">
        <f t="shared" si="27"/>
        <v>0</v>
      </c>
      <c r="E164" s="773">
        <f t="shared" si="28"/>
        <v>0</v>
      </c>
      <c r="F164" s="786"/>
      <c r="G164" s="786"/>
      <c r="H164" s="762"/>
      <c r="I164" s="762"/>
      <c r="J164" s="762"/>
      <c r="K164" s="762"/>
      <c r="L164" s="762"/>
      <c r="M164" s="762"/>
      <c r="N164" s="762"/>
      <c r="O164" s="762"/>
      <c r="P164" s="762"/>
      <c r="Q164" s="762"/>
      <c r="R164" s="762"/>
      <c r="S164" s="762"/>
      <c r="T164" s="762"/>
      <c r="U164" s="762"/>
      <c r="V164" s="762"/>
      <c r="W164" s="762"/>
      <c r="X164" s="762"/>
      <c r="Y164" s="762"/>
      <c r="Z164" s="762"/>
      <c r="AA164" s="762"/>
      <c r="AB164" s="762"/>
      <c r="AC164" s="762"/>
      <c r="AD164" s="762"/>
      <c r="AE164" s="762"/>
      <c r="AF164" s="762"/>
      <c r="AG164" s="762"/>
      <c r="AH164" s="762"/>
      <c r="AI164" s="762"/>
      <c r="AJ164" s="762"/>
    </row>
    <row r="165" spans="2:36" ht="18" customHeight="1">
      <c r="B165" s="2584"/>
      <c r="C165" s="764" t="s">
        <v>3440</v>
      </c>
      <c r="D165" s="772">
        <f t="shared" si="27"/>
        <v>0</v>
      </c>
      <c r="E165" s="773">
        <f t="shared" si="28"/>
        <v>0</v>
      </c>
      <c r="F165" s="786"/>
      <c r="G165" s="786"/>
      <c r="H165" s="762"/>
      <c r="I165" s="762"/>
      <c r="J165" s="762"/>
      <c r="K165" s="762"/>
      <c r="L165" s="762"/>
      <c r="M165" s="762"/>
      <c r="N165" s="762"/>
      <c r="O165" s="762"/>
      <c r="P165" s="762"/>
      <c r="Q165" s="762"/>
      <c r="R165" s="762"/>
      <c r="S165" s="762"/>
      <c r="T165" s="762"/>
      <c r="U165" s="762"/>
      <c r="V165" s="762"/>
      <c r="W165" s="762"/>
      <c r="X165" s="762"/>
      <c r="Y165" s="762"/>
      <c r="Z165" s="762"/>
      <c r="AA165" s="762"/>
      <c r="AB165" s="762"/>
      <c r="AC165" s="762"/>
      <c r="AD165" s="762"/>
      <c r="AE165" s="762"/>
      <c r="AF165" s="762"/>
      <c r="AG165" s="762"/>
      <c r="AH165" s="762"/>
      <c r="AI165" s="762"/>
      <c r="AJ165" s="762"/>
    </row>
    <row r="166" spans="2:36" ht="18" customHeight="1">
      <c r="B166" s="2584"/>
      <c r="C166" s="426" t="s">
        <v>3447</v>
      </c>
      <c r="D166" s="772">
        <f t="shared" si="27"/>
        <v>0</v>
      </c>
      <c r="E166" s="773">
        <f t="shared" si="28"/>
        <v>0</v>
      </c>
      <c r="F166" s="786"/>
      <c r="G166" s="786"/>
      <c r="H166" s="762"/>
      <c r="I166" s="762"/>
      <c r="J166" s="762"/>
      <c r="K166" s="762"/>
      <c r="L166" s="762"/>
      <c r="M166" s="762"/>
      <c r="N166" s="762"/>
      <c r="O166" s="762"/>
      <c r="P166" s="762"/>
      <c r="Q166" s="762"/>
      <c r="R166" s="762"/>
      <c r="S166" s="762"/>
      <c r="T166" s="762"/>
      <c r="U166" s="762"/>
      <c r="V166" s="762"/>
      <c r="W166" s="762"/>
      <c r="X166" s="762"/>
      <c r="Y166" s="762"/>
      <c r="Z166" s="762"/>
      <c r="AA166" s="762"/>
      <c r="AB166" s="762"/>
      <c r="AC166" s="762"/>
      <c r="AD166" s="762"/>
      <c r="AE166" s="762"/>
      <c r="AF166" s="762"/>
      <c r="AG166" s="762"/>
      <c r="AH166" s="762"/>
      <c r="AI166" s="762"/>
      <c r="AJ166" s="762"/>
    </row>
    <row r="167" spans="2:36" ht="18" customHeight="1">
      <c r="B167" s="2584"/>
      <c r="C167" s="426" t="s">
        <v>3447</v>
      </c>
      <c r="D167" s="778">
        <f t="shared" si="27"/>
        <v>0</v>
      </c>
      <c r="E167" s="779">
        <f t="shared" si="28"/>
        <v>0</v>
      </c>
      <c r="F167" s="787"/>
      <c r="G167" s="787"/>
      <c r="H167" s="780"/>
      <c r="I167" s="780"/>
      <c r="J167" s="780"/>
      <c r="K167" s="780"/>
      <c r="L167" s="780"/>
      <c r="M167" s="780"/>
      <c r="N167" s="780"/>
      <c r="O167" s="780"/>
      <c r="P167" s="780"/>
      <c r="Q167" s="780"/>
      <c r="R167" s="780"/>
      <c r="S167" s="780"/>
      <c r="T167" s="780"/>
      <c r="U167" s="780"/>
      <c r="V167" s="780"/>
      <c r="W167" s="780"/>
      <c r="X167" s="780"/>
      <c r="Y167" s="780"/>
      <c r="Z167" s="780"/>
      <c r="AA167" s="780"/>
      <c r="AB167" s="780"/>
      <c r="AC167" s="780"/>
      <c r="AD167" s="780"/>
      <c r="AE167" s="780"/>
      <c r="AF167" s="780"/>
      <c r="AG167" s="780"/>
      <c r="AH167" s="780"/>
      <c r="AI167" s="780"/>
      <c r="AJ167" s="780"/>
    </row>
    <row r="168" spans="2:36" ht="18" customHeight="1">
      <c r="B168" s="1285"/>
      <c r="C168" s="55"/>
      <c r="D168" s="788"/>
      <c r="E168" s="789"/>
      <c r="F168" s="790"/>
      <c r="G168" s="790"/>
      <c r="H168" s="790"/>
      <c r="I168" s="790"/>
      <c r="J168" s="790"/>
      <c r="K168" s="790"/>
      <c r="L168" s="790"/>
      <c r="M168" s="790"/>
      <c r="N168" s="790"/>
      <c r="O168" s="790"/>
      <c r="P168" s="790"/>
      <c r="Q168" s="790"/>
      <c r="R168" s="790"/>
      <c r="S168" s="790"/>
      <c r="T168" s="790"/>
      <c r="U168" s="790"/>
      <c r="V168" s="790"/>
      <c r="W168" s="790"/>
      <c r="X168" s="790"/>
      <c r="Y168" s="790"/>
      <c r="Z168" s="790"/>
      <c r="AA168" s="790"/>
      <c r="AB168" s="790"/>
      <c r="AC168" s="790"/>
      <c r="AD168" s="790"/>
      <c r="AE168" s="790"/>
      <c r="AF168" s="790"/>
      <c r="AG168" s="790"/>
      <c r="AH168" s="790"/>
      <c r="AI168" s="790"/>
      <c r="AJ168" s="790"/>
    </row>
    <row r="169" spans="2:36" ht="18" customHeight="1">
      <c r="B169" s="2584" t="s">
        <v>3537</v>
      </c>
      <c r="C169" s="764" t="s">
        <v>3538</v>
      </c>
      <c r="D169" s="791">
        <f>SUM(H169:AH169)</f>
        <v>0</v>
      </c>
      <c r="E169" s="792">
        <f t="shared" si="28"/>
        <v>0</v>
      </c>
      <c r="F169" s="793"/>
      <c r="G169" s="793"/>
      <c r="H169" s="794"/>
      <c r="I169" s="794"/>
      <c r="J169" s="794"/>
      <c r="K169" s="794"/>
      <c r="L169" s="794"/>
      <c r="M169" s="794"/>
      <c r="N169" s="794"/>
      <c r="O169" s="794"/>
      <c r="P169" s="794"/>
      <c r="Q169" s="794"/>
      <c r="R169" s="794"/>
      <c r="S169" s="794"/>
      <c r="T169" s="794"/>
      <c r="U169" s="794"/>
      <c r="V169" s="794"/>
      <c r="W169" s="794"/>
      <c r="X169" s="794"/>
      <c r="Y169" s="794"/>
      <c r="Z169" s="794"/>
      <c r="AA169" s="794"/>
      <c r="AB169" s="794"/>
      <c r="AC169" s="794"/>
      <c r="AD169" s="794"/>
      <c r="AE169" s="794"/>
      <c r="AF169" s="794"/>
      <c r="AG169" s="794"/>
      <c r="AH169" s="794"/>
      <c r="AI169" s="794"/>
      <c r="AJ169" s="794"/>
    </row>
    <row r="170" spans="2:36" ht="18" customHeight="1">
      <c r="B170" s="2584"/>
      <c r="C170" s="764" t="s">
        <v>3502</v>
      </c>
      <c r="D170" s="772">
        <f t="shared" si="27"/>
        <v>0</v>
      </c>
      <c r="E170" s="773">
        <f t="shared" si="28"/>
        <v>0</v>
      </c>
      <c r="F170" s="786"/>
      <c r="G170" s="786"/>
      <c r="H170" s="762"/>
      <c r="I170" s="762"/>
      <c r="J170" s="762"/>
      <c r="K170" s="762"/>
      <c r="L170" s="762"/>
      <c r="M170" s="762"/>
      <c r="N170" s="762"/>
      <c r="O170" s="762"/>
      <c r="P170" s="762"/>
      <c r="Q170" s="762"/>
      <c r="R170" s="762"/>
      <c r="S170" s="762"/>
      <c r="T170" s="762"/>
      <c r="U170" s="762"/>
      <c r="V170" s="762"/>
      <c r="W170" s="762"/>
      <c r="X170" s="762"/>
      <c r="Y170" s="762"/>
      <c r="Z170" s="762"/>
      <c r="AA170" s="762"/>
      <c r="AB170" s="762"/>
      <c r="AC170" s="762"/>
      <c r="AD170" s="762"/>
      <c r="AE170" s="762"/>
      <c r="AF170" s="762"/>
      <c r="AG170" s="762"/>
      <c r="AH170" s="762"/>
      <c r="AI170" s="762"/>
      <c r="AJ170" s="762"/>
    </row>
    <row r="171" spans="2:36" ht="18" customHeight="1">
      <c r="B171" s="2584"/>
      <c r="C171" s="764" t="s">
        <v>3536</v>
      </c>
      <c r="D171" s="772">
        <f t="shared" si="27"/>
        <v>0</v>
      </c>
      <c r="E171" s="773">
        <f t="shared" si="28"/>
        <v>0</v>
      </c>
      <c r="F171" s="786"/>
      <c r="G171" s="786"/>
      <c r="H171" s="762"/>
      <c r="I171" s="762"/>
      <c r="J171" s="762"/>
      <c r="K171" s="762"/>
      <c r="L171" s="762"/>
      <c r="M171" s="762"/>
      <c r="N171" s="762"/>
      <c r="O171" s="762"/>
      <c r="P171" s="762"/>
      <c r="Q171" s="762"/>
      <c r="R171" s="762"/>
      <c r="S171" s="762"/>
      <c r="T171" s="762"/>
      <c r="U171" s="762"/>
      <c r="V171" s="762"/>
      <c r="W171" s="762"/>
      <c r="X171" s="762"/>
      <c r="Y171" s="762"/>
      <c r="Z171" s="762"/>
      <c r="AA171" s="762"/>
      <c r="AB171" s="762"/>
      <c r="AC171" s="762"/>
      <c r="AD171" s="762"/>
      <c r="AE171" s="762"/>
      <c r="AF171" s="762"/>
      <c r="AG171" s="762"/>
      <c r="AH171" s="762"/>
      <c r="AI171" s="762"/>
      <c r="AJ171" s="762"/>
    </row>
    <row r="172" spans="2:36" ht="18" customHeight="1">
      <c r="B172" s="2584"/>
      <c r="C172" s="764" t="s">
        <v>3440</v>
      </c>
      <c r="D172" s="772">
        <f t="shared" si="27"/>
        <v>0</v>
      </c>
      <c r="E172" s="773">
        <f t="shared" si="28"/>
        <v>0</v>
      </c>
      <c r="F172" s="786"/>
      <c r="G172" s="786"/>
      <c r="H172" s="762"/>
      <c r="I172" s="762"/>
      <c r="J172" s="762"/>
      <c r="K172" s="762"/>
      <c r="L172" s="762"/>
      <c r="M172" s="762"/>
      <c r="N172" s="762"/>
      <c r="O172" s="762"/>
      <c r="P172" s="762"/>
      <c r="Q172" s="762"/>
      <c r="R172" s="762"/>
      <c r="S172" s="762"/>
      <c r="T172" s="762"/>
      <c r="U172" s="762"/>
      <c r="V172" s="762"/>
      <c r="W172" s="762"/>
      <c r="X172" s="762"/>
      <c r="Y172" s="762"/>
      <c r="Z172" s="762"/>
      <c r="AA172" s="762"/>
      <c r="AB172" s="762"/>
      <c r="AC172" s="762"/>
      <c r="AD172" s="762"/>
      <c r="AE172" s="762"/>
      <c r="AF172" s="762"/>
      <c r="AG172" s="762"/>
      <c r="AH172" s="762"/>
      <c r="AI172" s="762"/>
      <c r="AJ172" s="762"/>
    </row>
    <row r="173" spans="2:36" ht="18" customHeight="1">
      <c r="B173" s="2584"/>
      <c r="C173" s="426" t="s">
        <v>3447</v>
      </c>
      <c r="D173" s="772">
        <f t="shared" si="27"/>
        <v>0</v>
      </c>
      <c r="E173" s="773">
        <f t="shared" si="28"/>
        <v>0</v>
      </c>
      <c r="F173" s="786"/>
      <c r="G173" s="786"/>
      <c r="H173" s="762"/>
      <c r="I173" s="762"/>
      <c r="J173" s="762"/>
      <c r="K173" s="762"/>
      <c r="L173" s="762"/>
      <c r="M173" s="762"/>
      <c r="N173" s="762"/>
      <c r="O173" s="762"/>
      <c r="P173" s="762"/>
      <c r="Q173" s="762"/>
      <c r="R173" s="762"/>
      <c r="S173" s="762"/>
      <c r="T173" s="762"/>
      <c r="U173" s="762"/>
      <c r="V173" s="762"/>
      <c r="W173" s="762"/>
      <c r="X173" s="762"/>
      <c r="Y173" s="762"/>
      <c r="Z173" s="762"/>
      <c r="AA173" s="762"/>
      <c r="AB173" s="762"/>
      <c r="AC173" s="762"/>
      <c r="AD173" s="762"/>
      <c r="AE173" s="762"/>
      <c r="AF173" s="762"/>
      <c r="AG173" s="762"/>
      <c r="AH173" s="762"/>
      <c r="AI173" s="762"/>
      <c r="AJ173" s="762"/>
    </row>
    <row r="174" spans="2:36" ht="18" customHeight="1">
      <c r="B174" s="2584"/>
      <c r="C174" s="426" t="s">
        <v>3447</v>
      </c>
      <c r="D174" s="778">
        <f t="shared" si="27"/>
        <v>0</v>
      </c>
      <c r="E174" s="779">
        <f t="shared" si="28"/>
        <v>0</v>
      </c>
      <c r="F174" s="787"/>
      <c r="G174" s="787"/>
      <c r="H174" s="780"/>
      <c r="I174" s="780"/>
      <c r="J174" s="780"/>
      <c r="K174" s="780"/>
      <c r="L174" s="780"/>
      <c r="M174" s="780"/>
      <c r="N174" s="780"/>
      <c r="O174" s="780"/>
      <c r="P174" s="780"/>
      <c r="Q174" s="780"/>
      <c r="R174" s="780"/>
      <c r="S174" s="780"/>
      <c r="T174" s="780"/>
      <c r="U174" s="780"/>
      <c r="V174" s="780"/>
      <c r="W174" s="780"/>
      <c r="X174" s="780"/>
      <c r="Y174" s="780"/>
      <c r="Z174" s="780"/>
      <c r="AA174" s="780"/>
      <c r="AB174" s="780"/>
      <c r="AC174" s="780"/>
      <c r="AD174" s="780"/>
      <c r="AE174" s="780"/>
      <c r="AF174" s="780"/>
      <c r="AG174" s="780"/>
      <c r="AH174" s="780"/>
      <c r="AI174" s="780"/>
      <c r="AJ174" s="780"/>
    </row>
    <row r="175" spans="2:36" ht="18" customHeight="1">
      <c r="B175" s="1285"/>
      <c r="C175" s="55"/>
      <c r="D175" s="788"/>
      <c r="E175" s="789"/>
      <c r="F175" s="790"/>
      <c r="G175" s="790"/>
      <c r="H175" s="790"/>
      <c r="I175" s="790"/>
      <c r="J175" s="790"/>
      <c r="K175" s="790"/>
      <c r="L175" s="790"/>
      <c r="M175" s="790"/>
      <c r="N175" s="790"/>
      <c r="O175" s="790"/>
      <c r="P175" s="790"/>
      <c r="Q175" s="790"/>
      <c r="R175" s="790"/>
      <c r="S175" s="790"/>
      <c r="T175" s="790"/>
      <c r="U175" s="790"/>
      <c r="V175" s="790"/>
      <c r="W175" s="790"/>
      <c r="X175" s="790"/>
      <c r="Y175" s="790"/>
      <c r="Z175" s="790"/>
      <c r="AA175" s="790"/>
      <c r="AB175" s="790"/>
      <c r="AC175" s="790"/>
      <c r="AD175" s="790"/>
      <c r="AE175" s="790"/>
      <c r="AF175" s="790"/>
      <c r="AG175" s="790"/>
      <c r="AH175" s="790"/>
      <c r="AI175" s="790"/>
      <c r="AJ175" s="790"/>
    </row>
    <row r="176" spans="2:36" ht="18" customHeight="1">
      <c r="B176" s="2584" t="s">
        <v>3539</v>
      </c>
      <c r="C176" s="764" t="s">
        <v>3540</v>
      </c>
      <c r="D176" s="791">
        <f t="shared" si="27"/>
        <v>0</v>
      </c>
      <c r="E176" s="792">
        <f t="shared" si="28"/>
        <v>0</v>
      </c>
      <c r="F176" s="793"/>
      <c r="G176" s="793"/>
      <c r="H176" s="794"/>
      <c r="I176" s="794"/>
      <c r="J176" s="794"/>
      <c r="K176" s="794"/>
      <c r="L176" s="794"/>
      <c r="M176" s="794"/>
      <c r="N176" s="794"/>
      <c r="O176" s="794"/>
      <c r="P176" s="794"/>
      <c r="Q176" s="794"/>
      <c r="R176" s="794"/>
      <c r="S176" s="794"/>
      <c r="T176" s="794"/>
      <c r="U176" s="794"/>
      <c r="V176" s="794"/>
      <c r="W176" s="794"/>
      <c r="X176" s="794"/>
      <c r="Y176" s="794"/>
      <c r="Z176" s="794"/>
      <c r="AA176" s="794"/>
      <c r="AB176" s="794"/>
      <c r="AC176" s="794"/>
      <c r="AD176" s="794"/>
      <c r="AE176" s="794"/>
      <c r="AF176" s="794"/>
      <c r="AG176" s="794"/>
      <c r="AH176" s="794"/>
      <c r="AI176" s="794"/>
      <c r="AJ176" s="794"/>
    </row>
    <row r="177" spans="2:36" ht="18" customHeight="1">
      <c r="B177" s="2584"/>
      <c r="C177" s="764" t="s">
        <v>3541</v>
      </c>
      <c r="D177" s="772">
        <f t="shared" si="27"/>
        <v>0</v>
      </c>
      <c r="E177" s="773">
        <f t="shared" si="28"/>
        <v>0</v>
      </c>
      <c r="F177" s="787"/>
      <c r="G177" s="787"/>
      <c r="H177" s="780"/>
      <c r="I177" s="762"/>
      <c r="J177" s="780"/>
      <c r="K177" s="780"/>
      <c r="L177" s="780"/>
      <c r="M177" s="780"/>
      <c r="N177" s="780"/>
      <c r="O177" s="780"/>
      <c r="P177" s="780"/>
      <c r="Q177" s="780"/>
      <c r="R177" s="780"/>
      <c r="S177" s="780"/>
      <c r="T177" s="780"/>
      <c r="U177" s="780"/>
      <c r="V177" s="780"/>
      <c r="W177" s="780"/>
      <c r="X177" s="780"/>
      <c r="Y177" s="780"/>
      <c r="Z177" s="780"/>
      <c r="AA177" s="780"/>
      <c r="AB177" s="780"/>
      <c r="AC177" s="780"/>
      <c r="AD177" s="780"/>
      <c r="AE177" s="780"/>
      <c r="AF177" s="780"/>
      <c r="AG177" s="780"/>
      <c r="AH177" s="780"/>
      <c r="AI177" s="780"/>
      <c r="AJ177" s="780"/>
    </row>
    <row r="178" spans="2:36" ht="18" customHeight="1">
      <c r="B178" s="2584"/>
      <c r="C178" s="764" t="s">
        <v>3542</v>
      </c>
      <c r="D178" s="772">
        <f>SUM(H178:AH178)</f>
        <v>0</v>
      </c>
      <c r="E178" s="773">
        <f t="shared" si="28"/>
        <v>0</v>
      </c>
      <c r="F178" s="786"/>
      <c r="G178" s="786"/>
      <c r="H178" s="762"/>
      <c r="I178" s="762"/>
      <c r="J178" s="762"/>
      <c r="K178" s="762"/>
      <c r="L178" s="762"/>
      <c r="M178" s="762"/>
      <c r="N178" s="762"/>
      <c r="O178" s="762"/>
      <c r="P178" s="762"/>
      <c r="Q178" s="762"/>
      <c r="R178" s="762"/>
      <c r="S178" s="762"/>
      <c r="T178" s="762"/>
      <c r="U178" s="762"/>
      <c r="V178" s="762"/>
      <c r="W178" s="762"/>
      <c r="X178" s="762"/>
      <c r="Y178" s="762"/>
      <c r="Z178" s="762"/>
      <c r="AA178" s="762"/>
      <c r="AB178" s="762"/>
      <c r="AC178" s="762"/>
      <c r="AD178" s="762"/>
      <c r="AE178" s="762"/>
      <c r="AF178" s="762"/>
      <c r="AG178" s="762"/>
      <c r="AH178" s="762"/>
      <c r="AI178" s="762"/>
      <c r="AJ178" s="762"/>
    </row>
    <row r="179" spans="2:36" ht="18" customHeight="1">
      <c r="B179" s="2584"/>
      <c r="C179" s="764" t="s">
        <v>3543</v>
      </c>
      <c r="D179" s="772">
        <f t="shared" si="27"/>
        <v>0</v>
      </c>
      <c r="E179" s="773">
        <f t="shared" si="28"/>
        <v>0</v>
      </c>
      <c r="F179" s="786"/>
      <c r="G179" s="786"/>
      <c r="H179" s="762"/>
      <c r="I179" s="762"/>
      <c r="J179" s="762"/>
      <c r="K179" s="762"/>
      <c r="L179" s="762"/>
      <c r="M179" s="762"/>
      <c r="N179" s="762"/>
      <c r="O179" s="762"/>
      <c r="P179" s="762"/>
      <c r="Q179" s="762"/>
      <c r="R179" s="762"/>
      <c r="S179" s="762"/>
      <c r="T179" s="762"/>
      <c r="U179" s="762"/>
      <c r="V179" s="762"/>
      <c r="W179" s="762"/>
      <c r="X179" s="762"/>
      <c r="Y179" s="762"/>
      <c r="Z179" s="762"/>
      <c r="AA179" s="762"/>
      <c r="AB179" s="762"/>
      <c r="AC179" s="762"/>
      <c r="AD179" s="762"/>
      <c r="AE179" s="762"/>
      <c r="AF179" s="762"/>
      <c r="AG179" s="762"/>
      <c r="AH179" s="762"/>
      <c r="AI179" s="762"/>
      <c r="AJ179" s="762"/>
    </row>
    <row r="180" spans="2:36" ht="18" customHeight="1">
      <c r="B180" s="2584"/>
      <c r="C180" s="764" t="s">
        <v>3544</v>
      </c>
      <c r="D180" s="772">
        <f t="shared" ref="D180:D200" si="29">SUM(H180:AH180)</f>
        <v>0</v>
      </c>
      <c r="E180" s="773">
        <f t="shared" ref="E180:E200" si="30">SUM(AI180:AJ180)</f>
        <v>0</v>
      </c>
      <c r="F180" s="786"/>
      <c r="G180" s="786"/>
      <c r="H180" s="762"/>
      <c r="I180" s="762"/>
      <c r="J180" s="762"/>
      <c r="K180" s="762"/>
      <c r="L180" s="762"/>
      <c r="M180" s="762"/>
      <c r="N180" s="762"/>
      <c r="O180" s="762"/>
      <c r="P180" s="762"/>
      <c r="Q180" s="762"/>
      <c r="R180" s="762"/>
      <c r="S180" s="762"/>
      <c r="T180" s="762"/>
      <c r="U180" s="762"/>
      <c r="V180" s="762"/>
      <c r="W180" s="762"/>
      <c r="X180" s="762"/>
      <c r="Y180" s="762"/>
      <c r="Z180" s="762"/>
      <c r="AA180" s="762"/>
      <c r="AB180" s="762"/>
      <c r="AC180" s="762"/>
      <c r="AD180" s="762"/>
      <c r="AE180" s="762"/>
      <c r="AF180" s="762"/>
      <c r="AG180" s="762"/>
      <c r="AH180" s="762"/>
      <c r="AI180" s="762"/>
      <c r="AJ180" s="762"/>
    </row>
    <row r="181" spans="2:36" ht="18" customHeight="1">
      <c r="B181" s="2584"/>
      <c r="C181" s="764" t="s">
        <v>3545</v>
      </c>
      <c r="D181" s="772">
        <f t="shared" si="29"/>
        <v>0</v>
      </c>
      <c r="E181" s="773">
        <f t="shared" si="30"/>
        <v>0</v>
      </c>
      <c r="F181" s="786"/>
      <c r="G181" s="786"/>
      <c r="H181" s="762"/>
      <c r="I181" s="762"/>
      <c r="J181" s="762"/>
      <c r="K181" s="762"/>
      <c r="L181" s="762"/>
      <c r="M181" s="762"/>
      <c r="N181" s="762"/>
      <c r="O181" s="762"/>
      <c r="P181" s="762"/>
      <c r="Q181" s="762"/>
      <c r="R181" s="762"/>
      <c r="S181" s="762"/>
      <c r="T181" s="762"/>
      <c r="U181" s="762"/>
      <c r="V181" s="762"/>
      <c r="W181" s="762"/>
      <c r="X181" s="762"/>
      <c r="Y181" s="762"/>
      <c r="Z181" s="762"/>
      <c r="AA181" s="762"/>
      <c r="AB181" s="762"/>
      <c r="AC181" s="762"/>
      <c r="AD181" s="762"/>
      <c r="AE181" s="762"/>
      <c r="AF181" s="762"/>
      <c r="AG181" s="762"/>
      <c r="AH181" s="762"/>
      <c r="AI181" s="762"/>
      <c r="AJ181" s="762"/>
    </row>
    <row r="182" spans="2:36" ht="18" customHeight="1">
      <c r="B182" s="2584"/>
      <c r="C182" s="426" t="s">
        <v>3447</v>
      </c>
      <c r="D182" s="778">
        <f t="shared" si="29"/>
        <v>0</v>
      </c>
      <c r="E182" s="779">
        <f t="shared" si="30"/>
        <v>0</v>
      </c>
      <c r="F182" s="787"/>
      <c r="G182" s="787"/>
      <c r="H182" s="780"/>
      <c r="I182" s="780"/>
      <c r="J182" s="780"/>
      <c r="K182" s="780"/>
      <c r="L182" s="780"/>
      <c r="M182" s="780"/>
      <c r="N182" s="780"/>
      <c r="O182" s="780"/>
      <c r="P182" s="780"/>
      <c r="Q182" s="780"/>
      <c r="R182" s="780"/>
      <c r="S182" s="780"/>
      <c r="T182" s="780"/>
      <c r="U182" s="780"/>
      <c r="V182" s="780"/>
      <c r="W182" s="780"/>
      <c r="X182" s="780"/>
      <c r="Y182" s="780"/>
      <c r="Z182" s="780"/>
      <c r="AA182" s="780"/>
      <c r="AB182" s="780"/>
      <c r="AC182" s="780"/>
      <c r="AD182" s="780"/>
      <c r="AE182" s="780"/>
      <c r="AF182" s="780"/>
      <c r="AG182" s="780"/>
      <c r="AH182" s="780"/>
      <c r="AI182" s="780"/>
      <c r="AJ182" s="780"/>
    </row>
    <row r="183" spans="2:36" ht="18" customHeight="1">
      <c r="B183" s="1285"/>
      <c r="C183" s="55"/>
      <c r="D183" s="788"/>
      <c r="E183" s="789"/>
      <c r="F183" s="790"/>
      <c r="G183" s="790"/>
      <c r="H183" s="790"/>
      <c r="I183" s="790"/>
      <c r="J183" s="790"/>
      <c r="K183" s="790"/>
      <c r="L183" s="790"/>
      <c r="M183" s="790"/>
      <c r="N183" s="790"/>
      <c r="O183" s="790"/>
      <c r="P183" s="790"/>
      <c r="Q183" s="790"/>
      <c r="R183" s="790"/>
      <c r="S183" s="790"/>
      <c r="T183" s="790"/>
      <c r="U183" s="790"/>
      <c r="V183" s="790"/>
      <c r="W183" s="790"/>
      <c r="X183" s="790"/>
      <c r="Y183" s="790"/>
      <c r="Z183" s="790"/>
      <c r="AA183" s="790"/>
      <c r="AB183" s="790"/>
      <c r="AC183" s="790"/>
      <c r="AD183" s="790"/>
      <c r="AE183" s="790"/>
      <c r="AF183" s="790"/>
      <c r="AG183" s="790"/>
      <c r="AH183" s="790"/>
      <c r="AI183" s="790"/>
      <c r="AJ183" s="790"/>
    </row>
    <row r="184" spans="2:36" ht="18" customHeight="1">
      <c r="B184" s="2584" t="s">
        <v>3546</v>
      </c>
      <c r="C184" s="764" t="s">
        <v>3547</v>
      </c>
      <c r="D184" s="791">
        <f t="shared" si="29"/>
        <v>0</v>
      </c>
      <c r="E184" s="792">
        <f t="shared" si="30"/>
        <v>0</v>
      </c>
      <c r="F184" s="793"/>
      <c r="G184" s="793"/>
      <c r="H184" s="794"/>
      <c r="I184" s="794"/>
      <c r="J184" s="794"/>
      <c r="K184" s="794"/>
      <c r="L184" s="794"/>
      <c r="M184" s="794"/>
      <c r="N184" s="794"/>
      <c r="O184" s="794"/>
      <c r="P184" s="794"/>
      <c r="Q184" s="794"/>
      <c r="R184" s="794"/>
      <c r="S184" s="794"/>
      <c r="T184" s="794"/>
      <c r="U184" s="794"/>
      <c r="V184" s="794"/>
      <c r="W184" s="794"/>
      <c r="X184" s="794"/>
      <c r="Y184" s="794"/>
      <c r="Z184" s="794"/>
      <c r="AA184" s="794"/>
      <c r="AB184" s="794"/>
      <c r="AC184" s="794"/>
      <c r="AD184" s="794"/>
      <c r="AE184" s="794"/>
      <c r="AF184" s="794"/>
      <c r="AG184" s="794"/>
      <c r="AH184" s="794"/>
      <c r="AI184" s="794"/>
      <c r="AJ184" s="794"/>
    </row>
    <row r="185" spans="2:36" ht="18" customHeight="1">
      <c r="B185" s="2584"/>
      <c r="C185" s="764" t="s">
        <v>3548</v>
      </c>
      <c r="D185" s="772">
        <f t="shared" si="29"/>
        <v>0</v>
      </c>
      <c r="E185" s="773">
        <f t="shared" si="30"/>
        <v>0</v>
      </c>
      <c r="F185" s="786"/>
      <c r="G185" s="786"/>
      <c r="H185" s="762"/>
      <c r="I185" s="762"/>
      <c r="J185" s="762"/>
      <c r="K185" s="762"/>
      <c r="L185" s="762"/>
      <c r="M185" s="762"/>
      <c r="N185" s="762"/>
      <c r="O185" s="762"/>
      <c r="P185" s="762"/>
      <c r="Q185" s="762"/>
      <c r="R185" s="762"/>
      <c r="S185" s="762"/>
      <c r="T185" s="762"/>
      <c r="U185" s="762"/>
      <c r="V185" s="762"/>
      <c r="W185" s="762"/>
      <c r="X185" s="762"/>
      <c r="Y185" s="762"/>
      <c r="Z185" s="762"/>
      <c r="AA185" s="762"/>
      <c r="AB185" s="762"/>
      <c r="AC185" s="762"/>
      <c r="AD185" s="762"/>
      <c r="AE185" s="762"/>
      <c r="AF185" s="762"/>
      <c r="AG185" s="762"/>
      <c r="AH185" s="762"/>
      <c r="AI185" s="762"/>
      <c r="AJ185" s="762"/>
    </row>
    <row r="186" spans="2:36" ht="18" customHeight="1">
      <c r="B186" s="2584"/>
      <c r="C186" s="764" t="s">
        <v>3549</v>
      </c>
      <c r="D186" s="772">
        <f t="shared" si="29"/>
        <v>0</v>
      </c>
      <c r="E186" s="773">
        <f t="shared" si="30"/>
        <v>0</v>
      </c>
      <c r="F186" s="786"/>
      <c r="G186" s="786"/>
      <c r="H186" s="762"/>
      <c r="I186" s="762"/>
      <c r="J186" s="762"/>
      <c r="K186" s="762"/>
      <c r="L186" s="762"/>
      <c r="M186" s="762"/>
      <c r="N186" s="762"/>
      <c r="O186" s="762"/>
      <c r="P186" s="762"/>
      <c r="Q186" s="762"/>
      <c r="R186" s="762"/>
      <c r="S186" s="762"/>
      <c r="T186" s="762"/>
      <c r="U186" s="762"/>
      <c r="V186" s="762"/>
      <c r="W186" s="762"/>
      <c r="X186" s="762"/>
      <c r="Y186" s="762"/>
      <c r="Z186" s="762"/>
      <c r="AA186" s="762"/>
      <c r="AB186" s="762"/>
      <c r="AC186" s="762"/>
      <c r="AD186" s="762"/>
      <c r="AE186" s="762"/>
      <c r="AF186" s="762"/>
      <c r="AG186" s="762"/>
      <c r="AH186" s="762"/>
      <c r="AI186" s="762"/>
      <c r="AJ186" s="762"/>
    </row>
    <row r="187" spans="2:36" ht="18" customHeight="1">
      <c r="B187" s="2584"/>
      <c r="C187" s="764" t="s">
        <v>3550</v>
      </c>
      <c r="D187" s="772">
        <f t="shared" si="29"/>
        <v>0</v>
      </c>
      <c r="E187" s="773">
        <f t="shared" si="30"/>
        <v>0</v>
      </c>
      <c r="F187" s="786"/>
      <c r="G187" s="786"/>
      <c r="H187" s="762"/>
      <c r="I187" s="762"/>
      <c r="J187" s="762"/>
      <c r="K187" s="762"/>
      <c r="L187" s="762"/>
      <c r="M187" s="762"/>
      <c r="N187" s="762"/>
      <c r="O187" s="762"/>
      <c r="P187" s="762"/>
      <c r="Q187" s="762"/>
      <c r="R187" s="762"/>
      <c r="S187" s="762"/>
      <c r="T187" s="762"/>
      <c r="U187" s="762"/>
      <c r="V187" s="762"/>
      <c r="W187" s="762"/>
      <c r="X187" s="762"/>
      <c r="Y187" s="762"/>
      <c r="Z187" s="762"/>
      <c r="AA187" s="762"/>
      <c r="AB187" s="762"/>
      <c r="AC187" s="762"/>
      <c r="AD187" s="762"/>
      <c r="AE187" s="762"/>
      <c r="AF187" s="762"/>
      <c r="AG187" s="762"/>
      <c r="AH187" s="762"/>
      <c r="AI187" s="762"/>
      <c r="AJ187" s="762"/>
    </row>
    <row r="188" spans="2:36" ht="18" customHeight="1">
      <c r="B188" s="2584"/>
      <c r="C188" s="764" t="s">
        <v>3551</v>
      </c>
      <c r="D188" s="772">
        <f t="shared" si="29"/>
        <v>0</v>
      </c>
      <c r="E188" s="773">
        <f t="shared" si="30"/>
        <v>0</v>
      </c>
      <c r="F188" s="786"/>
      <c r="G188" s="786"/>
      <c r="H188" s="762"/>
      <c r="I188" s="762"/>
      <c r="J188" s="762"/>
      <c r="K188" s="762"/>
      <c r="L188" s="762"/>
      <c r="M188" s="762"/>
      <c r="N188" s="762"/>
      <c r="O188" s="762"/>
      <c r="P188" s="762"/>
      <c r="Q188" s="762"/>
      <c r="R188" s="762"/>
      <c r="S188" s="762"/>
      <c r="T188" s="762"/>
      <c r="U188" s="762"/>
      <c r="V188" s="762"/>
      <c r="W188" s="762"/>
      <c r="X188" s="762"/>
      <c r="Y188" s="762"/>
      <c r="Z188" s="762"/>
      <c r="AA188" s="762"/>
      <c r="AB188" s="762"/>
      <c r="AC188" s="762"/>
      <c r="AD188" s="762"/>
      <c r="AE188" s="762"/>
      <c r="AF188" s="762"/>
      <c r="AG188" s="762"/>
      <c r="AH188" s="762"/>
      <c r="AI188" s="762"/>
      <c r="AJ188" s="762"/>
    </row>
    <row r="189" spans="2:36" ht="18" customHeight="1">
      <c r="B189" s="2584"/>
      <c r="C189" s="764" t="s">
        <v>3552</v>
      </c>
      <c r="D189" s="772">
        <f t="shared" si="29"/>
        <v>0</v>
      </c>
      <c r="E189" s="773">
        <f t="shared" si="30"/>
        <v>0</v>
      </c>
      <c r="F189" s="786"/>
      <c r="G189" s="786"/>
      <c r="H189" s="762"/>
      <c r="I189" s="762"/>
      <c r="J189" s="762"/>
      <c r="K189" s="762"/>
      <c r="L189" s="762"/>
      <c r="M189" s="762"/>
      <c r="N189" s="762"/>
      <c r="O189" s="762"/>
      <c r="P189" s="762"/>
      <c r="Q189" s="762"/>
      <c r="R189" s="762"/>
      <c r="S189" s="762"/>
      <c r="T189" s="762"/>
      <c r="U189" s="762"/>
      <c r="V189" s="762"/>
      <c r="W189" s="762"/>
      <c r="X189" s="762"/>
      <c r="Y189" s="762"/>
      <c r="Z189" s="762"/>
      <c r="AA189" s="762"/>
      <c r="AB189" s="762"/>
      <c r="AC189" s="762"/>
      <c r="AD189" s="762"/>
      <c r="AE189" s="762"/>
      <c r="AF189" s="762"/>
      <c r="AG189" s="762"/>
      <c r="AH189" s="762"/>
      <c r="AI189" s="762"/>
      <c r="AJ189" s="762"/>
    </row>
    <row r="190" spans="2:36" ht="18" customHeight="1">
      <c r="B190" s="2584"/>
      <c r="C190" s="426" t="s">
        <v>3447</v>
      </c>
      <c r="D190" s="772">
        <f t="shared" si="29"/>
        <v>0</v>
      </c>
      <c r="E190" s="773">
        <f t="shared" si="30"/>
        <v>0</v>
      </c>
      <c r="F190" s="786"/>
      <c r="G190" s="786"/>
      <c r="H190" s="762"/>
      <c r="I190" s="762"/>
      <c r="J190" s="762"/>
      <c r="K190" s="762"/>
      <c r="L190" s="762"/>
      <c r="M190" s="762"/>
      <c r="N190" s="762"/>
      <c r="O190" s="762"/>
      <c r="P190" s="762"/>
      <c r="Q190" s="762"/>
      <c r="R190" s="762"/>
      <c r="S190" s="762"/>
      <c r="T190" s="762"/>
      <c r="U190" s="762"/>
      <c r="V190" s="762"/>
      <c r="W190" s="762"/>
      <c r="X190" s="762"/>
      <c r="Y190" s="762"/>
      <c r="Z190" s="762"/>
      <c r="AA190" s="762"/>
      <c r="AB190" s="762"/>
      <c r="AC190" s="762"/>
      <c r="AD190" s="762"/>
      <c r="AE190" s="762"/>
      <c r="AF190" s="762"/>
      <c r="AG190" s="762"/>
      <c r="AH190" s="762"/>
      <c r="AI190" s="762"/>
      <c r="AJ190" s="762"/>
    </row>
    <row r="191" spans="2:36" ht="18" customHeight="1">
      <c r="B191" s="2584"/>
      <c r="C191" s="426" t="s">
        <v>3447</v>
      </c>
      <c r="D191" s="778">
        <f t="shared" si="29"/>
        <v>0</v>
      </c>
      <c r="E191" s="779">
        <f t="shared" si="30"/>
        <v>0</v>
      </c>
      <c r="F191" s="787"/>
      <c r="G191" s="787"/>
      <c r="H191" s="780"/>
      <c r="I191" s="780"/>
      <c r="J191" s="780"/>
      <c r="K191" s="780"/>
      <c r="L191" s="780"/>
      <c r="M191" s="780"/>
      <c r="N191" s="780"/>
      <c r="O191" s="780"/>
      <c r="P191" s="780"/>
      <c r="Q191" s="780"/>
      <c r="R191" s="780"/>
      <c r="S191" s="780"/>
      <c r="T191" s="780"/>
      <c r="U191" s="780"/>
      <c r="V191" s="780"/>
      <c r="W191" s="780"/>
      <c r="X191" s="780"/>
      <c r="Y191" s="780"/>
      <c r="Z191" s="780"/>
      <c r="AA191" s="780"/>
      <c r="AB191" s="780"/>
      <c r="AC191" s="780"/>
      <c r="AD191" s="780"/>
      <c r="AE191" s="780"/>
      <c r="AF191" s="780"/>
      <c r="AG191" s="780"/>
      <c r="AH191" s="780"/>
      <c r="AI191" s="780"/>
      <c r="AJ191" s="780"/>
    </row>
    <row r="192" spans="2:36" ht="18" customHeight="1">
      <c r="B192" s="1285"/>
      <c r="C192" s="55"/>
      <c r="D192" s="788"/>
      <c r="E192" s="789"/>
      <c r="F192" s="790"/>
      <c r="G192" s="790"/>
      <c r="H192" s="790"/>
      <c r="I192" s="790"/>
      <c r="J192" s="790"/>
      <c r="K192" s="790"/>
      <c r="L192" s="790"/>
      <c r="M192" s="790"/>
      <c r="N192" s="790"/>
      <c r="O192" s="790"/>
      <c r="P192" s="790"/>
      <c r="Q192" s="790"/>
      <c r="R192" s="790"/>
      <c r="S192" s="790"/>
      <c r="T192" s="790"/>
      <c r="U192" s="790"/>
      <c r="V192" s="790"/>
      <c r="W192" s="790"/>
      <c r="X192" s="790"/>
      <c r="Y192" s="790"/>
      <c r="Z192" s="790"/>
      <c r="AA192" s="790"/>
      <c r="AB192" s="790"/>
      <c r="AC192" s="790"/>
      <c r="AD192" s="790"/>
      <c r="AE192" s="790"/>
      <c r="AF192" s="790"/>
      <c r="AG192" s="790"/>
      <c r="AH192" s="790"/>
      <c r="AI192" s="790"/>
      <c r="AJ192" s="790"/>
    </row>
    <row r="193" spans="2:36" ht="18" customHeight="1">
      <c r="B193" s="2578" t="s">
        <v>3553</v>
      </c>
      <c r="C193" s="764" t="s">
        <v>3554</v>
      </c>
      <c r="D193" s="791">
        <f t="shared" si="29"/>
        <v>0</v>
      </c>
      <c r="E193" s="792">
        <f t="shared" si="30"/>
        <v>0</v>
      </c>
      <c r="F193" s="793"/>
      <c r="G193" s="793"/>
      <c r="H193" s="794"/>
      <c r="I193" s="794"/>
      <c r="J193" s="794"/>
      <c r="K193" s="794"/>
      <c r="L193" s="794"/>
      <c r="M193" s="794"/>
      <c r="N193" s="794"/>
      <c r="O193" s="794"/>
      <c r="P193" s="794"/>
      <c r="Q193" s="794"/>
      <c r="R193" s="794"/>
      <c r="S193" s="794"/>
      <c r="T193" s="794"/>
      <c r="U193" s="794"/>
      <c r="V193" s="794"/>
      <c r="W193" s="794"/>
      <c r="X193" s="794"/>
      <c r="Y193" s="794"/>
      <c r="Z193" s="794"/>
      <c r="AA193" s="794"/>
      <c r="AB193" s="794"/>
      <c r="AC193" s="794"/>
      <c r="AD193" s="794"/>
      <c r="AE193" s="794"/>
      <c r="AF193" s="794"/>
      <c r="AG193" s="794"/>
      <c r="AH193" s="794"/>
      <c r="AI193" s="794"/>
      <c r="AJ193" s="794"/>
    </row>
    <row r="194" spans="2:36" ht="18" customHeight="1">
      <c r="B194" s="2579"/>
      <c r="C194" s="764" t="s">
        <v>3452</v>
      </c>
      <c r="D194" s="772">
        <f t="shared" si="29"/>
        <v>0</v>
      </c>
      <c r="E194" s="773">
        <f t="shared" si="30"/>
        <v>0</v>
      </c>
      <c r="F194" s="786"/>
      <c r="G194" s="786"/>
      <c r="H194" s="762"/>
      <c r="I194" s="762"/>
      <c r="J194" s="762"/>
      <c r="K194" s="762"/>
      <c r="L194" s="762"/>
      <c r="M194" s="762"/>
      <c r="N194" s="762"/>
      <c r="O194" s="762"/>
      <c r="P194" s="762"/>
      <c r="Q194" s="762"/>
      <c r="R194" s="762"/>
      <c r="S194" s="762"/>
      <c r="T194" s="762"/>
      <c r="U194" s="762"/>
      <c r="V194" s="762"/>
      <c r="W194" s="762"/>
      <c r="X194" s="762"/>
      <c r="Y194" s="762"/>
      <c r="Z194" s="762"/>
      <c r="AA194" s="762"/>
      <c r="AB194" s="762"/>
      <c r="AC194" s="762"/>
      <c r="AD194" s="762"/>
      <c r="AE194" s="762"/>
      <c r="AF194" s="762"/>
      <c r="AG194" s="762"/>
      <c r="AH194" s="762"/>
      <c r="AI194" s="762"/>
      <c r="AJ194" s="762"/>
    </row>
    <row r="195" spans="2:36" ht="18" customHeight="1">
      <c r="B195" s="2579"/>
      <c r="C195" s="426" t="s">
        <v>3447</v>
      </c>
      <c r="D195" s="772">
        <f t="shared" si="29"/>
        <v>0</v>
      </c>
      <c r="E195" s="773">
        <f t="shared" si="30"/>
        <v>0</v>
      </c>
      <c r="F195" s="786"/>
      <c r="G195" s="786"/>
      <c r="H195" s="762"/>
      <c r="I195" s="762"/>
      <c r="J195" s="762"/>
      <c r="K195" s="762"/>
      <c r="L195" s="762"/>
      <c r="M195" s="762"/>
      <c r="N195" s="762"/>
      <c r="O195" s="762"/>
      <c r="P195" s="762"/>
      <c r="Q195" s="762"/>
      <c r="R195" s="762"/>
      <c r="S195" s="762"/>
      <c r="T195" s="762"/>
      <c r="U195" s="762"/>
      <c r="V195" s="762"/>
      <c r="W195" s="762"/>
      <c r="X195" s="762"/>
      <c r="Y195" s="762"/>
      <c r="Z195" s="762"/>
      <c r="AA195" s="762"/>
      <c r="AB195" s="762"/>
      <c r="AC195" s="762"/>
      <c r="AD195" s="762"/>
      <c r="AE195" s="762"/>
      <c r="AF195" s="762"/>
      <c r="AG195" s="762"/>
      <c r="AH195" s="762"/>
      <c r="AI195" s="762"/>
      <c r="AJ195" s="762"/>
    </row>
    <row r="196" spans="2:36" ht="18" customHeight="1">
      <c r="B196" s="2580"/>
      <c r="C196" s="426" t="s">
        <v>3447</v>
      </c>
      <c r="D196" s="778">
        <f t="shared" si="29"/>
        <v>0</v>
      </c>
      <c r="E196" s="779">
        <f t="shared" si="30"/>
        <v>0</v>
      </c>
      <c r="F196" s="787"/>
      <c r="G196" s="787"/>
      <c r="H196" s="780"/>
      <c r="I196" s="780"/>
      <c r="J196" s="780"/>
      <c r="K196" s="780"/>
      <c r="L196" s="780"/>
      <c r="M196" s="780"/>
      <c r="N196" s="780"/>
      <c r="O196" s="780"/>
      <c r="P196" s="780"/>
      <c r="Q196" s="780"/>
      <c r="R196" s="780"/>
      <c r="S196" s="780"/>
      <c r="T196" s="780"/>
      <c r="U196" s="780"/>
      <c r="V196" s="780"/>
      <c r="W196" s="780"/>
      <c r="X196" s="780"/>
      <c r="Y196" s="780"/>
      <c r="Z196" s="780"/>
      <c r="AA196" s="780"/>
      <c r="AB196" s="780"/>
      <c r="AC196" s="780"/>
      <c r="AD196" s="780"/>
      <c r="AE196" s="780"/>
      <c r="AF196" s="780"/>
      <c r="AG196" s="780"/>
      <c r="AH196" s="780"/>
      <c r="AI196" s="780"/>
      <c r="AJ196" s="780"/>
    </row>
    <row r="197" spans="2:36" ht="18" customHeight="1">
      <c r="B197" s="1285"/>
      <c r="C197" s="55"/>
      <c r="D197" s="788"/>
      <c r="E197" s="789"/>
      <c r="F197" s="790"/>
      <c r="G197" s="790"/>
      <c r="H197" s="790"/>
      <c r="I197" s="790"/>
      <c r="J197" s="790"/>
      <c r="K197" s="790"/>
      <c r="L197" s="790"/>
      <c r="M197" s="790"/>
      <c r="N197" s="790"/>
      <c r="O197" s="790"/>
      <c r="P197" s="790"/>
      <c r="Q197" s="790"/>
      <c r="R197" s="790"/>
      <c r="S197" s="790"/>
      <c r="T197" s="790"/>
      <c r="U197" s="790"/>
      <c r="V197" s="790"/>
      <c r="W197" s="790"/>
      <c r="X197" s="790"/>
      <c r="Y197" s="790"/>
      <c r="Z197" s="790"/>
      <c r="AA197" s="790"/>
      <c r="AB197" s="790"/>
      <c r="AC197" s="790"/>
      <c r="AD197" s="790"/>
      <c r="AE197" s="790"/>
      <c r="AF197" s="790"/>
      <c r="AG197" s="790"/>
      <c r="AH197" s="790"/>
      <c r="AI197" s="790"/>
      <c r="AJ197" s="790"/>
    </row>
    <row r="198" spans="2:36" ht="18" customHeight="1">
      <c r="B198" s="2584" t="s">
        <v>3555</v>
      </c>
      <c r="C198" s="426" t="s">
        <v>3447</v>
      </c>
      <c r="D198" s="791">
        <f t="shared" si="29"/>
        <v>0</v>
      </c>
      <c r="E198" s="792">
        <f t="shared" si="30"/>
        <v>0</v>
      </c>
      <c r="F198" s="793"/>
      <c r="G198" s="793"/>
      <c r="H198" s="794"/>
      <c r="I198" s="794"/>
      <c r="J198" s="794"/>
      <c r="K198" s="794"/>
      <c r="L198" s="794"/>
      <c r="M198" s="794"/>
      <c r="N198" s="794"/>
      <c r="O198" s="794"/>
      <c r="P198" s="794"/>
      <c r="Q198" s="794"/>
      <c r="R198" s="794"/>
      <c r="S198" s="794"/>
      <c r="T198" s="794"/>
      <c r="U198" s="794"/>
      <c r="V198" s="794"/>
      <c r="W198" s="794"/>
      <c r="X198" s="794"/>
      <c r="Y198" s="794"/>
      <c r="Z198" s="794"/>
      <c r="AA198" s="794"/>
      <c r="AB198" s="794"/>
      <c r="AC198" s="794"/>
      <c r="AD198" s="794"/>
      <c r="AE198" s="794"/>
      <c r="AF198" s="794"/>
      <c r="AG198" s="794"/>
      <c r="AH198" s="794"/>
      <c r="AI198" s="794"/>
      <c r="AJ198" s="794"/>
    </row>
    <row r="199" spans="2:36" ht="18" customHeight="1">
      <c r="B199" s="2584"/>
      <c r="C199" s="426" t="s">
        <v>3447</v>
      </c>
      <c r="D199" s="772">
        <f t="shared" ref="D199" si="31">SUM(H199:AH199)</f>
        <v>0</v>
      </c>
      <c r="E199" s="773">
        <f t="shared" ref="E199" si="32">SUM(AI199:AJ199)</f>
        <v>0</v>
      </c>
      <c r="F199" s="786"/>
      <c r="G199" s="786"/>
      <c r="H199" s="762"/>
      <c r="I199" s="762"/>
      <c r="J199" s="762"/>
      <c r="K199" s="762"/>
      <c r="L199" s="762"/>
      <c r="M199" s="762"/>
      <c r="N199" s="762"/>
      <c r="O199" s="762"/>
      <c r="P199" s="762"/>
      <c r="Q199" s="762"/>
      <c r="R199" s="762"/>
      <c r="S199" s="762"/>
      <c r="T199" s="762"/>
      <c r="U199" s="762"/>
      <c r="V199" s="762"/>
      <c r="W199" s="762"/>
      <c r="X199" s="762"/>
      <c r="Y199" s="762"/>
      <c r="Z199" s="762"/>
      <c r="AA199" s="762"/>
      <c r="AB199" s="762"/>
      <c r="AC199" s="762"/>
      <c r="AD199" s="762"/>
      <c r="AE199" s="762"/>
      <c r="AF199" s="762"/>
      <c r="AG199" s="762"/>
      <c r="AH199" s="762"/>
      <c r="AI199" s="762"/>
      <c r="AJ199" s="762"/>
    </row>
    <row r="200" spans="2:36" ht="18" customHeight="1">
      <c r="B200" s="2584"/>
      <c r="C200" s="766" t="s">
        <v>3447</v>
      </c>
      <c r="D200" s="778">
        <f t="shared" si="29"/>
        <v>0</v>
      </c>
      <c r="E200" s="779">
        <f t="shared" si="30"/>
        <v>0</v>
      </c>
      <c r="F200" s="787"/>
      <c r="G200" s="787"/>
      <c r="H200" s="780"/>
      <c r="I200" s="780"/>
      <c r="J200" s="780"/>
      <c r="K200" s="780"/>
      <c r="L200" s="780"/>
      <c r="M200" s="780"/>
      <c r="N200" s="780"/>
      <c r="O200" s="780"/>
      <c r="P200" s="780"/>
      <c r="Q200" s="780"/>
      <c r="R200" s="780"/>
      <c r="S200" s="780"/>
      <c r="T200" s="780"/>
      <c r="U200" s="780"/>
      <c r="V200" s="780"/>
      <c r="W200" s="780"/>
      <c r="X200" s="780"/>
      <c r="Y200" s="780"/>
      <c r="Z200" s="780"/>
      <c r="AA200" s="780"/>
      <c r="AB200" s="780"/>
      <c r="AC200" s="780"/>
      <c r="AD200" s="780"/>
      <c r="AE200" s="780"/>
      <c r="AF200" s="780"/>
      <c r="AG200" s="780"/>
      <c r="AH200" s="780"/>
      <c r="AI200" s="780"/>
      <c r="AJ200" s="780"/>
    </row>
    <row r="201" spans="2:36" s="60" customFormat="1" ht="18" customHeight="1">
      <c r="B201" s="854"/>
      <c r="C201" s="770"/>
      <c r="D201" s="781"/>
      <c r="E201" s="782"/>
      <c r="F201" s="777"/>
      <c r="G201" s="777"/>
      <c r="H201" s="777"/>
      <c r="I201" s="777"/>
      <c r="J201" s="777"/>
      <c r="K201" s="777"/>
      <c r="L201" s="777"/>
      <c r="M201" s="777"/>
      <c r="N201" s="777"/>
      <c r="O201" s="777"/>
      <c r="P201" s="777"/>
      <c r="Q201" s="777"/>
      <c r="R201" s="777"/>
      <c r="S201" s="777"/>
      <c r="T201" s="777"/>
      <c r="U201" s="777"/>
      <c r="V201" s="777"/>
      <c r="W201" s="777"/>
      <c r="X201" s="777"/>
      <c r="Y201" s="777"/>
      <c r="Z201" s="777"/>
      <c r="AA201" s="777"/>
      <c r="AB201" s="777"/>
      <c r="AC201" s="777"/>
      <c r="AD201" s="777"/>
      <c r="AE201" s="777"/>
      <c r="AF201" s="777"/>
      <c r="AG201" s="777"/>
      <c r="AH201" s="777"/>
      <c r="AI201" s="777"/>
      <c r="AJ201" s="777"/>
    </row>
    <row r="202" spans="2:36" ht="28.5" customHeight="1">
      <c r="B202" s="1285"/>
      <c r="C202" s="2587" t="s">
        <v>3556</v>
      </c>
      <c r="D202" s="2587"/>
      <c r="E202" s="2587"/>
      <c r="F202" s="2587"/>
      <c r="G202" s="2587"/>
      <c r="H202" s="2587"/>
      <c r="I202" s="2587"/>
      <c r="J202" s="2587"/>
      <c r="K202" s="2587"/>
      <c r="L202" s="2587"/>
      <c r="M202" s="2587"/>
      <c r="N202" s="1285"/>
      <c r="O202" s="1285"/>
      <c r="P202" s="1285"/>
      <c r="Q202" s="1285"/>
      <c r="R202" s="1285"/>
      <c r="S202" s="1285"/>
      <c r="T202" s="1285"/>
      <c r="U202" s="1285"/>
      <c r="V202" s="1285"/>
      <c r="W202" s="1285"/>
      <c r="X202" s="1285"/>
      <c r="Y202" s="1285"/>
      <c r="Z202" s="1285"/>
      <c r="AA202" s="1285"/>
      <c r="AB202" s="1285"/>
      <c r="AC202" s="1285"/>
      <c r="AD202" s="1285"/>
      <c r="AE202" s="1285"/>
      <c r="AF202" s="1285"/>
      <c r="AG202" s="1285"/>
      <c r="AH202" s="1285"/>
      <c r="AI202" s="1285"/>
      <c r="AJ202" s="1285"/>
    </row>
    <row r="203" spans="2:36" ht="53.25" customHeight="1">
      <c r="B203" s="1285"/>
      <c r="C203" s="2586"/>
      <c r="D203" s="2586"/>
      <c r="E203" s="2586"/>
      <c r="F203" s="2586"/>
      <c r="G203" s="2586"/>
      <c r="H203" s="2586"/>
      <c r="I203" s="2586"/>
      <c r="J203" s="2586"/>
      <c r="K203" s="2586"/>
      <c r="L203" s="2586"/>
      <c r="M203" s="2586"/>
      <c r="N203" s="337"/>
      <c r="O203" s="337"/>
      <c r="P203" s="337"/>
      <c r="Q203" s="337"/>
      <c r="R203" s="337"/>
      <c r="S203" s="337"/>
      <c r="T203" s="337"/>
      <c r="U203" s="337"/>
      <c r="V203" s="337"/>
      <c r="W203" s="337"/>
      <c r="X203" s="337"/>
      <c r="Y203" s="337"/>
      <c r="Z203" s="337"/>
      <c r="AA203" s="1285"/>
      <c r="AB203" s="1285"/>
      <c r="AC203" s="1285"/>
      <c r="AD203" s="1285"/>
      <c r="AE203" s="1285"/>
      <c r="AF203" s="1285"/>
      <c r="AG203" s="1285"/>
      <c r="AH203" s="1285"/>
      <c r="AI203" s="1285"/>
      <c r="AJ203" s="1285"/>
    </row>
    <row r="205" spans="2:36" ht="18" customHeight="1">
      <c r="B205" s="1285"/>
      <c r="C205" s="2585"/>
      <c r="D205" s="2585"/>
      <c r="E205" s="2585"/>
      <c r="F205" s="2585"/>
      <c r="G205" s="2585"/>
      <c r="H205" s="2585"/>
      <c r="I205" s="2585"/>
      <c r="J205" s="2585"/>
      <c r="K205" s="2585"/>
      <c r="L205" s="2585"/>
      <c r="M205" s="2585"/>
      <c r="N205" s="1285"/>
      <c r="O205" s="1285"/>
      <c r="P205" s="1285"/>
      <c r="Q205" s="1285"/>
      <c r="R205" s="1285"/>
      <c r="S205" s="1285"/>
      <c r="T205" s="1285"/>
      <c r="U205" s="1285"/>
      <c r="V205" s="1285"/>
      <c r="W205" s="1285"/>
      <c r="X205" s="1285"/>
      <c r="Y205" s="1285"/>
      <c r="Z205" s="1285"/>
      <c r="AA205" s="1285"/>
      <c r="AB205" s="1285"/>
      <c r="AC205" s="1285"/>
      <c r="AD205" s="1285"/>
      <c r="AE205" s="1285"/>
      <c r="AF205" s="1285"/>
      <c r="AG205" s="1285"/>
      <c r="AH205" s="1285"/>
      <c r="AI205" s="1285"/>
      <c r="AJ205" s="1285"/>
    </row>
  </sheetData>
  <mergeCells count="29">
    <mergeCell ref="B198:B200"/>
    <mergeCell ref="B184:B191"/>
    <mergeCell ref="B176:B182"/>
    <mergeCell ref="B193:B196"/>
    <mergeCell ref="C205:M205"/>
    <mergeCell ref="C203:M203"/>
    <mergeCell ref="C202:M202"/>
    <mergeCell ref="B169:B174"/>
    <mergeCell ref="B162:B167"/>
    <mergeCell ref="B156:B160"/>
    <mergeCell ref="B144:B154"/>
    <mergeCell ref="B136:B142"/>
    <mergeCell ref="B83:B87"/>
    <mergeCell ref="B75:B81"/>
    <mergeCell ref="B70:B73"/>
    <mergeCell ref="B61:B68"/>
    <mergeCell ref="B128:B134"/>
    <mergeCell ref="B118:B126"/>
    <mergeCell ref="B115:B116"/>
    <mergeCell ref="B106:B111"/>
    <mergeCell ref="B89:B104"/>
    <mergeCell ref="C2:E2"/>
    <mergeCell ref="AI2:AJ2"/>
    <mergeCell ref="F2:G2"/>
    <mergeCell ref="B47:B59"/>
    <mergeCell ref="B41:B45"/>
    <mergeCell ref="B29:B39"/>
    <mergeCell ref="B16:B27"/>
    <mergeCell ref="B6:B14"/>
  </mergeCells>
  <conditionalFormatting sqref="H4:AH4">
    <cfRule type="cellIs" dxfId="677" priority="9" operator="greaterThan">
      <formula>0</formula>
    </cfRule>
  </conditionalFormatting>
  <conditionalFormatting sqref="H4:AH4">
    <cfRule type="cellIs" dxfId="676" priority="8" operator="equal">
      <formula>0</formula>
    </cfRule>
  </conditionalFormatting>
  <printOptions horizontalCentered="1"/>
  <pageMargins left="0" right="0.25" top="0" bottom="0" header="0.25" footer="0.25"/>
  <pageSetup scale="62" fitToWidth="2" fitToHeight="2" orientation="landscape" r:id="rId1"/>
  <headerFooter>
    <oddFooter>&amp;L&amp;F&amp;C&amp;P of &amp;N&amp;R &amp;A</oddFooter>
  </headerFooter>
  <rowBreaks count="1" manualBreakCount="1">
    <brk id="80" min="2" max="99" man="1"/>
  </rowBreaks>
  <ignoredErrors>
    <ignoredError sqref="E6:E18 E19:E200" formulaRange="1"/>
  </ignoredErrors>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pageSetUpPr fitToPage="1"/>
  </sheetPr>
  <dimension ref="A2:AO53"/>
  <sheetViews>
    <sheetView showGridLines="0" topLeftCell="A49" zoomScaleNormal="100" zoomScaleSheetLayoutView="100" workbookViewId="0">
      <selection activeCell="AF7" sqref="AF7:AI7"/>
    </sheetView>
  </sheetViews>
  <sheetFormatPr defaultColWidth="9.109375" defaultRowHeight="18" customHeight="1"/>
  <cols>
    <col min="1" max="1" width="5.6640625" style="154" customWidth="1"/>
    <col min="2" max="39" width="4.109375" style="154" customWidth="1"/>
    <col min="40" max="16384" width="9.109375" style="154"/>
  </cols>
  <sheetData>
    <row r="2" spans="1:41" ht="17.399999999999999">
      <c r="B2" s="2646" t="s">
        <v>3899</v>
      </c>
      <c r="C2" s="2646"/>
      <c r="D2" s="2646"/>
      <c r="E2" s="2646"/>
      <c r="F2" s="2646"/>
      <c r="G2" s="2646"/>
      <c r="H2" s="2646"/>
      <c r="I2" s="2646"/>
      <c r="J2" s="2646"/>
      <c r="K2" s="2646"/>
      <c r="L2" s="2646"/>
      <c r="M2" s="2646"/>
      <c r="N2" s="2646"/>
      <c r="O2" s="2646"/>
      <c r="P2" s="2646"/>
      <c r="Q2" s="2646"/>
      <c r="R2" s="2646"/>
      <c r="S2" s="2646"/>
      <c r="T2" s="2646"/>
      <c r="U2" s="2646"/>
      <c r="V2" s="2646"/>
      <c r="W2" s="2646"/>
      <c r="X2" s="2646"/>
      <c r="Y2" s="2646"/>
      <c r="Z2" s="2646"/>
      <c r="AA2" s="2646"/>
      <c r="AB2" s="2646"/>
      <c r="AC2" s="2646"/>
      <c r="AD2" s="2646"/>
      <c r="AE2" s="2646"/>
      <c r="AF2" s="2646"/>
      <c r="AG2" s="2646"/>
      <c r="AH2" s="2646"/>
      <c r="AI2" s="2646"/>
      <c r="AJ2" s="2646"/>
      <c r="AK2" s="2646"/>
      <c r="AL2" s="2646"/>
      <c r="AM2" s="2646"/>
      <c r="AN2" s="353"/>
    </row>
    <row r="3" spans="1:41" ht="18" customHeight="1">
      <c r="B3" s="358"/>
      <c r="C3" s="358"/>
      <c r="D3" s="358"/>
      <c r="E3" s="358"/>
      <c r="F3" s="358"/>
      <c r="G3" s="358"/>
      <c r="H3" s="358"/>
      <c r="I3" s="358"/>
      <c r="J3" s="358"/>
      <c r="K3" s="358"/>
      <c r="L3" s="358"/>
      <c r="M3" s="358"/>
      <c r="N3" s="358"/>
      <c r="O3" s="358"/>
      <c r="P3" s="358"/>
      <c r="Q3" s="358"/>
      <c r="R3" s="358"/>
      <c r="S3" s="358"/>
      <c r="T3" s="358"/>
      <c r="U3" s="358"/>
      <c r="V3" s="358"/>
      <c r="W3" s="358"/>
      <c r="X3" s="358"/>
      <c r="Y3" s="358"/>
      <c r="Z3" s="358"/>
      <c r="AA3" s="358"/>
      <c r="AB3" s="358"/>
      <c r="AC3" s="358"/>
      <c r="AD3" s="358"/>
      <c r="AE3" s="358"/>
      <c r="AF3" s="358"/>
      <c r="AG3" s="358"/>
      <c r="AH3" s="358"/>
      <c r="AI3" s="358"/>
      <c r="AJ3" s="358"/>
      <c r="AK3" s="358"/>
      <c r="AL3" s="358"/>
      <c r="AM3" s="358"/>
      <c r="AN3" s="353"/>
    </row>
    <row r="4" spans="1:41" ht="18" customHeight="1">
      <c r="B4" s="2625" t="s">
        <v>19</v>
      </c>
      <c r="C4" s="2625"/>
      <c r="D4" s="2625"/>
      <c r="E4" s="2625"/>
      <c r="F4" s="2626" t="str">
        <f>IF('Project Overview'!F97&gt;0,'Project Overview'!F97,"")</f>
        <v>PNAME</v>
      </c>
      <c r="G4" s="2626"/>
      <c r="H4" s="2626"/>
      <c r="I4" s="2626"/>
      <c r="J4" s="2626"/>
      <c r="K4" s="2626"/>
      <c r="L4" s="2626"/>
      <c r="M4" s="2626"/>
      <c r="N4" s="2626"/>
      <c r="O4" s="2626"/>
      <c r="P4" s="2626"/>
      <c r="Q4" s="2626"/>
      <c r="R4" s="2626"/>
      <c r="S4" s="2626"/>
      <c r="T4" s="2626"/>
      <c r="U4" s="2626"/>
      <c r="V4" s="2626"/>
      <c r="W4" s="2626"/>
      <c r="X4" s="2626"/>
      <c r="Y4" s="2626"/>
      <c r="Z4" s="2626"/>
      <c r="AA4" s="2627" t="s">
        <v>3900</v>
      </c>
      <c r="AB4" s="2627"/>
      <c r="AC4" s="2627"/>
      <c r="AD4" s="2627"/>
      <c r="AE4" s="2627"/>
      <c r="AF4" s="2627"/>
      <c r="AG4" s="2627"/>
      <c r="AH4" s="2627"/>
      <c r="AI4" s="2636">
        <f>IFERROR('Unit Mix'!D8,0)</f>
        <v>76</v>
      </c>
      <c r="AJ4" s="2636"/>
      <c r="AK4" s="2636"/>
      <c r="AL4" s="2636"/>
      <c r="AM4" s="2636"/>
      <c r="AN4"/>
    </row>
    <row r="5" spans="1:41" ht="18" customHeight="1">
      <c r="A5" s="353"/>
      <c r="B5" s="354"/>
      <c r="C5" s="354"/>
      <c r="D5" s="354"/>
      <c r="E5" s="354"/>
      <c r="F5" s="355"/>
      <c r="G5" s="355"/>
      <c r="H5" s="355"/>
      <c r="I5" s="355"/>
      <c r="J5" s="355"/>
      <c r="K5" s="355"/>
      <c r="L5" s="355"/>
      <c r="M5" s="355"/>
      <c r="N5" s="355"/>
      <c r="O5" s="355"/>
      <c r="P5" s="355"/>
      <c r="Q5" s="355"/>
      <c r="R5" s="355"/>
      <c r="S5" s="355"/>
      <c r="T5" s="355"/>
      <c r="U5" s="355"/>
      <c r="V5" s="355"/>
      <c r="W5" s="355"/>
      <c r="X5" s="355"/>
      <c r="Y5" s="355"/>
      <c r="Z5" s="355"/>
      <c r="AA5" s="354"/>
      <c r="AB5" s="354"/>
      <c r="AC5" s="354"/>
      <c r="AD5" s="354"/>
      <c r="AE5" s="354"/>
      <c r="AF5" s="354"/>
      <c r="AG5" s="354"/>
      <c r="AH5" s="354"/>
      <c r="AI5" s="356"/>
      <c r="AJ5" s="356"/>
      <c r="AK5" s="356"/>
      <c r="AL5" s="356"/>
      <c r="AM5" s="356"/>
      <c r="AN5" s="357"/>
    </row>
    <row r="6" spans="1:41" ht="18" customHeight="1">
      <c r="B6" s="2628" t="s">
        <v>3901</v>
      </c>
      <c r="C6" s="2629"/>
      <c r="D6" s="2629"/>
      <c r="E6" s="2629"/>
      <c r="F6" s="2629"/>
      <c r="G6" s="2629"/>
      <c r="H6" s="2629"/>
      <c r="I6" s="2629"/>
      <c r="J6" s="2629"/>
      <c r="K6" s="2629"/>
      <c r="L6" s="2629"/>
      <c r="M6" s="2629"/>
      <c r="N6" s="2629"/>
      <c r="O6" s="2629"/>
      <c r="P6" s="2629"/>
      <c r="Q6" s="2629"/>
      <c r="R6" s="2629"/>
      <c r="S6" s="2629"/>
      <c r="T6" s="2629"/>
      <c r="U6" s="2629"/>
      <c r="V6" s="2629"/>
      <c r="W6" s="2629"/>
      <c r="X6" s="2629"/>
      <c r="Y6" s="2629"/>
      <c r="Z6" s="2629"/>
      <c r="AA6" s="2629"/>
      <c r="AB6" s="2629"/>
      <c r="AC6" s="2629"/>
      <c r="AD6" s="2629"/>
      <c r="AE6" s="2629"/>
      <c r="AF6" s="2628"/>
      <c r="AG6" s="2628"/>
      <c r="AH6" s="2628"/>
      <c r="AI6" s="2628"/>
      <c r="AJ6" s="2628"/>
      <c r="AK6" s="2628"/>
      <c r="AL6" s="2628"/>
      <c r="AM6" s="2628"/>
    </row>
    <row r="7" spans="1:41" ht="18" customHeight="1">
      <c r="B7" s="1571" t="s">
        <v>1397</v>
      </c>
      <c r="C7" s="2630" t="s">
        <v>3902</v>
      </c>
      <c r="D7" s="2631"/>
      <c r="E7" s="2631"/>
      <c r="F7" s="2631"/>
      <c r="G7" s="2631"/>
      <c r="H7" s="2631"/>
      <c r="I7" s="2631"/>
      <c r="J7" s="2631"/>
      <c r="K7" s="2631"/>
      <c r="L7" s="2631"/>
      <c r="M7" s="2631"/>
      <c r="N7" s="2631"/>
      <c r="O7" s="2631"/>
      <c r="P7" s="2631"/>
      <c r="Q7" s="2631"/>
      <c r="R7" s="2631"/>
      <c r="S7" s="2631"/>
      <c r="T7" s="2631"/>
      <c r="U7" s="2631"/>
      <c r="V7" s="2631"/>
      <c r="W7" s="2631"/>
      <c r="X7" s="2631"/>
      <c r="Y7" s="2631"/>
      <c r="Z7" s="2631"/>
      <c r="AA7" s="2631"/>
      <c r="AB7" s="2631"/>
      <c r="AC7" s="2631"/>
      <c r="AD7" s="2631"/>
      <c r="AE7" s="2632"/>
      <c r="AF7" s="2633">
        <f>SUM('Dev Budget SU'!D29:D39)-'Dev Budget SU'!D31-'Dev Budget SU'!D32-'Dev Budget SU'!D33-'Dev Budget SU'!D35</f>
        <v>0</v>
      </c>
      <c r="AG7" s="2634"/>
      <c r="AH7" s="2634"/>
      <c r="AI7" s="2634"/>
      <c r="AJ7" s="2635">
        <f>$AF$7*0.006</f>
        <v>0</v>
      </c>
      <c r="AK7" s="2635"/>
      <c r="AL7" s="2635"/>
      <c r="AM7" s="2635"/>
    </row>
    <row r="8" spans="1:41" ht="18" customHeight="1">
      <c r="B8" s="2637" t="s">
        <v>1399</v>
      </c>
      <c r="C8" s="2616" t="s">
        <v>3903</v>
      </c>
      <c r="D8" s="2617"/>
      <c r="E8" s="2617"/>
      <c r="F8" s="2617"/>
      <c r="G8" s="2617"/>
      <c r="H8" s="2617"/>
      <c r="I8" s="2617"/>
      <c r="J8" s="2617"/>
      <c r="K8" s="2617"/>
      <c r="L8" s="2617"/>
      <c r="M8" s="2617"/>
      <c r="N8" s="2617"/>
      <c r="O8" s="2617"/>
      <c r="P8" s="2617"/>
      <c r="Q8" s="2617"/>
      <c r="R8" s="2617"/>
      <c r="S8" s="2617"/>
      <c r="T8" s="2617"/>
      <c r="U8" s="2617"/>
      <c r="V8" s="2617"/>
      <c r="W8" s="2617"/>
      <c r="X8" s="2617"/>
      <c r="Y8" s="2617"/>
      <c r="Z8" s="2617"/>
      <c r="AA8" s="2617"/>
      <c r="AB8" s="2617"/>
      <c r="AC8" s="2617"/>
      <c r="AD8" s="2617"/>
      <c r="AE8" s="2618"/>
      <c r="AF8" s="2619">
        <v>500</v>
      </c>
      <c r="AG8" s="2620"/>
      <c r="AH8" s="2620"/>
      <c r="AI8" s="2620"/>
      <c r="AJ8" s="2621">
        <f>$AI$4*AF8</f>
        <v>38000</v>
      </c>
      <c r="AK8" s="2621"/>
      <c r="AL8" s="2621"/>
      <c r="AM8" s="2621"/>
      <c r="AN8" s="162"/>
      <c r="AO8" s="162"/>
    </row>
    <row r="9" spans="1:41" ht="18" customHeight="1">
      <c r="B9" s="2638"/>
      <c r="C9" s="2622" t="s">
        <v>3904</v>
      </c>
      <c r="D9" s="2623"/>
      <c r="E9" s="2623"/>
      <c r="F9" s="2623"/>
      <c r="G9" s="2623"/>
      <c r="H9" s="2623"/>
      <c r="I9" s="2623"/>
      <c r="J9" s="2623"/>
      <c r="K9" s="2623"/>
      <c r="L9" s="2623"/>
      <c r="M9" s="2623"/>
      <c r="N9" s="2623"/>
      <c r="O9" s="2623"/>
      <c r="P9" s="2623"/>
      <c r="Q9" s="2623"/>
      <c r="R9" s="2623"/>
      <c r="S9" s="2623"/>
      <c r="T9" s="2623"/>
      <c r="U9" s="2623"/>
      <c r="V9" s="2623"/>
      <c r="W9" s="2623"/>
      <c r="X9" s="2623"/>
      <c r="Y9" s="2623"/>
      <c r="Z9" s="2623"/>
      <c r="AA9" s="2623"/>
      <c r="AB9" s="2623"/>
      <c r="AC9" s="2623"/>
      <c r="AD9" s="2623"/>
      <c r="AE9" s="2623"/>
      <c r="AF9" s="2623"/>
      <c r="AG9" s="2623"/>
      <c r="AH9" s="2623"/>
      <c r="AI9" s="2624"/>
      <c r="AJ9" s="2640">
        <f>IF(OR('Project Overview'!$I$99="Acquisition &amp; Rehabilitation",'Project Overview'!$I$99="Rehabilitation"),$AJ$8,MIN($AJ$7:$AM$8))</f>
        <v>0</v>
      </c>
      <c r="AK9" s="2621"/>
      <c r="AL9" s="2621"/>
      <c r="AM9" s="2621"/>
      <c r="AN9" s="162"/>
    </row>
    <row r="10" spans="1:41" ht="18" customHeight="1">
      <c r="B10" s="2639"/>
      <c r="C10" s="2641" t="s">
        <v>3905</v>
      </c>
      <c r="D10" s="2642"/>
      <c r="E10" s="2642"/>
      <c r="F10" s="2642"/>
      <c r="G10" s="2642"/>
      <c r="H10" s="2642"/>
      <c r="I10" s="2642"/>
      <c r="J10" s="2642"/>
      <c r="K10" s="2642"/>
      <c r="L10" s="2642"/>
      <c r="M10" s="2642"/>
      <c r="N10" s="2642"/>
      <c r="O10" s="2642"/>
      <c r="P10" s="2642"/>
      <c r="Q10" s="2642"/>
      <c r="R10" s="2642"/>
      <c r="S10" s="2642"/>
      <c r="T10" s="2642"/>
      <c r="U10" s="2642"/>
      <c r="V10" s="2642"/>
      <c r="W10" s="2642"/>
      <c r="X10" s="2642"/>
      <c r="Y10" s="2642"/>
      <c r="Z10" s="2642"/>
      <c r="AA10" s="2642"/>
      <c r="AB10" s="2642"/>
      <c r="AC10" s="2642"/>
      <c r="AD10" s="2642"/>
      <c r="AE10" s="2642"/>
      <c r="AF10" s="2642"/>
      <c r="AG10" s="2642"/>
      <c r="AH10" s="2642"/>
      <c r="AI10" s="2643"/>
      <c r="AJ10" s="2644">
        <f>AJ9</f>
        <v>0</v>
      </c>
      <c r="AK10" s="2645"/>
      <c r="AL10" s="2645"/>
      <c r="AM10" s="2645"/>
    </row>
    <row r="11" spans="1:41" ht="18" customHeight="1">
      <c r="A11" s="353"/>
      <c r="B11" s="2600"/>
      <c r="C11" s="2601"/>
      <c r="D11" s="2601"/>
      <c r="E11" s="2601"/>
      <c r="F11" s="2601"/>
      <c r="G11" s="2601"/>
      <c r="H11" s="2601"/>
      <c r="I11" s="2601"/>
      <c r="J11" s="2601"/>
      <c r="K11" s="2601"/>
      <c r="L11" s="2601"/>
      <c r="M11" s="2601"/>
      <c r="N11" s="2601"/>
      <c r="O11" s="2601"/>
      <c r="P11" s="2601"/>
      <c r="Q11" s="2601"/>
      <c r="R11" s="2601"/>
      <c r="S11" s="2601"/>
      <c r="T11" s="2601"/>
      <c r="U11" s="2601"/>
      <c r="V11" s="2601"/>
      <c r="W11" s="2601"/>
      <c r="X11" s="2601"/>
      <c r="Y11" s="2601"/>
      <c r="Z11" s="2601"/>
      <c r="AA11" s="2601"/>
      <c r="AB11" s="2601"/>
      <c r="AC11" s="2601"/>
      <c r="AD11" s="2601"/>
      <c r="AE11" s="2601"/>
      <c r="AF11" s="2601"/>
      <c r="AG11" s="2601"/>
      <c r="AH11" s="2601"/>
      <c r="AI11" s="2601"/>
      <c r="AJ11" s="2600"/>
      <c r="AK11" s="2600"/>
      <c r="AL11" s="2600"/>
      <c r="AM11" s="2600"/>
      <c r="AN11" s="353"/>
    </row>
    <row r="12" spans="1:41" ht="18" customHeight="1">
      <c r="B12" s="2628" t="s">
        <v>3906</v>
      </c>
      <c r="C12" s="2628"/>
      <c r="D12" s="2628"/>
      <c r="E12" s="2628"/>
      <c r="F12" s="2628"/>
      <c r="G12" s="2628"/>
      <c r="H12" s="2628"/>
      <c r="I12" s="2628"/>
      <c r="J12" s="2628"/>
      <c r="K12" s="2628"/>
      <c r="L12" s="2628"/>
      <c r="M12" s="2628"/>
      <c r="N12" s="2628"/>
      <c r="O12" s="2628"/>
      <c r="P12" s="2628"/>
      <c r="Q12" s="2628"/>
      <c r="R12" s="2628"/>
      <c r="S12" s="2628"/>
      <c r="T12" s="2628"/>
      <c r="U12" s="2628"/>
      <c r="V12" s="2628"/>
      <c r="W12" s="2628"/>
      <c r="X12" s="2628"/>
      <c r="Y12" s="2628"/>
      <c r="Z12" s="2628"/>
      <c r="AA12" s="2628"/>
      <c r="AB12" s="2628"/>
      <c r="AC12" s="2628"/>
      <c r="AD12" s="2628"/>
      <c r="AE12" s="2628"/>
      <c r="AF12" s="2628"/>
      <c r="AG12" s="2628"/>
      <c r="AH12" s="2628"/>
      <c r="AI12" s="2628"/>
      <c r="AJ12" s="2628"/>
      <c r="AK12" s="2628"/>
      <c r="AL12" s="2628"/>
      <c r="AM12" s="2628"/>
    </row>
    <row r="13" spans="1:41" ht="63.75" customHeight="1">
      <c r="B13" s="2195">
        <v>1</v>
      </c>
      <c r="C13" s="1984"/>
      <c r="D13" s="2648" t="s">
        <v>3907</v>
      </c>
      <c r="E13" s="2648"/>
      <c r="F13" s="2648"/>
      <c r="G13" s="2648"/>
      <c r="H13" s="2648"/>
      <c r="I13" s="2648"/>
      <c r="J13" s="2648"/>
      <c r="K13" s="2648"/>
      <c r="L13" s="2648"/>
      <c r="M13" s="2648"/>
      <c r="N13" s="2648"/>
      <c r="O13" s="2648"/>
      <c r="P13" s="2648"/>
      <c r="Q13" s="2648"/>
      <c r="R13" s="2648"/>
      <c r="S13" s="2648"/>
      <c r="T13" s="2648"/>
      <c r="U13" s="2648"/>
      <c r="V13" s="2648"/>
      <c r="W13" s="2648"/>
      <c r="X13" s="2648"/>
      <c r="Y13" s="2648"/>
      <c r="Z13" s="2648"/>
      <c r="AA13" s="2648"/>
      <c r="AB13" s="2648"/>
      <c r="AC13" s="2648"/>
      <c r="AD13" s="2648"/>
      <c r="AE13" s="2649"/>
      <c r="AF13" s="2650" t="s">
        <v>3908</v>
      </c>
      <c r="AG13" s="2651"/>
      <c r="AH13" s="2651"/>
      <c r="AI13" s="2652"/>
      <c r="AJ13" s="2653" t="s">
        <v>3909</v>
      </c>
      <c r="AK13" s="2648"/>
      <c r="AL13" s="2648"/>
      <c r="AM13" s="2649"/>
    </row>
    <row r="14" spans="1:41" ht="18" customHeight="1">
      <c r="B14" s="2195"/>
      <c r="C14" s="1984"/>
      <c r="D14" s="2654" t="s">
        <v>3910</v>
      </c>
      <c r="E14" s="2655"/>
      <c r="F14" s="2655"/>
      <c r="G14" s="2655"/>
      <c r="H14" s="2655"/>
      <c r="I14" s="2655"/>
      <c r="J14" s="2655"/>
      <c r="K14" s="2655"/>
      <c r="L14" s="2655"/>
      <c r="M14" s="2655"/>
      <c r="N14" s="2655"/>
      <c r="O14" s="2656"/>
      <c r="P14" s="2657">
        <f>'Operating Budget'!$E$110</f>
        <v>0</v>
      </c>
      <c r="Q14" s="2655"/>
      <c r="R14" s="2655"/>
      <c r="S14" s="2655"/>
      <c r="T14" s="2656"/>
      <c r="U14" s="2658" t="s">
        <v>3911</v>
      </c>
      <c r="V14" s="2659"/>
      <c r="W14" s="2659"/>
      <c r="X14" s="2659"/>
      <c r="Y14" s="2659"/>
      <c r="Z14" s="2659"/>
      <c r="AA14" s="2660"/>
      <c r="AB14" s="2610">
        <f>SUM($P$14-$P$15)</f>
        <v>0</v>
      </c>
      <c r="AC14" s="2611"/>
      <c r="AD14" s="2611"/>
      <c r="AE14" s="2612"/>
      <c r="AF14" s="2613">
        <f>$AB$14/12*3</f>
        <v>0</v>
      </c>
      <c r="AG14" s="2614"/>
      <c r="AH14" s="2614"/>
      <c r="AI14" s="2615"/>
      <c r="AJ14" s="2613">
        <f>$AB$14/12*4</f>
        <v>0</v>
      </c>
      <c r="AK14" s="2614"/>
      <c r="AL14" s="2614"/>
      <c r="AM14" s="2615"/>
    </row>
    <row r="15" spans="1:41" ht="18" customHeight="1">
      <c r="B15" s="2283"/>
      <c r="C15" s="2284"/>
      <c r="D15" s="2670" t="s">
        <v>3912</v>
      </c>
      <c r="E15" s="2671"/>
      <c r="F15" s="2671"/>
      <c r="G15" s="2671"/>
      <c r="H15" s="2671"/>
      <c r="I15" s="2671"/>
      <c r="J15" s="2671"/>
      <c r="K15" s="2671"/>
      <c r="L15" s="2671"/>
      <c r="M15" s="2671"/>
      <c r="N15" s="2671"/>
      <c r="O15" s="2672"/>
      <c r="P15" s="2673">
        <f>'Operating Budget'!$E$104</f>
        <v>0</v>
      </c>
      <c r="Q15" s="2674"/>
      <c r="R15" s="2674"/>
      <c r="S15" s="2674"/>
      <c r="T15" s="2675"/>
      <c r="U15" s="2661"/>
      <c r="V15" s="2662"/>
      <c r="W15" s="2662"/>
      <c r="X15" s="2662"/>
      <c r="Y15" s="2662"/>
      <c r="Z15" s="2662"/>
      <c r="AA15" s="2663"/>
      <c r="AB15" s="2664"/>
      <c r="AC15" s="2665"/>
      <c r="AD15" s="2665"/>
      <c r="AE15" s="2666"/>
      <c r="AF15" s="2667"/>
      <c r="AG15" s="2668"/>
      <c r="AH15" s="2668"/>
      <c r="AI15" s="2669"/>
      <c r="AJ15" s="2667"/>
      <c r="AK15" s="2668"/>
      <c r="AL15" s="2668"/>
      <c r="AM15" s="2669"/>
      <c r="AN15" s="162"/>
      <c r="AO15" s="162"/>
    </row>
    <row r="16" spans="1:41" ht="18" customHeight="1">
      <c r="B16" s="1417">
        <v>2</v>
      </c>
      <c r="C16" s="1418"/>
      <c r="D16" s="2608" t="s">
        <v>3913</v>
      </c>
      <c r="E16" s="1973"/>
      <c r="F16" s="1973"/>
      <c r="G16" s="1973"/>
      <c r="H16" s="1973"/>
      <c r="I16" s="1973"/>
      <c r="J16" s="1973"/>
      <c r="K16" s="1973"/>
      <c r="L16" s="1973"/>
      <c r="M16" s="1973"/>
      <c r="N16" s="1973"/>
      <c r="O16" s="1973"/>
      <c r="P16" s="1973"/>
      <c r="Q16" s="1973"/>
      <c r="R16" s="1973"/>
      <c r="S16" s="1973"/>
      <c r="T16" s="1973"/>
      <c r="U16" s="1973"/>
      <c r="V16" s="1973"/>
      <c r="W16" s="1973"/>
      <c r="X16" s="1973"/>
      <c r="Y16" s="1973"/>
      <c r="Z16" s="1973"/>
      <c r="AA16" s="2609"/>
      <c r="AB16" s="2610">
        <f>$AJ$10</f>
        <v>0</v>
      </c>
      <c r="AC16" s="2611"/>
      <c r="AD16" s="2611"/>
      <c r="AE16" s="2612"/>
      <c r="AF16" s="2613">
        <f>$AB$16/12*3</f>
        <v>0</v>
      </c>
      <c r="AG16" s="2614"/>
      <c r="AH16" s="2614"/>
      <c r="AI16" s="2615"/>
      <c r="AJ16" s="2613">
        <f>$AB$16/12*4</f>
        <v>0</v>
      </c>
      <c r="AK16" s="2614"/>
      <c r="AL16" s="2614"/>
      <c r="AM16" s="2615"/>
    </row>
    <row r="17" spans="2:41" ht="18" customHeight="1">
      <c r="B17" s="2602">
        <v>3</v>
      </c>
      <c r="C17" s="2603"/>
      <c r="D17" s="2604" t="s">
        <v>3914</v>
      </c>
      <c r="E17" s="2604"/>
      <c r="F17" s="2604"/>
      <c r="G17" s="2604"/>
      <c r="H17" s="2604"/>
      <c r="I17" s="2604"/>
      <c r="J17" s="2604"/>
      <c r="K17" s="2604"/>
      <c r="L17" s="2604"/>
      <c r="M17" s="2604"/>
      <c r="N17" s="2604"/>
      <c r="O17" s="2604"/>
      <c r="P17" s="2604"/>
      <c r="Q17" s="2604"/>
      <c r="R17" s="2604"/>
      <c r="S17" s="2604"/>
      <c r="T17" s="2604"/>
      <c r="U17" s="2604"/>
      <c r="V17" s="2604"/>
      <c r="W17" s="2604"/>
      <c r="X17" s="2604"/>
      <c r="Y17" s="2604"/>
      <c r="Z17" s="2604"/>
      <c r="AA17" s="2604"/>
      <c r="AB17" s="2604"/>
      <c r="AC17" s="2604"/>
      <c r="AD17" s="2604"/>
      <c r="AE17" s="2604"/>
      <c r="AF17" s="2604"/>
      <c r="AG17" s="2604"/>
      <c r="AH17" s="2604"/>
      <c r="AI17" s="2604"/>
      <c r="AJ17" s="2604"/>
      <c r="AK17" s="2604"/>
      <c r="AL17" s="2604"/>
      <c r="AM17" s="2604"/>
    </row>
    <row r="18" spans="2:41" ht="63" customHeight="1">
      <c r="B18" s="2195"/>
      <c r="C18" s="1984"/>
      <c r="D18" s="2680" t="s">
        <v>3915</v>
      </c>
      <c r="E18" s="2681"/>
      <c r="F18" s="2681"/>
      <c r="G18" s="2681"/>
      <c r="H18" s="2681"/>
      <c r="I18" s="2681"/>
      <c r="J18" s="2681"/>
      <c r="K18" s="2681"/>
      <c r="L18" s="2681"/>
      <c r="M18" s="2681"/>
      <c r="N18" s="2681"/>
      <c r="O18" s="2681"/>
      <c r="P18" s="2681"/>
      <c r="Q18" s="2681"/>
      <c r="R18" s="2681"/>
      <c r="S18" s="2681"/>
      <c r="T18" s="2681"/>
      <c r="U18" s="2681"/>
      <c r="V18" s="2681"/>
      <c r="W18" s="2681"/>
      <c r="X18" s="2681"/>
      <c r="Y18" s="2681"/>
      <c r="Z18" s="2681"/>
      <c r="AA18" s="2682"/>
      <c r="AB18" s="2677" t="s">
        <v>3916</v>
      </c>
      <c r="AC18" s="2678"/>
      <c r="AD18" s="2678"/>
      <c r="AE18" s="2679"/>
      <c r="AF18" s="2647" t="s">
        <v>3908</v>
      </c>
      <c r="AG18" s="2647"/>
      <c r="AH18" s="2647"/>
      <c r="AI18" s="2647"/>
      <c r="AJ18" s="2647" t="s">
        <v>3909</v>
      </c>
      <c r="AK18" s="2647"/>
      <c r="AL18" s="2647"/>
      <c r="AM18" s="2647"/>
    </row>
    <row r="19" spans="2:41" ht="18" customHeight="1">
      <c r="B19" s="2195"/>
      <c r="C19" s="1984"/>
      <c r="D19" s="2683" t="str">
        <f>IF('Operating Budget'!$D$125="","",'Operating Budget'!$D$125)</f>
        <v>1st Mortgage Debt Service (Specify)</v>
      </c>
      <c r="E19" s="2684"/>
      <c r="F19" s="2684"/>
      <c r="G19" s="2684"/>
      <c r="H19" s="2684"/>
      <c r="I19" s="2684"/>
      <c r="J19" s="2684"/>
      <c r="K19" s="2684"/>
      <c r="L19" s="2684"/>
      <c r="M19" s="2684"/>
      <c r="N19" s="2684"/>
      <c r="O19" s="2684"/>
      <c r="P19" s="2684"/>
      <c r="Q19" s="2684"/>
      <c r="R19" s="2684"/>
      <c r="S19" s="2684"/>
      <c r="T19" s="2684"/>
      <c r="U19" s="2684"/>
      <c r="V19" s="2684"/>
      <c r="W19" s="2684"/>
      <c r="X19" s="2684"/>
      <c r="Y19" s="2684"/>
      <c r="Z19" s="2684"/>
      <c r="AA19" s="2685"/>
      <c r="AB19" s="2593">
        <f>'Operating Budget'!$E$125</f>
        <v>0</v>
      </c>
      <c r="AC19" s="2594"/>
      <c r="AD19" s="2594"/>
      <c r="AE19" s="2594"/>
      <c r="AF19" s="2592">
        <f>IFERROR(AB19/12*3,0)</f>
        <v>0</v>
      </c>
      <c r="AG19" s="2592"/>
      <c r="AH19" s="2592"/>
      <c r="AI19" s="2592"/>
      <c r="AJ19" s="2592">
        <f>IFERROR(AB19/12*4,0)</f>
        <v>0</v>
      </c>
      <c r="AK19" s="2592"/>
      <c r="AL19" s="2592"/>
      <c r="AM19" s="2592"/>
      <c r="AN19" s="2705"/>
      <c r="AO19" s="2705"/>
    </row>
    <row r="20" spans="2:41" ht="18" customHeight="1">
      <c r="B20" s="2195"/>
      <c r="C20" s="1984"/>
      <c r="D20" s="2605" t="str">
        <f>IF('Operating Budget'!$D$126="","",'Operating Budget'!$D$126)</f>
        <v>2nd Mortgage Debt Service (Specify)</v>
      </c>
      <c r="E20" s="2606"/>
      <c r="F20" s="2606"/>
      <c r="G20" s="2606"/>
      <c r="H20" s="2606"/>
      <c r="I20" s="2606"/>
      <c r="J20" s="2606"/>
      <c r="K20" s="2606"/>
      <c r="L20" s="2606"/>
      <c r="M20" s="2606"/>
      <c r="N20" s="2606"/>
      <c r="O20" s="2606"/>
      <c r="P20" s="2606"/>
      <c r="Q20" s="2606"/>
      <c r="R20" s="2606"/>
      <c r="S20" s="2606"/>
      <c r="T20" s="2606"/>
      <c r="U20" s="2606"/>
      <c r="V20" s="2606"/>
      <c r="W20" s="2606"/>
      <c r="X20" s="2606"/>
      <c r="Y20" s="2606"/>
      <c r="Z20" s="2606"/>
      <c r="AA20" s="2607"/>
      <c r="AB20" s="2593">
        <f>'Operating Budget'!$E$126</f>
        <v>0</v>
      </c>
      <c r="AC20" s="2594"/>
      <c r="AD20" s="2594"/>
      <c r="AE20" s="2594"/>
      <c r="AF20" s="2592">
        <f t="shared" ref="AF20:AF31" si="0">IFERROR(AB20/12*3,0)</f>
        <v>0</v>
      </c>
      <c r="AG20" s="2592"/>
      <c r="AH20" s="2592"/>
      <c r="AI20" s="2592"/>
      <c r="AJ20" s="2592">
        <f t="shared" ref="AJ20:AJ32" si="1">IFERROR(AB20/12*4,0)</f>
        <v>0</v>
      </c>
      <c r="AK20" s="2592"/>
      <c r="AL20" s="2592"/>
      <c r="AM20" s="2592"/>
      <c r="AN20" s="2705"/>
      <c r="AO20" s="2705"/>
    </row>
    <row r="21" spans="2:41" ht="18" customHeight="1">
      <c r="B21" s="2195"/>
      <c r="C21" s="1984"/>
      <c r="D21" s="2605" t="str">
        <f>IF('Operating Budget'!$D$127="","",'Operating Budget'!$D$127)</f>
        <v>3rd Mortgage Debt Service (Specify)</v>
      </c>
      <c r="E21" s="2606"/>
      <c r="F21" s="2606"/>
      <c r="G21" s="2606"/>
      <c r="H21" s="2606"/>
      <c r="I21" s="2606"/>
      <c r="J21" s="2606"/>
      <c r="K21" s="2606"/>
      <c r="L21" s="2606"/>
      <c r="M21" s="2606"/>
      <c r="N21" s="2606"/>
      <c r="O21" s="2606"/>
      <c r="P21" s="2606"/>
      <c r="Q21" s="2606"/>
      <c r="R21" s="2606"/>
      <c r="S21" s="2606"/>
      <c r="T21" s="2606"/>
      <c r="U21" s="2606"/>
      <c r="V21" s="2606"/>
      <c r="W21" s="2606"/>
      <c r="X21" s="2606"/>
      <c r="Y21" s="2606"/>
      <c r="Z21" s="2606"/>
      <c r="AA21" s="2607"/>
      <c r="AB21" s="2593">
        <f>'Operating Budget'!$E$127</f>
        <v>0</v>
      </c>
      <c r="AC21" s="2594"/>
      <c r="AD21" s="2594"/>
      <c r="AE21" s="2594"/>
      <c r="AF21" s="2592">
        <f>IFERROR(AB21/12*3,0)</f>
        <v>0</v>
      </c>
      <c r="AG21" s="2592"/>
      <c r="AH21" s="2592"/>
      <c r="AI21" s="2592"/>
      <c r="AJ21" s="2592">
        <f t="shared" si="1"/>
        <v>0</v>
      </c>
      <c r="AK21" s="2592"/>
      <c r="AL21" s="2592"/>
      <c r="AM21" s="2592"/>
      <c r="AN21" s="2705"/>
      <c r="AO21" s="2705"/>
    </row>
    <row r="22" spans="2:41" ht="18" customHeight="1">
      <c r="B22" s="2195"/>
      <c r="C22" s="1984"/>
      <c r="D22" s="2605" t="str">
        <f>IF('Operating Budget'!$D$128="","",'Operating Budget'!$D$128)</f>
        <v>IIG .42% Fee</v>
      </c>
      <c r="E22" s="2606"/>
      <c r="F22" s="2606"/>
      <c r="G22" s="2606"/>
      <c r="H22" s="2606"/>
      <c r="I22" s="2606"/>
      <c r="J22" s="2606"/>
      <c r="K22" s="2606"/>
      <c r="L22" s="2606"/>
      <c r="M22" s="2606"/>
      <c r="N22" s="2606"/>
      <c r="O22" s="2606"/>
      <c r="P22" s="2606"/>
      <c r="Q22" s="2606"/>
      <c r="R22" s="2606"/>
      <c r="S22" s="2606"/>
      <c r="T22" s="2606"/>
      <c r="U22" s="2606"/>
      <c r="V22" s="2606"/>
      <c r="W22" s="2606"/>
      <c r="X22" s="2606"/>
      <c r="Y22" s="2606"/>
      <c r="Z22" s="2606"/>
      <c r="AA22" s="2607"/>
      <c r="AB22" s="2593">
        <f>IF(IsIig,'Operating Budget'!$E$128,0)</f>
        <v>0</v>
      </c>
      <c r="AC22" s="2594"/>
      <c r="AD22" s="2594"/>
      <c r="AE22" s="2594"/>
      <c r="AF22" s="2592">
        <f>IFERROR(AB22/12*3,0)</f>
        <v>0</v>
      </c>
      <c r="AG22" s="2592"/>
      <c r="AH22" s="2592"/>
      <c r="AI22" s="2592"/>
      <c r="AJ22" s="2592">
        <f>IFERROR(AB22/12*4,0)</f>
        <v>0</v>
      </c>
      <c r="AK22" s="2592"/>
      <c r="AL22" s="2592"/>
      <c r="AM22" s="2592"/>
      <c r="AN22" s="2705"/>
      <c r="AO22" s="2705"/>
    </row>
    <row r="23" spans="2:41" ht="18" customHeight="1">
      <c r="B23" s="2195"/>
      <c r="C23" s="1984"/>
      <c r="D23" s="2605" t="s">
        <v>3718</v>
      </c>
      <c r="E23" s="2606"/>
      <c r="F23" s="2606"/>
      <c r="G23" s="2606"/>
      <c r="H23" s="2606"/>
      <c r="I23" s="2606"/>
      <c r="J23" s="2606"/>
      <c r="K23" s="2606"/>
      <c r="L23" s="2606"/>
      <c r="M23" s="2606"/>
      <c r="N23" s="2606"/>
      <c r="O23" s="2606"/>
      <c r="P23" s="2606"/>
      <c r="Q23" s="2606"/>
      <c r="R23" s="2606"/>
      <c r="S23" s="2606"/>
      <c r="T23" s="2606"/>
      <c r="U23" s="2606"/>
      <c r="V23" s="2606"/>
      <c r="W23" s="2606"/>
      <c r="X23" s="2606"/>
      <c r="Y23" s="2606"/>
      <c r="Z23" s="2606"/>
      <c r="AA23" s="2607"/>
      <c r="AB23" s="2593">
        <f>IF(IsSerna,'Operating Budget'!$E$129,0)</f>
        <v>0</v>
      </c>
      <c r="AC23" s="2594"/>
      <c r="AD23" s="2594"/>
      <c r="AE23" s="2594"/>
      <c r="AF23" s="2592">
        <f>IFERROR(AB23/12*3,0)</f>
        <v>0</v>
      </c>
      <c r="AG23" s="2592"/>
      <c r="AH23" s="2592"/>
      <c r="AI23" s="2592"/>
      <c r="AJ23" s="2592">
        <f>IFERROR(AB23/12*4,0)</f>
        <v>0</v>
      </c>
      <c r="AK23" s="2592"/>
      <c r="AL23" s="2592"/>
      <c r="AM23" s="2592"/>
      <c r="AN23" s="2705"/>
      <c r="AO23" s="2705"/>
    </row>
    <row r="24" spans="2:41" ht="18" hidden="1" customHeight="1">
      <c r="B24" s="2195"/>
      <c r="C24" s="1984"/>
      <c r="D24" s="2605" t="s">
        <v>3719</v>
      </c>
      <c r="E24" s="2606"/>
      <c r="F24" s="2606"/>
      <c r="G24" s="2606"/>
      <c r="H24" s="2606"/>
      <c r="I24" s="2606"/>
      <c r="J24" s="2606"/>
      <c r="K24" s="2606"/>
      <c r="L24" s="2606"/>
      <c r="M24" s="2606"/>
      <c r="N24" s="2606"/>
      <c r="O24" s="2606"/>
      <c r="P24" s="2606"/>
      <c r="Q24" s="2606"/>
      <c r="R24" s="2606"/>
      <c r="S24" s="2606"/>
      <c r="T24" s="2606"/>
      <c r="U24" s="2606"/>
      <c r="V24" s="2606"/>
      <c r="W24" s="2606"/>
      <c r="X24" s="2606"/>
      <c r="Y24" s="2606"/>
      <c r="Z24" s="2606"/>
      <c r="AA24" s="2607"/>
      <c r="AB24" s="2593">
        <f>IF(IsHHC,'Operating Budget'!$E$130,0)</f>
        <v>0</v>
      </c>
      <c r="AC24" s="2594"/>
      <c r="AD24" s="2594"/>
      <c r="AE24" s="2594"/>
      <c r="AF24" s="2592">
        <f>IFERROR(AB24/12*3,0)</f>
        <v>0</v>
      </c>
      <c r="AG24" s="2592"/>
      <c r="AH24" s="2592"/>
      <c r="AI24" s="2592"/>
      <c r="AJ24" s="2592">
        <f>IFERROR(AB24/12*4,0)</f>
        <v>0</v>
      </c>
      <c r="AK24" s="2592"/>
      <c r="AL24" s="2592"/>
      <c r="AM24" s="2592"/>
      <c r="AN24" s="2705"/>
      <c r="AO24" s="2705"/>
    </row>
    <row r="25" spans="2:41" ht="18" customHeight="1">
      <c r="B25" s="2195"/>
      <c r="C25" s="1984"/>
      <c r="D25" s="2605" t="s">
        <v>3720</v>
      </c>
      <c r="E25" s="2606"/>
      <c r="F25" s="2606"/>
      <c r="G25" s="2606"/>
      <c r="H25" s="2606"/>
      <c r="I25" s="2606"/>
      <c r="J25" s="2606"/>
      <c r="K25" s="2606"/>
      <c r="L25" s="2606"/>
      <c r="M25" s="2606"/>
      <c r="N25" s="2606"/>
      <c r="O25" s="2606"/>
      <c r="P25" s="2606"/>
      <c r="Q25" s="2606"/>
      <c r="R25" s="2606"/>
      <c r="S25" s="2606"/>
      <c r="T25" s="2606"/>
      <c r="U25" s="2606"/>
      <c r="V25" s="2606"/>
      <c r="W25" s="2606"/>
      <c r="X25" s="2606"/>
      <c r="Y25" s="2606"/>
      <c r="Z25" s="2606"/>
      <c r="AA25" s="2607"/>
      <c r="AB25" s="2593">
        <f>IF(IsMhp,'Operating Budget'!$E$131,0)</f>
        <v>0</v>
      </c>
      <c r="AC25" s="2594"/>
      <c r="AD25" s="2594"/>
      <c r="AE25" s="2594"/>
      <c r="AF25" s="2592">
        <f>IFERROR(AB25/12*3,0)</f>
        <v>0</v>
      </c>
      <c r="AG25" s="2592"/>
      <c r="AH25" s="2592"/>
      <c r="AI25" s="2592"/>
      <c r="AJ25" s="2592">
        <f t="shared" ref="AJ25:AJ26" si="2">IFERROR(AB25/12*4,0)</f>
        <v>0</v>
      </c>
      <c r="AK25" s="2592"/>
      <c r="AL25" s="2592"/>
      <c r="AM25" s="2592"/>
      <c r="AN25" s="2705"/>
      <c r="AO25" s="2705"/>
    </row>
    <row r="26" spans="2:41" ht="18" hidden="1" customHeight="1">
      <c r="B26" s="2195"/>
      <c r="C26" s="1984"/>
      <c r="D26" s="2605" t="s">
        <v>3721</v>
      </c>
      <c r="E26" s="2606"/>
      <c r="F26" s="2606"/>
      <c r="G26" s="2606"/>
      <c r="H26" s="2606"/>
      <c r="I26" s="2606"/>
      <c r="J26" s="2606"/>
      <c r="K26" s="2606"/>
      <c r="L26" s="2606"/>
      <c r="M26" s="2606"/>
      <c r="N26" s="2606"/>
      <c r="O26" s="2606"/>
      <c r="P26" s="2606"/>
      <c r="Q26" s="2606"/>
      <c r="R26" s="2606"/>
      <c r="S26" s="2606"/>
      <c r="T26" s="2606"/>
      <c r="U26" s="2606"/>
      <c r="V26" s="2606"/>
      <c r="W26" s="2606"/>
      <c r="X26" s="2606"/>
      <c r="Y26" s="2606"/>
      <c r="Z26" s="2606"/>
      <c r="AA26" s="2607"/>
      <c r="AB26" s="2593">
        <f>IF(IsTod,'Operating Budget'!$E$132,0)</f>
        <v>0</v>
      </c>
      <c r="AC26" s="2594"/>
      <c r="AD26" s="2594"/>
      <c r="AE26" s="2594"/>
      <c r="AF26" s="2592">
        <f t="shared" ref="AF26:AF27" si="3">IFERROR(AB26/12*3,0)</f>
        <v>0</v>
      </c>
      <c r="AG26" s="2592"/>
      <c r="AH26" s="2592"/>
      <c r="AI26" s="2592"/>
      <c r="AJ26" s="2592">
        <f t="shared" si="2"/>
        <v>0</v>
      </c>
      <c r="AK26" s="2592"/>
      <c r="AL26" s="2592"/>
      <c r="AM26" s="2592"/>
      <c r="AN26" s="2705"/>
      <c r="AO26" s="2705"/>
    </row>
    <row r="27" spans="2:41" ht="18" hidden="1" customHeight="1">
      <c r="B27" s="2195"/>
      <c r="C27" s="1984"/>
      <c r="D27" s="2605" t="s">
        <v>3724</v>
      </c>
      <c r="E27" s="2606"/>
      <c r="F27" s="2606"/>
      <c r="G27" s="2606"/>
      <c r="H27" s="2606"/>
      <c r="I27" s="2606"/>
      <c r="J27" s="2606"/>
      <c r="K27" s="2606"/>
      <c r="L27" s="2606"/>
      <c r="M27" s="2606"/>
      <c r="N27" s="2606"/>
      <c r="O27" s="2606"/>
      <c r="P27" s="2606"/>
      <c r="Q27" s="2606"/>
      <c r="R27" s="2606"/>
      <c r="S27" s="2606"/>
      <c r="T27" s="2606"/>
      <c r="U27" s="2606"/>
      <c r="V27" s="2606"/>
      <c r="W27" s="2606"/>
      <c r="X27" s="2606"/>
      <c r="Y27" s="2606"/>
      <c r="Z27" s="2606"/>
      <c r="AA27" s="2607"/>
      <c r="AB27" s="2593">
        <f>IF(IsVhhp,'Operating Budget'!$E$133,0)</f>
        <v>0</v>
      </c>
      <c r="AC27" s="2594"/>
      <c r="AD27" s="2594"/>
      <c r="AE27" s="2594"/>
      <c r="AF27" s="2592">
        <f t="shared" si="3"/>
        <v>0</v>
      </c>
      <c r="AG27" s="2592"/>
      <c r="AH27" s="2592"/>
      <c r="AI27" s="2592"/>
      <c r="AJ27" s="2592">
        <f>IFERROR(AB27/12*4,0)</f>
        <v>0</v>
      </c>
      <c r="AK27" s="2592"/>
      <c r="AL27" s="2592"/>
      <c r="AM27" s="2592"/>
      <c r="AN27" s="2705"/>
      <c r="AO27" s="2705"/>
    </row>
    <row r="28" spans="2:41" ht="18" customHeight="1">
      <c r="B28" s="2195"/>
      <c r="C28" s="1984"/>
      <c r="D28" s="2605" t="str">
        <f>IF('Operating Budget'!$D$134="","",'Operating Budget'!$D$134)</f>
        <v>Other HCD .42% (Specify)</v>
      </c>
      <c r="E28" s="2606"/>
      <c r="F28" s="2606"/>
      <c r="G28" s="2606"/>
      <c r="H28" s="2606"/>
      <c r="I28" s="2606"/>
      <c r="J28" s="2606"/>
      <c r="K28" s="2606"/>
      <c r="L28" s="2606"/>
      <c r="M28" s="2606"/>
      <c r="N28" s="2606"/>
      <c r="O28" s="2606"/>
      <c r="P28" s="2606"/>
      <c r="Q28" s="2606"/>
      <c r="R28" s="2606"/>
      <c r="S28" s="2606"/>
      <c r="T28" s="2606"/>
      <c r="U28" s="2606"/>
      <c r="V28" s="2606"/>
      <c r="W28" s="2606"/>
      <c r="X28" s="2606"/>
      <c r="Y28" s="2606"/>
      <c r="Z28" s="2606"/>
      <c r="AA28" s="2607"/>
      <c r="AB28" s="2593">
        <f>'Operating Budget'!$E$134</f>
        <v>0</v>
      </c>
      <c r="AC28" s="2594"/>
      <c r="AD28" s="2594"/>
      <c r="AE28" s="2594"/>
      <c r="AF28" s="2592">
        <f t="shared" si="0"/>
        <v>0</v>
      </c>
      <c r="AG28" s="2592"/>
      <c r="AH28" s="2592"/>
      <c r="AI28" s="2592"/>
      <c r="AJ28" s="2592">
        <f t="shared" si="1"/>
        <v>0</v>
      </c>
      <c r="AK28" s="2592"/>
      <c r="AL28" s="2592"/>
      <c r="AM28" s="2592"/>
      <c r="AN28" s="2705"/>
      <c r="AO28" s="2705"/>
    </row>
    <row r="29" spans="2:41" ht="18" customHeight="1">
      <c r="B29" s="2195"/>
      <c r="C29" s="1984"/>
      <c r="D29" s="2605" t="str">
        <f>IF('Operating Budget'!$D$135="","",'Operating Budget'!$D$135)</f>
        <v>Other HCD .42% (Specify)</v>
      </c>
      <c r="E29" s="2606"/>
      <c r="F29" s="2606"/>
      <c r="G29" s="2606"/>
      <c r="H29" s="2606"/>
      <c r="I29" s="2606"/>
      <c r="J29" s="2606"/>
      <c r="K29" s="2606"/>
      <c r="L29" s="2606"/>
      <c r="M29" s="2606"/>
      <c r="N29" s="2606"/>
      <c r="O29" s="2606"/>
      <c r="P29" s="2606"/>
      <c r="Q29" s="2606"/>
      <c r="R29" s="2606"/>
      <c r="S29" s="2606"/>
      <c r="T29" s="2606"/>
      <c r="U29" s="2606"/>
      <c r="V29" s="2606"/>
      <c r="W29" s="2606"/>
      <c r="X29" s="2606"/>
      <c r="Y29" s="2606"/>
      <c r="Z29" s="2606"/>
      <c r="AA29" s="2607"/>
      <c r="AB29" s="2593">
        <f>'Operating Budget'!$E$135</f>
        <v>0</v>
      </c>
      <c r="AC29" s="2594"/>
      <c r="AD29" s="2594"/>
      <c r="AE29" s="2594"/>
      <c r="AF29" s="2592">
        <f t="shared" si="0"/>
        <v>0</v>
      </c>
      <c r="AG29" s="2592"/>
      <c r="AH29" s="2592"/>
      <c r="AI29" s="2592"/>
      <c r="AJ29" s="2592">
        <f t="shared" si="1"/>
        <v>0</v>
      </c>
      <c r="AK29" s="2592"/>
      <c r="AL29" s="2592"/>
      <c r="AM29" s="2592"/>
      <c r="AN29" s="2705"/>
      <c r="AO29" s="2705"/>
    </row>
    <row r="30" spans="2:41" ht="18" customHeight="1">
      <c r="B30" s="2195"/>
      <c r="C30" s="1984"/>
      <c r="D30" s="2605" t="str">
        <f>IF('Operating Budget'!$D$136="","",'Operating Budget'!$D$136)</f>
        <v>Bond Issuer Fee</v>
      </c>
      <c r="E30" s="2606"/>
      <c r="F30" s="2606"/>
      <c r="G30" s="2606"/>
      <c r="H30" s="2606"/>
      <c r="I30" s="2606"/>
      <c r="J30" s="2606"/>
      <c r="K30" s="2606"/>
      <c r="L30" s="2606"/>
      <c r="M30" s="2606"/>
      <c r="N30" s="2606"/>
      <c r="O30" s="2606"/>
      <c r="P30" s="2606"/>
      <c r="Q30" s="2606"/>
      <c r="R30" s="2606"/>
      <c r="S30" s="2606"/>
      <c r="T30" s="2606"/>
      <c r="U30" s="2606"/>
      <c r="V30" s="2606"/>
      <c r="W30" s="2606"/>
      <c r="X30" s="2606"/>
      <c r="Y30" s="2606"/>
      <c r="Z30" s="2606"/>
      <c r="AA30" s="2607"/>
      <c r="AB30" s="2593">
        <f>'Operating Budget'!$E$136</f>
        <v>0</v>
      </c>
      <c r="AC30" s="2594"/>
      <c r="AD30" s="2594"/>
      <c r="AE30" s="2594"/>
      <c r="AF30" s="2592">
        <f t="shared" si="0"/>
        <v>0</v>
      </c>
      <c r="AG30" s="2592"/>
      <c r="AH30" s="2592"/>
      <c r="AI30" s="2592"/>
      <c r="AJ30" s="2592">
        <f t="shared" si="1"/>
        <v>0</v>
      </c>
      <c r="AK30" s="2592"/>
      <c r="AL30" s="2592"/>
      <c r="AM30" s="2592"/>
      <c r="AN30" s="2705"/>
      <c r="AO30" s="2705"/>
    </row>
    <row r="31" spans="2:41" ht="18" customHeight="1">
      <c r="B31" s="2195"/>
      <c r="C31" s="1984"/>
      <c r="D31" s="2708" t="str">
        <f>IF('Operating Budget'!$D$137="","",'Operating Budget'!$D$137)</f>
        <v>Miscellaneous Financial Expenses (Specify)</v>
      </c>
      <c r="E31" s="2709"/>
      <c r="F31" s="2709"/>
      <c r="G31" s="2709"/>
      <c r="H31" s="2709"/>
      <c r="I31" s="2709"/>
      <c r="J31" s="2709"/>
      <c r="K31" s="2709"/>
      <c r="L31" s="2709"/>
      <c r="M31" s="2709"/>
      <c r="N31" s="2709"/>
      <c r="O31" s="2709"/>
      <c r="P31" s="2709"/>
      <c r="Q31" s="2709"/>
      <c r="R31" s="2709"/>
      <c r="S31" s="2709"/>
      <c r="T31" s="2709"/>
      <c r="U31" s="2709"/>
      <c r="V31" s="2709"/>
      <c r="W31" s="2709"/>
      <c r="X31" s="2709"/>
      <c r="Y31" s="2709"/>
      <c r="Z31" s="2709"/>
      <c r="AA31" s="2710"/>
      <c r="AB31" s="2593">
        <f>'Operating Budget'!$E$137</f>
        <v>0</v>
      </c>
      <c r="AC31" s="2594"/>
      <c r="AD31" s="2594"/>
      <c r="AE31" s="2594"/>
      <c r="AF31" s="2592">
        <f t="shared" si="0"/>
        <v>0</v>
      </c>
      <c r="AG31" s="2592"/>
      <c r="AH31" s="2592"/>
      <c r="AI31" s="2592"/>
      <c r="AJ31" s="2592">
        <f t="shared" si="1"/>
        <v>0</v>
      </c>
      <c r="AK31" s="2592"/>
      <c r="AL31" s="2592"/>
      <c r="AM31" s="2592"/>
      <c r="AN31" s="2705"/>
      <c r="AO31" s="2705"/>
    </row>
    <row r="32" spans="2:41" ht="18" customHeight="1">
      <c r="B32" s="2195"/>
      <c r="C32" s="1984"/>
      <c r="D32" s="2589" t="s">
        <v>3917</v>
      </c>
      <c r="E32" s="2590"/>
      <c r="F32" s="2590"/>
      <c r="G32" s="2590"/>
      <c r="H32" s="2590"/>
      <c r="I32" s="2590"/>
      <c r="J32" s="2590"/>
      <c r="K32" s="2590"/>
      <c r="L32" s="2590"/>
      <c r="M32" s="2590"/>
      <c r="N32" s="2590"/>
      <c r="O32" s="2590"/>
      <c r="P32" s="2590"/>
      <c r="Q32" s="2590"/>
      <c r="R32" s="2590"/>
      <c r="S32" s="2590"/>
      <c r="T32" s="2590"/>
      <c r="U32" s="2590"/>
      <c r="V32" s="2590"/>
      <c r="W32" s="2590"/>
      <c r="X32" s="2590"/>
      <c r="Y32" s="2590"/>
      <c r="Z32" s="2590"/>
      <c r="AA32" s="2591"/>
      <c r="AB32" s="2707"/>
      <c r="AC32" s="2707"/>
      <c r="AD32" s="2707"/>
      <c r="AE32" s="2707"/>
      <c r="AF32" s="2592">
        <f>IFERROR(AB32/12*3,0)</f>
        <v>0</v>
      </c>
      <c r="AG32" s="2592"/>
      <c r="AH32" s="2592"/>
      <c r="AI32" s="2592"/>
      <c r="AJ32" s="2592">
        <f t="shared" si="1"/>
        <v>0</v>
      </c>
      <c r="AK32" s="2592"/>
      <c r="AL32" s="2592"/>
      <c r="AM32" s="2592"/>
      <c r="AN32" s="2705"/>
      <c r="AO32" s="2705"/>
    </row>
    <row r="33" spans="1:41" ht="18" customHeight="1">
      <c r="B33" s="2283"/>
      <c r="C33" s="2284"/>
      <c r="D33" s="2706" t="s">
        <v>921</v>
      </c>
      <c r="E33" s="2706"/>
      <c r="F33" s="2706"/>
      <c r="G33" s="2706"/>
      <c r="H33" s="2706"/>
      <c r="I33" s="2706"/>
      <c r="J33" s="2706"/>
      <c r="K33" s="2706"/>
      <c r="L33" s="2706"/>
      <c r="M33" s="2706"/>
      <c r="N33" s="2706"/>
      <c r="O33" s="2706"/>
      <c r="P33" s="2706"/>
      <c r="Q33" s="2706"/>
      <c r="R33" s="2706"/>
      <c r="S33" s="2706"/>
      <c r="T33" s="2706"/>
      <c r="U33" s="2706"/>
      <c r="V33" s="2706"/>
      <c r="W33" s="2706"/>
      <c r="X33" s="2706"/>
      <c r="Y33" s="2706"/>
      <c r="Z33" s="2706"/>
      <c r="AA33" s="2706"/>
      <c r="AB33" s="2594">
        <f>SUM(AB19:AE32)</f>
        <v>0</v>
      </c>
      <c r="AC33" s="2594"/>
      <c r="AD33" s="2594"/>
      <c r="AE33" s="2594"/>
      <c r="AF33" s="2595">
        <f>SUM(AF19:AI32)</f>
        <v>0</v>
      </c>
      <c r="AG33" s="2595"/>
      <c r="AH33" s="2595"/>
      <c r="AI33" s="2595"/>
      <c r="AJ33" s="2595">
        <f>SUM(AJ19:AM32)</f>
        <v>0</v>
      </c>
      <c r="AK33" s="2595"/>
      <c r="AL33" s="2595"/>
      <c r="AM33" s="2595"/>
    </row>
    <row r="34" spans="1:41" ht="18" customHeight="1">
      <c r="B34" s="2712" t="s">
        <v>3918</v>
      </c>
      <c r="C34" s="2712"/>
      <c r="D34" s="2712"/>
      <c r="E34" s="2712"/>
      <c r="F34" s="2712"/>
      <c r="G34" s="2712"/>
      <c r="H34" s="2712"/>
      <c r="I34" s="2712"/>
      <c r="J34" s="2712"/>
      <c r="K34" s="2712"/>
      <c r="L34" s="2712"/>
      <c r="M34" s="2712"/>
      <c r="N34" s="2712"/>
      <c r="O34" s="2712"/>
      <c r="P34" s="2712"/>
      <c r="Q34" s="2712"/>
      <c r="R34" s="2712"/>
      <c r="S34" s="2712"/>
      <c r="T34" s="2712"/>
      <c r="U34" s="2712"/>
      <c r="V34" s="2712"/>
      <c r="W34" s="2712"/>
      <c r="X34" s="2712"/>
      <c r="Y34" s="2712"/>
      <c r="Z34" s="2712"/>
      <c r="AA34" s="2712"/>
      <c r="AB34" s="2712"/>
      <c r="AC34" s="2712"/>
      <c r="AD34" s="2712"/>
      <c r="AE34" s="2712"/>
      <c r="AF34" s="2595">
        <f>AF14+AF16+AF33</f>
        <v>0</v>
      </c>
      <c r="AG34" s="2595"/>
      <c r="AH34" s="2595"/>
      <c r="AI34" s="2595"/>
      <c r="AJ34" s="2595">
        <f>AJ14+AJ16+AJ33</f>
        <v>0</v>
      </c>
      <c r="AK34" s="2595"/>
      <c r="AL34" s="2595"/>
      <c r="AM34" s="2595"/>
    </row>
    <row r="35" spans="1:41" ht="18" customHeight="1">
      <c r="B35" s="2588" t="s">
        <v>3919</v>
      </c>
      <c r="C35" s="2588"/>
      <c r="D35" s="2588"/>
      <c r="E35" s="2588"/>
      <c r="F35" s="2588"/>
      <c r="G35" s="2588"/>
      <c r="H35" s="2588"/>
      <c r="I35" s="2588"/>
      <c r="J35" s="2588"/>
      <c r="K35" s="2588"/>
      <c r="L35" s="2588"/>
      <c r="M35" s="2588"/>
      <c r="N35" s="2588"/>
      <c r="O35" s="2588"/>
      <c r="P35" s="2588"/>
      <c r="Q35" s="2588"/>
      <c r="R35" s="2588"/>
      <c r="S35" s="2588"/>
      <c r="T35" s="2588"/>
      <c r="U35" s="2588"/>
      <c r="V35" s="2588"/>
      <c r="W35" s="2588"/>
      <c r="X35" s="2588"/>
      <c r="Y35" s="2588"/>
      <c r="Z35" s="2588"/>
      <c r="AA35" s="2588"/>
      <c r="AB35" s="2588"/>
      <c r="AC35" s="2588"/>
      <c r="AD35" s="2588"/>
      <c r="AE35" s="2588"/>
      <c r="AF35" s="2588"/>
      <c r="AG35" s="2588"/>
      <c r="AH35" s="2588"/>
      <c r="AI35" s="2588"/>
      <c r="AJ35" s="2588"/>
      <c r="AK35" s="2588"/>
      <c r="AL35" s="2588"/>
      <c r="AM35" s="2588"/>
    </row>
    <row r="36" spans="1:41" ht="36" customHeight="1">
      <c r="B36" s="2596"/>
      <c r="C36" s="2597"/>
      <c r="D36" s="2597"/>
      <c r="E36" s="2597"/>
      <c r="F36" s="2597"/>
      <c r="G36" s="2597"/>
      <c r="H36" s="2597"/>
      <c r="I36" s="2597"/>
      <c r="J36" s="2597"/>
      <c r="K36" s="2597"/>
      <c r="L36" s="2597"/>
      <c r="M36" s="2597"/>
      <c r="N36" s="2597"/>
      <c r="O36" s="2597"/>
      <c r="P36" s="2597"/>
      <c r="Q36" s="2597"/>
      <c r="R36" s="2597"/>
      <c r="S36" s="2597"/>
      <c r="T36" s="2597"/>
      <c r="U36" s="2597"/>
      <c r="V36" s="2597"/>
      <c r="W36" s="2597"/>
      <c r="X36" s="2597"/>
      <c r="Y36" s="2597"/>
      <c r="Z36" s="2597"/>
      <c r="AA36" s="2597"/>
      <c r="AB36" s="2597"/>
      <c r="AC36" s="2597"/>
      <c r="AD36" s="2597"/>
      <c r="AE36" s="2597"/>
      <c r="AF36" s="2597"/>
      <c r="AG36" s="2597"/>
      <c r="AH36" s="2597"/>
      <c r="AI36" s="2597"/>
      <c r="AJ36" s="2597"/>
      <c r="AK36" s="2597"/>
      <c r="AL36" s="2597"/>
      <c r="AM36" s="2598"/>
    </row>
    <row r="37" spans="1:41" ht="18" customHeight="1">
      <c r="A37" s="353"/>
      <c r="B37" s="2077"/>
      <c r="C37" s="2711"/>
      <c r="D37" s="2711"/>
      <c r="E37" s="2711"/>
      <c r="F37" s="2711"/>
      <c r="AM37" s="353"/>
      <c r="AN37" s="353"/>
    </row>
    <row r="38" spans="1:41" ht="18" customHeight="1">
      <c r="B38" s="2676" t="s">
        <v>3920</v>
      </c>
      <c r="C38" s="2676"/>
      <c r="D38" s="2676"/>
      <c r="E38" s="2676"/>
      <c r="F38" s="2676"/>
      <c r="G38" s="2676"/>
      <c r="H38" s="2676"/>
      <c r="I38" s="2676"/>
      <c r="J38" s="2676"/>
      <c r="K38" s="2676"/>
      <c r="L38" s="2676"/>
      <c r="M38" s="2676"/>
      <c r="N38" s="2676"/>
      <c r="O38" s="2676"/>
      <c r="P38" s="2676"/>
      <c r="Q38" s="2676"/>
      <c r="R38" s="2676"/>
      <c r="S38" s="2676"/>
      <c r="T38" s="2676"/>
      <c r="U38" s="2676"/>
      <c r="V38" s="2676"/>
      <c r="W38" s="2676"/>
      <c r="X38" s="2676"/>
      <c r="Y38" s="2676"/>
      <c r="Z38" s="2676"/>
      <c r="AA38" s="2676"/>
      <c r="AB38" s="2676"/>
      <c r="AC38" s="2676"/>
      <c r="AD38" s="2676"/>
      <c r="AE38" s="2676"/>
      <c r="AF38" s="2676"/>
      <c r="AG38" s="2676"/>
      <c r="AH38" s="2676"/>
      <c r="AI38" s="2676"/>
      <c r="AJ38" s="2676"/>
      <c r="AK38" s="2676"/>
      <c r="AL38" s="2676"/>
      <c r="AM38" s="2676"/>
    </row>
    <row r="39" spans="1:41" ht="18" customHeight="1">
      <c r="B39" s="2195">
        <v>1</v>
      </c>
      <c r="C39" s="1984"/>
      <c r="D39" s="1957" t="s">
        <v>3921</v>
      </c>
      <c r="E39" s="1958"/>
      <c r="F39" s="1958"/>
      <c r="G39" s="1958"/>
      <c r="H39" s="1958"/>
      <c r="I39" s="1958"/>
      <c r="J39" s="1958"/>
      <c r="K39" s="1958"/>
      <c r="L39" s="1958"/>
      <c r="M39" s="1958"/>
      <c r="N39" s="1958"/>
      <c r="O39" s="1958"/>
      <c r="P39" s="1958"/>
      <c r="Q39" s="1958"/>
      <c r="R39" s="1958"/>
      <c r="S39" s="1958"/>
      <c r="T39" s="1958"/>
      <c r="U39" s="1958"/>
      <c r="V39" s="1958"/>
      <c r="W39" s="1958"/>
      <c r="X39" s="1958"/>
      <c r="Y39" s="1958"/>
      <c r="Z39" s="1958"/>
      <c r="AA39" s="1958"/>
      <c r="AB39" s="1958"/>
      <c r="AC39" s="1958"/>
      <c r="AD39" s="1958"/>
      <c r="AE39" s="1958"/>
      <c r="AF39" s="1958"/>
      <c r="AG39" s="1958"/>
      <c r="AH39" s="1958"/>
      <c r="AI39" s="2084"/>
      <c r="AJ39" s="1811"/>
      <c r="AK39" s="1812"/>
      <c r="AL39" s="1812"/>
      <c r="AM39" s="2170"/>
    </row>
    <row r="40" spans="1:41" ht="18" customHeight="1">
      <c r="B40" s="2195"/>
      <c r="C40" s="1984"/>
      <c r="D40" s="2592" t="s">
        <v>3922</v>
      </c>
      <c r="E40" s="2592"/>
      <c r="F40" s="2592"/>
      <c r="G40" s="2592"/>
      <c r="H40" s="2592"/>
      <c r="I40" s="2592"/>
      <c r="J40" s="2592"/>
      <c r="K40" s="2592"/>
      <c r="L40" s="2592"/>
      <c r="M40" s="2592"/>
      <c r="N40" s="2592"/>
      <c r="O40" s="2592"/>
      <c r="P40" s="2592"/>
      <c r="Q40" s="2592"/>
      <c r="R40" s="2592"/>
      <c r="S40" s="2592"/>
      <c r="T40" s="2592"/>
      <c r="U40" s="2592"/>
      <c r="V40" s="2592"/>
      <c r="W40" s="2592"/>
      <c r="X40" s="2592"/>
      <c r="Y40" s="2592"/>
      <c r="Z40" s="2592"/>
      <c r="AA40" s="2592"/>
      <c r="AB40" s="2592"/>
      <c r="AC40" s="2592"/>
      <c r="AD40" s="2592"/>
      <c r="AE40" s="2592"/>
      <c r="AF40" s="2592"/>
      <c r="AG40" s="2592"/>
      <c r="AH40" s="2592"/>
      <c r="AI40" s="2592"/>
      <c r="AJ40" s="2695"/>
      <c r="AK40" s="2695"/>
      <c r="AL40" s="2695"/>
      <c r="AM40" s="2695"/>
    </row>
    <row r="41" spans="1:41" ht="69.900000000000006" customHeight="1">
      <c r="A41" s="861"/>
      <c r="B41" s="2195"/>
      <c r="C41" s="1984"/>
      <c r="D41" s="2696" t="s">
        <v>3923</v>
      </c>
      <c r="E41" s="2697"/>
      <c r="F41" s="2697"/>
      <c r="G41" s="2697"/>
      <c r="H41" s="2697"/>
      <c r="I41" s="2697"/>
      <c r="J41" s="2697"/>
      <c r="K41" s="2697"/>
      <c r="L41" s="2697"/>
      <c r="M41" s="2697"/>
      <c r="N41" s="2697"/>
      <c r="O41" s="2697"/>
      <c r="P41" s="2697"/>
      <c r="Q41" s="2697"/>
      <c r="R41" s="2697"/>
      <c r="S41" s="2697"/>
      <c r="T41" s="2697"/>
      <c r="U41" s="2697"/>
      <c r="V41" s="2697"/>
      <c r="W41" s="2697"/>
      <c r="X41" s="2697"/>
      <c r="Y41" s="2697"/>
      <c r="Z41" s="2697"/>
      <c r="AA41" s="2697"/>
      <c r="AB41" s="2697"/>
      <c r="AC41" s="2697"/>
      <c r="AD41" s="2697"/>
      <c r="AE41" s="2697"/>
      <c r="AF41" s="2697"/>
      <c r="AG41" s="2697"/>
      <c r="AH41" s="2697"/>
      <c r="AI41" s="2698"/>
      <c r="AJ41" s="2699"/>
      <c r="AK41" s="2700"/>
      <c r="AL41" s="2700"/>
      <c r="AM41" s="2701"/>
    </row>
    <row r="42" spans="1:41" ht="18" customHeight="1">
      <c r="B42" s="2195"/>
      <c r="C42" s="1984"/>
      <c r="D42" s="2702" t="s">
        <v>3924</v>
      </c>
      <c r="E42" s="2703"/>
      <c r="F42" s="2703"/>
      <c r="G42" s="2703"/>
      <c r="H42" s="2703"/>
      <c r="I42" s="2703"/>
      <c r="J42" s="2703"/>
      <c r="K42" s="2703"/>
      <c r="L42" s="2703"/>
      <c r="M42" s="2703"/>
      <c r="N42" s="2703"/>
      <c r="O42" s="2703"/>
      <c r="P42" s="2703"/>
      <c r="Q42" s="2703"/>
      <c r="R42" s="2703"/>
      <c r="S42" s="2703"/>
      <c r="T42" s="2703"/>
      <c r="U42" s="2703"/>
      <c r="V42" s="2703"/>
      <c r="W42" s="2703"/>
      <c r="X42" s="2703"/>
      <c r="Y42" s="2703"/>
      <c r="Z42" s="2703"/>
      <c r="AA42" s="2703"/>
      <c r="AB42" s="2703"/>
      <c r="AC42" s="2703"/>
      <c r="AD42" s="2703"/>
      <c r="AE42" s="2703"/>
      <c r="AF42" s="2703"/>
      <c r="AG42" s="2703"/>
      <c r="AH42" s="2703"/>
      <c r="AI42" s="2704"/>
      <c r="AJ42" s="1739"/>
      <c r="AK42" s="1744"/>
      <c r="AL42" s="1744"/>
      <c r="AM42" s="2070"/>
    </row>
    <row r="43" spans="1:41" ht="36" customHeight="1">
      <c r="B43" s="2195"/>
      <c r="C43" s="1984"/>
      <c r="D43" s="2696" t="s">
        <v>3925</v>
      </c>
      <c r="E43" s="2697"/>
      <c r="F43" s="2697"/>
      <c r="G43" s="2697"/>
      <c r="H43" s="2697"/>
      <c r="I43" s="2697"/>
      <c r="J43" s="2697"/>
      <c r="K43" s="2697"/>
      <c r="L43" s="2697"/>
      <c r="M43" s="2697"/>
      <c r="N43" s="2697"/>
      <c r="O43" s="2697"/>
      <c r="P43" s="2697"/>
      <c r="Q43" s="2697"/>
      <c r="R43" s="2697"/>
      <c r="S43" s="2697"/>
      <c r="T43" s="2697"/>
      <c r="U43" s="2697"/>
      <c r="V43" s="2697"/>
      <c r="W43" s="2697"/>
      <c r="X43" s="2697"/>
      <c r="Y43" s="2697"/>
      <c r="Z43" s="2697"/>
      <c r="AA43" s="2697"/>
      <c r="AB43" s="2697"/>
      <c r="AC43" s="2697"/>
      <c r="AD43" s="2697"/>
      <c r="AE43" s="2697"/>
      <c r="AF43" s="2697"/>
      <c r="AG43" s="2697"/>
      <c r="AH43" s="2697"/>
      <c r="AI43" s="2698"/>
      <c r="AJ43" s="2699"/>
      <c r="AK43" s="2700"/>
      <c r="AL43" s="2700"/>
      <c r="AM43" s="2701"/>
    </row>
    <row r="44" spans="1:41" ht="36" customHeight="1">
      <c r="B44" s="2195"/>
      <c r="C44" s="1984"/>
      <c r="D44" s="2714" t="s">
        <v>3926</v>
      </c>
      <c r="E44" s="2714"/>
      <c r="F44" s="2714"/>
      <c r="G44" s="2714"/>
      <c r="H44" s="2714"/>
      <c r="I44" s="2714"/>
      <c r="J44" s="2714"/>
      <c r="K44" s="2714"/>
      <c r="L44" s="2714"/>
      <c r="M44" s="2714"/>
      <c r="N44" s="2714"/>
      <c r="O44" s="2714"/>
      <c r="P44" s="2714"/>
      <c r="Q44" s="2714"/>
      <c r="R44" s="2714"/>
      <c r="S44" s="2714"/>
      <c r="T44" s="2714"/>
      <c r="U44" s="2714"/>
      <c r="V44" s="2714"/>
      <c r="W44" s="2714"/>
      <c r="X44" s="2714"/>
      <c r="Y44" s="2714"/>
      <c r="Z44" s="2714"/>
      <c r="AA44" s="2714"/>
      <c r="AB44" s="2714"/>
      <c r="AC44" s="2714"/>
      <c r="AD44" s="2714"/>
      <c r="AE44" s="2714"/>
      <c r="AF44" s="2714"/>
      <c r="AG44" s="2714"/>
      <c r="AH44" s="2714"/>
      <c r="AI44" s="2714"/>
      <c r="AJ44" s="2715">
        <f>IF(SUM($AJ$41+$AJ$43)&gt;=0,0,SUM($AJ$41+$AJ$43))*-1</f>
        <v>0</v>
      </c>
      <c r="AK44" s="2715"/>
      <c r="AL44" s="2715"/>
      <c r="AM44" s="2715"/>
    </row>
    <row r="45" spans="1:41" ht="36" customHeight="1">
      <c r="B45" s="2283"/>
      <c r="C45" s="2284"/>
      <c r="D45" s="2716" t="s">
        <v>3927</v>
      </c>
      <c r="E45" s="2716"/>
      <c r="F45" s="2716"/>
      <c r="G45" s="2716"/>
      <c r="H45" s="2716"/>
      <c r="I45" s="2716"/>
      <c r="J45" s="2716"/>
      <c r="K45" s="2716"/>
      <c r="L45" s="2716"/>
      <c r="M45" s="2716"/>
      <c r="N45" s="2716"/>
      <c r="O45" s="2716"/>
      <c r="P45" s="2716"/>
      <c r="Q45" s="2716"/>
      <c r="R45" s="2716"/>
      <c r="S45" s="2716"/>
      <c r="T45" s="2716"/>
      <c r="U45" s="2716"/>
      <c r="V45" s="2716"/>
      <c r="W45" s="2716"/>
      <c r="X45" s="2716"/>
      <c r="Y45" s="2716"/>
      <c r="Z45" s="2716"/>
      <c r="AA45" s="2716"/>
      <c r="AB45" s="2716"/>
      <c r="AC45" s="2716"/>
      <c r="AD45" s="2716"/>
      <c r="AE45" s="2716"/>
      <c r="AF45" s="2716"/>
      <c r="AG45" s="2716"/>
      <c r="AH45" s="2716"/>
      <c r="AI45" s="2716"/>
      <c r="AJ45" s="2717">
        <f>$AJ$44/(1+(0.02*$AJ$40))</f>
        <v>0</v>
      </c>
      <c r="AK45" s="2717"/>
      <c r="AL45" s="2717"/>
      <c r="AM45" s="2717"/>
      <c r="AN45" s="162"/>
    </row>
    <row r="46" spans="1:41" ht="18" customHeight="1">
      <c r="B46" s="2195">
        <v>2</v>
      </c>
      <c r="C46" s="1984"/>
      <c r="D46" s="2691" t="s">
        <v>3928</v>
      </c>
      <c r="E46" s="2692"/>
      <c r="F46" s="2692"/>
      <c r="G46" s="2692"/>
      <c r="H46" s="2692"/>
      <c r="I46" s="2692"/>
      <c r="J46" s="2692"/>
      <c r="K46" s="2692"/>
      <c r="L46" s="2692"/>
      <c r="M46" s="2692"/>
      <c r="N46" s="2692"/>
      <c r="O46" s="2692"/>
      <c r="P46" s="2692"/>
      <c r="Q46" s="2692"/>
      <c r="R46" s="2692"/>
      <c r="S46" s="2692"/>
      <c r="T46" s="2692"/>
      <c r="U46" s="2692"/>
      <c r="V46" s="2692"/>
      <c r="W46" s="2692"/>
      <c r="X46" s="2692"/>
      <c r="Y46" s="2692"/>
      <c r="Z46" s="2692"/>
      <c r="AA46" s="2692"/>
      <c r="AB46" s="2692"/>
      <c r="AC46" s="2692"/>
      <c r="AD46" s="2692"/>
      <c r="AE46" s="2692"/>
      <c r="AF46" s="2692"/>
      <c r="AG46" s="2692"/>
      <c r="AH46" s="2692"/>
      <c r="AI46" s="2692"/>
      <c r="AJ46" s="2692"/>
      <c r="AK46" s="2692"/>
      <c r="AL46" s="2692"/>
      <c r="AM46" s="2693"/>
    </row>
    <row r="47" spans="1:41" ht="18" customHeight="1">
      <c r="B47" s="2195"/>
      <c r="C47" s="1984"/>
      <c r="D47" s="2687" t="s">
        <v>3929</v>
      </c>
      <c r="E47" s="2688"/>
      <c r="F47" s="2688"/>
      <c r="G47" s="2688"/>
      <c r="H47" s="2688"/>
      <c r="I47" s="2688"/>
      <c r="J47" s="2688"/>
      <c r="K47" s="2688"/>
      <c r="L47" s="2688"/>
      <c r="M47" s="2688"/>
      <c r="N47" s="2688"/>
      <c r="O47" s="2688"/>
      <c r="P47" s="2688"/>
      <c r="Q47" s="2688"/>
      <c r="R47" s="2688"/>
      <c r="S47" s="2688"/>
      <c r="T47" s="2688"/>
      <c r="U47" s="2688"/>
      <c r="V47" s="2688"/>
      <c r="W47" s="2688"/>
      <c r="X47" s="2688"/>
      <c r="Y47" s="2688"/>
      <c r="Z47" s="2688"/>
      <c r="AA47" s="2688"/>
      <c r="AB47" s="2688"/>
      <c r="AC47" s="2688"/>
      <c r="AD47" s="2688"/>
      <c r="AE47" s="2688"/>
      <c r="AF47" s="2688"/>
      <c r="AG47" s="2688"/>
      <c r="AH47" s="2688"/>
      <c r="AI47" s="2689"/>
      <c r="AJ47" s="2718"/>
      <c r="AK47" s="2718"/>
      <c r="AL47" s="2718"/>
      <c r="AM47" s="2718"/>
      <c r="AN47" s="155"/>
      <c r="AO47" s="2686"/>
    </row>
    <row r="48" spans="1:41" ht="18" customHeight="1">
      <c r="B48" s="2195"/>
      <c r="C48" s="1984"/>
      <c r="D48" s="2687" t="s">
        <v>3930</v>
      </c>
      <c r="E48" s="2688"/>
      <c r="F48" s="2688"/>
      <c r="G48" s="2688"/>
      <c r="H48" s="2688"/>
      <c r="I48" s="2688"/>
      <c r="J48" s="2688"/>
      <c r="K48" s="2688"/>
      <c r="L48" s="2688"/>
      <c r="M48" s="2688"/>
      <c r="N48" s="2688"/>
      <c r="O48" s="2688"/>
      <c r="P48" s="2688"/>
      <c r="Q48" s="2688"/>
      <c r="R48" s="2688"/>
      <c r="S48" s="2688"/>
      <c r="T48" s="2688"/>
      <c r="U48" s="2688"/>
      <c r="V48" s="2688"/>
      <c r="W48" s="2688"/>
      <c r="X48" s="2688"/>
      <c r="Y48" s="2688"/>
      <c r="Z48" s="2688"/>
      <c r="AA48" s="2688"/>
      <c r="AB48" s="2688"/>
      <c r="AC48" s="2688"/>
      <c r="AD48" s="2688"/>
      <c r="AE48" s="2688"/>
      <c r="AF48" s="2688"/>
      <c r="AG48" s="2688"/>
      <c r="AH48" s="2688"/>
      <c r="AI48" s="2689"/>
      <c r="AJ48" s="2690"/>
      <c r="AK48" s="2690"/>
      <c r="AL48" s="2690"/>
      <c r="AM48" s="2690"/>
      <c r="AN48" s="155"/>
      <c r="AO48" s="2686"/>
    </row>
    <row r="49" spans="2:41" ht="18" customHeight="1">
      <c r="B49" s="2195"/>
      <c r="C49" s="1984"/>
      <c r="D49" s="2691" t="s">
        <v>3931</v>
      </c>
      <c r="E49" s="2692"/>
      <c r="F49" s="2692"/>
      <c r="G49" s="2692"/>
      <c r="H49" s="2692"/>
      <c r="I49" s="2692"/>
      <c r="J49" s="2692"/>
      <c r="K49" s="2692"/>
      <c r="L49" s="2692"/>
      <c r="M49" s="2692"/>
      <c r="N49" s="2692"/>
      <c r="O49" s="2692"/>
      <c r="P49" s="2692"/>
      <c r="Q49" s="2692"/>
      <c r="R49" s="2692"/>
      <c r="S49" s="2692"/>
      <c r="T49" s="2692"/>
      <c r="U49" s="2692"/>
      <c r="V49" s="2692"/>
      <c r="W49" s="2692"/>
      <c r="X49" s="2692"/>
      <c r="Y49" s="2692"/>
      <c r="Z49" s="2692"/>
      <c r="AA49" s="2692"/>
      <c r="AB49" s="2692"/>
      <c r="AC49" s="2692"/>
      <c r="AD49" s="2692"/>
      <c r="AE49" s="2692"/>
      <c r="AF49" s="2692"/>
      <c r="AG49" s="2692"/>
      <c r="AH49" s="2692"/>
      <c r="AI49" s="2693"/>
      <c r="AJ49" s="2694">
        <f>IFERROR(SUM($AJ$44-$AJ$47)/$AJ$48,0)</f>
        <v>0</v>
      </c>
      <c r="AK49" s="2694"/>
      <c r="AL49" s="2694"/>
      <c r="AM49" s="2694"/>
      <c r="AN49" s="163"/>
      <c r="AO49" s="2686"/>
    </row>
    <row r="50" spans="2:41" ht="54" customHeight="1">
      <c r="B50" s="2599" t="s">
        <v>3932</v>
      </c>
      <c r="C50" s="2599"/>
      <c r="D50" s="2599"/>
      <c r="E50" s="2599"/>
      <c r="F50" s="2599"/>
      <c r="G50" s="2599"/>
      <c r="H50" s="2599"/>
      <c r="I50" s="2599"/>
      <c r="J50" s="2599"/>
      <c r="K50" s="2599"/>
      <c r="L50" s="2599"/>
      <c r="M50" s="2599"/>
      <c r="N50" s="2599"/>
      <c r="O50" s="2599"/>
      <c r="P50" s="2599"/>
      <c r="Q50" s="2599"/>
      <c r="R50" s="2599"/>
      <c r="S50" s="2599"/>
      <c r="T50" s="2599"/>
      <c r="U50" s="2599"/>
      <c r="V50" s="2599"/>
      <c r="W50" s="2599"/>
      <c r="X50" s="2599"/>
      <c r="Y50" s="2599"/>
      <c r="Z50" s="2599"/>
      <c r="AA50" s="2599"/>
      <c r="AB50" s="2599"/>
      <c r="AC50" s="2599"/>
      <c r="AD50" s="2599"/>
      <c r="AE50" s="2599"/>
      <c r="AF50" s="2599"/>
      <c r="AG50" s="2599"/>
      <c r="AH50" s="2599"/>
      <c r="AI50" s="2599"/>
      <c r="AJ50" s="2599"/>
      <c r="AK50" s="2599"/>
      <c r="AL50" s="2599"/>
      <c r="AM50" s="2599"/>
    </row>
    <row r="51" spans="2:41" ht="36" customHeight="1">
      <c r="B51" s="2713"/>
      <c r="C51" s="2713"/>
      <c r="D51" s="2713"/>
      <c r="E51" s="2713"/>
      <c r="F51" s="2713"/>
      <c r="G51" s="2713"/>
      <c r="H51" s="2713"/>
      <c r="I51" s="2713"/>
      <c r="J51" s="2713"/>
      <c r="K51" s="2713"/>
      <c r="L51" s="2713"/>
      <c r="M51" s="2713"/>
      <c r="N51" s="2713"/>
      <c r="O51" s="2713"/>
      <c r="P51" s="2713"/>
      <c r="Q51" s="2713"/>
      <c r="R51" s="2713"/>
      <c r="S51" s="2713"/>
      <c r="T51" s="2713"/>
      <c r="U51" s="2713"/>
      <c r="V51" s="2713"/>
      <c r="W51" s="2713"/>
      <c r="X51" s="2713"/>
      <c r="Y51" s="2713"/>
      <c r="Z51" s="2713"/>
      <c r="AA51" s="2713"/>
      <c r="AB51" s="2713"/>
      <c r="AC51" s="2713"/>
      <c r="AD51" s="2713"/>
      <c r="AE51" s="2713"/>
      <c r="AF51" s="2713"/>
      <c r="AG51" s="2713"/>
      <c r="AH51" s="2713"/>
      <c r="AI51" s="2713"/>
      <c r="AJ51" s="2713"/>
      <c r="AK51" s="2713"/>
      <c r="AL51" s="2713"/>
      <c r="AM51" s="2713"/>
    </row>
    <row r="53" spans="2:41" ht="18" customHeight="1">
      <c r="B53" s="2489" t="s">
        <v>639</v>
      </c>
      <c r="C53" s="2489"/>
      <c r="D53" s="2489"/>
      <c r="E53" s="2489"/>
      <c r="F53" s="2489"/>
      <c r="G53" s="2489"/>
      <c r="H53" s="2489"/>
      <c r="I53" s="2489"/>
      <c r="J53" s="2489"/>
      <c r="K53" s="2489"/>
      <c r="L53" s="2489"/>
      <c r="M53" s="2489"/>
      <c r="N53" s="2489"/>
      <c r="O53" s="2489"/>
      <c r="P53" s="2489"/>
      <c r="Q53" s="2489"/>
      <c r="R53" s="2489"/>
      <c r="S53" s="2489"/>
      <c r="T53" s="2489"/>
      <c r="U53" s="2489"/>
      <c r="V53" s="2489"/>
      <c r="W53" s="2489"/>
      <c r="X53" s="2489"/>
      <c r="Y53" s="2489"/>
      <c r="Z53" s="2489"/>
      <c r="AA53" s="2489"/>
      <c r="AB53" s="2489"/>
      <c r="AC53" s="2489"/>
      <c r="AD53" s="2489"/>
      <c r="AE53" s="2489"/>
      <c r="AF53" s="2489"/>
      <c r="AG53" s="2489"/>
      <c r="AH53" s="2489"/>
      <c r="AI53" s="2489"/>
      <c r="AJ53" s="2489"/>
      <c r="AK53" s="2489"/>
      <c r="AL53" s="2489"/>
      <c r="AM53" s="2489"/>
    </row>
  </sheetData>
  <mergeCells count="136">
    <mergeCell ref="B51:AM51"/>
    <mergeCell ref="D44:AI44"/>
    <mergeCell ref="AJ44:AM44"/>
    <mergeCell ref="D45:AI45"/>
    <mergeCell ref="AJ45:AM45"/>
    <mergeCell ref="B46:C49"/>
    <mergeCell ref="D46:AM46"/>
    <mergeCell ref="D47:AI47"/>
    <mergeCell ref="AJ47:AM47"/>
    <mergeCell ref="B39:C45"/>
    <mergeCell ref="AN19:AO32"/>
    <mergeCell ref="D33:AA33"/>
    <mergeCell ref="AB33:AE33"/>
    <mergeCell ref="AB32:AE32"/>
    <mergeCell ref="D31:AA31"/>
    <mergeCell ref="D29:AA29"/>
    <mergeCell ref="D30:AA30"/>
    <mergeCell ref="AB30:AE30"/>
    <mergeCell ref="B37:F37"/>
    <mergeCell ref="B34:AE34"/>
    <mergeCell ref="AO47:AO49"/>
    <mergeCell ref="D48:AI48"/>
    <mergeCell ref="AJ48:AM48"/>
    <mergeCell ref="D49:AI49"/>
    <mergeCell ref="AJ49:AM49"/>
    <mergeCell ref="D40:AI40"/>
    <mergeCell ref="AJ40:AM40"/>
    <mergeCell ref="D41:AI41"/>
    <mergeCell ref="AJ41:AM41"/>
    <mergeCell ref="D43:AI43"/>
    <mergeCell ref="AJ43:AM43"/>
    <mergeCell ref="D42:AI42"/>
    <mergeCell ref="AJ42:AM42"/>
    <mergeCell ref="AB18:AE18"/>
    <mergeCell ref="AJ20:AM20"/>
    <mergeCell ref="D18:AA18"/>
    <mergeCell ref="D19:AA19"/>
    <mergeCell ref="D20:AA20"/>
    <mergeCell ref="D21:AA21"/>
    <mergeCell ref="D22:AA22"/>
    <mergeCell ref="D28:AA28"/>
    <mergeCell ref="AB22:AE22"/>
    <mergeCell ref="AJ26:AM26"/>
    <mergeCell ref="AF27:AI27"/>
    <mergeCell ref="AJ27:AM27"/>
    <mergeCell ref="AB24:AE24"/>
    <mergeCell ref="AF24:AI24"/>
    <mergeCell ref="AJ24:AM24"/>
    <mergeCell ref="B2:AM2"/>
    <mergeCell ref="B12:AM12"/>
    <mergeCell ref="AF18:AI18"/>
    <mergeCell ref="AF19:AI19"/>
    <mergeCell ref="AF20:AI20"/>
    <mergeCell ref="AJ39:AM39"/>
    <mergeCell ref="AB31:AE31"/>
    <mergeCell ref="AJ31:AM31"/>
    <mergeCell ref="B13:C15"/>
    <mergeCell ref="D13:AE13"/>
    <mergeCell ref="AF13:AI13"/>
    <mergeCell ref="AJ13:AM13"/>
    <mergeCell ref="D14:O14"/>
    <mergeCell ref="P14:T14"/>
    <mergeCell ref="U14:AA15"/>
    <mergeCell ref="AB14:AE15"/>
    <mergeCell ref="AF14:AI15"/>
    <mergeCell ref="AJ14:AM15"/>
    <mergeCell ref="D15:O15"/>
    <mergeCell ref="P15:T15"/>
    <mergeCell ref="AF34:AI34"/>
    <mergeCell ref="AJ34:AM34"/>
    <mergeCell ref="B38:AM38"/>
    <mergeCell ref="AJ18:AM18"/>
    <mergeCell ref="C8:AE8"/>
    <mergeCell ref="AF8:AI8"/>
    <mergeCell ref="AJ8:AM8"/>
    <mergeCell ref="C9:AI9"/>
    <mergeCell ref="B4:E4"/>
    <mergeCell ref="F4:Z4"/>
    <mergeCell ref="AA4:AH4"/>
    <mergeCell ref="B6:AM6"/>
    <mergeCell ref="C7:AE7"/>
    <mergeCell ref="AF7:AI7"/>
    <mergeCell ref="AJ7:AM7"/>
    <mergeCell ref="AI4:AM4"/>
    <mergeCell ref="B8:B10"/>
    <mergeCell ref="AJ9:AM9"/>
    <mergeCell ref="C10:AI10"/>
    <mergeCell ref="AJ10:AM10"/>
    <mergeCell ref="B11:AM11"/>
    <mergeCell ref="AJ30:AM30"/>
    <mergeCell ref="AB21:AE21"/>
    <mergeCell ref="AF21:AI21"/>
    <mergeCell ref="B17:C33"/>
    <mergeCell ref="D17:AM17"/>
    <mergeCell ref="D23:AA23"/>
    <mergeCell ref="D25:AA25"/>
    <mergeCell ref="D26:AA26"/>
    <mergeCell ref="D27:AA27"/>
    <mergeCell ref="AB23:AE23"/>
    <mergeCell ref="AB25:AE25"/>
    <mergeCell ref="AB26:AE26"/>
    <mergeCell ref="AB27:AE27"/>
    <mergeCell ref="AF23:AI23"/>
    <mergeCell ref="AJ23:AM23"/>
    <mergeCell ref="AF25:AI25"/>
    <mergeCell ref="AJ25:AM25"/>
    <mergeCell ref="AF26:AI26"/>
    <mergeCell ref="D24:AA24"/>
    <mergeCell ref="D16:AA16"/>
    <mergeCell ref="AB16:AE16"/>
    <mergeCell ref="AF16:AI16"/>
    <mergeCell ref="AJ16:AM16"/>
    <mergeCell ref="B53:AM53"/>
    <mergeCell ref="B35:AM35"/>
    <mergeCell ref="D39:AI39"/>
    <mergeCell ref="D32:AA32"/>
    <mergeCell ref="AJ32:AM32"/>
    <mergeCell ref="AJ19:AM19"/>
    <mergeCell ref="AJ21:AM21"/>
    <mergeCell ref="AB19:AE19"/>
    <mergeCell ref="AB20:AE20"/>
    <mergeCell ref="AJ33:AM33"/>
    <mergeCell ref="AF33:AI33"/>
    <mergeCell ref="AB28:AE28"/>
    <mergeCell ref="AJ22:AM22"/>
    <mergeCell ref="AJ28:AM28"/>
    <mergeCell ref="AJ29:AM29"/>
    <mergeCell ref="AF31:AI31"/>
    <mergeCell ref="AF32:AI32"/>
    <mergeCell ref="AF22:AI22"/>
    <mergeCell ref="AF28:AI28"/>
    <mergeCell ref="AF29:AI29"/>
    <mergeCell ref="AF30:AI30"/>
    <mergeCell ref="AB29:AE29"/>
    <mergeCell ref="B36:AM36"/>
    <mergeCell ref="B50:AM50"/>
  </mergeCells>
  <conditionalFormatting sqref="AJ43:AM43">
    <cfRule type="expression" dxfId="603" priority="6">
      <formula>$AJ$42="No"</formula>
    </cfRule>
  </conditionalFormatting>
  <conditionalFormatting sqref="AJ40:AM40 AJ47:AM49 AJ42:AM45">
    <cfRule type="expression" dxfId="602" priority="5">
      <formula>$AJ$39="No"</formula>
    </cfRule>
  </conditionalFormatting>
  <conditionalFormatting sqref="AJ41:AM41">
    <cfRule type="expression" dxfId="601" priority="2">
      <formula>$AJ$39="No"</formula>
    </cfRule>
  </conditionalFormatting>
  <conditionalFormatting sqref="AJ41:AM41">
    <cfRule type="cellIs" dxfId="600" priority="1" operator="lessThan">
      <formula>0</formula>
    </cfRule>
  </conditionalFormatting>
  <dataValidations count="1">
    <dataValidation type="list" allowBlank="1" showInputMessage="1" showErrorMessage="1" sqref="AJ39:AM39 AJ42:AM42" xr:uid="{00000000-0002-0000-1600-000000000000}">
      <formula1>"Yes,No"</formula1>
    </dataValidation>
  </dataValidations>
  <printOptions horizontalCentered="1"/>
  <pageMargins left="0" right="0.25" top="0" bottom="0" header="0.25" footer="0.25"/>
  <pageSetup scale="67" orientation="portrait" r:id="rId1"/>
  <headerFooter>
    <oddFooter>&amp;L&amp;F&amp;C&amp;P of &amp;N&amp;R &amp;A</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Units">
    <tabColor rgb="FF0070C0"/>
  </sheetPr>
  <dimension ref="A1:CY583"/>
  <sheetViews>
    <sheetView showGridLines="0" topLeftCell="A49" zoomScaleNormal="100" workbookViewId="0"/>
  </sheetViews>
  <sheetFormatPr defaultColWidth="9.109375" defaultRowHeight="18" customHeight="1"/>
  <cols>
    <col min="1" max="1" width="3.6640625" style="477" customWidth="1"/>
    <col min="2" max="2" width="5" style="464" customWidth="1"/>
    <col min="3" max="3" width="8.88671875" style="464" customWidth="1"/>
    <col min="4" max="4" width="5" style="464" customWidth="1"/>
    <col min="5" max="5" width="8.6640625" style="464" customWidth="1"/>
    <col min="6" max="6" width="8.6640625" style="464" hidden="1" customWidth="1"/>
    <col min="7" max="9" width="8.6640625" style="464" customWidth="1"/>
    <col min="10" max="10" width="8.6640625" style="464" hidden="1" customWidth="1"/>
    <col min="11" max="25" width="7.33203125" style="464" customWidth="1"/>
    <col min="26" max="26" width="8.44140625" style="464" customWidth="1"/>
    <col min="27" max="30" width="13.44140625" style="464" customWidth="1"/>
    <col min="31" max="31" width="13.44140625" style="464" hidden="1" customWidth="1"/>
    <col min="32" max="33" width="13.44140625" style="464" customWidth="1"/>
    <col min="34" max="41" width="11.6640625" style="464" customWidth="1"/>
    <col min="42" max="42" width="11.33203125" style="464" customWidth="1"/>
    <col min="43" max="43" width="14.33203125" style="464" customWidth="1"/>
    <col min="44" max="44" width="12.109375" style="464" customWidth="1"/>
    <col min="45" max="49" width="11.5546875" style="464" customWidth="1"/>
    <col min="50" max="52" width="9.109375" style="464" customWidth="1"/>
    <col min="53" max="55" width="5.6640625" style="464" customWidth="1"/>
    <col min="56" max="59" width="9.109375" style="464" customWidth="1"/>
    <col min="60" max="60" width="18.109375" style="478" customWidth="1"/>
    <col min="61" max="61" width="10.88671875" style="478" customWidth="1"/>
    <col min="62" max="65" width="9.5546875" style="478" customWidth="1"/>
    <col min="66" max="66" width="12" style="478" customWidth="1"/>
    <col min="67" max="70" width="9.5546875" style="478" customWidth="1"/>
    <col min="71" max="71" width="10.44140625" style="478" customWidth="1"/>
    <col min="72" max="72" width="24.44140625" style="473" customWidth="1"/>
    <col min="73" max="76" width="10.44140625" style="478" customWidth="1"/>
    <col min="77" max="77" width="12.33203125" style="478" customWidth="1"/>
    <col min="78" max="80" width="9.5546875" style="478" customWidth="1"/>
    <col min="81" max="81" width="9.109375" style="478" customWidth="1"/>
    <col min="82" max="82" width="16.44140625" style="478" customWidth="1"/>
    <col min="83" max="92" width="11.5546875" style="478" customWidth="1"/>
    <col min="93" max="93" width="16.109375" style="464" customWidth="1"/>
    <col min="94" max="94" width="11.5546875" style="485" customWidth="1"/>
    <col min="95" max="95" width="28" style="481" customWidth="1"/>
    <col min="96" max="102" width="11.5546875" style="481" customWidth="1"/>
    <col min="103" max="103" width="9.109375" style="464" customWidth="1"/>
    <col min="104" max="16384" width="9.109375" style="464"/>
  </cols>
  <sheetData>
    <row r="1" spans="1:102" s="254" customFormat="1" ht="18" customHeight="1">
      <c r="A1" s="476"/>
      <c r="B1" s="1528" t="s">
        <v>2264</v>
      </c>
      <c r="C1" s="891"/>
      <c r="D1" s="891"/>
      <c r="E1" s="891"/>
      <c r="F1" s="891"/>
      <c r="G1" s="891"/>
      <c r="H1" s="891"/>
      <c r="I1" s="891"/>
      <c r="J1" s="891"/>
      <c r="K1" s="891"/>
      <c r="L1" s="891"/>
      <c r="M1" s="891"/>
      <c r="N1" s="891"/>
      <c r="O1" s="891"/>
      <c r="P1" s="891"/>
      <c r="Q1" s="891"/>
      <c r="R1" s="891"/>
      <c r="S1" s="891"/>
      <c r="T1" s="668"/>
      <c r="U1" s="1545"/>
      <c r="V1" s="1545"/>
      <c r="W1" s="1545"/>
      <c r="X1" s="2719" t="b">
        <f>IF(AND(vmNC="New Construction",HRArea="Yes",OR(HRCategory="High Resource",HRCategory="Highest Resource")),TRUE,FALSE)</f>
        <v>1</v>
      </c>
      <c r="Y1" s="2734"/>
      <c r="Z1" s="2734"/>
      <c r="AA1" s="1544"/>
      <c r="AB1" s="878"/>
      <c r="AC1" s="471"/>
      <c r="AD1" s="471"/>
      <c r="AE1" s="894"/>
      <c r="AF1" s="471"/>
      <c r="AG1" s="471"/>
      <c r="AH1" s="893"/>
      <c r="AI1" s="667"/>
      <c r="AJ1" s="667"/>
      <c r="AK1" s="667"/>
      <c r="AL1" s="667"/>
      <c r="AM1" s="667"/>
      <c r="AN1" s="667"/>
      <c r="AO1" s="667"/>
      <c r="AP1" s="668"/>
      <c r="AQ1" s="668"/>
      <c r="AR1" s="668"/>
      <c r="AS1" s="668"/>
      <c r="AT1" s="668"/>
      <c r="AU1" s="668"/>
      <c r="AV1" s="668"/>
      <c r="AW1" s="668"/>
      <c r="AX1" s="1545"/>
      <c r="AY1" s="1545"/>
      <c r="AZ1" s="1545"/>
      <c r="BA1" s="1545"/>
      <c r="BB1" s="1545"/>
      <c r="BC1" s="1545"/>
      <c r="BD1" s="1545"/>
      <c r="BE1" s="1545"/>
      <c r="BF1" s="1545"/>
      <c r="BG1" s="1545"/>
      <c r="BH1" s="735" t="s">
        <v>2265</v>
      </c>
      <c r="BI1" s="2759" t="s">
        <v>2266</v>
      </c>
      <c r="BJ1" s="2760"/>
      <c r="BK1" s="2760"/>
      <c r="BL1" s="2760"/>
      <c r="BM1" s="2761"/>
      <c r="BN1" s="2759" t="s">
        <v>2266</v>
      </c>
      <c r="BO1" s="2760"/>
      <c r="BP1" s="2760"/>
      <c r="BQ1" s="2760"/>
      <c r="BR1" s="2761"/>
      <c r="BS1" s="1545"/>
      <c r="BT1" s="733" t="s">
        <v>2267</v>
      </c>
      <c r="BU1" s="2758" t="s">
        <v>2268</v>
      </c>
      <c r="BV1" s="2758"/>
      <c r="BW1" s="2758"/>
      <c r="BX1" s="2758"/>
      <c r="BY1" s="2758"/>
      <c r="BZ1" s="2758" t="s">
        <v>2269</v>
      </c>
      <c r="CA1" s="2758"/>
      <c r="CB1" s="666">
        <f>MATCH(County,IncomeLimitsTbl[County],0)</f>
        <v>3</v>
      </c>
      <c r="CC1" s="1545"/>
      <c r="CD1" s="734" t="s">
        <v>2270</v>
      </c>
      <c r="CE1" s="2755" t="s">
        <v>2266</v>
      </c>
      <c r="CF1" s="2756"/>
      <c r="CG1" s="2756"/>
      <c r="CH1" s="2756"/>
      <c r="CI1" s="2757"/>
      <c r="CJ1" s="2755" t="s">
        <v>2266</v>
      </c>
      <c r="CK1" s="2756"/>
      <c r="CL1" s="2756"/>
      <c r="CM1" s="2756"/>
      <c r="CN1" s="2757"/>
      <c r="CO1" s="1545"/>
      <c r="CP1" s="2753" t="s">
        <v>2271</v>
      </c>
      <c r="CQ1" s="2753"/>
      <c r="CR1" s="2753"/>
      <c r="CS1" s="2753"/>
      <c r="CT1" s="2753"/>
      <c r="CU1" s="2753"/>
      <c r="CV1" s="2753"/>
      <c r="CW1" s="2753"/>
      <c r="CX1" s="2753"/>
    </row>
    <row r="2" spans="1:102" s="688" customFormat="1" ht="18" customHeight="1" thickBot="1">
      <c r="A2" s="476"/>
      <c r="B2" s="668"/>
      <c r="C2" s="668"/>
      <c r="D2" s="668"/>
      <c r="E2" s="877"/>
      <c r="F2" s="668"/>
      <c r="G2" s="668"/>
      <c r="H2" s="668"/>
      <c r="I2" s="668"/>
      <c r="J2" s="668"/>
      <c r="K2" s="668"/>
      <c r="L2" s="668"/>
      <c r="M2" s="1551"/>
      <c r="N2" s="891"/>
      <c r="O2" s="891"/>
      <c r="P2" s="891"/>
      <c r="Q2" s="891"/>
      <c r="R2" s="891"/>
      <c r="S2" s="891"/>
      <c r="T2" s="668"/>
      <c r="U2" s="1545"/>
      <c r="V2" s="1545"/>
      <c r="W2" s="1593"/>
      <c r="X2" s="2720"/>
      <c r="Y2" s="665"/>
      <c r="Z2" s="665"/>
      <c r="AA2" s="1265"/>
      <c r="AB2" s="1234"/>
      <c r="AC2" s="1234"/>
      <c r="AD2" s="1234"/>
      <c r="AE2" s="1234"/>
      <c r="AF2" s="1234"/>
      <c r="AG2" s="1234"/>
      <c r="AH2" s="667"/>
      <c r="AI2" s="667"/>
      <c r="AJ2" s="667"/>
      <c r="AK2" s="667"/>
      <c r="AL2" s="667"/>
      <c r="AM2" s="667"/>
      <c r="AN2" s="667"/>
      <c r="AO2" s="667"/>
      <c r="AP2" s="668"/>
      <c r="AQ2" s="668"/>
      <c r="AR2" s="668"/>
      <c r="AS2" s="668"/>
      <c r="AT2" s="668"/>
      <c r="AU2" s="668"/>
      <c r="AV2" s="668"/>
      <c r="AW2" s="668"/>
      <c r="AX2" s="1545"/>
      <c r="AY2" s="1545"/>
      <c r="AZ2" s="1545"/>
      <c r="BA2" s="1545"/>
      <c r="BB2" s="1545"/>
      <c r="BC2" s="1545"/>
      <c r="BD2" s="1545"/>
      <c r="BE2" s="1545"/>
      <c r="BF2" s="1545"/>
      <c r="BG2" s="1545"/>
      <c r="BH2" s="2765" t="s">
        <v>2272</v>
      </c>
      <c r="BI2" s="2766"/>
      <c r="BJ2" s="2766"/>
      <c r="BK2" s="2766"/>
      <c r="BL2" s="2766"/>
      <c r="BM2" s="2767"/>
      <c r="BN2" s="2765" t="s">
        <v>2273</v>
      </c>
      <c r="BO2" s="2766"/>
      <c r="BP2" s="2766"/>
      <c r="BQ2" s="2766"/>
      <c r="BR2" s="2767"/>
      <c r="BS2" s="1545"/>
      <c r="BT2" s="2768" t="s">
        <v>2274</v>
      </c>
      <c r="BU2" s="2768"/>
      <c r="BV2" s="2768"/>
      <c r="BW2" s="2768"/>
      <c r="BX2" s="2768"/>
      <c r="BY2" s="2768"/>
      <c r="BZ2" s="2768"/>
      <c r="CA2" s="2768"/>
      <c r="CB2" s="2768"/>
      <c r="CC2" s="1545"/>
      <c r="CD2" s="2762" t="s">
        <v>2275</v>
      </c>
      <c r="CE2" s="2763"/>
      <c r="CF2" s="2763"/>
      <c r="CG2" s="2763"/>
      <c r="CH2" s="2763"/>
      <c r="CI2" s="2764"/>
      <c r="CJ2" s="2762" t="s">
        <v>2276</v>
      </c>
      <c r="CK2" s="2763"/>
      <c r="CL2" s="2763"/>
      <c r="CM2" s="2763"/>
      <c r="CN2" s="2764"/>
      <c r="CO2" s="862"/>
      <c r="CP2" s="1545"/>
      <c r="CQ2" s="1545"/>
      <c r="CR2" s="1545"/>
      <c r="CS2" s="1545"/>
      <c r="CT2" s="1545"/>
      <c r="CU2" s="1545"/>
      <c r="CV2" s="1545"/>
      <c r="CW2" s="1545"/>
      <c r="CX2" s="1545"/>
    </row>
    <row r="3" spans="1:102" s="254" customFormat="1" ht="18" customHeight="1" thickTop="1" thickBot="1">
      <c r="A3" s="476"/>
      <c r="B3" s="2725" t="s">
        <v>1649</v>
      </c>
      <c r="C3" s="2726"/>
      <c r="D3" s="2749">
        <f>K7</f>
        <v>0</v>
      </c>
      <c r="E3" s="2750"/>
      <c r="F3" s="1545"/>
      <c r="G3" s="1545"/>
      <c r="H3" s="1545"/>
      <c r="I3" s="1545"/>
      <c r="J3" s="1545"/>
      <c r="K3" s="2733" t="s">
        <v>2277</v>
      </c>
      <c r="L3" s="2733"/>
      <c r="M3" s="2733" t="s">
        <v>2278</v>
      </c>
      <c r="N3" s="2733"/>
      <c r="O3" s="933"/>
      <c r="P3" s="934"/>
      <c r="Q3" s="935"/>
      <c r="R3" s="2729" t="s">
        <v>2279</v>
      </c>
      <c r="S3" s="2729"/>
      <c r="T3" s="471"/>
      <c r="U3" s="2731" t="s">
        <v>2280</v>
      </c>
      <c r="V3" s="2742">
        <f>S7</f>
        <v>0</v>
      </c>
      <c r="W3" s="2735" t="s">
        <v>2281</v>
      </c>
      <c r="X3" s="2736"/>
      <c r="Y3" s="2739" t="str">
        <f>IFERROR(SUM(K8+Y8)/Z8,"")</f>
        <v/>
      </c>
      <c r="Z3" s="2740"/>
      <c r="AA3" s="2746" t="s">
        <v>2282</v>
      </c>
      <c r="AB3" s="2747"/>
      <c r="AC3" s="2747"/>
      <c r="AD3" s="2747"/>
      <c r="AE3" s="2747"/>
      <c r="AF3" s="2747"/>
      <c r="AG3" s="2748"/>
      <c r="AH3" s="2840" t="s">
        <v>2283</v>
      </c>
      <c r="AI3" s="2841"/>
      <c r="AJ3" s="2841"/>
      <c r="AK3" s="2841"/>
      <c r="AL3" s="2841"/>
      <c r="AM3" s="2841"/>
      <c r="AN3" s="2841"/>
      <c r="AO3" s="2844" t="s">
        <v>2284</v>
      </c>
      <c r="AP3" s="1263"/>
      <c r="AQ3" s="1264"/>
      <c r="AR3" s="1264"/>
      <c r="AS3" s="1264"/>
      <c r="AT3" s="1264"/>
      <c r="AU3" s="1264"/>
      <c r="AV3" s="1264"/>
      <c r="AW3" s="1264"/>
      <c r="AX3" s="1545"/>
      <c r="AY3" s="1545"/>
      <c r="AZ3" s="1545"/>
      <c r="BA3" s="1545"/>
      <c r="BB3" s="1545"/>
      <c r="BC3" s="1545"/>
      <c r="BD3" s="1545"/>
      <c r="BE3" s="1545"/>
      <c r="BF3" s="1545"/>
      <c r="BG3" s="1545"/>
      <c r="BH3" s="1594" t="s">
        <v>2285</v>
      </c>
      <c r="BI3" s="482" t="s">
        <v>2286</v>
      </c>
      <c r="BJ3" s="482" t="s">
        <v>2287</v>
      </c>
      <c r="BK3" s="482" t="s">
        <v>2288</v>
      </c>
      <c r="BL3" s="482" t="s">
        <v>2289</v>
      </c>
      <c r="BM3" s="482" t="s">
        <v>2290</v>
      </c>
      <c r="BN3" s="482" t="s">
        <v>2291</v>
      </c>
      <c r="BO3" s="482" t="s">
        <v>2292</v>
      </c>
      <c r="BP3" s="482" t="s">
        <v>2293</v>
      </c>
      <c r="BQ3" s="482" t="s">
        <v>2294</v>
      </c>
      <c r="BR3" s="1341" t="s">
        <v>2295</v>
      </c>
      <c r="BS3" s="1545"/>
      <c r="BT3" s="1595" t="s">
        <v>2285</v>
      </c>
      <c r="BU3" s="507" t="s">
        <v>2296</v>
      </c>
      <c r="BV3" s="507" t="s">
        <v>2297</v>
      </c>
      <c r="BW3" s="507" t="s">
        <v>2298</v>
      </c>
      <c r="BX3" s="507" t="s">
        <v>2299</v>
      </c>
      <c r="BY3" s="507" t="s">
        <v>2300</v>
      </c>
      <c r="BZ3" s="507" t="s">
        <v>2301</v>
      </c>
      <c r="CA3" s="507" t="s">
        <v>2302</v>
      </c>
      <c r="CB3" s="1342" t="s">
        <v>2303</v>
      </c>
      <c r="CC3" s="1545"/>
      <c r="CD3" s="1594" t="s">
        <v>2285</v>
      </c>
      <c r="CE3" s="503" t="s">
        <v>2304</v>
      </c>
      <c r="CF3" s="503" t="s">
        <v>2287</v>
      </c>
      <c r="CG3" s="503" t="s">
        <v>2288</v>
      </c>
      <c r="CH3" s="503" t="s">
        <v>2289</v>
      </c>
      <c r="CI3" s="503" t="s">
        <v>2290</v>
      </c>
      <c r="CJ3" s="503" t="s">
        <v>2305</v>
      </c>
      <c r="CK3" s="503" t="s">
        <v>2292</v>
      </c>
      <c r="CL3" s="503" t="s">
        <v>2293</v>
      </c>
      <c r="CM3" s="503" t="s">
        <v>2294</v>
      </c>
      <c r="CN3" s="1561" t="s">
        <v>2295</v>
      </c>
      <c r="CO3" s="1545"/>
      <c r="CP3" s="1545"/>
      <c r="CQ3" s="1545"/>
      <c r="CR3" s="1545"/>
      <c r="CS3" s="1545"/>
      <c r="CT3" s="1545"/>
      <c r="CU3" s="1545"/>
      <c r="CV3" s="1545"/>
      <c r="CW3" s="1545"/>
      <c r="CX3" s="1545"/>
    </row>
    <row r="4" spans="1:102" s="254" customFormat="1" ht="18" customHeight="1" thickTop="1" thickBot="1">
      <c r="A4" s="476"/>
      <c r="B4" s="2727"/>
      <c r="C4" s="2728"/>
      <c r="D4" s="2751"/>
      <c r="E4" s="2752"/>
      <c r="F4" s="1545"/>
      <c r="G4" s="1545"/>
      <c r="H4" s="1545"/>
      <c r="I4" s="1545"/>
      <c r="J4" s="1545"/>
      <c r="K4" s="2742">
        <f>IFERROR(SUMIF(UnitsTbl['# of Bedrooms],"&gt;=2",UnitsTbl[Total Restricted Units])/'Unit Mix'!$Z$8,0)</f>
        <v>0</v>
      </c>
      <c r="L4" s="2742"/>
      <c r="M4" s="2742">
        <f>IFERROR(SUMIF(UnitsTbl['# of Bedrooms],"&gt;=3",UnitsTbl[Total Restricted Units])/'Unit Mix'!$Z$8,0)</f>
        <v>0</v>
      </c>
      <c r="N4" s="2742"/>
      <c r="O4" s="1218"/>
      <c r="P4" s="1219"/>
      <c r="Q4" s="1220"/>
      <c r="R4" s="2730" t="b">
        <f>IFERROR(IF(AND(IsLargeFamily,vmNC="New Construction",vmRural="Yes",'Unit Mix'!$M$4&gt;=0.25,'Unit Mix'!$K$4&gt;=0.5),TRUE,FALSE),"")</f>
        <v>0</v>
      </c>
      <c r="S4" s="2730"/>
      <c r="T4" s="471"/>
      <c r="U4" s="2732"/>
      <c r="V4" s="2848"/>
      <c r="W4" s="2737">
        <f>IFERROR(T8/D8,"")</f>
        <v>0</v>
      </c>
      <c r="X4" s="2738"/>
      <c r="Y4" s="2735" t="b">
        <f>IF(AND(vmNC="New Construction",'Max Loan and Grant Amounts'!$G$9="Yes",'Max Loan and Grant Amounts'!AP5=TRUE,Y3&gt;=45%),TRUE,FALSE)</f>
        <v>0</v>
      </c>
      <c r="Z4" s="2741"/>
      <c r="AA4" s="2746"/>
      <c r="AB4" s="2747"/>
      <c r="AC4" s="2747"/>
      <c r="AD4" s="2747"/>
      <c r="AE4" s="2747"/>
      <c r="AF4" s="2747"/>
      <c r="AG4" s="2748"/>
      <c r="AH4" s="2842"/>
      <c r="AI4" s="2843"/>
      <c r="AJ4" s="2843"/>
      <c r="AK4" s="2843"/>
      <c r="AL4" s="2843"/>
      <c r="AM4" s="2843"/>
      <c r="AN4" s="2843"/>
      <c r="AO4" s="2845"/>
      <c r="AP4" s="2822" t="s">
        <v>2306</v>
      </c>
      <c r="AQ4" s="2823"/>
      <c r="AR4" s="2823"/>
      <c r="AS4" s="2823"/>
      <c r="AT4" s="2823"/>
      <c r="AU4" s="2823"/>
      <c r="AV4" s="2824" t="s">
        <v>902</v>
      </c>
      <c r="AW4" s="2825"/>
      <c r="AX4" s="1545"/>
      <c r="AY4" s="1545"/>
      <c r="AZ4" s="1545"/>
      <c r="BA4" s="1545"/>
      <c r="BB4" s="1545"/>
      <c r="BC4" s="1545"/>
      <c r="BD4" s="1545"/>
      <c r="BE4" s="1545"/>
      <c r="BF4" s="1545"/>
      <c r="BG4" s="1545"/>
      <c r="BH4" s="1343" t="s">
        <v>2307</v>
      </c>
      <c r="BI4" s="483">
        <v>150000</v>
      </c>
      <c r="BJ4" s="483">
        <v>150000</v>
      </c>
      <c r="BK4" s="483">
        <v>150000</v>
      </c>
      <c r="BL4" s="483">
        <v>150000</v>
      </c>
      <c r="BM4" s="483">
        <v>150000</v>
      </c>
      <c r="BN4" s="483">
        <v>175000</v>
      </c>
      <c r="BO4" s="483">
        <v>175000</v>
      </c>
      <c r="BP4" s="483">
        <v>175000</v>
      </c>
      <c r="BQ4" s="483">
        <v>175000</v>
      </c>
      <c r="BR4" s="1344">
        <v>175000</v>
      </c>
      <c r="BS4" s="1545"/>
      <c r="BT4" s="1345" t="s">
        <v>2308</v>
      </c>
      <c r="BU4" s="508">
        <v>47950</v>
      </c>
      <c r="BV4" s="508">
        <v>54800</v>
      </c>
      <c r="BW4" s="508">
        <v>61650</v>
      </c>
      <c r="BX4" s="508">
        <v>68500</v>
      </c>
      <c r="BY4" s="508">
        <v>74000</v>
      </c>
      <c r="BZ4" s="508">
        <v>79500</v>
      </c>
      <c r="CA4" s="508">
        <v>84950</v>
      </c>
      <c r="CB4" s="1346">
        <v>90450</v>
      </c>
      <c r="CC4" s="1545"/>
      <c r="CD4" s="1343" t="s">
        <v>2307</v>
      </c>
      <c r="CE4" s="504">
        <v>95000</v>
      </c>
      <c r="CF4" s="504">
        <v>95000</v>
      </c>
      <c r="CG4" s="504">
        <v>95000</v>
      </c>
      <c r="CH4" s="504">
        <v>95000</v>
      </c>
      <c r="CI4" s="504">
        <v>95000</v>
      </c>
      <c r="CJ4" s="504">
        <v>110000</v>
      </c>
      <c r="CK4" s="504">
        <v>110000</v>
      </c>
      <c r="CL4" s="504">
        <v>110000</v>
      </c>
      <c r="CM4" s="504">
        <v>110000</v>
      </c>
      <c r="CN4" s="1347">
        <v>110000</v>
      </c>
      <c r="CO4" s="1545"/>
      <c r="CP4" s="2753" t="s">
        <v>2309</v>
      </c>
      <c r="CQ4" s="2753"/>
      <c r="CR4" s="2753"/>
      <c r="CS4" s="2753"/>
      <c r="CT4" s="2753"/>
      <c r="CU4" s="2753"/>
      <c r="CV4" s="2753"/>
      <c r="CW4" s="2753"/>
      <c r="CX4" s="2753"/>
    </row>
    <row r="5" spans="1:102" s="254" customFormat="1" ht="18" customHeight="1" thickBot="1">
      <c r="A5" s="1226"/>
      <c r="B5" s="2743"/>
      <c r="C5" s="2743"/>
      <c r="D5" s="2743"/>
      <c r="E5" s="2743"/>
      <c r="F5" s="2743"/>
      <c r="G5" s="2743"/>
      <c r="H5" s="2743"/>
      <c r="I5" s="2743"/>
      <c r="J5" s="2743"/>
      <c r="K5" s="2744" t="s">
        <v>2310</v>
      </c>
      <c r="L5" s="2744"/>
      <c r="M5" s="2744"/>
      <c r="N5" s="2744"/>
      <c r="O5" s="2744"/>
      <c r="P5" s="2744"/>
      <c r="Q5" s="2744"/>
      <c r="R5" s="2744"/>
      <c r="S5" s="2744"/>
      <c r="T5" s="2744"/>
      <c r="U5" s="2743"/>
      <c r="V5" s="2743"/>
      <c r="W5" s="2743"/>
      <c r="X5" s="2743"/>
      <c r="Y5" s="2743"/>
      <c r="Z5" s="2745"/>
      <c r="AA5" s="2746"/>
      <c r="AB5" s="2747"/>
      <c r="AC5" s="2747"/>
      <c r="AD5" s="2747"/>
      <c r="AE5" s="2747"/>
      <c r="AF5" s="2747"/>
      <c r="AG5" s="2748"/>
      <c r="AH5" s="2799" t="s">
        <v>2311</v>
      </c>
      <c r="AI5" s="2800"/>
      <c r="AJ5" s="2800"/>
      <c r="AK5" s="2800"/>
      <c r="AL5" s="2800"/>
      <c r="AM5" s="2800"/>
      <c r="AN5" s="2800"/>
      <c r="AO5" s="2801"/>
      <c r="AP5" s="2806" t="s">
        <v>2312</v>
      </c>
      <c r="AQ5" s="2807"/>
      <c r="AR5" s="2807"/>
      <c r="AS5" s="2807"/>
      <c r="AT5" s="2807"/>
      <c r="AU5" s="2807"/>
      <c r="AV5" s="2807"/>
      <c r="AW5" s="2808"/>
      <c r="AX5" s="1545"/>
      <c r="AY5" s="1545"/>
      <c r="AZ5" s="1545"/>
      <c r="BA5" s="1545"/>
      <c r="BB5" s="1545"/>
      <c r="BC5" s="1545"/>
      <c r="BD5" s="1545"/>
      <c r="BE5" s="1545"/>
      <c r="BF5" s="1545"/>
      <c r="BG5" s="1545"/>
      <c r="BH5" s="1348" t="s">
        <v>2313</v>
      </c>
      <c r="BI5" s="483">
        <v>167286</v>
      </c>
      <c r="BJ5" s="483">
        <v>168582</v>
      </c>
      <c r="BK5" s="483">
        <v>172183</v>
      </c>
      <c r="BL5" s="483">
        <v>175640</v>
      </c>
      <c r="BM5" s="483">
        <v>178665</v>
      </c>
      <c r="BN5" s="483">
        <v>192286</v>
      </c>
      <c r="BO5" s="483">
        <v>193582</v>
      </c>
      <c r="BP5" s="483">
        <v>197183</v>
      </c>
      <c r="BQ5" s="483">
        <v>200640</v>
      </c>
      <c r="BR5" s="1344">
        <v>203665</v>
      </c>
      <c r="BS5" s="1545"/>
      <c r="BT5" s="1345" t="s">
        <v>2314</v>
      </c>
      <c r="BU5" s="508">
        <v>28450</v>
      </c>
      <c r="BV5" s="508">
        <v>32500</v>
      </c>
      <c r="BW5" s="508">
        <v>36550</v>
      </c>
      <c r="BX5" s="508">
        <v>40600</v>
      </c>
      <c r="BY5" s="508">
        <v>43850</v>
      </c>
      <c r="BZ5" s="508">
        <v>47100</v>
      </c>
      <c r="CA5" s="508">
        <v>50350</v>
      </c>
      <c r="CB5" s="1346">
        <v>53600</v>
      </c>
      <c r="CC5" s="1545"/>
      <c r="CD5" s="1348" t="s">
        <v>2313</v>
      </c>
      <c r="CE5" s="504">
        <v>112286</v>
      </c>
      <c r="CF5" s="504">
        <v>113582</v>
      </c>
      <c r="CG5" s="504">
        <v>117183</v>
      </c>
      <c r="CH5" s="504">
        <v>120640</v>
      </c>
      <c r="CI5" s="504">
        <v>123665</v>
      </c>
      <c r="CJ5" s="504">
        <v>127286</v>
      </c>
      <c r="CK5" s="504">
        <v>128582</v>
      </c>
      <c r="CL5" s="504">
        <v>132183</v>
      </c>
      <c r="CM5" s="504">
        <v>135640</v>
      </c>
      <c r="CN5" s="1347">
        <v>138665</v>
      </c>
      <c r="CO5" s="1545"/>
      <c r="CP5" s="2754" t="s">
        <v>2315</v>
      </c>
      <c r="CQ5" s="2753" t="s">
        <v>2316</v>
      </c>
      <c r="CR5" s="2753"/>
      <c r="CS5" s="2753"/>
      <c r="CT5" s="2753"/>
      <c r="CU5" s="2753"/>
      <c r="CV5" s="2753"/>
      <c r="CW5" s="2753"/>
      <c r="CX5" s="2753"/>
    </row>
    <row r="6" spans="1:102" s="254" customFormat="1" ht="30" customHeight="1" thickTop="1">
      <c r="A6" s="1349"/>
      <c r="B6" s="2851" t="s">
        <v>903</v>
      </c>
      <c r="C6" s="2852"/>
      <c r="D6" s="2853"/>
      <c r="E6" s="2837" t="s">
        <v>2317</v>
      </c>
      <c r="F6" s="2838"/>
      <c r="G6" s="2838"/>
      <c r="H6" s="2838"/>
      <c r="I6" s="2838"/>
      <c r="J6" s="2839"/>
      <c r="K6" s="2837" t="s">
        <v>2318</v>
      </c>
      <c r="L6" s="2838"/>
      <c r="M6" s="2838"/>
      <c r="N6" s="2838"/>
      <c r="O6" s="2838"/>
      <c r="P6" s="2838"/>
      <c r="Q6" s="2838"/>
      <c r="R6" s="2838"/>
      <c r="S6" s="2838"/>
      <c r="T6" s="2839"/>
      <c r="U6" s="2866" t="s">
        <v>2319</v>
      </c>
      <c r="V6" s="2867"/>
      <c r="W6" s="2837" t="s">
        <v>2320</v>
      </c>
      <c r="X6" s="2838"/>
      <c r="Y6" s="2839"/>
      <c r="Z6" s="1229"/>
      <c r="AA6" s="2722" t="s">
        <v>2321</v>
      </c>
      <c r="AB6" s="2722" t="s">
        <v>2322</v>
      </c>
      <c r="AC6" s="2721" t="s">
        <v>2323</v>
      </c>
      <c r="AD6" s="2722"/>
      <c r="AE6" s="2857" t="s">
        <v>2324</v>
      </c>
      <c r="AF6" s="2721" t="s">
        <v>2325</v>
      </c>
      <c r="AG6" s="2846"/>
      <c r="AH6" s="1242">
        <v>1</v>
      </c>
      <c r="AI6" s="542">
        <v>2</v>
      </c>
      <c r="AJ6" s="543">
        <v>3</v>
      </c>
      <c r="AK6" s="542">
        <v>4</v>
      </c>
      <c r="AL6" s="544">
        <v>5</v>
      </c>
      <c r="AM6" s="544">
        <v>6</v>
      </c>
      <c r="AN6" s="542">
        <v>7</v>
      </c>
      <c r="AO6" s="1243">
        <v>8</v>
      </c>
      <c r="AP6" s="2804" t="s">
        <v>2326</v>
      </c>
      <c r="AQ6" s="2805"/>
      <c r="AR6" s="2805"/>
      <c r="AS6" s="2805"/>
      <c r="AT6" s="2805" t="s">
        <v>2326</v>
      </c>
      <c r="AU6" s="2805"/>
      <c r="AV6" s="2805"/>
      <c r="AW6" s="2827"/>
      <c r="AX6" s="1545"/>
      <c r="AY6" s="1545"/>
      <c r="AZ6" s="1545"/>
      <c r="BA6" s="1545"/>
      <c r="BB6" s="1545"/>
      <c r="BC6" s="1545"/>
      <c r="BD6" s="1545"/>
      <c r="BE6" s="1545"/>
      <c r="BF6" s="1545"/>
      <c r="BG6" s="1545"/>
      <c r="BH6" s="1348" t="s">
        <v>2327</v>
      </c>
      <c r="BI6" s="483">
        <v>184571</v>
      </c>
      <c r="BJ6" s="483">
        <v>187020</v>
      </c>
      <c r="BK6" s="483">
        <v>194367</v>
      </c>
      <c r="BL6" s="483">
        <v>201281</v>
      </c>
      <c r="BM6" s="483">
        <v>207331</v>
      </c>
      <c r="BN6" s="483">
        <v>209571</v>
      </c>
      <c r="BO6" s="483">
        <v>212020</v>
      </c>
      <c r="BP6" s="483">
        <v>219367</v>
      </c>
      <c r="BQ6" s="483">
        <v>226281</v>
      </c>
      <c r="BR6" s="1344">
        <v>232331</v>
      </c>
      <c r="BS6" s="1545"/>
      <c r="BT6" s="1345" t="s">
        <v>2328</v>
      </c>
      <c r="BU6" s="508">
        <v>27300</v>
      </c>
      <c r="BV6" s="508">
        <v>31200</v>
      </c>
      <c r="BW6" s="508">
        <v>35100</v>
      </c>
      <c r="BX6" s="508">
        <v>38950</v>
      </c>
      <c r="BY6" s="508">
        <v>42100</v>
      </c>
      <c r="BZ6" s="508">
        <v>45200</v>
      </c>
      <c r="CA6" s="508">
        <v>48300</v>
      </c>
      <c r="CB6" s="1346">
        <v>51450</v>
      </c>
      <c r="CC6" s="1545"/>
      <c r="CD6" s="1348" t="s">
        <v>2327</v>
      </c>
      <c r="CE6" s="504">
        <v>129571</v>
      </c>
      <c r="CF6" s="504">
        <v>132020</v>
      </c>
      <c r="CG6" s="504">
        <v>139367</v>
      </c>
      <c r="CH6" s="504">
        <v>146281</v>
      </c>
      <c r="CI6" s="504">
        <v>152331</v>
      </c>
      <c r="CJ6" s="504">
        <v>144571</v>
      </c>
      <c r="CK6" s="504">
        <v>147020</v>
      </c>
      <c r="CL6" s="504">
        <v>154367</v>
      </c>
      <c r="CM6" s="504">
        <v>161281</v>
      </c>
      <c r="CN6" s="1347">
        <v>167331</v>
      </c>
      <c r="CO6" s="1545"/>
      <c r="CP6" s="2754"/>
      <c r="CQ6" s="1545">
        <v>1</v>
      </c>
      <c r="CR6" s="1545">
        <v>2</v>
      </c>
      <c r="CS6" s="1545">
        <v>3</v>
      </c>
      <c r="CT6" s="1545">
        <v>4</v>
      </c>
      <c r="CU6" s="1545">
        <v>5</v>
      </c>
      <c r="CV6" s="1545">
        <v>6</v>
      </c>
      <c r="CW6" s="1545">
        <v>7</v>
      </c>
      <c r="CX6" s="1545">
        <v>8</v>
      </c>
    </row>
    <row r="7" spans="1:102" s="254" customFormat="1" ht="18" customHeight="1">
      <c r="A7" s="1350"/>
      <c r="B7" s="2854"/>
      <c r="C7" s="2855"/>
      <c r="D7" s="2856"/>
      <c r="E7" s="1044">
        <f>IFERROR(E8/$D$8,"0")</f>
        <v>0</v>
      </c>
      <c r="F7" s="1194">
        <f>IFERROR(F8/$D$8,"")</f>
        <v>0</v>
      </c>
      <c r="G7" s="1194">
        <f t="shared" ref="G7" si="0">IFERROR(G8/$D$8,"")</f>
        <v>0</v>
      </c>
      <c r="H7" s="1194">
        <f>IFERROR(H8/$D$8,"0")</f>
        <v>0</v>
      </c>
      <c r="I7" s="1194">
        <f t="shared" ref="I7" si="1">IFERROR(I8/$D$8,"")</f>
        <v>0</v>
      </c>
      <c r="J7" s="880">
        <f>IFERROR(J8/$D$8,"0")</f>
        <v>0</v>
      </c>
      <c r="K7" s="1044">
        <f>IF(Z8&gt;0,K8/$Z$8,0)</f>
        <v>0</v>
      </c>
      <c r="L7" s="866">
        <f>IF(Z8&gt;0,L8/$Z$8,0)</f>
        <v>0</v>
      </c>
      <c r="M7" s="866">
        <f>IF(Z8&gt;0,M8/$Z$8,0)</f>
        <v>0</v>
      </c>
      <c r="N7" s="866">
        <f>IF(Z8&gt;0,N8/$Z$8,0)</f>
        <v>0</v>
      </c>
      <c r="O7" s="866">
        <f>IF(Z8&gt;0,O8/$Z$8,0)</f>
        <v>0</v>
      </c>
      <c r="P7" s="866">
        <f>IF(Z8&gt;0,P8/$Z$8,0)</f>
        <v>0</v>
      </c>
      <c r="Q7" s="866">
        <f>IF(Z8&gt;0,Q8/$Z$8,0)</f>
        <v>0</v>
      </c>
      <c r="R7" s="866">
        <f>IF(Z8&gt;0,R8/$Z$8,0)</f>
        <v>0</v>
      </c>
      <c r="S7" s="866">
        <f>IF(Z8&gt;0,S8/$Z$8,0)</f>
        <v>0</v>
      </c>
      <c r="T7" s="880">
        <f>IF(Z8&gt;0,T8/$Z$8,0)</f>
        <v>0</v>
      </c>
      <c r="U7" s="1044">
        <f>IF(D8&gt;0,U8/$D$8,0)</f>
        <v>0</v>
      </c>
      <c r="V7" s="1045">
        <f>IF(D8&gt;0,V8/$D$8,0)</f>
        <v>0</v>
      </c>
      <c r="W7" s="867"/>
      <c r="X7" s="868">
        <f>IF(D8&gt;0,X8/$D$8,0)</f>
        <v>0</v>
      </c>
      <c r="Y7" s="1217">
        <f>IF(D8&gt;0,Y8/$D$8,0)</f>
        <v>0</v>
      </c>
      <c r="Z7" s="1230">
        <f>IF($D$8&gt;0,Z8/$D$8,0)</f>
        <v>0</v>
      </c>
      <c r="AA7" s="2724"/>
      <c r="AB7" s="2724"/>
      <c r="AC7" s="2723"/>
      <c r="AD7" s="2724"/>
      <c r="AE7" s="2858"/>
      <c r="AF7" s="2723"/>
      <c r="AG7" s="2847"/>
      <c r="AH7" s="1244">
        <f>IF('Max Loan and Grant Amounts'!$V$5="","",VLOOKUP('Max Loan and Grant Amounts'!$V$5,IncomeLimitsTbl[],2,FALSE))</f>
        <v>27300</v>
      </c>
      <c r="AI7" s="545">
        <f>IF('Max Loan and Grant Amounts'!$V$5="","",VLOOKUP('Max Loan and Grant Amounts'!$V$5,IncomeLimitsTbl[],3,FALSE))</f>
        <v>31200</v>
      </c>
      <c r="AJ7" s="545">
        <f>IF('Max Loan and Grant Amounts'!$V$5="","",VLOOKUP('Max Loan and Grant Amounts'!$V$5,IncomeLimitsTbl[],4,FALSE))</f>
        <v>35100</v>
      </c>
      <c r="AK7" s="545">
        <f>IF('Max Loan and Grant Amounts'!$V$5="","",VLOOKUP('Max Loan and Grant Amounts'!$V$5,IncomeLimitsTbl[],5,FALSE))</f>
        <v>38950</v>
      </c>
      <c r="AL7" s="545">
        <f>IF('Max Loan and Grant Amounts'!$V$5="","",VLOOKUP('Max Loan and Grant Amounts'!$V$5,IncomeLimitsTbl[],6,FALSE))</f>
        <v>42100</v>
      </c>
      <c r="AM7" s="545">
        <f>IF('Max Loan and Grant Amounts'!$V$5="","",VLOOKUP('Max Loan and Grant Amounts'!$V$5,IncomeLimitsTbl[],7,FALSE))</f>
        <v>45200</v>
      </c>
      <c r="AN7" s="545">
        <f>IF('Max Loan and Grant Amounts'!$V$5="","",VLOOKUP('Max Loan and Grant Amounts'!$V$5,IncomeLimitsTbl[],8,FALSE))</f>
        <v>48300</v>
      </c>
      <c r="AO7" s="1245">
        <f>IF('Max Loan and Grant Amounts'!$V$5="","",VLOOKUP('Max Loan and Grant Amounts'!$V$5,IncomeLimitsTbl[],9,FALSE))</f>
        <v>51450</v>
      </c>
      <c r="AP7" s="2802"/>
      <c r="AQ7" s="2803"/>
      <c r="AR7" s="2803"/>
      <c r="AS7" s="2803"/>
      <c r="AT7" s="2803"/>
      <c r="AU7" s="2803"/>
      <c r="AV7" s="2803"/>
      <c r="AW7" s="2826"/>
      <c r="AX7" s="1545"/>
      <c r="AY7" s="1545"/>
      <c r="AZ7" s="1545"/>
      <c r="BA7" s="1545"/>
      <c r="BB7" s="1545"/>
      <c r="BC7" s="1545"/>
      <c r="BD7" s="1545"/>
      <c r="BE7" s="1545"/>
      <c r="BF7" s="1545"/>
      <c r="BG7" s="1545"/>
      <c r="BH7" s="1348" t="s">
        <v>2329</v>
      </c>
      <c r="BI7" s="483">
        <v>201857</v>
      </c>
      <c r="BJ7" s="483">
        <v>205602</v>
      </c>
      <c r="BK7" s="483">
        <v>216550</v>
      </c>
      <c r="BL7" s="483">
        <v>226921</v>
      </c>
      <c r="BM7" s="483">
        <v>235996</v>
      </c>
      <c r="BN7" s="483">
        <v>226857</v>
      </c>
      <c r="BO7" s="483">
        <v>230602</v>
      </c>
      <c r="BP7" s="483">
        <v>241550</v>
      </c>
      <c r="BQ7" s="483">
        <v>251921</v>
      </c>
      <c r="BR7" s="1344">
        <v>260996</v>
      </c>
      <c r="BS7" s="1545"/>
      <c r="BT7" s="1345" t="s">
        <v>2330</v>
      </c>
      <c r="BU7" s="508">
        <v>24400</v>
      </c>
      <c r="BV7" s="508">
        <v>27900</v>
      </c>
      <c r="BW7" s="508">
        <v>31400</v>
      </c>
      <c r="BX7" s="508">
        <v>34850</v>
      </c>
      <c r="BY7" s="508">
        <v>37650</v>
      </c>
      <c r="BZ7" s="508">
        <v>40450</v>
      </c>
      <c r="CA7" s="508">
        <v>43250</v>
      </c>
      <c r="CB7" s="1346">
        <v>46050</v>
      </c>
      <c r="CC7" s="1545"/>
      <c r="CD7" s="1348" t="s">
        <v>2329</v>
      </c>
      <c r="CE7" s="504">
        <v>146857</v>
      </c>
      <c r="CF7" s="504">
        <v>150602</v>
      </c>
      <c r="CG7" s="504">
        <v>161550</v>
      </c>
      <c r="CH7" s="504">
        <v>171921</v>
      </c>
      <c r="CI7" s="504">
        <v>180996</v>
      </c>
      <c r="CJ7" s="504">
        <v>161857</v>
      </c>
      <c r="CK7" s="504">
        <v>165602</v>
      </c>
      <c r="CL7" s="504">
        <v>176550</v>
      </c>
      <c r="CM7" s="504">
        <v>186921</v>
      </c>
      <c r="CN7" s="1347">
        <v>195996</v>
      </c>
      <c r="CO7" s="1545"/>
      <c r="CP7" s="1545">
        <v>1.2</v>
      </c>
      <c r="CQ7" s="486">
        <f>$CQ$19*CP7/$CP$19</f>
        <v>65520</v>
      </c>
      <c r="CR7" s="486">
        <f t="shared" ref="CR7:CR18" si="2">$CR$19*CP7/$CP$19</f>
        <v>74880</v>
      </c>
      <c r="CS7" s="486">
        <f t="shared" ref="CS7:CS18" si="3">$CS$19*CP7/$CP$19</f>
        <v>84240</v>
      </c>
      <c r="CT7" s="486">
        <f t="shared" ref="CT7:CT18" si="4">$CT$19*CP7/$CP$19</f>
        <v>93480</v>
      </c>
      <c r="CU7" s="486">
        <f t="shared" ref="CU7:CU18" si="5">$CU$19*CP7/$CP$19</f>
        <v>101040</v>
      </c>
      <c r="CV7" s="486">
        <f t="shared" ref="CV7:CV18" si="6">$CV$19*CP7/$CP$19</f>
        <v>108480</v>
      </c>
      <c r="CW7" s="486">
        <f t="shared" ref="CW7:CW18" si="7">$CW$19*CP7/$CP$19</f>
        <v>115920</v>
      </c>
      <c r="CX7" s="486">
        <f t="shared" ref="CX7:CX18" si="8">$CX$19*CP7/$CP$19</f>
        <v>123480</v>
      </c>
    </row>
    <row r="8" spans="1:102" s="254" customFormat="1" ht="18" customHeight="1">
      <c r="A8" s="1351"/>
      <c r="B8" s="2849"/>
      <c r="C8" s="2850"/>
      <c r="D8" s="612">
        <f>SUM(UnitsTbl[Total Units])</f>
        <v>76</v>
      </c>
      <c r="E8" s="1046">
        <f>SUM(UnitsTbl[IIG
Assisted])</f>
        <v>0</v>
      </c>
      <c r="F8" s="480">
        <f>SUM(UnitsTbl[HHC
Assisted])</f>
        <v>0</v>
      </c>
      <c r="G8" s="480">
        <f>SUM(UnitsTbl[TOD
Assisted])</f>
        <v>0</v>
      </c>
      <c r="H8" s="480">
        <f>SUM(UnitsTbl[FWHG
Assisted])</f>
        <v>0</v>
      </c>
      <c r="I8" s="480">
        <f>SUM(UnitsTbl[MHP
Assisted])</f>
        <v>0</v>
      </c>
      <c r="J8" s="612">
        <f>SUM(UnitsTbl[VHHP
Assisted])</f>
        <v>0</v>
      </c>
      <c r="K8" s="1046">
        <f>SUM(UnitsTbl[Special Needs])</f>
        <v>0</v>
      </c>
      <c r="L8" s="480">
        <f>SUM(UnitsTbl[Chronic Homelessness])</f>
        <v>0</v>
      </c>
      <c r="M8" s="480">
        <f>SUM(UnitsTbl[[Disability Homelessness ]])</f>
        <v>0</v>
      </c>
      <c r="N8" s="480">
        <f>SUM(UnitsTbl[Homelessness])</f>
        <v>0</v>
      </c>
      <c r="O8" s="480">
        <f>IF(IsVhhp,SUM(UnitsTbl[TH Chronic Homelessness]),0)</f>
        <v>0</v>
      </c>
      <c r="P8" s="480">
        <f>IF(IsVhhp,SUM(UnitsTbl[TH Disability Homelessness]),0)</f>
        <v>0</v>
      </c>
      <c r="Q8" s="480">
        <f>IF(IsVhhp,SUM(UnitsTbl[Other TH Homelessness]),)</f>
        <v>0</v>
      </c>
      <c r="R8" s="480">
        <f>SUM(UnitsTbl[At Risk of Homelessness])</f>
        <v>0</v>
      </c>
      <c r="S8" s="480">
        <f>SUM(UnitsTbl[Senior Housing])</f>
        <v>0</v>
      </c>
      <c r="T8" s="612">
        <f>SUM(UnitsTbl[Agricultural Households])</f>
        <v>0</v>
      </c>
      <c r="U8" s="1046">
        <f>SUM(UnitsTbl[Other Restricted])</f>
        <v>0</v>
      </c>
      <c r="V8" s="612">
        <f>SUM(UnitsTbl[Other Special Needs])</f>
        <v>0</v>
      </c>
      <c r="W8" s="616"/>
      <c r="X8" s="480">
        <f>SUM(UnitsTbl[Other HCD Assisted Units])</f>
        <v>0</v>
      </c>
      <c r="Y8" s="612">
        <f>SUM(UnitsTbl[Other HCD Special Needs])</f>
        <v>0</v>
      </c>
      <c r="Z8" s="1231">
        <f>SUM(UnitsTbl[Total Restricted Units])</f>
        <v>0</v>
      </c>
      <c r="AA8" s="881">
        <f>IF(IsIig,SUM(UnitsTbl[Join Venture Increase]),"")</f>
        <v>25000</v>
      </c>
      <c r="AB8" s="881">
        <f>IF(IsIig,SUM(UnitsTbl[IIG Gran Base Limit]),"")</f>
        <v>24700</v>
      </c>
      <c r="AC8" s="889">
        <f>IF(IsSerna,SUM(UnitsTbl[Total Base Loan Amount]),0)</f>
        <v>0</v>
      </c>
      <c r="AD8" s="881">
        <f>IF(IsSerna,SUM(UnitsTbl[Total NC in High(est) RA Loan Amount]),0)</f>
        <v>0</v>
      </c>
      <c r="AE8" s="883">
        <f>IF(IsVhhp,SUM(UnitsTbl[VHHP]),0)</f>
        <v>0</v>
      </c>
      <c r="AF8" s="575">
        <f>IF(IsMhp,SUM(UnitsTbl[Total Base Loan Amount2]),"0")</f>
        <v>150000</v>
      </c>
      <c r="AG8" s="1235">
        <f>IF(IsMhp,SUM(UnitsTbl[Total LF NC in High(est) RA Loan Amount]),"0")</f>
        <v>0</v>
      </c>
      <c r="AH8" s="1246"/>
      <c r="AI8" s="1548">
        <f>SUM(UnitsTbl[Max Gross Rent])</f>
        <v>0</v>
      </c>
      <c r="AJ8" s="2812">
        <f>SUM(UnitsTbl[Less Utility Allowance Schedule 1],UnitsTbl[Less Utility Allowance Schedule 2])</f>
        <v>0</v>
      </c>
      <c r="AK8" s="2812"/>
      <c r="AL8" s="1548">
        <f>SUM(UnitsTbl[Maximum Net Rent])</f>
        <v>0</v>
      </c>
      <c r="AM8" s="1548">
        <f>SUM(UnitsTbl[[Proposed Net Rent ]])</f>
        <v>0</v>
      </c>
      <c r="AN8" s="1548">
        <f>SUM(UnitsTbl[Monthly Income at Proposed Rents])</f>
        <v>0</v>
      </c>
      <c r="AO8" s="1235">
        <f>SUM(UnitsTbl[Monthly Income at Maximum Rents])</f>
        <v>0</v>
      </c>
      <c r="AP8" s="2809"/>
      <c r="AQ8" s="2792"/>
      <c r="AR8" s="2792"/>
      <c r="AS8" s="1548">
        <f>SUM(UnitsTbl[Total Monthly Extra Income])</f>
        <v>0</v>
      </c>
      <c r="AT8" s="2792"/>
      <c r="AU8" s="2792"/>
      <c r="AV8" s="2792"/>
      <c r="AW8" s="1259">
        <f>SUM(UnitsTbl[Total Monthly Extra Income2])</f>
        <v>0</v>
      </c>
      <c r="AX8" s="1545"/>
      <c r="AY8" s="1545"/>
      <c r="AZ8" s="1545"/>
      <c r="BA8" s="1545"/>
      <c r="BB8" s="1545"/>
      <c r="BC8" s="1545">
        <f>SUM(BC10:BC59)</f>
        <v>0</v>
      </c>
      <c r="BD8" s="644" t="e">
        <f>ROUNDDOWN(BC8/Z8,2)</f>
        <v>#DIV/0!</v>
      </c>
      <c r="BE8" s="473" t="e">
        <f>BC8&amp;" / "&amp;Z8&amp;" = "&amp;TEXT(BD8,"0%")</f>
        <v>#DIV/0!</v>
      </c>
      <c r="BF8" s="1545"/>
      <c r="BG8" s="1545"/>
      <c r="BH8" s="1348" t="s">
        <v>2331</v>
      </c>
      <c r="BI8" s="483">
        <v>218999</v>
      </c>
      <c r="BJ8" s="483">
        <v>224040</v>
      </c>
      <c r="BK8" s="483">
        <v>238733</v>
      </c>
      <c r="BL8" s="483">
        <v>252562</v>
      </c>
      <c r="BM8" s="483">
        <v>264518</v>
      </c>
      <c r="BN8" s="483">
        <v>243999</v>
      </c>
      <c r="BO8" s="483">
        <v>249040</v>
      </c>
      <c r="BP8" s="483">
        <v>263733</v>
      </c>
      <c r="BQ8" s="483">
        <v>277562</v>
      </c>
      <c r="BR8" s="1344">
        <v>289518</v>
      </c>
      <c r="BS8" s="1545"/>
      <c r="BT8" s="1345" t="s">
        <v>2332</v>
      </c>
      <c r="BU8" s="508">
        <v>28600</v>
      </c>
      <c r="BV8" s="508">
        <v>32700</v>
      </c>
      <c r="BW8" s="508">
        <v>36800</v>
      </c>
      <c r="BX8" s="508">
        <v>40850</v>
      </c>
      <c r="BY8" s="508">
        <v>44150</v>
      </c>
      <c r="BZ8" s="508">
        <v>47400</v>
      </c>
      <c r="CA8" s="508">
        <v>50700</v>
      </c>
      <c r="CB8" s="1346">
        <v>53950</v>
      </c>
      <c r="CC8" s="1545"/>
      <c r="CD8" s="1348" t="s">
        <v>2331</v>
      </c>
      <c r="CE8" s="504">
        <v>163999</v>
      </c>
      <c r="CF8" s="504">
        <v>169040</v>
      </c>
      <c r="CG8" s="504">
        <v>183733</v>
      </c>
      <c r="CH8" s="504">
        <v>197562</v>
      </c>
      <c r="CI8" s="504">
        <v>209518</v>
      </c>
      <c r="CJ8" s="504">
        <v>178999</v>
      </c>
      <c r="CK8" s="504">
        <v>184040</v>
      </c>
      <c r="CL8" s="504">
        <v>198733</v>
      </c>
      <c r="CM8" s="504">
        <v>212562</v>
      </c>
      <c r="CN8" s="1347">
        <v>224518</v>
      </c>
      <c r="CO8" s="1545"/>
      <c r="CP8" s="1545">
        <v>1.1000000000000001</v>
      </c>
      <c r="CQ8" s="486">
        <f t="shared" ref="CQ8:CQ17" si="9">$CQ$19*CP8/$CP$19</f>
        <v>60060.000000000007</v>
      </c>
      <c r="CR8" s="486">
        <f t="shared" si="2"/>
        <v>68640</v>
      </c>
      <c r="CS8" s="486">
        <f t="shared" si="3"/>
        <v>77220</v>
      </c>
      <c r="CT8" s="486">
        <f t="shared" si="4"/>
        <v>85690</v>
      </c>
      <c r="CU8" s="486">
        <f t="shared" si="5"/>
        <v>92620.000000000015</v>
      </c>
      <c r="CV8" s="486">
        <f t="shared" si="6"/>
        <v>99440.000000000015</v>
      </c>
      <c r="CW8" s="486">
        <f t="shared" si="7"/>
        <v>106260.00000000001</v>
      </c>
      <c r="CX8" s="486">
        <f t="shared" si="8"/>
        <v>113190.00000000001</v>
      </c>
    </row>
    <row r="9" spans="1:102" s="475" customFormat="1" ht="78.75" customHeight="1">
      <c r="A9" s="1350"/>
      <c r="B9" s="610" t="s">
        <v>2333</v>
      </c>
      <c r="C9" s="609" t="s">
        <v>2334</v>
      </c>
      <c r="D9" s="613" t="s">
        <v>924</v>
      </c>
      <c r="E9" s="1049" t="s">
        <v>2335</v>
      </c>
      <c r="F9" s="757" t="s">
        <v>2336</v>
      </c>
      <c r="G9" s="757" t="s">
        <v>2337</v>
      </c>
      <c r="H9" s="757" t="s">
        <v>2338</v>
      </c>
      <c r="I9" s="757" t="s">
        <v>2339</v>
      </c>
      <c r="J9" s="758" t="s">
        <v>2340</v>
      </c>
      <c r="K9" s="1047" t="s">
        <v>1649</v>
      </c>
      <c r="L9" s="940" t="s">
        <v>2341</v>
      </c>
      <c r="M9" s="940" t="s">
        <v>2342</v>
      </c>
      <c r="N9" s="940" t="s">
        <v>2343</v>
      </c>
      <c r="O9" s="941" t="s">
        <v>2344</v>
      </c>
      <c r="P9" s="941" t="s">
        <v>2345</v>
      </c>
      <c r="Q9" s="941" t="s">
        <v>2346</v>
      </c>
      <c r="R9" s="609" t="s">
        <v>2347</v>
      </c>
      <c r="S9" s="609" t="s">
        <v>2348</v>
      </c>
      <c r="T9" s="613" t="s">
        <v>2349</v>
      </c>
      <c r="U9" s="1047" t="s">
        <v>2319</v>
      </c>
      <c r="V9" s="613" t="s">
        <v>2350</v>
      </c>
      <c r="W9" s="610" t="s">
        <v>2351</v>
      </c>
      <c r="X9" s="609" t="s">
        <v>2352</v>
      </c>
      <c r="Y9" s="613" t="s">
        <v>2353</v>
      </c>
      <c r="Z9" s="1232" t="s">
        <v>2354</v>
      </c>
      <c r="AA9" s="882" t="s">
        <v>2355</v>
      </c>
      <c r="AB9" s="882" t="s">
        <v>2356</v>
      </c>
      <c r="AC9" s="890" t="s">
        <v>2357</v>
      </c>
      <c r="AD9" s="882" t="s">
        <v>2358</v>
      </c>
      <c r="AE9" s="884" t="s">
        <v>513</v>
      </c>
      <c r="AF9" s="879" t="s">
        <v>2359</v>
      </c>
      <c r="AG9" s="1236" t="s">
        <v>2360</v>
      </c>
      <c r="AH9" s="1247" t="s">
        <v>2361</v>
      </c>
      <c r="AI9" s="496" t="s">
        <v>2362</v>
      </c>
      <c r="AJ9" s="496" t="s">
        <v>2363</v>
      </c>
      <c r="AK9" s="496" t="s">
        <v>2364</v>
      </c>
      <c r="AL9" s="496" t="s">
        <v>2365</v>
      </c>
      <c r="AM9" s="496" t="s">
        <v>2366</v>
      </c>
      <c r="AN9" s="496" t="s">
        <v>2367</v>
      </c>
      <c r="AO9" s="1249" t="s">
        <v>2368</v>
      </c>
      <c r="AP9" s="1252" t="s">
        <v>2369</v>
      </c>
      <c r="AQ9" s="497" t="s">
        <v>2370</v>
      </c>
      <c r="AR9" s="497" t="s">
        <v>2371</v>
      </c>
      <c r="AS9" s="497" t="s">
        <v>2372</v>
      </c>
      <c r="AT9" s="497" t="s">
        <v>2373</v>
      </c>
      <c r="AU9" s="497" t="s">
        <v>2374</v>
      </c>
      <c r="AV9" s="497" t="s">
        <v>2375</v>
      </c>
      <c r="AW9" s="1260" t="s">
        <v>2376</v>
      </c>
      <c r="AX9" s="1352" t="s">
        <v>2377</v>
      </c>
      <c r="AY9" s="479" t="s">
        <v>2378</v>
      </c>
      <c r="AZ9" s="479" t="s">
        <v>2379</v>
      </c>
      <c r="BA9" s="654" t="s">
        <v>2380</v>
      </c>
      <c r="BB9" s="654" t="s">
        <v>2381</v>
      </c>
      <c r="BC9" s="654" t="s">
        <v>2382</v>
      </c>
      <c r="BD9" s="1549"/>
      <c r="BE9" s="1549"/>
      <c r="BF9" s="1549"/>
      <c r="BG9" s="474"/>
      <c r="BH9" s="1348" t="s">
        <v>2383</v>
      </c>
      <c r="BI9" s="483">
        <v>236284</v>
      </c>
      <c r="BJ9" s="483">
        <v>242478</v>
      </c>
      <c r="BK9" s="483">
        <v>261060</v>
      </c>
      <c r="BL9" s="483">
        <v>278346</v>
      </c>
      <c r="BM9" s="483">
        <v>293183</v>
      </c>
      <c r="BN9" s="483">
        <v>261284</v>
      </c>
      <c r="BO9" s="483">
        <v>267478</v>
      </c>
      <c r="BP9" s="483">
        <v>286060</v>
      </c>
      <c r="BQ9" s="483">
        <v>303346</v>
      </c>
      <c r="BR9" s="1344">
        <v>318183</v>
      </c>
      <c r="BS9" s="474"/>
      <c r="BT9" s="1345" t="s">
        <v>2384</v>
      </c>
      <c r="BU9" s="508">
        <v>24400</v>
      </c>
      <c r="BV9" s="508">
        <v>27900</v>
      </c>
      <c r="BW9" s="508">
        <v>31400</v>
      </c>
      <c r="BX9" s="508">
        <v>34850</v>
      </c>
      <c r="BY9" s="508">
        <v>37650</v>
      </c>
      <c r="BZ9" s="508">
        <v>40450</v>
      </c>
      <c r="CA9" s="508">
        <v>43250</v>
      </c>
      <c r="CB9" s="1346">
        <v>46050</v>
      </c>
      <c r="CC9" s="474"/>
      <c r="CD9" s="1348" t="s">
        <v>2383</v>
      </c>
      <c r="CE9" s="602">
        <v>181284</v>
      </c>
      <c r="CF9" s="602">
        <v>187478</v>
      </c>
      <c r="CG9" s="602">
        <v>206060</v>
      </c>
      <c r="CH9" s="602">
        <v>223346</v>
      </c>
      <c r="CI9" s="602">
        <v>238183</v>
      </c>
      <c r="CJ9" s="602">
        <v>196284</v>
      </c>
      <c r="CK9" s="602">
        <v>202478</v>
      </c>
      <c r="CL9" s="602">
        <v>221060</v>
      </c>
      <c r="CM9" s="602">
        <v>238346</v>
      </c>
      <c r="CN9" s="1353">
        <v>253183</v>
      </c>
      <c r="CO9" s="1549"/>
      <c r="CP9" s="1545">
        <v>1</v>
      </c>
      <c r="CQ9" s="486">
        <f t="shared" si="9"/>
        <v>54600</v>
      </c>
      <c r="CR9" s="486">
        <f t="shared" si="2"/>
        <v>62400</v>
      </c>
      <c r="CS9" s="486">
        <f t="shared" si="3"/>
        <v>70200</v>
      </c>
      <c r="CT9" s="486">
        <f t="shared" si="4"/>
        <v>77900</v>
      </c>
      <c r="CU9" s="486">
        <f t="shared" si="5"/>
        <v>84200</v>
      </c>
      <c r="CV9" s="486">
        <f t="shared" si="6"/>
        <v>90400</v>
      </c>
      <c r="CW9" s="486">
        <f t="shared" si="7"/>
        <v>96600</v>
      </c>
      <c r="CX9" s="486">
        <f t="shared" si="8"/>
        <v>102900</v>
      </c>
    </row>
    <row r="10" spans="1:102" s="254" customFormat="1" ht="18" customHeight="1">
      <c r="A10" s="1351"/>
      <c r="B10" s="611">
        <v>2</v>
      </c>
      <c r="C10" s="549">
        <v>0.15</v>
      </c>
      <c r="D10" s="614">
        <v>22</v>
      </c>
      <c r="E10" s="1048"/>
      <c r="F10" s="550"/>
      <c r="G10" s="550"/>
      <c r="H10" s="550"/>
      <c r="I10" s="550"/>
      <c r="J10" s="614"/>
      <c r="K10" s="1048"/>
      <c r="L10" s="550"/>
      <c r="M10" s="550"/>
      <c r="N10" s="550"/>
      <c r="O10" s="550"/>
      <c r="P10" s="550"/>
      <c r="Q10" s="550"/>
      <c r="R10" s="550"/>
      <c r="S10" s="550"/>
      <c r="T10" s="614"/>
      <c r="U10" s="1048"/>
      <c r="V10" s="614"/>
      <c r="W10" s="1596"/>
      <c r="X10" s="550"/>
      <c r="Y10" s="614"/>
      <c r="Z10" s="1192">
        <f>IF(OR(UnitsTbl[[#This Row],[Restricted Income Level]]="Manager",UnitsTbl[[#This Row],[Restricted Income Level]]="Market",UnitsTbl[[#This Row],[Restricted Income Level]]&gt;60%),0,MIN(SUM(UnitsTbl[[#This Row],[IIG
Assisted]:[VHHP
Assisted]])+UnitsTbl[[#This Row],[Other Restricted]],UnitsTbl[[#This Row],[Total Units]]))</f>
        <v>0</v>
      </c>
      <c r="AA10" s="1626">
        <f>UnitsTbl[[#This Row],[Total Restricted Units]]*25000+IF(UnitsTbl[[#This Row],[Restricted Income Level]]="Manager",UnitsTbl[[#This Row],[Total Units]]*25000,0)</f>
        <v>0</v>
      </c>
      <c r="AB10"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10"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10"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10"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10" s="1629">
        <f>IFERROR(IF(AND(IsMhp,UnitsTbl[[#This Row],[Restricted Income Level]]="Manager"),UnitsTbl[[#This Row],[Total Units]]*IF(AND(UnitsTbl[[#This Row],[Total Units]]&gt;0,Taxcredit=9%,UnitsTbl[[#This Row],[Restricted Income Level]]="Manager"),95000,IF(AND(IsMhp,UnitsTbl[[#This Row],[Total Units]]&gt;0,Taxcredit=9%),VLOOKUP(CONCATENATE(County,C10),LoanLimit9Tbl[],AX10,FALSE),IF(AND(IsMhp,UnitsTbl[[#This Row],[Total Units]]&gt;0,OR(Taxcredit=4%,Taxcredit="None"),UnitsTbl[[#This Row],[Restricted Income Level]]="Manager"),150000,VLOOKUP(CONCATENATE(County,C10),LoanLimitsTbl[],AX10,FALSE)))),(IF($R$4=FALSE,((UnitsTbl[[#This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Restricted]]&gt;0),IsMhp,Taxcredit=9%),VLOOKUP(CONCATENATE(County,C10),LoanLimit9Tbl[],AX10,FALSE),IF(AND(IsMhp,UnitsTbl[[#This Row],[MHP
Assisted]]&gt;0,UnitsTbl[[#This Row],[Restricted Income Level]]="Manager"),150000,VLOOKUP(CONCATENATE(County,C10),LoanLimitsTbl[],AX10,FALSE))))))),0)</f>
        <v>0</v>
      </c>
      <c r="AG10"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Restricted]]&gt;0),IsMhp,Taxcredit=9%),VLOOKUP(CONCATENATE(County,C10),LoanLimit9Tbl[],AY10,FALSE),IF(AND(OR(UnitsTbl[[#This Row],[MHP
Assisted]]&gt;0,UnitsTbl[[#This Row],[Other Restricted]]&gt;0),UnitsTbl[[#This Row],[Restricted Income Level]]="Manager"),175000,VLOOKUP(CONCATENATE(County,C10),LoanLimitsTbl[],AY10,FALSE)))),IF(UnitsTbl[[#This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Restricted]]&gt;0),IsMhp,Taxcredit=9%),VLOOKUP(CONCATENATE(County,C10),LoanLimit9Tbl[],AY10,FALSE),IF(AND(OR(UnitsTbl[[#This Row],[MHP
Assisted]]&gt;0,UnitsTbl[[#This Row],[Other Restricted]]&gt;0),UnitsTbl[[#This Row],[Restricted Income Level]]="Manager"),175000,VLOOKUP(CONCATENATE(County,C10),LoanLimitsTbl[],AY10,FALSE)))))))),"")</f>
        <v>0</v>
      </c>
      <c r="AH10" s="1248"/>
      <c r="AI10"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10" s="751"/>
      <c r="AK10" s="755"/>
      <c r="AL10" s="752" t="str">
        <f>IFERROR(IF(UnitsTbl[[#This Row],[Max Gross Rent]]=0,"",UnitsTbl[[#This Row],[Max Gross Rent]]-UnitsTbl[[#This Row],[Less Utility Allowance Schedule 1]]-UnitsTbl[[#This Row],[Less Utility Allowance Schedule 2]]),"")</f>
        <v/>
      </c>
      <c r="AM10" s="751"/>
      <c r="AN10" s="752" t="str">
        <f>IF(UnitsTbl[[#This Row],[Proposed Net Rent ]]="","",UnitsTbl[[#This Row],[Total Units]]*UnitsTbl[[#This Row],[Proposed Net Rent ]])</f>
        <v/>
      </c>
      <c r="AO10" s="1250" t="str">
        <f>IFERROR(UnitsTbl[[#This Row],[Total Units]]*UnitsTbl[[#This Row],[Maximum Net Rent]],"")</f>
        <v/>
      </c>
      <c r="AP10" s="1253"/>
      <c r="AQ10" s="752" t="str">
        <f>IFERROR(IF(UnitsTbl[[#This Row],[Gross Monthly Contract Rent]]="","",IF($AV$4="Restricted",UnitsTbl[[#This Row],[Gross Monthly Contract Rent]]-UnitsTbl[[#This Row],[Maximum Net Rent]],IF($AV$4="Proposed",UnitsTbl[[#This Row],[Gross Monthly Contract Rent]]-UnitsTbl[[#This Row],[Proposed Net Rent ]],0))),"")</f>
        <v/>
      </c>
      <c r="AR10" s="864"/>
      <c r="AS10" s="753" t="str">
        <f>IFERROR(IF(UnitsTbl[[#This Row],[Units Subsidized]]="","",UnitsTbl[[#This Row],[Subsidy Payment Over  Net Rent]]*UnitsTbl[[#This Row],[Units Subsidized]]),"")</f>
        <v/>
      </c>
      <c r="AT10" s="754"/>
      <c r="AU10" s="752" t="str">
        <f>IFERROR(IF(UnitsTbl[[#This Row],[Gross Monthly Contract Rent2]]="","",IF($AV$4="Restricted",UnitsTbl[[#This Row],[Gross Monthly Contract Rent2]]-UnitsTbl[[#This Row],[Maximum Net Rent]],IF($AV$4="Proposed",UnitsTbl[[#This Row],[Gross Monthly Contract Rent2]]-UnitsTbl[[#This Row],[Proposed Net Rent ]],""))),"")</f>
        <v/>
      </c>
      <c r="AV10" s="864"/>
      <c r="AW10" s="1261" t="str">
        <f>IFERROR(IF(UnitsTbl[[#This Row],[Units Subsidized2]]="","",UnitsTbl[[#This Row],[Subsidy Payment Over  Net Rent2]]*UnitsTbl[[#This Row],[Units Subsidized2]]),"")</f>
        <v/>
      </c>
      <c r="AX10" s="1354">
        <f>IF(UnitsTbl[[#This Row],['# of Bedrooms]]="","",IF(UnitsTbl[[#This Row],['# of Bedrooms]]=0,2,IF(UnitsTbl[[#This Row],['# of Bedrooms]]=1,3,IF(UnitsTbl[[#This Row],['# of Bedrooms]]=2,4,IF(UnitsTbl[[#This Row],['# of Bedrooms]]=3,5,IF(UnitsTbl[[#This Row],['# of Bedrooms]]=4,6,IF(UnitsTbl[[#This Row],['# of Bedrooms]]&gt;4,6,"")))))))</f>
        <v>4</v>
      </c>
      <c r="AY10" s="470">
        <f>IF(UnitsTbl[[#This Row],['# of Bedrooms]]="","",IF(UnitsTbl[[#This Row],['# of Bedrooms]]=0,7,IF(UnitsTbl[[#This Row],['# of Bedrooms]]=1,8,IF(UnitsTbl[[#This Row],['# of Bedrooms]]=2,9,IF(UnitsTbl[[#This Row],['# of Bedrooms]]=3,10,IF(UnitsTbl[[#This Row],['# of Bedrooms]]=4,11,IF(UnitsTbl[[#This Row],['# of Bedrooms]]&gt;4,11,"")))))))</f>
        <v>9</v>
      </c>
      <c r="AZ10" s="470">
        <f>IF(UnitsTbl[[#This Row],['# of Bedrooms]]="","",IF(UnitsTbl[[#This Row],['# of Bedrooms]]=0,2,IF(UnitsTbl[[#This Row],['# of Bedrooms]]=1,3,IF(UnitsTbl[[#This Row],['# of Bedrooms]]=2,4,IF(UnitsTbl[[#This Row],['# of Bedrooms]]=3,5,IF(UnitsTbl[[#This Row],['# of Bedrooms]]=4,6,IF(UnitsTbl[[#This Row],['# of Bedrooms]]=5,7,"")))))))</f>
        <v>4</v>
      </c>
      <c r="BA10" s="1546">
        <f>MIN(SUM(UnitsTbl[[#This Row],[Disability Homelessness ]],UnitsTbl[[#This Row],[Chronic Homelessness]],UnitsTbl[[#This Row],[Homelessness]]),UnitsTbl[[#This Row],[Total Restricted Units]])</f>
        <v>0</v>
      </c>
      <c r="BB10" s="1546">
        <f>(UnitsTbl[[#This Row],[Restricted Income Level]]&lt;=30%)*UnitsTbl[[#This Row],[Total Restricted Units]]</f>
        <v>0</v>
      </c>
      <c r="BC10" s="1546">
        <f>MAX(BA10,BB10)</f>
        <v>0</v>
      </c>
      <c r="BD10" s="1545"/>
      <c r="BE10" s="1545"/>
      <c r="BF10" s="1545"/>
      <c r="BG10" s="472"/>
      <c r="BH10" s="1348" t="s">
        <v>2385</v>
      </c>
      <c r="BI10" s="483">
        <v>253570</v>
      </c>
      <c r="BJ10" s="483">
        <v>261060</v>
      </c>
      <c r="BK10" s="483">
        <v>283244</v>
      </c>
      <c r="BL10" s="483">
        <v>303987</v>
      </c>
      <c r="BM10" s="483">
        <v>321848</v>
      </c>
      <c r="BN10" s="483">
        <v>278570</v>
      </c>
      <c r="BO10" s="483">
        <v>286060</v>
      </c>
      <c r="BP10" s="483">
        <v>308244</v>
      </c>
      <c r="BQ10" s="483">
        <v>328987</v>
      </c>
      <c r="BR10" s="1344">
        <v>346848</v>
      </c>
      <c r="BS10" s="472"/>
      <c r="BT10" s="1345" t="s">
        <v>2386</v>
      </c>
      <c r="BU10" s="508">
        <v>47950</v>
      </c>
      <c r="BV10" s="508">
        <v>54800</v>
      </c>
      <c r="BW10" s="508">
        <v>61650</v>
      </c>
      <c r="BX10" s="508">
        <v>68500</v>
      </c>
      <c r="BY10" s="508">
        <v>74000</v>
      </c>
      <c r="BZ10" s="508">
        <v>79500</v>
      </c>
      <c r="CA10" s="508">
        <v>84950</v>
      </c>
      <c r="CB10" s="1346">
        <v>90450</v>
      </c>
      <c r="CC10" s="472"/>
      <c r="CD10" s="1348" t="s">
        <v>2385</v>
      </c>
      <c r="CE10" s="504">
        <v>198570</v>
      </c>
      <c r="CF10" s="504">
        <v>206060</v>
      </c>
      <c r="CG10" s="504">
        <v>228244</v>
      </c>
      <c r="CH10" s="504">
        <v>248987</v>
      </c>
      <c r="CI10" s="504">
        <v>266848</v>
      </c>
      <c r="CJ10" s="504">
        <v>213570</v>
      </c>
      <c r="CK10" s="504">
        <v>221060</v>
      </c>
      <c r="CL10" s="504">
        <v>243244</v>
      </c>
      <c r="CM10" s="504">
        <v>263987</v>
      </c>
      <c r="CN10" s="1347">
        <v>281848</v>
      </c>
      <c r="CO10" s="1545"/>
      <c r="CP10" s="1545">
        <v>0.95</v>
      </c>
      <c r="CQ10" s="486">
        <f t="shared" si="9"/>
        <v>51870</v>
      </c>
      <c r="CR10" s="486">
        <f t="shared" si="2"/>
        <v>59280</v>
      </c>
      <c r="CS10" s="486">
        <f t="shared" si="3"/>
        <v>66690</v>
      </c>
      <c r="CT10" s="486">
        <f t="shared" si="4"/>
        <v>74005</v>
      </c>
      <c r="CU10" s="486">
        <f t="shared" si="5"/>
        <v>79990</v>
      </c>
      <c r="CV10" s="486">
        <f t="shared" si="6"/>
        <v>85880</v>
      </c>
      <c r="CW10" s="486">
        <f t="shared" si="7"/>
        <v>91770</v>
      </c>
      <c r="CX10" s="486">
        <f t="shared" si="8"/>
        <v>97755</v>
      </c>
    </row>
    <row r="11" spans="1:102" s="254" customFormat="1" ht="18" customHeight="1">
      <c r="A11" s="1226"/>
      <c r="B11" s="611">
        <v>3</v>
      </c>
      <c r="C11" s="549">
        <v>0.49999999999999994</v>
      </c>
      <c r="D11" s="615">
        <v>0</v>
      </c>
      <c r="E11" s="1048"/>
      <c r="F11" s="550"/>
      <c r="G11" s="550"/>
      <c r="H11" s="550"/>
      <c r="I11" s="550"/>
      <c r="J11" s="614"/>
      <c r="K11" s="1048"/>
      <c r="L11" s="550"/>
      <c r="M11" s="550"/>
      <c r="N11" s="550"/>
      <c r="O11" s="550"/>
      <c r="P11" s="550"/>
      <c r="Q11" s="550"/>
      <c r="R11" s="550"/>
      <c r="S11" s="550"/>
      <c r="T11" s="614"/>
      <c r="U11" s="1048"/>
      <c r="V11" s="615"/>
      <c r="W11" s="611"/>
      <c r="X11" s="864"/>
      <c r="Y11" s="615"/>
      <c r="Z11" s="1193">
        <f>IF(OR(UnitsTbl[[#This Row],[Restricted Income Level]]="Manager",UnitsTbl[[#This Row],[Restricted Income Level]]="Market",UnitsTbl[[#This Row],[Restricted Income Level]]&gt;60%),0,MIN(SUM(UnitsTbl[[#This Row],[IIG
Assisted]:[VHHP
Assisted]])+UnitsTbl[[#This Row],[Other Restricted]],UnitsTbl[[#This Row],[Total Units]]))</f>
        <v>0</v>
      </c>
      <c r="AA11" s="1626">
        <f>UnitsTbl[[#This Row],[Total Restricted Units]]*25000+IF(UnitsTbl[[#This Row],[Restricted Income Level]]="Manager",UnitsTbl[[#This Row],[Total Units]]*25000,0)</f>
        <v>0</v>
      </c>
      <c r="AB11"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11"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11"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11"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11" s="1629">
        <f>IFERROR(IF(AND(IsMhp,UnitsTbl[[#This Row],[Restricted Income Level]]="Manager"),UnitsTbl[[#This Row],[Total Units]]*IF(AND(UnitsTbl[[#This Row],[Total Units]]&gt;0,Taxcredit=9%,UnitsTbl[[#This Row],[Restricted Income Level]]="Manager"),95000,IF(AND(IsMhp,UnitsTbl[[#This Row],[Total Units]]&gt;0,Taxcredit=9%),VLOOKUP(CONCATENATE(County,C11),LoanLimit9Tbl[],AX11,FALSE),IF(AND(IsMhp,UnitsTbl[[#This Row],[Total Units]]&gt;0,OR(Taxcredit=4%,Taxcredit="None"),UnitsTbl[[#This Row],[Restricted Income Level]]="Manager"),150000,VLOOKUP(CONCATENATE(County,C11),LoanLimitsTbl[],AX11,FALSE)))),(IF($R$4=FALSE,((UnitsTbl[[#This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Restricted]]&gt;0),IsMhp,Taxcredit=9%),VLOOKUP(CONCATENATE(County,C11),LoanLimit9Tbl[],AX11,FALSE),IF(AND(IsMhp,UnitsTbl[[#This Row],[MHP
Assisted]]&gt;0,UnitsTbl[[#This Row],[Restricted Income Level]]="Manager"),150000,VLOOKUP(CONCATENATE(County,C11),LoanLimitsTbl[],AX11,FALSE))))))),0)</f>
        <v>0</v>
      </c>
      <c r="AG11"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Restricted]]&gt;0),IsMhp,Taxcredit=9%),VLOOKUP(CONCATENATE(County,C11),LoanLimit9Tbl[],AY11,FALSE),IF(AND(OR(UnitsTbl[[#This Row],[MHP
Assisted]]&gt;0,UnitsTbl[[#This Row],[Other Restricted]]&gt;0),UnitsTbl[[#This Row],[Restricted Income Level]]="Manager"),175000,VLOOKUP(CONCATENATE(County,C11),LoanLimitsTbl[],AY11,FALSE)))),IF(UnitsTbl[[#This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Restricted]]&gt;0),IsMhp,Taxcredit=9%),VLOOKUP(CONCATENATE(County,C11),LoanLimit9Tbl[],AY11,FALSE),IF(AND(OR(UnitsTbl[[#This Row],[MHP
Assisted]]&gt;0,UnitsTbl[[#This Row],[Other Restricted]]&gt;0),UnitsTbl[[#This Row],[Restricted Income Level]]="Manager"),175000,VLOOKUP(CONCATENATE(County,C11),LoanLimitsTbl[],AY11,FALSE)))))))),"")</f>
        <v>0</v>
      </c>
      <c r="AH11" s="1248"/>
      <c r="AI11"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11" s="751"/>
      <c r="AK11" s="755"/>
      <c r="AL11" s="752" t="str">
        <f>IFERROR(IF(UnitsTbl[[#This Row],[Max Gross Rent]]=0,"",UnitsTbl[[#This Row],[Max Gross Rent]]-UnitsTbl[[#This Row],[Less Utility Allowance Schedule 1]]-UnitsTbl[[#This Row],[Less Utility Allowance Schedule 2]]),"")</f>
        <v/>
      </c>
      <c r="AM11" s="751"/>
      <c r="AN11" s="752" t="str">
        <f>IF(UnitsTbl[[#This Row],[Proposed Net Rent ]]="","",UnitsTbl[[#This Row],[Total Units]]*UnitsTbl[[#This Row],[Proposed Net Rent ]])</f>
        <v/>
      </c>
      <c r="AO11" s="1250" t="str">
        <f>IFERROR(UnitsTbl[[#This Row],[Total Units]]*UnitsTbl[[#This Row],[Maximum Net Rent]],"")</f>
        <v/>
      </c>
      <c r="AP11" s="1253"/>
      <c r="AQ11" s="752" t="str">
        <f>IFERROR(IF(UnitsTbl[[#This Row],[Gross Monthly Contract Rent]]="","",IF($AV$4="Restricted",UnitsTbl[[#This Row],[Gross Monthly Contract Rent]]-UnitsTbl[[#This Row],[Maximum Net Rent]],IF($AV$4="Proposed",UnitsTbl[[#This Row],[Gross Monthly Contract Rent]]-UnitsTbl[[#This Row],[Proposed Net Rent ]],0))),"")</f>
        <v/>
      </c>
      <c r="AR11" s="864"/>
      <c r="AS11" s="753" t="str">
        <f>IFERROR(IF(UnitsTbl[[#This Row],[Units Subsidized]]="","",UnitsTbl[[#This Row],[Subsidy Payment Over  Net Rent]]*UnitsTbl[[#This Row],[Units Subsidized]]),"")</f>
        <v/>
      </c>
      <c r="AT11" s="754"/>
      <c r="AU11" s="752" t="str">
        <f>IFERROR(IF(UnitsTbl[[#This Row],[Gross Monthly Contract Rent2]]="","",IF($AV$4="Restricted",UnitsTbl[[#This Row],[Gross Monthly Contract Rent2]]-UnitsTbl[[#This Row],[Maximum Net Rent]],IF($AV$4="Proposed",UnitsTbl[[#This Row],[Gross Monthly Contract Rent2]]-UnitsTbl[[#This Row],[Proposed Net Rent ]],""))),"")</f>
        <v/>
      </c>
      <c r="AV11" s="864"/>
      <c r="AW11" s="1261" t="str">
        <f>IFERROR(IF(UnitsTbl[[#This Row],[Units Subsidized2]]="","",UnitsTbl[[#This Row],[Subsidy Payment Over  Net Rent2]]*UnitsTbl[[#This Row],[Units Subsidized2]]),"")</f>
        <v/>
      </c>
      <c r="AX11" s="1354">
        <f>IF(UnitsTbl[[#This Row],['# of Bedrooms]]="","",IF(UnitsTbl[[#This Row],['# of Bedrooms]]=0,2,IF(UnitsTbl[[#This Row],['# of Bedrooms]]=1,3,IF(UnitsTbl[[#This Row],['# of Bedrooms]]=2,4,IF(UnitsTbl[[#This Row],['# of Bedrooms]]=3,5,IF(UnitsTbl[[#This Row],['# of Bedrooms]]=4,6,IF(UnitsTbl[[#This Row],['# of Bedrooms]]&gt;4,6,"")))))))</f>
        <v>5</v>
      </c>
      <c r="AY11" s="470">
        <f>IF(UnitsTbl[[#This Row],['# of Bedrooms]]="","",IF(UnitsTbl[[#This Row],['# of Bedrooms]]=0,7,IF(UnitsTbl[[#This Row],['# of Bedrooms]]=1,8,IF(UnitsTbl[[#This Row],['# of Bedrooms]]=2,9,IF(UnitsTbl[[#This Row],['# of Bedrooms]]=3,10,IF(UnitsTbl[[#This Row],['# of Bedrooms]]=4,11,IF(UnitsTbl[[#This Row],['# of Bedrooms]]&gt;4,11,"")))))))</f>
        <v>10</v>
      </c>
      <c r="AZ11" s="470">
        <f>IF(UnitsTbl[[#This Row],['# of Bedrooms]]="","",IF(UnitsTbl[[#This Row],['# of Bedrooms]]=0,2,IF(UnitsTbl[[#This Row],['# of Bedrooms]]=1,3,IF(UnitsTbl[[#This Row],['# of Bedrooms]]=2,4,IF(UnitsTbl[[#This Row],['# of Bedrooms]]=3,5,IF(UnitsTbl[[#This Row],['# of Bedrooms]]=4,6,IF(UnitsTbl[[#This Row],['# of Bedrooms]]=5,7,"")))))))</f>
        <v>5</v>
      </c>
      <c r="BA11" s="1546">
        <f>MIN(SUM(UnitsTbl[[#This Row],[Disability Homelessness ]],UnitsTbl[[#This Row],[Chronic Homelessness]],UnitsTbl[[#This Row],[Homelessness]]),UnitsTbl[[#This Row],[Total Restricted Units]])</f>
        <v>0</v>
      </c>
      <c r="BB11" s="1546">
        <f>(UnitsTbl[[#This Row],[Restricted Income Level]]&lt;=30%)*UnitsTbl[[#This Row],[Total Restricted Units]]</f>
        <v>0</v>
      </c>
      <c r="BC11" s="1546">
        <f t="shared" ref="BC11:BC20" si="10">MAX(BA11,BB11)</f>
        <v>0</v>
      </c>
      <c r="BD11" s="1545"/>
      <c r="BE11" s="1545"/>
      <c r="BF11" s="1545"/>
      <c r="BG11" s="472"/>
      <c r="BH11" s="1348" t="s">
        <v>2387</v>
      </c>
      <c r="BI11" s="483">
        <v>270856</v>
      </c>
      <c r="BJ11" s="483">
        <v>279499</v>
      </c>
      <c r="BK11" s="483">
        <v>305427</v>
      </c>
      <c r="BL11" s="483">
        <v>329627</v>
      </c>
      <c r="BM11" s="483">
        <v>350514</v>
      </c>
      <c r="BN11" s="483">
        <v>295856</v>
      </c>
      <c r="BO11" s="483">
        <v>304499</v>
      </c>
      <c r="BP11" s="483">
        <v>330427</v>
      </c>
      <c r="BQ11" s="483">
        <v>354627</v>
      </c>
      <c r="BR11" s="1344">
        <v>375514</v>
      </c>
      <c r="BS11" s="472"/>
      <c r="BT11" s="1345" t="s">
        <v>2388</v>
      </c>
      <c r="BU11" s="508">
        <v>24400</v>
      </c>
      <c r="BV11" s="508">
        <v>27900</v>
      </c>
      <c r="BW11" s="508">
        <v>31400</v>
      </c>
      <c r="BX11" s="508">
        <v>34850</v>
      </c>
      <c r="BY11" s="508">
        <v>37650</v>
      </c>
      <c r="BZ11" s="508">
        <v>40450</v>
      </c>
      <c r="CA11" s="508">
        <v>43250</v>
      </c>
      <c r="CB11" s="1346">
        <v>46050</v>
      </c>
      <c r="CC11" s="472"/>
      <c r="CD11" s="1348" t="s">
        <v>2387</v>
      </c>
      <c r="CE11" s="504">
        <v>215856</v>
      </c>
      <c r="CF11" s="504">
        <v>224499</v>
      </c>
      <c r="CG11" s="504">
        <v>250427</v>
      </c>
      <c r="CH11" s="504">
        <v>274627</v>
      </c>
      <c r="CI11" s="504">
        <v>295514</v>
      </c>
      <c r="CJ11" s="504">
        <v>230856</v>
      </c>
      <c r="CK11" s="504">
        <v>239499</v>
      </c>
      <c r="CL11" s="504">
        <v>265427</v>
      </c>
      <c r="CM11" s="504">
        <v>289627</v>
      </c>
      <c r="CN11" s="1347">
        <v>310514</v>
      </c>
      <c r="CO11" s="1545"/>
      <c r="CP11" s="1545">
        <v>0.9</v>
      </c>
      <c r="CQ11" s="486">
        <f t="shared" si="9"/>
        <v>49140</v>
      </c>
      <c r="CR11" s="486">
        <f t="shared" si="2"/>
        <v>56160</v>
      </c>
      <c r="CS11" s="486">
        <f t="shared" si="3"/>
        <v>63180</v>
      </c>
      <c r="CT11" s="486">
        <f t="shared" si="4"/>
        <v>70110</v>
      </c>
      <c r="CU11" s="486">
        <f t="shared" si="5"/>
        <v>75780</v>
      </c>
      <c r="CV11" s="486">
        <f t="shared" si="6"/>
        <v>81360</v>
      </c>
      <c r="CW11" s="486">
        <f t="shared" si="7"/>
        <v>86940</v>
      </c>
      <c r="CX11" s="486">
        <f t="shared" si="8"/>
        <v>92610</v>
      </c>
    </row>
    <row r="12" spans="1:102" s="254" customFormat="1" ht="18" customHeight="1">
      <c r="A12" s="1226"/>
      <c r="B12" s="611">
        <v>4</v>
      </c>
      <c r="C12" s="549">
        <v>0.3</v>
      </c>
      <c r="D12" s="615">
        <v>27</v>
      </c>
      <c r="E12" s="1048"/>
      <c r="F12" s="550"/>
      <c r="G12" s="550"/>
      <c r="H12" s="550"/>
      <c r="I12" s="550"/>
      <c r="J12" s="614"/>
      <c r="K12" s="1048"/>
      <c r="L12" s="550"/>
      <c r="M12" s="550"/>
      <c r="N12" s="550"/>
      <c r="O12" s="550"/>
      <c r="P12" s="550"/>
      <c r="Q12" s="550"/>
      <c r="R12" s="550"/>
      <c r="S12" s="550"/>
      <c r="T12" s="614"/>
      <c r="U12" s="1048"/>
      <c r="V12" s="615"/>
      <c r="W12" s="611"/>
      <c r="X12" s="864"/>
      <c r="Y12" s="615"/>
      <c r="Z12" s="1193">
        <f>IF(OR(UnitsTbl[[#This Row],[Restricted Income Level]]="Manager",UnitsTbl[[#This Row],[Restricted Income Level]]="Market",UnitsTbl[[#This Row],[Restricted Income Level]]&gt;60%),0,MIN(SUM(UnitsTbl[[#This Row],[IIG
Assisted]:[VHHP
Assisted]])+UnitsTbl[[#This Row],[Other Restricted]],UnitsTbl[[#This Row],[Total Units]]))</f>
        <v>0</v>
      </c>
      <c r="AA12" s="1626">
        <f>UnitsTbl[[#This Row],[Total Restricted Units]]*25000+IF(UnitsTbl[[#This Row],[Restricted Income Level]]="Manager",UnitsTbl[[#This Row],[Total Units]]*25000,0)</f>
        <v>0</v>
      </c>
      <c r="AB12"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12"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12"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12"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12" s="1629">
        <f>IFERROR(IF(AND(IsMhp,UnitsTbl[[#This Row],[Restricted Income Level]]="Manager"),UnitsTbl[[#This Row],[Total Units]]*IF(AND(UnitsTbl[[#This Row],[Total Units]]&gt;0,Taxcredit=9%,UnitsTbl[[#This Row],[Restricted Income Level]]="Manager"),95000,IF(AND(IsMhp,UnitsTbl[[#This Row],[Total Units]]&gt;0,Taxcredit=9%),VLOOKUP(CONCATENATE(County,C12),LoanLimit9Tbl[],AX12,FALSE),IF(AND(IsMhp,UnitsTbl[[#This Row],[Total Units]]&gt;0,OR(Taxcredit=4%,Taxcredit="None"),UnitsTbl[[#This Row],[Restricted Income Level]]="Manager"),150000,VLOOKUP(CONCATENATE(County,C12),LoanLimitsTbl[],AX12,FALSE)))),(IF($R$4=FALSE,((UnitsTbl[[#This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Restricted]]&gt;0),IsMhp,Taxcredit=9%),VLOOKUP(CONCATENATE(County,C12),LoanLimit9Tbl[],AX12,FALSE),IF(AND(IsMhp,UnitsTbl[[#This Row],[MHP
Assisted]]&gt;0,UnitsTbl[[#This Row],[Restricted Income Level]]="Manager"),150000,VLOOKUP(CONCATENATE(County,C12),LoanLimitsTbl[],AX12,FALSE))))))),0)</f>
        <v>0</v>
      </c>
      <c r="AG12"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Restricted]]&gt;0),IsMhp,Taxcredit=9%),VLOOKUP(CONCATENATE(County,C12),LoanLimit9Tbl[],AY12,FALSE),IF(AND(OR(UnitsTbl[[#This Row],[MHP
Assisted]]&gt;0,UnitsTbl[[#This Row],[Other Restricted]]&gt;0),UnitsTbl[[#This Row],[Restricted Income Level]]="Manager"),175000,VLOOKUP(CONCATENATE(County,C12),LoanLimitsTbl[],AY12,FALSE)))),IF(UnitsTbl[[#This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Restricted]]&gt;0),IsMhp,Taxcredit=9%),VLOOKUP(CONCATENATE(County,C12),LoanLimit9Tbl[],AY12,FALSE),IF(AND(OR(UnitsTbl[[#This Row],[MHP
Assisted]]&gt;0,UnitsTbl[[#This Row],[Other Restricted]]&gt;0),UnitsTbl[[#This Row],[Restricted Income Level]]="Manager"),175000,VLOOKUP(CONCATENATE(County,C12),LoanLimitsTbl[],AY12,FALSE)))))))),"")</f>
        <v>0</v>
      </c>
      <c r="AH12" s="1248"/>
      <c r="AI12"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12" s="751"/>
      <c r="AK12" s="755"/>
      <c r="AL12" s="752" t="str">
        <f>IFERROR(IF(UnitsTbl[[#This Row],[Max Gross Rent]]=0,"",UnitsTbl[[#This Row],[Max Gross Rent]]-UnitsTbl[[#This Row],[Less Utility Allowance Schedule 1]]-UnitsTbl[[#This Row],[Less Utility Allowance Schedule 2]]),"")</f>
        <v/>
      </c>
      <c r="AM12" s="751"/>
      <c r="AN12" s="752" t="str">
        <f>IF(UnitsTbl[[#This Row],[Proposed Net Rent ]]="","",UnitsTbl[[#This Row],[Total Units]]*UnitsTbl[[#This Row],[Proposed Net Rent ]])</f>
        <v/>
      </c>
      <c r="AO12" s="1250" t="str">
        <f>IFERROR(UnitsTbl[[#This Row],[Total Units]]*UnitsTbl[[#This Row],[Maximum Net Rent]],"")</f>
        <v/>
      </c>
      <c r="AP12" s="1253"/>
      <c r="AQ12" s="752" t="str">
        <f>IFERROR(IF(UnitsTbl[[#This Row],[Gross Monthly Contract Rent]]="","",IF($AV$4="Restricted",UnitsTbl[[#This Row],[Gross Monthly Contract Rent]]-UnitsTbl[[#This Row],[Maximum Net Rent]],IF($AV$4="Proposed",UnitsTbl[[#This Row],[Gross Monthly Contract Rent]]-UnitsTbl[[#This Row],[Proposed Net Rent ]],0))),"")</f>
        <v/>
      </c>
      <c r="AR12" s="864"/>
      <c r="AS12" s="753" t="str">
        <f>IFERROR(IF(UnitsTbl[[#This Row],[Units Subsidized]]="","",UnitsTbl[[#This Row],[Subsidy Payment Over  Net Rent]]*UnitsTbl[[#This Row],[Units Subsidized]]),"")</f>
        <v/>
      </c>
      <c r="AT12" s="754"/>
      <c r="AU12" s="752" t="str">
        <f>IFERROR(IF(UnitsTbl[[#This Row],[Gross Monthly Contract Rent2]]="","",IF($AV$4="Restricted",UnitsTbl[[#This Row],[Gross Monthly Contract Rent2]]-UnitsTbl[[#This Row],[Maximum Net Rent]],IF($AV$4="Proposed",UnitsTbl[[#This Row],[Gross Monthly Contract Rent2]]-UnitsTbl[[#This Row],[Proposed Net Rent ]],""))),"")</f>
        <v/>
      </c>
      <c r="AV12" s="864"/>
      <c r="AW12" s="1261" t="str">
        <f>IFERROR(IF(UnitsTbl[[#This Row],[Units Subsidized2]]="","",UnitsTbl[[#This Row],[Subsidy Payment Over  Net Rent2]]*UnitsTbl[[#This Row],[Units Subsidized2]]),"")</f>
        <v/>
      </c>
      <c r="AX12" s="1354">
        <f>IF(UnitsTbl[[#This Row],['# of Bedrooms]]="","",IF(UnitsTbl[[#This Row],['# of Bedrooms]]=0,2,IF(UnitsTbl[[#This Row],['# of Bedrooms]]=1,3,IF(UnitsTbl[[#This Row],['# of Bedrooms]]=2,4,IF(UnitsTbl[[#This Row],['# of Bedrooms]]=3,5,IF(UnitsTbl[[#This Row],['# of Bedrooms]]=4,6,IF(UnitsTbl[[#This Row],['# of Bedrooms]]&gt;4,6,"")))))))</f>
        <v>6</v>
      </c>
      <c r="AY12" s="470">
        <f>IF(UnitsTbl[[#This Row],['# of Bedrooms]]="","",IF(UnitsTbl[[#This Row],['# of Bedrooms]]=0,7,IF(UnitsTbl[[#This Row],['# of Bedrooms]]=1,8,IF(UnitsTbl[[#This Row],['# of Bedrooms]]=2,9,IF(UnitsTbl[[#This Row],['# of Bedrooms]]=3,10,IF(UnitsTbl[[#This Row],['# of Bedrooms]]=4,11,IF(UnitsTbl[[#This Row],['# of Bedrooms]]&gt;4,11,"")))))))</f>
        <v>11</v>
      </c>
      <c r="AZ12" s="470">
        <f>IF(UnitsTbl[[#This Row],['# of Bedrooms]]="","",IF(UnitsTbl[[#This Row],['# of Bedrooms]]=0,2,IF(UnitsTbl[[#This Row],['# of Bedrooms]]=1,3,IF(UnitsTbl[[#This Row],['# of Bedrooms]]=2,4,IF(UnitsTbl[[#This Row],['# of Bedrooms]]=3,5,IF(UnitsTbl[[#This Row],['# of Bedrooms]]=4,6,IF(UnitsTbl[[#This Row],['# of Bedrooms]]=5,7,"")))))))</f>
        <v>6</v>
      </c>
      <c r="BA12" s="1546">
        <f>MIN(SUM(UnitsTbl[[#This Row],[Disability Homelessness ]],UnitsTbl[[#This Row],[Chronic Homelessness]],UnitsTbl[[#This Row],[Homelessness]]),UnitsTbl[[#This Row],[Total Restricted Units]])</f>
        <v>0</v>
      </c>
      <c r="BB12" s="1546">
        <f>(UnitsTbl[[#This Row],[Restricted Income Level]]&lt;=30%)*UnitsTbl[[#This Row],[Total Restricted Units]]</f>
        <v>0</v>
      </c>
      <c r="BC12" s="1546">
        <f t="shared" si="10"/>
        <v>0</v>
      </c>
      <c r="BD12" s="1545"/>
      <c r="BE12" s="1545"/>
      <c r="BF12" s="1545"/>
      <c r="BG12" s="472"/>
      <c r="BH12" s="1348" t="s">
        <v>2389</v>
      </c>
      <c r="BI12" s="483">
        <v>288141</v>
      </c>
      <c r="BJ12" s="483">
        <v>298081</v>
      </c>
      <c r="BK12" s="483">
        <v>327610</v>
      </c>
      <c r="BL12" s="483">
        <v>355267</v>
      </c>
      <c r="BM12" s="483">
        <v>379035</v>
      </c>
      <c r="BN12" s="483">
        <v>313141</v>
      </c>
      <c r="BO12" s="483">
        <v>323081</v>
      </c>
      <c r="BP12" s="483">
        <v>352610</v>
      </c>
      <c r="BQ12" s="483">
        <v>380267</v>
      </c>
      <c r="BR12" s="1344">
        <v>404035</v>
      </c>
      <c r="BS12" s="472"/>
      <c r="BT12" s="1345" t="s">
        <v>2390</v>
      </c>
      <c r="BU12" s="508">
        <v>31750</v>
      </c>
      <c r="BV12" s="508">
        <v>36250</v>
      </c>
      <c r="BW12" s="508">
        <v>40800</v>
      </c>
      <c r="BX12" s="508">
        <v>45300</v>
      </c>
      <c r="BY12" s="508">
        <v>48950</v>
      </c>
      <c r="BZ12" s="508">
        <v>52550</v>
      </c>
      <c r="CA12" s="508">
        <v>56200</v>
      </c>
      <c r="CB12" s="1346">
        <v>59800</v>
      </c>
      <c r="CC12" s="472"/>
      <c r="CD12" s="1348" t="s">
        <v>2389</v>
      </c>
      <c r="CE12" s="504">
        <v>233141</v>
      </c>
      <c r="CF12" s="504">
        <v>243081</v>
      </c>
      <c r="CG12" s="504">
        <v>272610</v>
      </c>
      <c r="CH12" s="504">
        <v>300267</v>
      </c>
      <c r="CI12" s="504">
        <v>324035</v>
      </c>
      <c r="CJ12" s="504">
        <v>248141</v>
      </c>
      <c r="CK12" s="504">
        <v>258081</v>
      </c>
      <c r="CL12" s="504">
        <v>287610</v>
      </c>
      <c r="CM12" s="504">
        <v>315267</v>
      </c>
      <c r="CN12" s="1347">
        <v>339035</v>
      </c>
      <c r="CO12" s="1545"/>
      <c r="CP12" s="1545">
        <v>0.85</v>
      </c>
      <c r="CQ12" s="486">
        <f t="shared" si="9"/>
        <v>46410</v>
      </c>
      <c r="CR12" s="486">
        <f t="shared" si="2"/>
        <v>53040</v>
      </c>
      <c r="CS12" s="486">
        <f t="shared" si="3"/>
        <v>59670</v>
      </c>
      <c r="CT12" s="486">
        <f t="shared" si="4"/>
        <v>66215</v>
      </c>
      <c r="CU12" s="486">
        <f t="shared" si="5"/>
        <v>71570</v>
      </c>
      <c r="CV12" s="486">
        <f t="shared" si="6"/>
        <v>76840</v>
      </c>
      <c r="CW12" s="486">
        <f t="shared" si="7"/>
        <v>82110</v>
      </c>
      <c r="CX12" s="486">
        <f t="shared" si="8"/>
        <v>87465</v>
      </c>
    </row>
    <row r="13" spans="1:102" s="254" customFormat="1" ht="18" customHeight="1">
      <c r="A13" s="1226"/>
      <c r="B13" s="611">
        <v>6</v>
      </c>
      <c r="C13" s="549">
        <v>0.6</v>
      </c>
      <c r="D13" s="615">
        <v>0</v>
      </c>
      <c r="E13" s="1048"/>
      <c r="F13" s="550"/>
      <c r="G13" s="550"/>
      <c r="H13" s="550"/>
      <c r="I13" s="550"/>
      <c r="J13" s="614"/>
      <c r="K13" s="1048"/>
      <c r="L13" s="550"/>
      <c r="M13" s="550"/>
      <c r="N13" s="550"/>
      <c r="O13" s="550"/>
      <c r="P13" s="550"/>
      <c r="Q13" s="550"/>
      <c r="R13" s="550"/>
      <c r="S13" s="550"/>
      <c r="T13" s="614"/>
      <c r="U13" s="1048"/>
      <c r="V13" s="615"/>
      <c r="W13" s="611"/>
      <c r="X13" s="864"/>
      <c r="Y13" s="615"/>
      <c r="Z13" s="1193">
        <f>IF(OR(UnitsTbl[[#This Row],[Restricted Income Level]]="Manager",UnitsTbl[[#This Row],[Restricted Income Level]]="Market",UnitsTbl[[#This Row],[Restricted Income Level]]&gt;60%),0,MIN(SUM(UnitsTbl[[#This Row],[IIG
Assisted]:[VHHP
Assisted]])+UnitsTbl[[#This Row],[Other Restricted]],UnitsTbl[[#This Row],[Total Units]]))</f>
        <v>0</v>
      </c>
      <c r="AA13" s="1626">
        <f>UnitsTbl[[#This Row],[Total Restricted Units]]*25000+IF(UnitsTbl[[#This Row],[Restricted Income Level]]="Manager",UnitsTbl[[#This Row],[Total Units]]*25000,0)</f>
        <v>0</v>
      </c>
      <c r="AB13"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13"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13"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13"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13" s="1629">
        <f>IFERROR(IF(AND(IsMhp,UnitsTbl[[#This Row],[Restricted Income Level]]="Manager"),UnitsTbl[[#This Row],[Total Units]]*IF(AND(UnitsTbl[[#This Row],[Total Units]]&gt;0,Taxcredit=9%,UnitsTbl[[#This Row],[Restricted Income Level]]="Manager"),95000,IF(AND(IsMhp,UnitsTbl[[#This Row],[Total Units]]&gt;0,Taxcredit=9%),VLOOKUP(CONCATENATE(County,C13),LoanLimit9Tbl[],AX13,FALSE),IF(AND(IsMhp,UnitsTbl[[#This Row],[Total Units]]&gt;0,OR(Taxcredit=4%,Taxcredit="None"),UnitsTbl[[#This Row],[Restricted Income Level]]="Manager"),150000,VLOOKUP(CONCATENATE(County,C13),LoanLimitsTbl[],AX13,FALSE)))),(IF($R$4=FALSE,((UnitsTbl[[#This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Restricted]]&gt;0),IsMhp,Taxcredit=9%),VLOOKUP(CONCATENATE(County,C13),LoanLimit9Tbl[],AX13,FALSE),IF(AND(IsMhp,UnitsTbl[[#This Row],[MHP
Assisted]]&gt;0,UnitsTbl[[#This Row],[Restricted Income Level]]="Manager"),150000,VLOOKUP(CONCATENATE(County,C13),LoanLimitsTbl[],AX13,FALSE))))))),0)</f>
        <v>0</v>
      </c>
      <c r="AG13"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Restricted]]&gt;0),IsMhp,Taxcredit=9%),VLOOKUP(CONCATENATE(County,C13),LoanLimit9Tbl[],AY13,FALSE),IF(AND(OR(UnitsTbl[[#This Row],[MHP
Assisted]]&gt;0,UnitsTbl[[#This Row],[Other Restricted]]&gt;0),UnitsTbl[[#This Row],[Restricted Income Level]]="Manager"),175000,VLOOKUP(CONCATENATE(County,C13),LoanLimitsTbl[],AY13,FALSE)))),IF(UnitsTbl[[#This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Restricted]]&gt;0),IsMhp,Taxcredit=9%),VLOOKUP(CONCATENATE(County,C13),LoanLimit9Tbl[],AY13,FALSE),IF(AND(OR(UnitsTbl[[#This Row],[MHP
Assisted]]&gt;0,UnitsTbl[[#This Row],[Other Restricted]]&gt;0),UnitsTbl[[#This Row],[Restricted Income Level]]="Manager"),175000,VLOOKUP(CONCATENATE(County,C13),LoanLimitsTbl[],AY13,FALSE)))))))),"")</f>
        <v>0</v>
      </c>
      <c r="AH13" s="1248"/>
      <c r="AI13"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13" s="751"/>
      <c r="AK13" s="755"/>
      <c r="AL13" s="752" t="str">
        <f>IFERROR(IF(UnitsTbl[[#This Row],[Max Gross Rent]]=0,"",UnitsTbl[[#This Row],[Max Gross Rent]]-UnitsTbl[[#This Row],[Less Utility Allowance Schedule 1]]-UnitsTbl[[#This Row],[Less Utility Allowance Schedule 2]]),"")</f>
        <v/>
      </c>
      <c r="AM13" s="751"/>
      <c r="AN13" s="752" t="str">
        <f>IF(UnitsTbl[[#This Row],[Proposed Net Rent ]]="","",UnitsTbl[[#This Row],[Total Units]]*UnitsTbl[[#This Row],[Proposed Net Rent ]])</f>
        <v/>
      </c>
      <c r="AO13" s="1250" t="str">
        <f>IFERROR(UnitsTbl[[#This Row],[Total Units]]*UnitsTbl[[#This Row],[Maximum Net Rent]],"")</f>
        <v/>
      </c>
      <c r="AP13" s="1253"/>
      <c r="AQ13" s="752" t="str">
        <f>IFERROR(IF(UnitsTbl[[#This Row],[Gross Monthly Contract Rent]]="","",IF($AV$4="Restricted",UnitsTbl[[#This Row],[Gross Monthly Contract Rent]]-UnitsTbl[[#This Row],[Maximum Net Rent]],IF($AV$4="Proposed",UnitsTbl[[#This Row],[Gross Monthly Contract Rent]]-UnitsTbl[[#This Row],[Proposed Net Rent ]],0))),"")</f>
        <v/>
      </c>
      <c r="AR13" s="864"/>
      <c r="AS13" s="753" t="str">
        <f>IFERROR(IF(UnitsTbl[[#This Row],[Units Subsidized]]="","",UnitsTbl[[#This Row],[Subsidy Payment Over  Net Rent]]*UnitsTbl[[#This Row],[Units Subsidized]]),"")</f>
        <v/>
      </c>
      <c r="AT13" s="754"/>
      <c r="AU13" s="752" t="str">
        <f>IFERROR(IF(UnitsTbl[[#This Row],[Gross Monthly Contract Rent2]]="","",IF($AV$4="Restricted",UnitsTbl[[#This Row],[Gross Monthly Contract Rent2]]-UnitsTbl[[#This Row],[Maximum Net Rent]],IF($AV$4="Proposed",UnitsTbl[[#This Row],[Gross Monthly Contract Rent2]]-UnitsTbl[[#This Row],[Proposed Net Rent ]],""))),"")</f>
        <v/>
      </c>
      <c r="AV13" s="864"/>
      <c r="AW13" s="1261" t="str">
        <f>IFERROR(IF(UnitsTbl[[#This Row],[Units Subsidized2]]="","",UnitsTbl[[#This Row],[Subsidy Payment Over  Net Rent2]]*UnitsTbl[[#This Row],[Units Subsidized2]]),"")</f>
        <v/>
      </c>
      <c r="AX13" s="1354">
        <f>IF(UnitsTbl[[#This Row],['# of Bedrooms]]="","",IF(UnitsTbl[[#This Row],['# of Bedrooms]]=0,2,IF(UnitsTbl[[#This Row],['# of Bedrooms]]=1,3,IF(UnitsTbl[[#This Row],['# of Bedrooms]]=2,4,IF(UnitsTbl[[#This Row],['# of Bedrooms]]=3,5,IF(UnitsTbl[[#This Row],['# of Bedrooms]]=4,6,IF(UnitsTbl[[#This Row],['# of Bedrooms]]&gt;4,6,"")))))))</f>
        <v>6</v>
      </c>
      <c r="AY13" s="470">
        <f>IF(UnitsTbl[[#This Row],['# of Bedrooms]]="","",IF(UnitsTbl[[#This Row],['# of Bedrooms]]=0,7,IF(UnitsTbl[[#This Row],['# of Bedrooms]]=1,8,IF(UnitsTbl[[#This Row],['# of Bedrooms]]=2,9,IF(UnitsTbl[[#This Row],['# of Bedrooms]]=3,10,IF(UnitsTbl[[#This Row],['# of Bedrooms]]=4,11,IF(UnitsTbl[[#This Row],['# of Bedrooms]]&gt;4,11,"")))))))</f>
        <v>11</v>
      </c>
      <c r="AZ13" s="470" t="str">
        <f>IF(UnitsTbl[[#This Row],['# of Bedrooms]]="","",IF(UnitsTbl[[#This Row],['# of Bedrooms]]=0,2,IF(UnitsTbl[[#This Row],['# of Bedrooms]]=1,3,IF(UnitsTbl[[#This Row],['# of Bedrooms]]=2,4,IF(UnitsTbl[[#This Row],['# of Bedrooms]]=3,5,IF(UnitsTbl[[#This Row],['# of Bedrooms]]=4,6,IF(UnitsTbl[[#This Row],['# of Bedrooms]]=5,7,"")))))))</f>
        <v/>
      </c>
      <c r="BA13" s="1546">
        <f>MIN(SUM(UnitsTbl[[#This Row],[Disability Homelessness ]],UnitsTbl[[#This Row],[Chronic Homelessness]],UnitsTbl[[#This Row],[Homelessness]]),UnitsTbl[[#This Row],[Total Restricted Units]])</f>
        <v>0</v>
      </c>
      <c r="BB13" s="1546">
        <f>(UnitsTbl[[#This Row],[Restricted Income Level]]&lt;=30%)*UnitsTbl[[#This Row],[Total Restricted Units]]</f>
        <v>0</v>
      </c>
      <c r="BC13" s="1546">
        <f t="shared" si="10"/>
        <v>0</v>
      </c>
      <c r="BD13" s="1545"/>
      <c r="BE13" s="1545"/>
      <c r="BF13" s="1545"/>
      <c r="BG13" s="472"/>
      <c r="BH13" s="1348" t="s">
        <v>2391</v>
      </c>
      <c r="BI13" s="483">
        <v>305427</v>
      </c>
      <c r="BJ13" s="483">
        <v>316519</v>
      </c>
      <c r="BK13" s="483">
        <v>349794</v>
      </c>
      <c r="BL13" s="483">
        <v>380908</v>
      </c>
      <c r="BM13" s="483">
        <v>407701</v>
      </c>
      <c r="BN13" s="483">
        <v>330427</v>
      </c>
      <c r="BO13" s="483">
        <v>341519</v>
      </c>
      <c r="BP13" s="483">
        <v>374794</v>
      </c>
      <c r="BQ13" s="483">
        <v>405908</v>
      </c>
      <c r="BR13" s="1344">
        <v>432701</v>
      </c>
      <c r="BS13" s="472"/>
      <c r="BT13" s="1345" t="s">
        <v>718</v>
      </c>
      <c r="BU13" s="508">
        <v>24400</v>
      </c>
      <c r="BV13" s="508">
        <v>27900</v>
      </c>
      <c r="BW13" s="508">
        <v>31400</v>
      </c>
      <c r="BX13" s="508">
        <v>34850</v>
      </c>
      <c r="BY13" s="508">
        <v>37650</v>
      </c>
      <c r="BZ13" s="508">
        <v>40450</v>
      </c>
      <c r="CA13" s="508">
        <v>43250</v>
      </c>
      <c r="CB13" s="1346">
        <v>46050</v>
      </c>
      <c r="CC13" s="472"/>
      <c r="CD13" s="1348" t="s">
        <v>2391</v>
      </c>
      <c r="CE13" s="504">
        <v>250427</v>
      </c>
      <c r="CF13" s="504">
        <v>261519</v>
      </c>
      <c r="CG13" s="504">
        <v>294794</v>
      </c>
      <c r="CH13" s="504">
        <v>325908</v>
      </c>
      <c r="CI13" s="504">
        <v>352701</v>
      </c>
      <c r="CJ13" s="504">
        <v>265427</v>
      </c>
      <c r="CK13" s="504">
        <v>276519</v>
      </c>
      <c r="CL13" s="504">
        <v>309794</v>
      </c>
      <c r="CM13" s="504">
        <v>340908</v>
      </c>
      <c r="CN13" s="1347">
        <v>367701</v>
      </c>
      <c r="CO13" s="1545"/>
      <c r="CP13" s="1545">
        <v>0.8</v>
      </c>
      <c r="CQ13" s="486">
        <f t="shared" si="9"/>
        <v>43680</v>
      </c>
      <c r="CR13" s="486">
        <f t="shared" si="2"/>
        <v>49920</v>
      </c>
      <c r="CS13" s="486">
        <f t="shared" si="3"/>
        <v>56160</v>
      </c>
      <c r="CT13" s="486">
        <f t="shared" si="4"/>
        <v>62320</v>
      </c>
      <c r="CU13" s="486">
        <f t="shared" si="5"/>
        <v>67360</v>
      </c>
      <c r="CV13" s="486">
        <f t="shared" si="6"/>
        <v>72320</v>
      </c>
      <c r="CW13" s="486">
        <f t="shared" si="7"/>
        <v>77280</v>
      </c>
      <c r="CX13" s="486">
        <f t="shared" si="8"/>
        <v>82320</v>
      </c>
    </row>
    <row r="14" spans="1:102" s="254" customFormat="1" ht="18" customHeight="1">
      <c r="A14" s="1226"/>
      <c r="B14" s="611">
        <v>5</v>
      </c>
      <c r="C14" s="549">
        <v>0.3</v>
      </c>
      <c r="D14" s="615">
        <v>9</v>
      </c>
      <c r="E14" s="1048"/>
      <c r="F14" s="550"/>
      <c r="G14" s="550"/>
      <c r="H14" s="550"/>
      <c r="I14" s="550"/>
      <c r="J14" s="614"/>
      <c r="K14" s="1048"/>
      <c r="L14" s="550"/>
      <c r="M14" s="550"/>
      <c r="N14" s="550"/>
      <c r="O14" s="550"/>
      <c r="P14" s="550"/>
      <c r="Q14" s="550"/>
      <c r="R14" s="550"/>
      <c r="S14" s="550"/>
      <c r="T14" s="614"/>
      <c r="U14" s="1048"/>
      <c r="V14" s="615"/>
      <c r="W14" s="611"/>
      <c r="X14" s="864"/>
      <c r="Y14" s="615"/>
      <c r="Z14" s="1193">
        <f>IF(OR(UnitsTbl[[#This Row],[Restricted Income Level]]="Manager",UnitsTbl[[#This Row],[Restricted Income Level]]="Market",UnitsTbl[[#This Row],[Restricted Income Level]]&gt;60%),0,MIN(SUM(UnitsTbl[[#This Row],[IIG
Assisted]:[VHHP
Assisted]])+UnitsTbl[[#This Row],[Other Restricted]],UnitsTbl[[#This Row],[Total Units]]))</f>
        <v>0</v>
      </c>
      <c r="AA14" s="1626">
        <f>UnitsTbl[[#This Row],[Total Restricted Units]]*25000+IF(UnitsTbl[[#This Row],[Restricted Income Level]]="Manager",UnitsTbl[[#This Row],[Total Units]]*25000,0)</f>
        <v>0</v>
      </c>
      <c r="AB14"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14"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14"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14"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14" s="1629">
        <f>IFERROR(IF(AND(IsMhp,UnitsTbl[[#This Row],[Restricted Income Level]]="Manager"),UnitsTbl[[#This Row],[Total Units]]*IF(AND(UnitsTbl[[#This Row],[Total Units]]&gt;0,Taxcredit=9%,UnitsTbl[[#This Row],[Restricted Income Level]]="Manager"),95000,IF(AND(IsMhp,UnitsTbl[[#This Row],[Total Units]]&gt;0,Taxcredit=9%),VLOOKUP(CONCATENATE(County,C14),LoanLimit9Tbl[],AX14,FALSE),IF(AND(IsMhp,UnitsTbl[[#This Row],[Total Units]]&gt;0,OR(Taxcredit=4%,Taxcredit="None"),UnitsTbl[[#This Row],[Restricted Income Level]]="Manager"),150000,VLOOKUP(CONCATENATE(County,C14),LoanLimitsTbl[],AX14,FALSE)))),(IF($R$4=FALSE,((UnitsTbl[[#This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Restricted]]&gt;0),IsMhp,Taxcredit=9%),VLOOKUP(CONCATENATE(County,C14),LoanLimit9Tbl[],AX14,FALSE),IF(AND(IsMhp,UnitsTbl[[#This Row],[MHP
Assisted]]&gt;0,UnitsTbl[[#This Row],[Restricted Income Level]]="Manager"),150000,VLOOKUP(CONCATENATE(County,C14),LoanLimitsTbl[],AX14,FALSE))))))),0)</f>
        <v>0</v>
      </c>
      <c r="AG14"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Restricted]]&gt;0),IsMhp,Taxcredit=9%),VLOOKUP(CONCATENATE(County,C14),LoanLimit9Tbl[],AY14,FALSE),IF(AND(OR(UnitsTbl[[#This Row],[MHP
Assisted]]&gt;0,UnitsTbl[[#This Row],[Other Restricted]]&gt;0),UnitsTbl[[#This Row],[Restricted Income Level]]="Manager"),175000,VLOOKUP(CONCATENATE(County,C14),LoanLimitsTbl[],AY14,FALSE)))),IF(UnitsTbl[[#This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Restricted]]&gt;0),IsMhp,Taxcredit=9%),VLOOKUP(CONCATENATE(County,C14),LoanLimit9Tbl[],AY14,FALSE),IF(AND(OR(UnitsTbl[[#This Row],[MHP
Assisted]]&gt;0,UnitsTbl[[#This Row],[Other Restricted]]&gt;0),UnitsTbl[[#This Row],[Restricted Income Level]]="Manager"),175000,VLOOKUP(CONCATENATE(County,C14),LoanLimitsTbl[],AY14,FALSE)))))))),"")</f>
        <v>0</v>
      </c>
      <c r="AH14" s="1248"/>
      <c r="AI14"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14" s="751"/>
      <c r="AK14" s="755"/>
      <c r="AL14" s="752" t="str">
        <f>IFERROR(IF(UnitsTbl[[#This Row],[Max Gross Rent]]=0,"",UnitsTbl[[#This Row],[Max Gross Rent]]-UnitsTbl[[#This Row],[Less Utility Allowance Schedule 1]]-UnitsTbl[[#This Row],[Less Utility Allowance Schedule 2]]),"")</f>
        <v/>
      </c>
      <c r="AM14" s="751"/>
      <c r="AN14" s="752" t="str">
        <f>IF(UnitsTbl[[#This Row],[Proposed Net Rent ]]="","",UnitsTbl[[#This Row],[Total Units]]*UnitsTbl[[#This Row],[Proposed Net Rent ]])</f>
        <v/>
      </c>
      <c r="AO14" s="1250" t="str">
        <f>IFERROR(UnitsTbl[[#This Row],[Total Units]]*UnitsTbl[[#This Row],[Maximum Net Rent]],"")</f>
        <v/>
      </c>
      <c r="AP14" s="1253"/>
      <c r="AQ14" s="752" t="str">
        <f>IFERROR(IF(UnitsTbl[[#This Row],[Gross Monthly Contract Rent]]="","",IF($AV$4="Restricted",UnitsTbl[[#This Row],[Gross Monthly Contract Rent]]-UnitsTbl[[#This Row],[Maximum Net Rent]],IF($AV$4="Proposed",UnitsTbl[[#This Row],[Gross Monthly Contract Rent]]-UnitsTbl[[#This Row],[Proposed Net Rent ]],0))),"")</f>
        <v/>
      </c>
      <c r="AR14" s="864"/>
      <c r="AS14" s="753" t="str">
        <f>IFERROR(IF(UnitsTbl[[#This Row],[Units Subsidized]]="","",UnitsTbl[[#This Row],[Subsidy Payment Over  Net Rent]]*UnitsTbl[[#This Row],[Units Subsidized]]),"")</f>
        <v/>
      </c>
      <c r="AT14" s="754"/>
      <c r="AU14" s="752" t="str">
        <f>IFERROR(IF(UnitsTbl[[#This Row],[Gross Monthly Contract Rent2]]="","",IF($AV$4="Restricted",UnitsTbl[[#This Row],[Gross Monthly Contract Rent2]]-UnitsTbl[[#This Row],[Maximum Net Rent]],IF($AV$4="Proposed",UnitsTbl[[#This Row],[Gross Monthly Contract Rent2]]-UnitsTbl[[#This Row],[Proposed Net Rent ]],""))),"")</f>
        <v/>
      </c>
      <c r="AV14" s="864"/>
      <c r="AW14" s="1261" t="str">
        <f>IFERROR(IF(UnitsTbl[[#This Row],[Units Subsidized2]]="","",UnitsTbl[[#This Row],[Subsidy Payment Over  Net Rent2]]*UnitsTbl[[#This Row],[Units Subsidized2]]),"")</f>
        <v/>
      </c>
      <c r="AX14" s="1354">
        <f>IF(UnitsTbl[[#This Row],['# of Bedrooms]]="","",IF(UnitsTbl[[#This Row],['# of Bedrooms]]=0,2,IF(UnitsTbl[[#This Row],['# of Bedrooms]]=1,3,IF(UnitsTbl[[#This Row],['# of Bedrooms]]=2,4,IF(UnitsTbl[[#This Row],['# of Bedrooms]]=3,5,IF(UnitsTbl[[#This Row],['# of Bedrooms]]=4,6,IF(UnitsTbl[[#This Row],['# of Bedrooms]]&gt;4,6,"")))))))</f>
        <v>6</v>
      </c>
      <c r="AY14" s="470">
        <f>IF(UnitsTbl[[#This Row],['# of Bedrooms]]="","",IF(UnitsTbl[[#This Row],['# of Bedrooms]]=0,7,IF(UnitsTbl[[#This Row],['# of Bedrooms]]=1,8,IF(UnitsTbl[[#This Row],['# of Bedrooms]]=2,9,IF(UnitsTbl[[#This Row],['# of Bedrooms]]=3,10,IF(UnitsTbl[[#This Row],['# of Bedrooms]]=4,11,IF(UnitsTbl[[#This Row],['# of Bedrooms]]&gt;4,11,"")))))))</f>
        <v>11</v>
      </c>
      <c r="AZ14" s="470">
        <f>IF(UnitsTbl[[#This Row],['# of Bedrooms]]="","",IF(UnitsTbl[[#This Row],['# of Bedrooms]]=0,2,IF(UnitsTbl[[#This Row],['# of Bedrooms]]=1,3,IF(UnitsTbl[[#This Row],['# of Bedrooms]]=2,4,IF(UnitsTbl[[#This Row],['# of Bedrooms]]=3,5,IF(UnitsTbl[[#This Row],['# of Bedrooms]]=4,6,IF(UnitsTbl[[#This Row],['# of Bedrooms]]=5,7,"")))))))</f>
        <v>7</v>
      </c>
      <c r="BA14" s="1546">
        <f>MIN(SUM(UnitsTbl[[#This Row],[Disability Homelessness ]],UnitsTbl[[#This Row],[Chronic Homelessness]],UnitsTbl[[#This Row],[Homelessness]]),UnitsTbl[[#This Row],[Total Restricted Units]])</f>
        <v>0</v>
      </c>
      <c r="BB14" s="1546">
        <f>(UnitsTbl[[#This Row],[Restricted Income Level]]&lt;=30%)*UnitsTbl[[#This Row],[Total Restricted Units]]</f>
        <v>0</v>
      </c>
      <c r="BC14" s="1546">
        <f t="shared" si="10"/>
        <v>0</v>
      </c>
      <c r="BD14" s="1545"/>
      <c r="BE14" s="1545"/>
      <c r="BF14" s="1545"/>
      <c r="BG14" s="1545"/>
      <c r="BH14" s="1343" t="s">
        <v>2392</v>
      </c>
      <c r="BI14" s="483">
        <v>150000</v>
      </c>
      <c r="BJ14" s="483">
        <v>150000</v>
      </c>
      <c r="BK14" s="483">
        <v>150000</v>
      </c>
      <c r="BL14" s="483">
        <v>150000</v>
      </c>
      <c r="BM14" s="483">
        <v>150000</v>
      </c>
      <c r="BN14" s="483">
        <v>175000</v>
      </c>
      <c r="BO14" s="483">
        <v>175000</v>
      </c>
      <c r="BP14" s="483">
        <v>175000</v>
      </c>
      <c r="BQ14" s="483">
        <v>175000</v>
      </c>
      <c r="BR14" s="1344">
        <v>175000</v>
      </c>
      <c r="BS14" s="1545"/>
      <c r="BT14" s="1345" t="s">
        <v>2393</v>
      </c>
      <c r="BU14" s="508">
        <v>24400</v>
      </c>
      <c r="BV14" s="508">
        <v>27900</v>
      </c>
      <c r="BW14" s="508">
        <v>31400</v>
      </c>
      <c r="BX14" s="508">
        <v>34850</v>
      </c>
      <c r="BY14" s="508">
        <v>37650</v>
      </c>
      <c r="BZ14" s="508">
        <v>40450</v>
      </c>
      <c r="CA14" s="508">
        <v>43250</v>
      </c>
      <c r="CB14" s="1346">
        <v>46050</v>
      </c>
      <c r="CC14" s="1545"/>
      <c r="CD14" s="1343" t="s">
        <v>2392</v>
      </c>
      <c r="CE14" s="504">
        <v>95000</v>
      </c>
      <c r="CF14" s="504">
        <v>95000</v>
      </c>
      <c r="CG14" s="504">
        <v>95000</v>
      </c>
      <c r="CH14" s="504">
        <v>95000</v>
      </c>
      <c r="CI14" s="504">
        <v>95000</v>
      </c>
      <c r="CJ14" s="504">
        <v>110000</v>
      </c>
      <c r="CK14" s="504">
        <v>110000</v>
      </c>
      <c r="CL14" s="504">
        <v>110000</v>
      </c>
      <c r="CM14" s="504">
        <v>110000</v>
      </c>
      <c r="CN14" s="1347">
        <v>110000</v>
      </c>
      <c r="CO14" s="1545"/>
      <c r="CP14" s="1545">
        <v>0.75</v>
      </c>
      <c r="CQ14" s="486">
        <f t="shared" si="9"/>
        <v>40950</v>
      </c>
      <c r="CR14" s="486">
        <f t="shared" si="2"/>
        <v>46800</v>
      </c>
      <c r="CS14" s="486">
        <f t="shared" si="3"/>
        <v>52650</v>
      </c>
      <c r="CT14" s="486">
        <f t="shared" si="4"/>
        <v>58425</v>
      </c>
      <c r="CU14" s="486">
        <f t="shared" si="5"/>
        <v>63150</v>
      </c>
      <c r="CV14" s="486">
        <f t="shared" si="6"/>
        <v>67800</v>
      </c>
      <c r="CW14" s="486">
        <f t="shared" si="7"/>
        <v>72450</v>
      </c>
      <c r="CX14" s="486">
        <f t="shared" si="8"/>
        <v>77175</v>
      </c>
    </row>
    <row r="15" spans="1:102" s="254" customFormat="1" ht="18" customHeight="1">
      <c r="A15" s="1227"/>
      <c r="B15" s="611">
        <v>4</v>
      </c>
      <c r="C15" s="549">
        <v>0.6</v>
      </c>
      <c r="D15" s="615">
        <v>0</v>
      </c>
      <c r="E15" s="1048"/>
      <c r="F15" s="550"/>
      <c r="G15" s="550"/>
      <c r="H15" s="550"/>
      <c r="I15" s="550"/>
      <c r="J15" s="614"/>
      <c r="K15" s="1048"/>
      <c r="L15" s="550"/>
      <c r="M15" s="550"/>
      <c r="N15" s="550"/>
      <c r="O15" s="550"/>
      <c r="P15" s="550"/>
      <c r="Q15" s="550"/>
      <c r="R15" s="550"/>
      <c r="S15" s="550"/>
      <c r="T15" s="614"/>
      <c r="U15" s="1048"/>
      <c r="V15" s="615"/>
      <c r="W15" s="611"/>
      <c r="X15" s="864"/>
      <c r="Y15" s="615"/>
      <c r="Z15" s="1193">
        <f>IF(OR(UnitsTbl[[#This Row],[Restricted Income Level]]="Manager",UnitsTbl[[#This Row],[Restricted Income Level]]="Market",UnitsTbl[[#This Row],[Restricted Income Level]]&gt;60%),0,MIN(SUM(UnitsTbl[[#This Row],[IIG
Assisted]:[VHHP
Assisted]])+UnitsTbl[[#This Row],[Other Restricted]],UnitsTbl[[#This Row],[Total Units]]))</f>
        <v>0</v>
      </c>
      <c r="AA15" s="1626">
        <f>UnitsTbl[[#This Row],[Total Restricted Units]]*25000+IF(UnitsTbl[[#This Row],[Restricted Income Level]]="Manager",UnitsTbl[[#This Row],[Total Units]]*25000,0)</f>
        <v>0</v>
      </c>
      <c r="AB15"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15"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15"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15"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15" s="1629">
        <f>IFERROR(IF(AND(IsMhp,UnitsTbl[[#This Row],[Restricted Income Level]]="Manager"),UnitsTbl[[#This Row],[Total Units]]*IF(AND(UnitsTbl[[#This Row],[Total Units]]&gt;0,Taxcredit=9%,UnitsTbl[[#This Row],[Restricted Income Level]]="Manager"),95000,IF(AND(IsMhp,UnitsTbl[[#This Row],[Total Units]]&gt;0,Taxcredit=9%),VLOOKUP(CONCATENATE(County,C15),LoanLimit9Tbl[],AX15,FALSE),IF(AND(IsMhp,UnitsTbl[[#This Row],[Total Units]]&gt;0,OR(Taxcredit=4%,Taxcredit="None"),UnitsTbl[[#This Row],[Restricted Income Level]]="Manager"),150000,VLOOKUP(CONCATENATE(County,C15),LoanLimitsTbl[],AX15,FALSE)))),(IF($R$4=FALSE,((UnitsTbl[[#This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Restricted]]&gt;0),IsMhp,Taxcredit=9%),VLOOKUP(CONCATENATE(County,C15),LoanLimit9Tbl[],AX15,FALSE),IF(AND(IsMhp,UnitsTbl[[#This Row],[MHP
Assisted]]&gt;0,UnitsTbl[[#This Row],[Restricted Income Level]]="Manager"),150000,VLOOKUP(CONCATENATE(County,C15),LoanLimitsTbl[],AX15,FALSE))))))),0)</f>
        <v>0</v>
      </c>
      <c r="AG15"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Restricted]]&gt;0),IsMhp,Taxcredit=9%),VLOOKUP(CONCATENATE(County,C15),LoanLimit9Tbl[],AY15,FALSE),IF(AND(OR(UnitsTbl[[#This Row],[MHP
Assisted]]&gt;0,UnitsTbl[[#This Row],[Other Restricted]]&gt;0),UnitsTbl[[#This Row],[Restricted Income Level]]="Manager"),175000,VLOOKUP(CONCATENATE(County,C15),LoanLimitsTbl[],AY15,FALSE)))),IF(UnitsTbl[[#This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Restricted]]&gt;0),IsMhp,Taxcredit=9%),VLOOKUP(CONCATENATE(County,C15),LoanLimit9Tbl[],AY15,FALSE),IF(AND(OR(UnitsTbl[[#This Row],[MHP
Assisted]]&gt;0,UnitsTbl[[#This Row],[Other Restricted]]&gt;0),UnitsTbl[[#This Row],[Restricted Income Level]]="Manager"),175000,VLOOKUP(CONCATENATE(County,C15),LoanLimitsTbl[],AY15,FALSE)))))))),"")</f>
        <v>0</v>
      </c>
      <c r="AH15" s="1248"/>
      <c r="AI15"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15" s="751"/>
      <c r="AK15" s="755"/>
      <c r="AL15" s="752" t="str">
        <f>IFERROR(IF(UnitsTbl[[#This Row],[Max Gross Rent]]=0,"",UnitsTbl[[#This Row],[Max Gross Rent]]-UnitsTbl[[#This Row],[Less Utility Allowance Schedule 1]]-UnitsTbl[[#This Row],[Less Utility Allowance Schedule 2]]),"")</f>
        <v/>
      </c>
      <c r="AM15" s="751"/>
      <c r="AN15" s="752" t="str">
        <f>IF(UnitsTbl[[#This Row],[Proposed Net Rent ]]="","",UnitsTbl[[#This Row],[Total Units]]*UnitsTbl[[#This Row],[Proposed Net Rent ]])</f>
        <v/>
      </c>
      <c r="AO15" s="1250" t="str">
        <f>IFERROR(UnitsTbl[[#This Row],[Total Units]]*UnitsTbl[[#This Row],[Maximum Net Rent]],"")</f>
        <v/>
      </c>
      <c r="AP15" s="1253"/>
      <c r="AQ15" s="752" t="str">
        <f>IFERROR(IF(UnitsTbl[[#This Row],[Gross Monthly Contract Rent]]="","",IF($AV$4="Restricted",UnitsTbl[[#This Row],[Gross Monthly Contract Rent]]-UnitsTbl[[#This Row],[Maximum Net Rent]],IF($AV$4="Proposed",UnitsTbl[[#This Row],[Gross Monthly Contract Rent]]-UnitsTbl[[#This Row],[Proposed Net Rent ]],0))),"")</f>
        <v/>
      </c>
      <c r="AR15" s="864"/>
      <c r="AS15" s="753" t="str">
        <f>IFERROR(IF(UnitsTbl[[#This Row],[Units Subsidized]]="","",UnitsTbl[[#This Row],[Subsidy Payment Over  Net Rent]]*UnitsTbl[[#This Row],[Units Subsidized]]),"")</f>
        <v/>
      </c>
      <c r="AT15" s="754"/>
      <c r="AU15" s="752" t="str">
        <f>IFERROR(IF(UnitsTbl[[#This Row],[Gross Monthly Contract Rent2]]="","",IF($AV$4="Restricted",UnitsTbl[[#This Row],[Gross Monthly Contract Rent2]]-UnitsTbl[[#This Row],[Maximum Net Rent]],IF($AV$4="Proposed",UnitsTbl[[#This Row],[Gross Monthly Contract Rent2]]-UnitsTbl[[#This Row],[Proposed Net Rent ]],""))),"")</f>
        <v/>
      </c>
      <c r="AV15" s="864"/>
      <c r="AW15" s="1261" t="str">
        <f>IFERROR(IF(UnitsTbl[[#This Row],[Units Subsidized2]]="","",UnitsTbl[[#This Row],[Subsidy Payment Over  Net Rent2]]*UnitsTbl[[#This Row],[Units Subsidized2]]),"")</f>
        <v/>
      </c>
      <c r="AX15" s="1354">
        <f>IF(UnitsTbl[[#This Row],['# of Bedrooms]]="","",IF(UnitsTbl[[#This Row],['# of Bedrooms]]=0,2,IF(UnitsTbl[[#This Row],['# of Bedrooms]]=1,3,IF(UnitsTbl[[#This Row],['# of Bedrooms]]=2,4,IF(UnitsTbl[[#This Row],['# of Bedrooms]]=3,5,IF(UnitsTbl[[#This Row],['# of Bedrooms]]=4,6,IF(UnitsTbl[[#This Row],['# of Bedrooms]]&gt;4,6,"")))))))</f>
        <v>6</v>
      </c>
      <c r="AY15" s="470">
        <f>IF(UnitsTbl[[#This Row],['# of Bedrooms]]="","",IF(UnitsTbl[[#This Row],['# of Bedrooms]]=0,7,IF(UnitsTbl[[#This Row],['# of Bedrooms]]=1,8,IF(UnitsTbl[[#This Row],['# of Bedrooms]]=2,9,IF(UnitsTbl[[#This Row],['# of Bedrooms]]=3,10,IF(UnitsTbl[[#This Row],['# of Bedrooms]]=4,11,IF(UnitsTbl[[#This Row],['# of Bedrooms]]&gt;4,11,"")))))))</f>
        <v>11</v>
      </c>
      <c r="AZ15" s="470">
        <f>IF(UnitsTbl[[#This Row],['# of Bedrooms]]="","",IF(UnitsTbl[[#This Row],['# of Bedrooms]]=0,2,IF(UnitsTbl[[#This Row],['# of Bedrooms]]=1,3,IF(UnitsTbl[[#This Row],['# of Bedrooms]]=2,4,IF(UnitsTbl[[#This Row],['# of Bedrooms]]=3,5,IF(UnitsTbl[[#This Row],['# of Bedrooms]]=4,6,IF(UnitsTbl[[#This Row],['# of Bedrooms]]=5,7,"")))))))</f>
        <v>6</v>
      </c>
      <c r="BA15" s="1546">
        <f>MIN(SUM(UnitsTbl[[#This Row],[Disability Homelessness ]],UnitsTbl[[#This Row],[Chronic Homelessness]],UnitsTbl[[#This Row],[Homelessness]]),UnitsTbl[[#This Row],[Total Restricted Units]])</f>
        <v>0</v>
      </c>
      <c r="BB15" s="1546">
        <f>(UnitsTbl[[#This Row],[Restricted Income Level]]&lt;=30%)*UnitsTbl[[#This Row],[Total Restricted Units]]</f>
        <v>0</v>
      </c>
      <c r="BC15" s="1546">
        <f t="shared" si="10"/>
        <v>0</v>
      </c>
      <c r="BD15" s="1545"/>
      <c r="BE15" s="1545"/>
      <c r="BF15" s="1545"/>
      <c r="BG15" s="1545"/>
      <c r="BH15" s="1348" t="s">
        <v>2394</v>
      </c>
      <c r="BI15" s="483">
        <v>160227</v>
      </c>
      <c r="BJ15" s="483">
        <v>160948</v>
      </c>
      <c r="BK15" s="483">
        <v>163108</v>
      </c>
      <c r="BL15" s="483">
        <v>165125</v>
      </c>
      <c r="BM15" s="483">
        <v>166998</v>
      </c>
      <c r="BN15" s="483">
        <v>185227</v>
      </c>
      <c r="BO15" s="483">
        <v>185948</v>
      </c>
      <c r="BP15" s="483">
        <v>188108</v>
      </c>
      <c r="BQ15" s="483">
        <v>190125</v>
      </c>
      <c r="BR15" s="1344">
        <v>191998</v>
      </c>
      <c r="BS15" s="1545"/>
      <c r="BT15" s="1345" t="s">
        <v>2395</v>
      </c>
      <c r="BU15" s="508">
        <v>24400</v>
      </c>
      <c r="BV15" s="508">
        <v>27900</v>
      </c>
      <c r="BW15" s="508">
        <v>31400</v>
      </c>
      <c r="BX15" s="508">
        <v>34850</v>
      </c>
      <c r="BY15" s="508">
        <v>37650</v>
      </c>
      <c r="BZ15" s="508">
        <v>40450</v>
      </c>
      <c r="CA15" s="508">
        <v>43250</v>
      </c>
      <c r="CB15" s="1346">
        <v>46050</v>
      </c>
      <c r="CC15" s="1545"/>
      <c r="CD15" s="1348" t="s">
        <v>2394</v>
      </c>
      <c r="CE15" s="504">
        <v>105227</v>
      </c>
      <c r="CF15" s="504">
        <v>105948</v>
      </c>
      <c r="CG15" s="504">
        <v>108108</v>
      </c>
      <c r="CH15" s="504">
        <v>110125</v>
      </c>
      <c r="CI15" s="504">
        <v>111998</v>
      </c>
      <c r="CJ15" s="504">
        <v>120227</v>
      </c>
      <c r="CK15" s="504">
        <v>120948</v>
      </c>
      <c r="CL15" s="504">
        <v>123108</v>
      </c>
      <c r="CM15" s="504">
        <v>125125</v>
      </c>
      <c r="CN15" s="1347">
        <v>126998</v>
      </c>
      <c r="CO15" s="1545"/>
      <c r="CP15" s="1545">
        <v>0.7</v>
      </c>
      <c r="CQ15" s="486">
        <f t="shared" si="9"/>
        <v>38220</v>
      </c>
      <c r="CR15" s="486">
        <f t="shared" si="2"/>
        <v>43680</v>
      </c>
      <c r="CS15" s="486">
        <f t="shared" si="3"/>
        <v>49140</v>
      </c>
      <c r="CT15" s="486">
        <f t="shared" si="4"/>
        <v>54530</v>
      </c>
      <c r="CU15" s="486">
        <f t="shared" si="5"/>
        <v>58939.999999999993</v>
      </c>
      <c r="CV15" s="486">
        <f t="shared" si="6"/>
        <v>63279.999999999993</v>
      </c>
      <c r="CW15" s="486">
        <f t="shared" si="7"/>
        <v>67620</v>
      </c>
      <c r="CX15" s="486">
        <f t="shared" si="8"/>
        <v>72030</v>
      </c>
    </row>
    <row r="16" spans="1:102" s="254" customFormat="1" ht="18" customHeight="1">
      <c r="A16" s="1226"/>
      <c r="B16" s="611">
        <v>3</v>
      </c>
      <c r="C16" s="549">
        <v>0.3</v>
      </c>
      <c r="D16" s="615">
        <v>12</v>
      </c>
      <c r="E16" s="1048"/>
      <c r="F16" s="550"/>
      <c r="G16" s="550"/>
      <c r="H16" s="550"/>
      <c r="I16" s="550"/>
      <c r="J16" s="614"/>
      <c r="K16" s="1048"/>
      <c r="L16" s="550"/>
      <c r="M16" s="550"/>
      <c r="N16" s="550"/>
      <c r="O16" s="550"/>
      <c r="P16" s="550"/>
      <c r="Q16" s="550"/>
      <c r="R16" s="550"/>
      <c r="S16" s="550"/>
      <c r="T16" s="614"/>
      <c r="U16" s="1048"/>
      <c r="V16" s="615"/>
      <c r="W16" s="611"/>
      <c r="X16" s="864"/>
      <c r="Y16" s="615"/>
      <c r="Z16" s="1193">
        <f>IF(OR(UnitsTbl[[#This Row],[Restricted Income Level]]="Manager",UnitsTbl[[#This Row],[Restricted Income Level]]="Market",UnitsTbl[[#This Row],[Restricted Income Level]]&gt;60%),0,MIN(SUM(UnitsTbl[[#This Row],[IIG
Assisted]:[VHHP
Assisted]])+UnitsTbl[[#This Row],[Other Restricted]],UnitsTbl[[#This Row],[Total Units]]))</f>
        <v>0</v>
      </c>
      <c r="AA16" s="1626">
        <f>UnitsTbl[[#This Row],[Total Restricted Units]]*25000+IF(UnitsTbl[[#This Row],[Restricted Income Level]]="Manager",UnitsTbl[[#This Row],[Total Units]]*25000,0)</f>
        <v>0</v>
      </c>
      <c r="AB16"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16"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16"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16"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16" s="1629">
        <f>IFERROR(IF(AND(IsMhp,UnitsTbl[[#This Row],[Restricted Income Level]]="Manager"),UnitsTbl[[#This Row],[Total Units]]*IF(AND(UnitsTbl[[#This Row],[Total Units]]&gt;0,Taxcredit=9%,UnitsTbl[[#This Row],[Restricted Income Level]]="Manager"),95000,IF(AND(IsMhp,UnitsTbl[[#This Row],[Total Units]]&gt;0,Taxcredit=9%),VLOOKUP(CONCATENATE(County,C16),LoanLimit9Tbl[],AX16,FALSE),IF(AND(IsMhp,UnitsTbl[[#This Row],[Total Units]]&gt;0,OR(Taxcredit=4%,Taxcredit="None"),UnitsTbl[[#This Row],[Restricted Income Level]]="Manager"),150000,VLOOKUP(CONCATENATE(County,C16),LoanLimitsTbl[],AX16,FALSE)))),(IF($R$4=FALSE,((UnitsTbl[[#This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Restricted]]&gt;0),IsMhp,Taxcredit=9%),VLOOKUP(CONCATENATE(County,C16),LoanLimit9Tbl[],AX16,FALSE),IF(AND(IsMhp,UnitsTbl[[#This Row],[MHP
Assisted]]&gt;0,UnitsTbl[[#This Row],[Restricted Income Level]]="Manager"),150000,VLOOKUP(CONCATENATE(County,C16),LoanLimitsTbl[],AX16,FALSE))))))),0)</f>
        <v>0</v>
      </c>
      <c r="AG16"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Restricted]]&gt;0),IsMhp,Taxcredit=9%),VLOOKUP(CONCATENATE(County,C16),LoanLimit9Tbl[],AY16,FALSE),IF(AND(OR(UnitsTbl[[#This Row],[MHP
Assisted]]&gt;0,UnitsTbl[[#This Row],[Other Restricted]]&gt;0),UnitsTbl[[#This Row],[Restricted Income Level]]="Manager"),175000,VLOOKUP(CONCATENATE(County,C16),LoanLimitsTbl[],AY16,FALSE)))),IF(UnitsTbl[[#This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Restricted]]&gt;0),IsMhp,Taxcredit=9%),VLOOKUP(CONCATENATE(County,C16),LoanLimit9Tbl[],AY16,FALSE),IF(AND(OR(UnitsTbl[[#This Row],[MHP
Assisted]]&gt;0,UnitsTbl[[#This Row],[Other Restricted]]&gt;0),UnitsTbl[[#This Row],[Restricted Income Level]]="Manager"),175000,VLOOKUP(CONCATENATE(County,C16),LoanLimitsTbl[],AY16,FALSE)))))))),"")</f>
        <v>0</v>
      </c>
      <c r="AH16" s="1248"/>
      <c r="AI16"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16" s="751"/>
      <c r="AK16" s="755"/>
      <c r="AL16" s="752" t="str">
        <f>IFERROR(IF(UnitsTbl[[#This Row],[Max Gross Rent]]=0,"",UnitsTbl[[#This Row],[Max Gross Rent]]-UnitsTbl[[#This Row],[Less Utility Allowance Schedule 1]]-UnitsTbl[[#This Row],[Less Utility Allowance Schedule 2]]),"")</f>
        <v/>
      </c>
      <c r="AM16" s="751"/>
      <c r="AN16" s="752" t="str">
        <f>IF(UnitsTbl[[#This Row],[Proposed Net Rent ]]="","",UnitsTbl[[#This Row],[Total Units]]*UnitsTbl[[#This Row],[Proposed Net Rent ]])</f>
        <v/>
      </c>
      <c r="AO16" s="1250" t="str">
        <f>IFERROR(UnitsTbl[[#This Row],[Total Units]]*UnitsTbl[[#This Row],[Maximum Net Rent]],"")</f>
        <v/>
      </c>
      <c r="AP16" s="1253"/>
      <c r="AQ16" s="752" t="str">
        <f>IFERROR(IF(UnitsTbl[[#This Row],[Gross Monthly Contract Rent]]="","",IF($AV$4="Restricted",UnitsTbl[[#This Row],[Gross Monthly Contract Rent]]-UnitsTbl[[#This Row],[Maximum Net Rent]],IF($AV$4="Proposed",UnitsTbl[[#This Row],[Gross Monthly Contract Rent]]-UnitsTbl[[#This Row],[Proposed Net Rent ]],0))),"")</f>
        <v/>
      </c>
      <c r="AR16" s="864"/>
      <c r="AS16" s="753" t="str">
        <f>IFERROR(IF(UnitsTbl[[#This Row],[Units Subsidized]]="","",UnitsTbl[[#This Row],[Subsidy Payment Over  Net Rent]]*UnitsTbl[[#This Row],[Units Subsidized]]),"")</f>
        <v/>
      </c>
      <c r="AT16" s="754"/>
      <c r="AU16" s="752" t="str">
        <f>IFERROR(IF(UnitsTbl[[#This Row],[Gross Monthly Contract Rent2]]="","",IF($AV$4="Restricted",UnitsTbl[[#This Row],[Gross Monthly Contract Rent2]]-UnitsTbl[[#This Row],[Maximum Net Rent]],IF($AV$4="Proposed",UnitsTbl[[#This Row],[Gross Monthly Contract Rent2]]-UnitsTbl[[#This Row],[Proposed Net Rent ]],""))),"")</f>
        <v/>
      </c>
      <c r="AV16" s="864"/>
      <c r="AW16" s="1261" t="str">
        <f>IFERROR(IF(UnitsTbl[[#This Row],[Units Subsidized2]]="","",UnitsTbl[[#This Row],[Subsidy Payment Over  Net Rent2]]*UnitsTbl[[#This Row],[Units Subsidized2]]),"")</f>
        <v/>
      </c>
      <c r="AX16" s="1354">
        <f>IF(UnitsTbl[[#This Row],['# of Bedrooms]]="","",IF(UnitsTbl[[#This Row],['# of Bedrooms]]=0,2,IF(UnitsTbl[[#This Row],['# of Bedrooms]]=1,3,IF(UnitsTbl[[#This Row],['# of Bedrooms]]=2,4,IF(UnitsTbl[[#This Row],['# of Bedrooms]]=3,5,IF(UnitsTbl[[#This Row],['# of Bedrooms]]=4,6,IF(UnitsTbl[[#This Row],['# of Bedrooms]]&gt;4,6,"")))))))</f>
        <v>5</v>
      </c>
      <c r="AY16" s="470">
        <f>IF(UnitsTbl[[#This Row],['# of Bedrooms]]="","",IF(UnitsTbl[[#This Row],['# of Bedrooms]]=0,7,IF(UnitsTbl[[#This Row],['# of Bedrooms]]=1,8,IF(UnitsTbl[[#This Row],['# of Bedrooms]]=2,9,IF(UnitsTbl[[#This Row],['# of Bedrooms]]=3,10,IF(UnitsTbl[[#This Row],['# of Bedrooms]]=4,11,IF(UnitsTbl[[#This Row],['# of Bedrooms]]&gt;4,11,"")))))))</f>
        <v>10</v>
      </c>
      <c r="AZ16" s="470">
        <f>IF(UnitsTbl[[#This Row],['# of Bedrooms]]="","",IF(UnitsTbl[[#This Row],['# of Bedrooms]]=0,2,IF(UnitsTbl[[#This Row],['# of Bedrooms]]=1,3,IF(UnitsTbl[[#This Row],['# of Bedrooms]]=2,4,IF(UnitsTbl[[#This Row],['# of Bedrooms]]=3,5,IF(UnitsTbl[[#This Row],['# of Bedrooms]]=4,6,IF(UnitsTbl[[#This Row],['# of Bedrooms]]=5,7,"")))))))</f>
        <v>5</v>
      </c>
      <c r="BA16" s="1546">
        <f>MIN(SUM(UnitsTbl[[#This Row],[Disability Homelessness ]],UnitsTbl[[#This Row],[Chronic Homelessness]],UnitsTbl[[#This Row],[Homelessness]]),UnitsTbl[[#This Row],[Total Restricted Units]])</f>
        <v>0</v>
      </c>
      <c r="BB16" s="1546">
        <f>(UnitsTbl[[#This Row],[Restricted Income Level]]&lt;=30%)*UnitsTbl[[#This Row],[Total Restricted Units]]</f>
        <v>0</v>
      </c>
      <c r="BC16" s="1546">
        <f t="shared" si="10"/>
        <v>0</v>
      </c>
      <c r="BD16" s="1545"/>
      <c r="BE16" s="1545"/>
      <c r="BF16" s="1545"/>
      <c r="BG16" s="1545"/>
      <c r="BH16" s="1348" t="s">
        <v>2396</v>
      </c>
      <c r="BI16" s="483">
        <v>170455</v>
      </c>
      <c r="BJ16" s="483">
        <v>172039</v>
      </c>
      <c r="BK16" s="483">
        <v>176361</v>
      </c>
      <c r="BL16" s="483">
        <v>180394</v>
      </c>
      <c r="BM16" s="483">
        <v>183995</v>
      </c>
      <c r="BN16" s="483">
        <v>195455</v>
      </c>
      <c r="BO16" s="483">
        <v>197039</v>
      </c>
      <c r="BP16" s="483">
        <v>201361</v>
      </c>
      <c r="BQ16" s="483">
        <v>205394</v>
      </c>
      <c r="BR16" s="1344">
        <v>208995</v>
      </c>
      <c r="BS16" s="1545"/>
      <c r="BT16" s="1345" t="s">
        <v>2397</v>
      </c>
      <c r="BU16" s="508">
        <v>24400</v>
      </c>
      <c r="BV16" s="508">
        <v>27900</v>
      </c>
      <c r="BW16" s="508">
        <v>31400</v>
      </c>
      <c r="BX16" s="508">
        <v>34850</v>
      </c>
      <c r="BY16" s="508">
        <v>37650</v>
      </c>
      <c r="BZ16" s="508">
        <v>40450</v>
      </c>
      <c r="CA16" s="508">
        <v>43250</v>
      </c>
      <c r="CB16" s="1346">
        <v>46050</v>
      </c>
      <c r="CC16" s="1545"/>
      <c r="CD16" s="1348" t="s">
        <v>2396</v>
      </c>
      <c r="CE16" s="504">
        <v>115455</v>
      </c>
      <c r="CF16" s="504">
        <v>117039</v>
      </c>
      <c r="CG16" s="504">
        <v>121361</v>
      </c>
      <c r="CH16" s="504">
        <v>125394</v>
      </c>
      <c r="CI16" s="504">
        <v>128995</v>
      </c>
      <c r="CJ16" s="504">
        <v>130455</v>
      </c>
      <c r="CK16" s="504">
        <v>132039</v>
      </c>
      <c r="CL16" s="504">
        <v>136361</v>
      </c>
      <c r="CM16" s="504">
        <v>140394</v>
      </c>
      <c r="CN16" s="1347">
        <v>143995</v>
      </c>
      <c r="CO16" s="1545"/>
      <c r="CP16" s="1545">
        <v>0.65</v>
      </c>
      <c r="CQ16" s="486">
        <f t="shared" si="9"/>
        <v>35490</v>
      </c>
      <c r="CR16" s="486">
        <f t="shared" si="2"/>
        <v>40560</v>
      </c>
      <c r="CS16" s="486">
        <f t="shared" si="3"/>
        <v>45630</v>
      </c>
      <c r="CT16" s="486">
        <f t="shared" si="4"/>
        <v>50635</v>
      </c>
      <c r="CU16" s="486">
        <f t="shared" si="5"/>
        <v>54730</v>
      </c>
      <c r="CV16" s="486">
        <f t="shared" si="6"/>
        <v>58760</v>
      </c>
      <c r="CW16" s="486">
        <f t="shared" si="7"/>
        <v>62790</v>
      </c>
      <c r="CX16" s="486">
        <f t="shared" si="8"/>
        <v>66885</v>
      </c>
    </row>
    <row r="17" spans="1:103" ht="18" customHeight="1">
      <c r="A17" s="1228"/>
      <c r="B17" s="611">
        <v>2</v>
      </c>
      <c r="C17" s="549">
        <v>0.35</v>
      </c>
      <c r="D17" s="615">
        <v>0</v>
      </c>
      <c r="E17" s="1048"/>
      <c r="F17" s="550"/>
      <c r="G17" s="550"/>
      <c r="H17" s="550"/>
      <c r="I17" s="550"/>
      <c r="J17" s="614"/>
      <c r="K17" s="1048"/>
      <c r="L17" s="550"/>
      <c r="M17" s="550"/>
      <c r="N17" s="550"/>
      <c r="O17" s="550"/>
      <c r="P17" s="550"/>
      <c r="Q17" s="550"/>
      <c r="R17" s="550"/>
      <c r="S17" s="550"/>
      <c r="T17" s="614"/>
      <c r="U17" s="1048"/>
      <c r="V17" s="615"/>
      <c r="W17" s="611"/>
      <c r="X17" s="864"/>
      <c r="Y17" s="615"/>
      <c r="Z17" s="1193">
        <f>IF(OR(UnitsTbl[[#This Row],[Restricted Income Level]]="Manager",UnitsTbl[[#This Row],[Restricted Income Level]]="Market",UnitsTbl[[#This Row],[Restricted Income Level]]&gt;60%),0,MIN(SUM(UnitsTbl[[#This Row],[IIG
Assisted]:[VHHP
Assisted]])+UnitsTbl[[#This Row],[Other Restricted]],UnitsTbl[[#This Row],[Total Units]]))</f>
        <v>0</v>
      </c>
      <c r="AA17" s="1626">
        <f>UnitsTbl[[#This Row],[Total Restricted Units]]*25000+IF(UnitsTbl[[#This Row],[Restricted Income Level]]="Manager",UnitsTbl[[#This Row],[Total Units]]*25000,0)</f>
        <v>0</v>
      </c>
      <c r="AB17"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17"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17"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17"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17" s="1629">
        <f>IFERROR(IF(AND(IsMhp,UnitsTbl[[#This Row],[Restricted Income Level]]="Manager"),UnitsTbl[[#This Row],[Total Units]]*IF(AND(UnitsTbl[[#This Row],[Total Units]]&gt;0,Taxcredit=9%,UnitsTbl[[#This Row],[Restricted Income Level]]="Manager"),95000,IF(AND(IsMhp,UnitsTbl[[#This Row],[Total Units]]&gt;0,Taxcredit=9%),VLOOKUP(CONCATENATE(County,C17),LoanLimit9Tbl[],AX17,FALSE),IF(AND(IsMhp,UnitsTbl[[#This Row],[Total Units]]&gt;0,OR(Taxcredit=4%,Taxcredit="None"),UnitsTbl[[#This Row],[Restricted Income Level]]="Manager"),150000,VLOOKUP(CONCATENATE(County,C17),LoanLimitsTbl[],AX17,FALSE)))),(IF($R$4=FALSE,((UnitsTbl[[#This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Restricted]]&gt;0),IsMhp,Taxcredit=9%),VLOOKUP(CONCATENATE(County,C17),LoanLimit9Tbl[],AX17,FALSE),IF(AND(IsMhp,UnitsTbl[[#This Row],[MHP
Assisted]]&gt;0,UnitsTbl[[#This Row],[Restricted Income Level]]="Manager"),150000,VLOOKUP(CONCATENATE(County,C17),LoanLimitsTbl[],AX17,FALSE))))))),0)</f>
        <v>0</v>
      </c>
      <c r="AG17"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Restricted]]&gt;0),IsMhp,Taxcredit=9%),VLOOKUP(CONCATENATE(County,C17),LoanLimit9Tbl[],AY17,FALSE),IF(AND(OR(UnitsTbl[[#This Row],[MHP
Assisted]]&gt;0,UnitsTbl[[#This Row],[Other Restricted]]&gt;0),UnitsTbl[[#This Row],[Restricted Income Level]]="Manager"),175000,VLOOKUP(CONCATENATE(County,C17),LoanLimitsTbl[],AY17,FALSE)))),IF(UnitsTbl[[#This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Restricted]]&gt;0),IsMhp,Taxcredit=9%),VLOOKUP(CONCATENATE(County,C17),LoanLimit9Tbl[],AY17,FALSE),IF(AND(OR(UnitsTbl[[#This Row],[MHP
Assisted]]&gt;0,UnitsTbl[[#This Row],[Other Restricted]]&gt;0),UnitsTbl[[#This Row],[Restricted Income Level]]="Manager"),175000,VLOOKUP(CONCATENATE(County,C17),LoanLimitsTbl[],AY17,FALSE)))))))),"")</f>
        <v>0</v>
      </c>
      <c r="AH17" s="1248"/>
      <c r="AI17"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17" s="751"/>
      <c r="AK17" s="755"/>
      <c r="AL17" s="752" t="str">
        <f>IFERROR(IF(UnitsTbl[[#This Row],[Max Gross Rent]]=0,"",UnitsTbl[[#This Row],[Max Gross Rent]]-UnitsTbl[[#This Row],[Less Utility Allowance Schedule 1]]-UnitsTbl[[#This Row],[Less Utility Allowance Schedule 2]]),"")</f>
        <v/>
      </c>
      <c r="AM17" s="751"/>
      <c r="AN17" s="752" t="str">
        <f>IF(UnitsTbl[[#This Row],[Proposed Net Rent ]]="","",UnitsTbl[[#This Row],[Total Units]]*UnitsTbl[[#This Row],[Proposed Net Rent ]])</f>
        <v/>
      </c>
      <c r="AO17" s="1250" t="str">
        <f>IFERROR(UnitsTbl[[#This Row],[Total Units]]*UnitsTbl[[#This Row],[Maximum Net Rent]],"")</f>
        <v/>
      </c>
      <c r="AP17" s="1253"/>
      <c r="AQ17" s="752" t="str">
        <f>IFERROR(IF(UnitsTbl[[#This Row],[Gross Monthly Contract Rent]]="","",IF($AV$4="Restricted",UnitsTbl[[#This Row],[Gross Monthly Contract Rent]]-UnitsTbl[[#This Row],[Maximum Net Rent]],IF($AV$4="Proposed",UnitsTbl[[#This Row],[Gross Monthly Contract Rent]]-UnitsTbl[[#This Row],[Proposed Net Rent ]],0))),"")</f>
        <v/>
      </c>
      <c r="AR17" s="864"/>
      <c r="AS17" s="753" t="str">
        <f>IFERROR(IF(UnitsTbl[[#This Row],[Units Subsidized]]="","",UnitsTbl[[#This Row],[Subsidy Payment Over  Net Rent]]*UnitsTbl[[#This Row],[Units Subsidized]]),"")</f>
        <v/>
      </c>
      <c r="AT17" s="754"/>
      <c r="AU17" s="752" t="str">
        <f>IFERROR(IF(UnitsTbl[[#This Row],[Gross Monthly Contract Rent2]]="","",IF($AV$4="Restricted",UnitsTbl[[#This Row],[Gross Monthly Contract Rent2]]-UnitsTbl[[#This Row],[Maximum Net Rent]],IF($AV$4="Proposed",UnitsTbl[[#This Row],[Gross Monthly Contract Rent2]]-UnitsTbl[[#This Row],[Proposed Net Rent ]],""))),"")</f>
        <v/>
      </c>
      <c r="AV17" s="864"/>
      <c r="AW17" s="1261" t="str">
        <f>IFERROR(IF(UnitsTbl[[#This Row],[Units Subsidized2]]="","",UnitsTbl[[#This Row],[Subsidy Payment Over  Net Rent2]]*UnitsTbl[[#This Row],[Units Subsidized2]]),"")</f>
        <v/>
      </c>
      <c r="AX17" s="1354">
        <f>IF(UnitsTbl[[#This Row],['# of Bedrooms]]="","",IF(UnitsTbl[[#This Row],['# of Bedrooms]]=0,2,IF(UnitsTbl[[#This Row],['# of Bedrooms]]=1,3,IF(UnitsTbl[[#This Row],['# of Bedrooms]]=2,4,IF(UnitsTbl[[#This Row],['# of Bedrooms]]=3,5,IF(UnitsTbl[[#This Row],['# of Bedrooms]]=4,6,IF(UnitsTbl[[#This Row],['# of Bedrooms]]&gt;4,6,"")))))))</f>
        <v>4</v>
      </c>
      <c r="AY17" s="470">
        <f>IF(UnitsTbl[[#This Row],['# of Bedrooms]]="","",IF(UnitsTbl[[#This Row],['# of Bedrooms]]=0,7,IF(UnitsTbl[[#This Row],['# of Bedrooms]]=1,8,IF(UnitsTbl[[#This Row],['# of Bedrooms]]=2,9,IF(UnitsTbl[[#This Row],['# of Bedrooms]]=3,10,IF(UnitsTbl[[#This Row],['# of Bedrooms]]=4,11,IF(UnitsTbl[[#This Row],['# of Bedrooms]]&gt;4,11,"")))))))</f>
        <v>9</v>
      </c>
      <c r="AZ17" s="470">
        <f>IF(UnitsTbl[[#This Row],['# of Bedrooms]]="","",IF(UnitsTbl[[#This Row],['# of Bedrooms]]=0,2,IF(UnitsTbl[[#This Row],['# of Bedrooms]]=1,3,IF(UnitsTbl[[#This Row],['# of Bedrooms]]=2,4,IF(UnitsTbl[[#This Row],['# of Bedrooms]]=3,5,IF(UnitsTbl[[#This Row],['# of Bedrooms]]=4,6,IF(UnitsTbl[[#This Row],['# of Bedrooms]]=5,7,"")))))))</f>
        <v>4</v>
      </c>
      <c r="BA17" s="1546">
        <f>MIN(SUM(UnitsTbl[[#This Row],[Disability Homelessness ]],UnitsTbl[[#This Row],[Chronic Homelessness]],UnitsTbl[[#This Row],[Homelessness]]),UnitsTbl[[#This Row],[Total Restricted Units]])</f>
        <v>0</v>
      </c>
      <c r="BB17" s="1546">
        <f>(UnitsTbl[[#This Row],[Restricted Income Level]]&lt;=30%)*UnitsTbl[[#This Row],[Total Restricted Units]]</f>
        <v>0</v>
      </c>
      <c r="BC17" s="1546">
        <f t="shared" si="10"/>
        <v>0</v>
      </c>
      <c r="BH17" s="1348" t="s">
        <v>2398</v>
      </c>
      <c r="BI17" s="483">
        <v>180682</v>
      </c>
      <c r="BJ17" s="483">
        <v>182987</v>
      </c>
      <c r="BK17" s="483">
        <v>189469</v>
      </c>
      <c r="BL17" s="483">
        <v>195519</v>
      </c>
      <c r="BM17" s="483">
        <v>200993</v>
      </c>
      <c r="BN17" s="483">
        <v>205682</v>
      </c>
      <c r="BO17" s="483">
        <v>207987</v>
      </c>
      <c r="BP17" s="483">
        <v>214469</v>
      </c>
      <c r="BQ17" s="483">
        <v>220519</v>
      </c>
      <c r="BR17" s="1344">
        <v>225993</v>
      </c>
      <c r="BS17" s="1545"/>
      <c r="BT17" s="1345" t="s">
        <v>2399</v>
      </c>
      <c r="BU17" s="508">
        <v>25950</v>
      </c>
      <c r="BV17" s="508">
        <v>29650</v>
      </c>
      <c r="BW17" s="508">
        <v>33350</v>
      </c>
      <c r="BX17" s="508">
        <v>37050</v>
      </c>
      <c r="BY17" s="508">
        <v>40050</v>
      </c>
      <c r="BZ17" s="508">
        <v>43000</v>
      </c>
      <c r="CA17" s="508">
        <v>45950</v>
      </c>
      <c r="CB17" s="1346">
        <v>48950</v>
      </c>
      <c r="CC17" s="1545"/>
      <c r="CD17" s="1348" t="s">
        <v>2398</v>
      </c>
      <c r="CE17" s="504">
        <v>125682</v>
      </c>
      <c r="CF17" s="504">
        <v>127987</v>
      </c>
      <c r="CG17" s="504">
        <v>134469</v>
      </c>
      <c r="CH17" s="504">
        <v>140519</v>
      </c>
      <c r="CI17" s="504">
        <v>145993</v>
      </c>
      <c r="CJ17" s="504">
        <v>140682</v>
      </c>
      <c r="CK17" s="504">
        <v>142987</v>
      </c>
      <c r="CL17" s="504">
        <v>149469</v>
      </c>
      <c r="CM17" s="504">
        <v>155519</v>
      </c>
      <c r="CN17" s="1347">
        <v>160993</v>
      </c>
      <c r="CP17" s="1545">
        <v>0.6</v>
      </c>
      <c r="CQ17" s="486">
        <f t="shared" si="9"/>
        <v>32760</v>
      </c>
      <c r="CR17" s="486">
        <f t="shared" si="2"/>
        <v>37440</v>
      </c>
      <c r="CS17" s="486">
        <f t="shared" si="3"/>
        <v>42120</v>
      </c>
      <c r="CT17" s="486">
        <f t="shared" si="4"/>
        <v>46740</v>
      </c>
      <c r="CU17" s="486">
        <f t="shared" si="5"/>
        <v>50520</v>
      </c>
      <c r="CV17" s="486">
        <f t="shared" si="6"/>
        <v>54240</v>
      </c>
      <c r="CW17" s="486">
        <f t="shared" si="7"/>
        <v>57960</v>
      </c>
      <c r="CX17" s="486">
        <f t="shared" si="8"/>
        <v>61740</v>
      </c>
    </row>
    <row r="18" spans="1:103" ht="18" customHeight="1">
      <c r="A18" s="1228"/>
      <c r="B18" s="611">
        <v>1</v>
      </c>
      <c r="C18" s="549">
        <v>0.45</v>
      </c>
      <c r="D18" s="615">
        <v>0</v>
      </c>
      <c r="E18" s="1048"/>
      <c r="F18" s="550"/>
      <c r="G18" s="550"/>
      <c r="H18" s="550"/>
      <c r="I18" s="550"/>
      <c r="J18" s="614"/>
      <c r="K18" s="1048"/>
      <c r="L18" s="550"/>
      <c r="M18" s="550"/>
      <c r="N18" s="550"/>
      <c r="O18" s="550"/>
      <c r="P18" s="550"/>
      <c r="Q18" s="550"/>
      <c r="R18" s="550"/>
      <c r="S18" s="550"/>
      <c r="T18" s="614"/>
      <c r="U18" s="1048"/>
      <c r="V18" s="615"/>
      <c r="W18" s="611"/>
      <c r="X18" s="864"/>
      <c r="Y18" s="615"/>
      <c r="Z18" s="1193">
        <f>IF(OR(UnitsTbl[[#This Row],[Restricted Income Level]]="Manager",UnitsTbl[[#This Row],[Restricted Income Level]]="Market",UnitsTbl[[#This Row],[Restricted Income Level]]&gt;60%),0,MIN(SUM(UnitsTbl[[#This Row],[IIG
Assisted]:[VHHP
Assisted]])+UnitsTbl[[#This Row],[Other Restricted]],UnitsTbl[[#This Row],[Total Units]]))</f>
        <v>0</v>
      </c>
      <c r="AA18" s="1626">
        <f>UnitsTbl[[#This Row],[Total Restricted Units]]*25000+IF(UnitsTbl[[#This Row],[Restricted Income Level]]="Manager",UnitsTbl[[#This Row],[Total Units]]*25000,0)</f>
        <v>0</v>
      </c>
      <c r="AB18"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18"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18"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18"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18" s="1629">
        <f>IFERROR(IF(AND(IsMhp,UnitsTbl[[#This Row],[Restricted Income Level]]="Manager"),UnitsTbl[[#This Row],[Total Units]]*IF(AND(UnitsTbl[[#This Row],[Total Units]]&gt;0,Taxcredit=9%,UnitsTbl[[#This Row],[Restricted Income Level]]="Manager"),95000,IF(AND(IsMhp,UnitsTbl[[#This Row],[Total Units]]&gt;0,Taxcredit=9%),VLOOKUP(CONCATENATE(County,C18),LoanLimit9Tbl[],AX18,FALSE),IF(AND(IsMhp,UnitsTbl[[#This Row],[Total Units]]&gt;0,OR(Taxcredit=4%,Taxcredit="None"),UnitsTbl[[#This Row],[Restricted Income Level]]="Manager"),150000,VLOOKUP(CONCATENATE(County,C18),LoanLimitsTbl[],AX18,FALSE)))),(IF($R$4=FALSE,((UnitsTbl[[#This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Restricted]]&gt;0),IsMhp,Taxcredit=9%),VLOOKUP(CONCATENATE(County,C18),LoanLimit9Tbl[],AX18,FALSE),IF(AND(IsMhp,UnitsTbl[[#This Row],[MHP
Assisted]]&gt;0,UnitsTbl[[#This Row],[Restricted Income Level]]="Manager"),150000,VLOOKUP(CONCATENATE(County,C18),LoanLimitsTbl[],AX18,FALSE))))))),0)</f>
        <v>0</v>
      </c>
      <c r="AG18"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Restricted]]&gt;0),IsMhp,Taxcredit=9%),VLOOKUP(CONCATENATE(County,C18),LoanLimit9Tbl[],AY18,FALSE),IF(AND(OR(UnitsTbl[[#This Row],[MHP
Assisted]]&gt;0,UnitsTbl[[#This Row],[Other Restricted]]&gt;0),UnitsTbl[[#This Row],[Restricted Income Level]]="Manager"),175000,VLOOKUP(CONCATENATE(County,C18),LoanLimitsTbl[],AY18,FALSE)))),IF(UnitsTbl[[#This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Restricted]]&gt;0),IsMhp,Taxcredit=9%),VLOOKUP(CONCATENATE(County,C18),LoanLimit9Tbl[],AY18,FALSE),IF(AND(OR(UnitsTbl[[#This Row],[MHP
Assisted]]&gt;0,UnitsTbl[[#This Row],[Other Restricted]]&gt;0),UnitsTbl[[#This Row],[Restricted Income Level]]="Manager"),175000,VLOOKUP(CONCATENATE(County,C18),LoanLimitsTbl[],AY18,FALSE)))))))),"")</f>
        <v>0</v>
      </c>
      <c r="AH18" s="1248"/>
      <c r="AI18"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18" s="751"/>
      <c r="AK18" s="755"/>
      <c r="AL18" s="752" t="str">
        <f>IFERROR(IF(UnitsTbl[[#This Row],[Max Gross Rent]]=0,"",UnitsTbl[[#This Row],[Max Gross Rent]]-UnitsTbl[[#This Row],[Less Utility Allowance Schedule 1]]-UnitsTbl[[#This Row],[Less Utility Allowance Schedule 2]]),"")</f>
        <v/>
      </c>
      <c r="AM18" s="751"/>
      <c r="AN18" s="752" t="str">
        <f>IF(UnitsTbl[[#This Row],[Proposed Net Rent ]]="","",UnitsTbl[[#This Row],[Total Units]]*UnitsTbl[[#This Row],[Proposed Net Rent ]])</f>
        <v/>
      </c>
      <c r="AO18" s="1250" t="str">
        <f>IFERROR(UnitsTbl[[#This Row],[Total Units]]*UnitsTbl[[#This Row],[Maximum Net Rent]],"")</f>
        <v/>
      </c>
      <c r="AP18" s="1253"/>
      <c r="AQ18" s="752" t="str">
        <f>IFERROR(IF(UnitsTbl[[#This Row],[Gross Monthly Contract Rent]]="","",IF($AV$4="Restricted",UnitsTbl[[#This Row],[Gross Monthly Contract Rent]]-UnitsTbl[[#This Row],[Maximum Net Rent]],IF($AV$4="Proposed",UnitsTbl[[#This Row],[Gross Monthly Contract Rent]]-UnitsTbl[[#This Row],[Proposed Net Rent ]],0))),"")</f>
        <v/>
      </c>
      <c r="AR18" s="864"/>
      <c r="AS18" s="753" t="str">
        <f>IFERROR(IF(UnitsTbl[[#This Row],[Units Subsidized]]="","",UnitsTbl[[#This Row],[Subsidy Payment Over  Net Rent]]*UnitsTbl[[#This Row],[Units Subsidized]]),"")</f>
        <v/>
      </c>
      <c r="AT18" s="754"/>
      <c r="AU18" s="752" t="str">
        <f>IFERROR(IF(UnitsTbl[[#This Row],[Gross Monthly Contract Rent2]]="","",IF($AV$4="Restricted",UnitsTbl[[#This Row],[Gross Monthly Contract Rent2]]-UnitsTbl[[#This Row],[Maximum Net Rent]],IF($AV$4="Proposed",UnitsTbl[[#This Row],[Gross Monthly Contract Rent2]]-UnitsTbl[[#This Row],[Proposed Net Rent ]],""))),"")</f>
        <v/>
      </c>
      <c r="AV18" s="864"/>
      <c r="AW18" s="1261" t="str">
        <f>IFERROR(IF(UnitsTbl[[#This Row],[Units Subsidized2]]="","",UnitsTbl[[#This Row],[Subsidy Payment Over  Net Rent2]]*UnitsTbl[[#This Row],[Units Subsidized2]]),"")</f>
        <v/>
      </c>
      <c r="AX18" s="1354">
        <f>IF(UnitsTbl[[#This Row],['# of Bedrooms]]="","",IF(UnitsTbl[[#This Row],['# of Bedrooms]]=0,2,IF(UnitsTbl[[#This Row],['# of Bedrooms]]=1,3,IF(UnitsTbl[[#This Row],['# of Bedrooms]]=2,4,IF(UnitsTbl[[#This Row],['# of Bedrooms]]=3,5,IF(UnitsTbl[[#This Row],['# of Bedrooms]]=4,6,IF(UnitsTbl[[#This Row],['# of Bedrooms]]&gt;4,6,"")))))))</f>
        <v>3</v>
      </c>
      <c r="AY18" s="470">
        <f>IF(UnitsTbl[[#This Row],['# of Bedrooms]]="","",IF(UnitsTbl[[#This Row],['# of Bedrooms]]=0,7,IF(UnitsTbl[[#This Row],['# of Bedrooms]]=1,8,IF(UnitsTbl[[#This Row],['# of Bedrooms]]=2,9,IF(UnitsTbl[[#This Row],['# of Bedrooms]]=3,10,IF(UnitsTbl[[#This Row],['# of Bedrooms]]=4,11,IF(UnitsTbl[[#This Row],['# of Bedrooms]]&gt;4,11,"")))))))</f>
        <v>8</v>
      </c>
      <c r="AZ18" s="470">
        <f>IF(UnitsTbl[[#This Row],['# of Bedrooms]]="","",IF(UnitsTbl[[#This Row],['# of Bedrooms]]=0,2,IF(UnitsTbl[[#This Row],['# of Bedrooms]]=1,3,IF(UnitsTbl[[#This Row],['# of Bedrooms]]=2,4,IF(UnitsTbl[[#This Row],['# of Bedrooms]]=3,5,IF(UnitsTbl[[#This Row],['# of Bedrooms]]=4,6,IF(UnitsTbl[[#This Row],['# of Bedrooms]]=5,7,"")))))))</f>
        <v>3</v>
      </c>
      <c r="BA18" s="1546">
        <f>MIN(SUM(UnitsTbl[[#This Row],[Disability Homelessness ]],UnitsTbl[[#This Row],[Chronic Homelessness]],UnitsTbl[[#This Row],[Homelessness]]),UnitsTbl[[#This Row],[Total Restricted Units]])</f>
        <v>0</v>
      </c>
      <c r="BB18" s="1546">
        <f>(UnitsTbl[[#This Row],[Restricted Income Level]]&lt;=30%)*UnitsTbl[[#This Row],[Total Restricted Units]]</f>
        <v>0</v>
      </c>
      <c r="BC18" s="1546">
        <f>MAX(BA18,BB18)</f>
        <v>0</v>
      </c>
      <c r="BH18" s="1348" t="s">
        <v>2400</v>
      </c>
      <c r="BI18" s="483">
        <v>190909</v>
      </c>
      <c r="BJ18" s="483">
        <v>193934</v>
      </c>
      <c r="BK18" s="483">
        <v>202577</v>
      </c>
      <c r="BL18" s="483">
        <v>210788</v>
      </c>
      <c r="BM18" s="483">
        <v>217846</v>
      </c>
      <c r="BN18" s="483">
        <v>215909</v>
      </c>
      <c r="BO18" s="483">
        <v>218934</v>
      </c>
      <c r="BP18" s="483">
        <v>227577</v>
      </c>
      <c r="BQ18" s="483">
        <v>235788</v>
      </c>
      <c r="BR18" s="1344">
        <v>242846</v>
      </c>
      <c r="BS18" s="1545"/>
      <c r="BT18" s="1345" t="s">
        <v>2401</v>
      </c>
      <c r="BU18" s="508">
        <v>24400</v>
      </c>
      <c r="BV18" s="508">
        <v>27900</v>
      </c>
      <c r="BW18" s="508">
        <v>31400</v>
      </c>
      <c r="BX18" s="508">
        <v>34850</v>
      </c>
      <c r="BY18" s="508">
        <v>37650</v>
      </c>
      <c r="BZ18" s="508">
        <v>40450</v>
      </c>
      <c r="CA18" s="508">
        <v>43250</v>
      </c>
      <c r="CB18" s="1346">
        <v>46050</v>
      </c>
      <c r="CC18" s="1545"/>
      <c r="CD18" s="1348" t="s">
        <v>2400</v>
      </c>
      <c r="CE18" s="504">
        <v>135909</v>
      </c>
      <c r="CF18" s="504">
        <v>138934</v>
      </c>
      <c r="CG18" s="504">
        <v>147577</v>
      </c>
      <c r="CH18" s="504">
        <v>155788</v>
      </c>
      <c r="CI18" s="504">
        <v>162846</v>
      </c>
      <c r="CJ18" s="504">
        <v>150909</v>
      </c>
      <c r="CK18" s="504">
        <v>153934</v>
      </c>
      <c r="CL18" s="504">
        <v>162577</v>
      </c>
      <c r="CM18" s="504">
        <v>170788</v>
      </c>
      <c r="CN18" s="1347">
        <v>177846</v>
      </c>
      <c r="CP18" s="1545">
        <v>0.55000000000000004</v>
      </c>
      <c r="CQ18" s="486">
        <f>$CQ$19*CP18/$CP$19</f>
        <v>30030.000000000004</v>
      </c>
      <c r="CR18" s="486">
        <f t="shared" si="2"/>
        <v>34320</v>
      </c>
      <c r="CS18" s="486">
        <f t="shared" si="3"/>
        <v>38610</v>
      </c>
      <c r="CT18" s="486">
        <f t="shared" si="4"/>
        <v>42845</v>
      </c>
      <c r="CU18" s="486">
        <f t="shared" si="5"/>
        <v>46310.000000000007</v>
      </c>
      <c r="CV18" s="486">
        <f t="shared" si="6"/>
        <v>49720.000000000007</v>
      </c>
      <c r="CW18" s="486">
        <f t="shared" si="7"/>
        <v>53130.000000000007</v>
      </c>
      <c r="CX18" s="486">
        <f t="shared" si="8"/>
        <v>56595.000000000007</v>
      </c>
    </row>
    <row r="19" spans="1:103" ht="18" customHeight="1">
      <c r="A19" s="1228"/>
      <c r="B19" s="611">
        <v>0</v>
      </c>
      <c r="C19" s="549">
        <v>0.55000000000000004</v>
      </c>
      <c r="D19" s="615">
        <v>0</v>
      </c>
      <c r="E19" s="1048"/>
      <c r="F19" s="550"/>
      <c r="G19" s="550"/>
      <c r="H19" s="550"/>
      <c r="I19" s="550"/>
      <c r="J19" s="614"/>
      <c r="K19" s="1048"/>
      <c r="L19" s="550"/>
      <c r="M19" s="550"/>
      <c r="N19" s="550"/>
      <c r="O19" s="550"/>
      <c r="P19" s="550"/>
      <c r="Q19" s="550"/>
      <c r="R19" s="550"/>
      <c r="S19" s="550"/>
      <c r="T19" s="614"/>
      <c r="U19" s="1048"/>
      <c r="V19" s="615"/>
      <c r="W19" s="611"/>
      <c r="X19" s="864"/>
      <c r="Y19" s="615"/>
      <c r="Z19" s="1193">
        <f>IF(OR(UnitsTbl[[#This Row],[Restricted Income Level]]="Manager",UnitsTbl[[#This Row],[Restricted Income Level]]="Market",UnitsTbl[[#This Row],[Restricted Income Level]]&gt;60%),0,MIN(SUM(UnitsTbl[[#This Row],[IIG
Assisted]:[VHHP
Assisted]])+UnitsTbl[[#This Row],[Other Restricted]],UnitsTbl[[#This Row],[Total Units]]))</f>
        <v>0</v>
      </c>
      <c r="AA19" s="1626">
        <f>UnitsTbl[[#This Row],[Total Restricted Units]]*25000+IF(UnitsTbl[[#This Row],[Restricted Income Level]]="Manager",UnitsTbl[[#This Row],[Total Units]]*25000,0)</f>
        <v>0</v>
      </c>
      <c r="AB19"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19"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19"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19"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19" s="1629">
        <f>IFERROR(IF(AND(IsMhp,UnitsTbl[[#This Row],[Restricted Income Level]]="Manager"),UnitsTbl[[#This Row],[Total Units]]*IF(AND(UnitsTbl[[#This Row],[Total Units]]&gt;0,Taxcredit=9%,UnitsTbl[[#This Row],[Restricted Income Level]]="Manager"),95000,IF(AND(IsMhp,UnitsTbl[[#This Row],[Total Units]]&gt;0,Taxcredit=9%),VLOOKUP(CONCATENATE(County,C19),LoanLimit9Tbl[],AX19,FALSE),IF(AND(IsMhp,UnitsTbl[[#This Row],[Total Units]]&gt;0,OR(Taxcredit=4%,Taxcredit="None"),UnitsTbl[[#This Row],[Restricted Income Level]]="Manager"),150000,VLOOKUP(CONCATENATE(County,C19),LoanLimitsTbl[],AX19,FALSE)))),(IF($R$4=FALSE,((UnitsTbl[[#This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Restricted]]&gt;0),IsMhp,Taxcredit=9%),VLOOKUP(CONCATENATE(County,C19),LoanLimit9Tbl[],AX19,FALSE),IF(AND(IsMhp,UnitsTbl[[#This Row],[MHP
Assisted]]&gt;0,UnitsTbl[[#This Row],[Restricted Income Level]]="Manager"),150000,VLOOKUP(CONCATENATE(County,C19),LoanLimitsTbl[],AX19,FALSE))))))),0)</f>
        <v>0</v>
      </c>
      <c r="AG19"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Restricted]]&gt;0),IsMhp,Taxcredit=9%),VLOOKUP(CONCATENATE(County,C19),LoanLimit9Tbl[],AY19,FALSE),IF(AND(OR(UnitsTbl[[#This Row],[MHP
Assisted]]&gt;0,UnitsTbl[[#This Row],[Other Restricted]]&gt;0),UnitsTbl[[#This Row],[Restricted Income Level]]="Manager"),175000,VLOOKUP(CONCATENATE(County,C19),LoanLimitsTbl[],AY19,FALSE)))),IF(UnitsTbl[[#This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Restricted]]&gt;0),IsMhp,Taxcredit=9%),VLOOKUP(CONCATENATE(County,C19),LoanLimit9Tbl[],AY19,FALSE),IF(AND(OR(UnitsTbl[[#This Row],[MHP
Assisted]]&gt;0,UnitsTbl[[#This Row],[Other Restricted]]&gt;0),UnitsTbl[[#This Row],[Restricted Income Level]]="Manager"),175000,VLOOKUP(CONCATENATE(County,C19),LoanLimitsTbl[],AY19,FALSE)))))))),"")</f>
        <v>0</v>
      </c>
      <c r="AH19" s="1248"/>
      <c r="AI19"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19" s="751"/>
      <c r="AK19" s="755"/>
      <c r="AL19" s="752" t="str">
        <f>IFERROR(IF(UnitsTbl[[#This Row],[Max Gross Rent]]=0,"",UnitsTbl[[#This Row],[Max Gross Rent]]-UnitsTbl[[#This Row],[Less Utility Allowance Schedule 1]]-UnitsTbl[[#This Row],[Less Utility Allowance Schedule 2]]),"")</f>
        <v/>
      </c>
      <c r="AM19" s="751"/>
      <c r="AN19" s="752" t="str">
        <f>IF(UnitsTbl[[#This Row],[Proposed Net Rent ]]="","",UnitsTbl[[#This Row],[Total Units]]*UnitsTbl[[#This Row],[Proposed Net Rent ]])</f>
        <v/>
      </c>
      <c r="AO19" s="1250" t="str">
        <f>IFERROR(UnitsTbl[[#This Row],[Total Units]]*UnitsTbl[[#This Row],[Maximum Net Rent]],"")</f>
        <v/>
      </c>
      <c r="AP19" s="1253"/>
      <c r="AQ19" s="752" t="str">
        <f>IFERROR(IF(UnitsTbl[[#This Row],[Gross Monthly Contract Rent]]="","",IF($AV$4="Restricted",UnitsTbl[[#This Row],[Gross Monthly Contract Rent]]-UnitsTbl[[#This Row],[Maximum Net Rent]],IF($AV$4="Proposed",UnitsTbl[[#This Row],[Gross Monthly Contract Rent]]-UnitsTbl[[#This Row],[Proposed Net Rent ]],0))),"")</f>
        <v/>
      </c>
      <c r="AR19" s="864"/>
      <c r="AS19" s="753" t="str">
        <f>IFERROR(IF(UnitsTbl[[#This Row],[Units Subsidized]]="","",UnitsTbl[[#This Row],[Subsidy Payment Over  Net Rent]]*UnitsTbl[[#This Row],[Units Subsidized]]),"")</f>
        <v/>
      </c>
      <c r="AT19" s="754"/>
      <c r="AU19" s="752" t="str">
        <f>IFERROR(IF(UnitsTbl[[#This Row],[Gross Monthly Contract Rent2]]="","",IF($AV$4="Restricted",UnitsTbl[[#This Row],[Gross Monthly Contract Rent2]]-UnitsTbl[[#This Row],[Maximum Net Rent]],IF($AV$4="Proposed",UnitsTbl[[#This Row],[Gross Monthly Contract Rent2]]-UnitsTbl[[#This Row],[Proposed Net Rent ]],""))),"")</f>
        <v/>
      </c>
      <c r="AV19" s="864"/>
      <c r="AW19" s="1261" t="str">
        <f>IFERROR(IF(UnitsTbl[[#This Row],[Units Subsidized2]]="","",UnitsTbl[[#This Row],[Subsidy Payment Over  Net Rent2]]*UnitsTbl[[#This Row],[Units Subsidized2]]),"")</f>
        <v/>
      </c>
      <c r="AX19" s="1354">
        <f>IF(UnitsTbl[[#This Row],['# of Bedrooms]]="","",IF(UnitsTbl[[#This Row],['# of Bedrooms]]=0,2,IF(UnitsTbl[[#This Row],['# of Bedrooms]]=1,3,IF(UnitsTbl[[#This Row],['# of Bedrooms]]=2,4,IF(UnitsTbl[[#This Row],['# of Bedrooms]]=3,5,IF(UnitsTbl[[#This Row],['# of Bedrooms]]=4,6,IF(UnitsTbl[[#This Row],['# of Bedrooms]]&gt;4,6,"")))))))</f>
        <v>2</v>
      </c>
      <c r="AY19" s="470">
        <f>IF(UnitsTbl[[#This Row],['# of Bedrooms]]="","",IF(UnitsTbl[[#This Row],['# of Bedrooms]]=0,7,IF(UnitsTbl[[#This Row],['# of Bedrooms]]=1,8,IF(UnitsTbl[[#This Row],['# of Bedrooms]]=2,9,IF(UnitsTbl[[#This Row],['# of Bedrooms]]=3,10,IF(UnitsTbl[[#This Row],['# of Bedrooms]]=4,11,IF(UnitsTbl[[#This Row],['# of Bedrooms]]&gt;4,11,"")))))))</f>
        <v>7</v>
      </c>
      <c r="AZ19" s="470">
        <f>IF(UnitsTbl[[#This Row],['# of Bedrooms]]="","",IF(UnitsTbl[[#This Row],['# of Bedrooms]]=0,2,IF(UnitsTbl[[#This Row],['# of Bedrooms]]=1,3,IF(UnitsTbl[[#This Row],['# of Bedrooms]]=2,4,IF(UnitsTbl[[#This Row],['# of Bedrooms]]=3,5,IF(UnitsTbl[[#This Row],['# of Bedrooms]]=4,6,IF(UnitsTbl[[#This Row],['# of Bedrooms]]=5,7,"")))))))</f>
        <v>2</v>
      </c>
      <c r="BA19" s="1546">
        <f>MIN(SUM(UnitsTbl[[#This Row],[Disability Homelessness ]],UnitsTbl[[#This Row],[Chronic Homelessness]],UnitsTbl[[#This Row],[Homelessness]]),UnitsTbl[[#This Row],[Total Restricted Units]])</f>
        <v>0</v>
      </c>
      <c r="BB19" s="1546">
        <f>(UnitsTbl[[#This Row],[Restricted Income Level]]&lt;=30%)*UnitsTbl[[#This Row],[Total Restricted Units]]</f>
        <v>0</v>
      </c>
      <c r="BC19" s="1546">
        <f t="shared" si="10"/>
        <v>0</v>
      </c>
      <c r="BH19" s="1348" t="s">
        <v>2402</v>
      </c>
      <c r="BI19" s="483">
        <v>201281</v>
      </c>
      <c r="BJ19" s="483">
        <v>204882</v>
      </c>
      <c r="BK19" s="483">
        <v>215830</v>
      </c>
      <c r="BL19" s="483">
        <v>226057</v>
      </c>
      <c r="BM19" s="483">
        <v>234844</v>
      </c>
      <c r="BN19" s="483">
        <v>226281</v>
      </c>
      <c r="BO19" s="483">
        <v>229882</v>
      </c>
      <c r="BP19" s="483">
        <v>240830</v>
      </c>
      <c r="BQ19" s="483">
        <v>251057</v>
      </c>
      <c r="BR19" s="1344">
        <v>259844</v>
      </c>
      <c r="BS19" s="1545"/>
      <c r="BT19" s="1345" t="s">
        <v>2403</v>
      </c>
      <c r="BU19" s="508">
        <v>24400</v>
      </c>
      <c r="BV19" s="508">
        <v>27900</v>
      </c>
      <c r="BW19" s="508">
        <v>31400</v>
      </c>
      <c r="BX19" s="508">
        <v>34850</v>
      </c>
      <c r="BY19" s="508">
        <v>37650</v>
      </c>
      <c r="BZ19" s="508">
        <v>40450</v>
      </c>
      <c r="CA19" s="508">
        <v>43250</v>
      </c>
      <c r="CB19" s="1346">
        <v>46050</v>
      </c>
      <c r="CC19" s="1545"/>
      <c r="CD19" s="1348" t="s">
        <v>2402</v>
      </c>
      <c r="CE19" s="504">
        <v>146281</v>
      </c>
      <c r="CF19" s="504">
        <v>149882</v>
      </c>
      <c r="CG19" s="504">
        <v>160830</v>
      </c>
      <c r="CH19" s="504">
        <v>171057</v>
      </c>
      <c r="CI19" s="504">
        <v>179844</v>
      </c>
      <c r="CJ19" s="504">
        <v>161281</v>
      </c>
      <c r="CK19" s="504">
        <v>164882</v>
      </c>
      <c r="CL19" s="504">
        <v>175830</v>
      </c>
      <c r="CM19" s="504">
        <v>186057</v>
      </c>
      <c r="CN19" s="1347">
        <v>194844</v>
      </c>
      <c r="CP19" s="1545">
        <v>0.5</v>
      </c>
      <c r="CQ19" s="487">
        <f>$AH$7</f>
        <v>27300</v>
      </c>
      <c r="CR19" s="487">
        <f>$AI$7</f>
        <v>31200</v>
      </c>
      <c r="CS19" s="487">
        <f>$AJ$7</f>
        <v>35100</v>
      </c>
      <c r="CT19" s="487">
        <f>$AK$7</f>
        <v>38950</v>
      </c>
      <c r="CU19" s="487">
        <f>$AL$7</f>
        <v>42100</v>
      </c>
      <c r="CV19" s="487">
        <f>$AM$7</f>
        <v>45200</v>
      </c>
      <c r="CW19" s="487">
        <f>$AN$7</f>
        <v>48300</v>
      </c>
      <c r="CX19" s="487">
        <f>$AO$7</f>
        <v>51450</v>
      </c>
    </row>
    <row r="20" spans="1:103" ht="18" customHeight="1">
      <c r="A20" s="1228"/>
      <c r="B20" s="611">
        <v>0</v>
      </c>
      <c r="C20" s="549" t="s">
        <v>2540</v>
      </c>
      <c r="D20" s="615">
        <v>1</v>
      </c>
      <c r="E20" s="1048"/>
      <c r="F20" s="550"/>
      <c r="G20" s="550"/>
      <c r="H20" s="550"/>
      <c r="I20" s="550"/>
      <c r="J20" s="614"/>
      <c r="K20" s="1048"/>
      <c r="L20" s="550"/>
      <c r="M20" s="550"/>
      <c r="N20" s="550"/>
      <c r="O20" s="550"/>
      <c r="P20" s="550"/>
      <c r="Q20" s="550"/>
      <c r="R20" s="550"/>
      <c r="S20" s="550"/>
      <c r="T20" s="614"/>
      <c r="U20" s="1048"/>
      <c r="V20" s="615"/>
      <c r="W20" s="611"/>
      <c r="X20" s="864"/>
      <c r="Y20" s="615"/>
      <c r="Z20" s="1193">
        <f>IF(OR(UnitsTbl[[#This Row],[Restricted Income Level]]="Manager",UnitsTbl[[#This Row],[Restricted Income Level]]="Market",UnitsTbl[[#This Row],[Restricted Income Level]]&gt;60%),0,MIN(SUM(UnitsTbl[[#This Row],[IIG
Assisted]:[VHHP
Assisted]])+UnitsTbl[[#This Row],[Other Restricted]],UnitsTbl[[#This Row],[Total Units]]))</f>
        <v>0</v>
      </c>
      <c r="AA20" s="1626">
        <f>UnitsTbl[[#This Row],[Total Restricted Units]]*25000+IF(UnitsTbl[[#This Row],[Restricted Income Level]]="Manager",UnitsTbl[[#This Row],[Total Units]]*25000,0)</f>
        <v>25000</v>
      </c>
      <c r="AB20"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24700</v>
      </c>
      <c r="AC20"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20"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20"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20" s="1629">
        <f>IFERROR(IF(AND(IsMhp,UnitsTbl[[#This Row],[Restricted Income Level]]="Manager"),UnitsTbl[[#This Row],[Total Units]]*IF(AND(UnitsTbl[[#This Row],[Total Units]]&gt;0,Taxcredit=9%,UnitsTbl[[#This Row],[Restricted Income Level]]="Manager"),95000,IF(AND(IsMhp,UnitsTbl[[#This Row],[Total Units]]&gt;0,Taxcredit=9%),VLOOKUP(CONCATENATE(County,C20),LoanLimit9Tbl[],AX20,FALSE),IF(AND(IsMhp,UnitsTbl[[#This Row],[Total Units]]&gt;0,OR(Taxcredit=4%,Taxcredit="None"),UnitsTbl[[#This Row],[Restricted Income Level]]="Manager"),150000,VLOOKUP(CONCATENATE(County,C20),LoanLimitsTbl[],AX20,FALSE)))),(IF($R$4=FALSE,((UnitsTbl[[#This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Restricted]]&gt;0),IsMhp,Taxcredit=9%),VLOOKUP(CONCATENATE(County,C20),LoanLimit9Tbl[],AX20,FALSE),IF(AND(IsMhp,UnitsTbl[[#This Row],[MHP
Assisted]]&gt;0,UnitsTbl[[#This Row],[Restricted Income Level]]="Manager"),150000,VLOOKUP(CONCATENATE(County,C20),LoanLimitsTbl[],AX20,FALSE))))))),0)</f>
        <v>150000</v>
      </c>
      <c r="AG20" s="1630" t="str">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Restricted]]&gt;0),IsMhp,Taxcredit=9%),VLOOKUP(CONCATENATE(County,C20),LoanLimit9Tbl[],AY20,FALSE),IF(AND(OR(UnitsTbl[[#This Row],[MHP
Assisted]]&gt;0,UnitsTbl[[#This Row],[Other Restricted]]&gt;0),UnitsTbl[[#This Row],[Restricted Income Level]]="Manager"),175000,VLOOKUP(CONCATENATE(County,C20),LoanLimitsTbl[],AY20,FALSE)))),IF(UnitsTbl[[#This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Restricted]]&gt;0),IsMhp,Taxcredit=9%),VLOOKUP(CONCATENATE(County,C20),LoanLimit9Tbl[],AY20,FALSE),IF(AND(OR(UnitsTbl[[#This Row],[MHP
Assisted]]&gt;0,UnitsTbl[[#This Row],[Other Restricted]]&gt;0),UnitsTbl[[#This Row],[Restricted Income Level]]="Manager"),175000,VLOOKUP(CONCATENATE(County,C20),LoanLimitsTbl[],AY20,FALSE)))))))),"")</f>
        <v/>
      </c>
      <c r="AH20" s="1248"/>
      <c r="AI20"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20" s="751"/>
      <c r="AK20" s="755"/>
      <c r="AL20" s="752" t="str">
        <f>IFERROR(IF(UnitsTbl[[#This Row],[Max Gross Rent]]=0,"",UnitsTbl[[#This Row],[Max Gross Rent]]-UnitsTbl[[#This Row],[Less Utility Allowance Schedule 1]]-UnitsTbl[[#This Row],[Less Utility Allowance Schedule 2]]),"")</f>
        <v/>
      </c>
      <c r="AM20" s="751"/>
      <c r="AN20" s="752" t="str">
        <f>IF(UnitsTbl[[#This Row],[Proposed Net Rent ]]="","",UnitsTbl[[#This Row],[Total Units]]*UnitsTbl[[#This Row],[Proposed Net Rent ]])</f>
        <v/>
      </c>
      <c r="AO20" s="1250" t="str">
        <f>IFERROR(UnitsTbl[[#This Row],[Total Units]]*UnitsTbl[[#This Row],[Maximum Net Rent]],"")</f>
        <v/>
      </c>
      <c r="AP20" s="1253"/>
      <c r="AQ20" s="752" t="str">
        <f>IFERROR(IF(UnitsTbl[[#This Row],[Gross Monthly Contract Rent]]="","",IF($AV$4="Restricted",UnitsTbl[[#This Row],[Gross Monthly Contract Rent]]-UnitsTbl[[#This Row],[Maximum Net Rent]],IF($AV$4="Proposed",UnitsTbl[[#This Row],[Gross Monthly Contract Rent]]-UnitsTbl[[#This Row],[Proposed Net Rent ]],0))),"")</f>
        <v/>
      </c>
      <c r="AR20" s="864"/>
      <c r="AS20" s="753" t="str">
        <f>IFERROR(IF(UnitsTbl[[#This Row],[Units Subsidized]]="","",UnitsTbl[[#This Row],[Subsidy Payment Over  Net Rent]]*UnitsTbl[[#This Row],[Units Subsidized]]),"")</f>
        <v/>
      </c>
      <c r="AT20" s="754"/>
      <c r="AU20" s="752" t="str">
        <f>IFERROR(IF(UnitsTbl[[#This Row],[Gross Monthly Contract Rent2]]="","",IF($AV$4="Restricted",UnitsTbl[[#This Row],[Gross Monthly Contract Rent2]]-UnitsTbl[[#This Row],[Maximum Net Rent]],IF($AV$4="Proposed",UnitsTbl[[#This Row],[Gross Monthly Contract Rent2]]-UnitsTbl[[#This Row],[Proposed Net Rent ]],""))),"")</f>
        <v/>
      </c>
      <c r="AV20" s="864"/>
      <c r="AW20" s="1261" t="str">
        <f>IFERROR(IF(UnitsTbl[[#This Row],[Units Subsidized2]]="","",UnitsTbl[[#This Row],[Subsidy Payment Over  Net Rent2]]*UnitsTbl[[#This Row],[Units Subsidized2]]),"")</f>
        <v/>
      </c>
      <c r="AX20" s="1354">
        <f>IF(UnitsTbl[[#This Row],['# of Bedrooms]]="","",IF(UnitsTbl[[#This Row],['# of Bedrooms]]=0,2,IF(UnitsTbl[[#This Row],['# of Bedrooms]]=1,3,IF(UnitsTbl[[#This Row],['# of Bedrooms]]=2,4,IF(UnitsTbl[[#This Row],['# of Bedrooms]]=3,5,IF(UnitsTbl[[#This Row],['# of Bedrooms]]=4,6,IF(UnitsTbl[[#This Row],['# of Bedrooms]]&gt;4,6,"")))))))</f>
        <v>2</v>
      </c>
      <c r="AY20" s="470">
        <f>IF(UnitsTbl[[#This Row],['# of Bedrooms]]="","",IF(UnitsTbl[[#This Row],['# of Bedrooms]]=0,7,IF(UnitsTbl[[#This Row],['# of Bedrooms]]=1,8,IF(UnitsTbl[[#This Row],['# of Bedrooms]]=2,9,IF(UnitsTbl[[#This Row],['# of Bedrooms]]=3,10,IF(UnitsTbl[[#This Row],['# of Bedrooms]]=4,11,IF(UnitsTbl[[#This Row],['# of Bedrooms]]&gt;4,11,"")))))))</f>
        <v>7</v>
      </c>
      <c r="AZ20" s="470">
        <f>IF(UnitsTbl[[#This Row],['# of Bedrooms]]="","",IF(UnitsTbl[[#This Row],['# of Bedrooms]]=0,2,IF(UnitsTbl[[#This Row],['# of Bedrooms]]=1,3,IF(UnitsTbl[[#This Row],['# of Bedrooms]]=2,4,IF(UnitsTbl[[#This Row],['# of Bedrooms]]=3,5,IF(UnitsTbl[[#This Row],['# of Bedrooms]]=4,6,IF(UnitsTbl[[#This Row],['# of Bedrooms]]=5,7,"")))))))</f>
        <v>2</v>
      </c>
      <c r="BA20" s="1546">
        <f>MIN(SUM(UnitsTbl[[#This Row],[Disability Homelessness ]],UnitsTbl[[#This Row],[Chronic Homelessness]],UnitsTbl[[#This Row],[Homelessness]]),UnitsTbl[[#This Row],[Total Restricted Units]])</f>
        <v>0</v>
      </c>
      <c r="BB20" s="1546">
        <f>(UnitsTbl[[#This Row],[Restricted Income Level]]&lt;=30%)*UnitsTbl[[#This Row],[Total Restricted Units]]</f>
        <v>0</v>
      </c>
      <c r="BC20" s="1546">
        <f t="shared" si="10"/>
        <v>0</v>
      </c>
      <c r="BH20" s="1348" t="s">
        <v>2404</v>
      </c>
      <c r="BI20" s="483">
        <v>211508</v>
      </c>
      <c r="BJ20" s="483">
        <v>215830</v>
      </c>
      <c r="BK20" s="483">
        <v>228938</v>
      </c>
      <c r="BL20" s="483">
        <v>241182</v>
      </c>
      <c r="BM20" s="483">
        <v>251841</v>
      </c>
      <c r="BN20" s="483">
        <v>236508</v>
      </c>
      <c r="BO20" s="483">
        <v>240830</v>
      </c>
      <c r="BP20" s="483">
        <v>253938</v>
      </c>
      <c r="BQ20" s="483">
        <v>266182</v>
      </c>
      <c r="BR20" s="1344">
        <v>276841</v>
      </c>
      <c r="BS20" s="1545"/>
      <c r="BT20" s="1345" t="s">
        <v>2405</v>
      </c>
      <c r="BU20" s="508">
        <v>24400</v>
      </c>
      <c r="BV20" s="508">
        <v>27900</v>
      </c>
      <c r="BW20" s="508">
        <v>31400</v>
      </c>
      <c r="BX20" s="508">
        <v>34850</v>
      </c>
      <c r="BY20" s="508">
        <v>37650</v>
      </c>
      <c r="BZ20" s="508">
        <v>40450</v>
      </c>
      <c r="CA20" s="508">
        <v>43250</v>
      </c>
      <c r="CB20" s="1346">
        <v>46050</v>
      </c>
      <c r="CC20" s="1545"/>
      <c r="CD20" s="1348" t="s">
        <v>2404</v>
      </c>
      <c r="CE20" s="504">
        <v>156508</v>
      </c>
      <c r="CF20" s="504">
        <v>160830</v>
      </c>
      <c r="CG20" s="504">
        <v>173938</v>
      </c>
      <c r="CH20" s="504">
        <v>186182</v>
      </c>
      <c r="CI20" s="504">
        <v>196841</v>
      </c>
      <c r="CJ20" s="504">
        <v>171508</v>
      </c>
      <c r="CK20" s="504">
        <v>175830</v>
      </c>
      <c r="CL20" s="504">
        <v>188938</v>
      </c>
      <c r="CM20" s="504">
        <v>201182</v>
      </c>
      <c r="CN20" s="1347">
        <v>211841</v>
      </c>
      <c r="CP20" s="1545">
        <v>0.45</v>
      </c>
      <c r="CQ20" s="486">
        <f>$CQ$19*CP20/$CP$19</f>
        <v>24570</v>
      </c>
      <c r="CR20" s="486">
        <f>$CR$19*CP20/$CP$19</f>
        <v>28080</v>
      </c>
      <c r="CS20" s="486">
        <f>$CS$19*CP20/$CP$19</f>
        <v>31590</v>
      </c>
      <c r="CT20" s="486">
        <f>$CT$19*CP20/$CP$19</f>
        <v>35055</v>
      </c>
      <c r="CU20" s="486">
        <f>$CU$19*CP20/$CP$19</f>
        <v>37890</v>
      </c>
      <c r="CV20" s="486">
        <f>$CV$19*CP20/$CP$19</f>
        <v>40680</v>
      </c>
      <c r="CW20" s="486">
        <f>$CW$19*CP20/$CP$19</f>
        <v>43470</v>
      </c>
      <c r="CX20" s="486">
        <f>$CX$19*CP20/$CP$19</f>
        <v>46305</v>
      </c>
    </row>
    <row r="21" spans="1:103" ht="18" customHeight="1">
      <c r="A21" s="1228"/>
      <c r="B21" s="611">
        <v>5</v>
      </c>
      <c r="C21" s="549" t="s">
        <v>2542</v>
      </c>
      <c r="D21" s="615">
        <v>5</v>
      </c>
      <c r="E21" s="1048"/>
      <c r="F21" s="550"/>
      <c r="G21" s="550"/>
      <c r="H21" s="550"/>
      <c r="I21" s="550"/>
      <c r="J21" s="614"/>
      <c r="K21" s="1048"/>
      <c r="L21" s="550"/>
      <c r="M21" s="550"/>
      <c r="N21" s="550"/>
      <c r="O21" s="550"/>
      <c r="P21" s="550"/>
      <c r="Q21" s="550"/>
      <c r="R21" s="550"/>
      <c r="S21" s="550"/>
      <c r="T21" s="614"/>
      <c r="U21" s="1048"/>
      <c r="V21" s="615"/>
      <c r="W21" s="611"/>
      <c r="X21" s="864"/>
      <c r="Y21" s="615"/>
      <c r="Z21" s="1193">
        <f>IF(OR(UnitsTbl[[#This Row],[Restricted Income Level]]="Manager",UnitsTbl[[#This Row],[Restricted Income Level]]="Market",UnitsTbl[[#This Row],[Restricted Income Level]]&gt;60%),0,MIN(SUM(UnitsTbl[[#This Row],[IIG
Assisted]:[VHHP
Assisted]])+UnitsTbl[[#This Row],[Other Restricted]],UnitsTbl[[#This Row],[Total Units]]))</f>
        <v>0</v>
      </c>
      <c r="AA21" s="1626">
        <f>UnitsTbl[[#This Row],[Total Restricted Units]]*25000+IF(UnitsTbl[[#This Row],[Restricted Income Level]]="Manager",UnitsTbl[[#This Row],[Total Units]]*25000,0)</f>
        <v>0</v>
      </c>
      <c r="AB21" s="1626" t="b">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21"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21"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21"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21" s="1629">
        <f>IFERROR(IF(AND(IsMhp,UnitsTbl[[#This Row],[Restricted Income Level]]="Manager"),UnitsTbl[[#This Row],[Total Units]]*IF(AND(UnitsTbl[[#This Row],[Total Units]]&gt;0,Taxcredit=9%,UnitsTbl[[#This Row],[Restricted Income Level]]="Manager"),95000,IF(AND(IsMhp,UnitsTbl[[#This Row],[Total Units]]&gt;0,Taxcredit=9%),VLOOKUP(CONCATENATE(County,C21),LoanLimit9Tbl[],AX21,FALSE),IF(AND(IsMhp,UnitsTbl[[#This Row],[Total Units]]&gt;0,OR(Taxcredit=4%,Taxcredit="None"),UnitsTbl[[#This Row],[Restricted Income Level]]="Manager"),150000,VLOOKUP(CONCATENATE(County,C21),LoanLimitsTbl[],AX21,FALSE)))),(IF($R$4=FALSE,((UnitsTbl[[#This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Restricted]]&gt;0),IsMhp,Taxcredit=9%),VLOOKUP(CONCATENATE(County,C21),LoanLimit9Tbl[],AX21,FALSE),IF(AND(IsMhp,UnitsTbl[[#This Row],[MHP
Assisted]]&gt;0,UnitsTbl[[#This Row],[Restricted Income Level]]="Manager"),150000,VLOOKUP(CONCATENATE(County,C21),LoanLimitsTbl[],AX21,FALSE))))))),0)</f>
        <v>0</v>
      </c>
      <c r="AG21"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Restricted]]&gt;0),IsMhp,Taxcredit=9%),VLOOKUP(CONCATENATE(County,C21),LoanLimit9Tbl[],AY21,FALSE),IF(AND(OR(UnitsTbl[[#This Row],[MHP
Assisted]]&gt;0,UnitsTbl[[#This Row],[Other Restricted]]&gt;0),UnitsTbl[[#This Row],[Restricted Income Level]]="Manager"),175000,VLOOKUP(CONCATENATE(County,C21),LoanLimitsTbl[],AY21,FALSE)))),IF(UnitsTbl[[#This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Restricted]]&gt;0),IsMhp,Taxcredit=9%),VLOOKUP(CONCATENATE(County,C21),LoanLimit9Tbl[],AY21,FALSE),IF(AND(OR(UnitsTbl[[#This Row],[MHP
Assisted]]&gt;0,UnitsTbl[[#This Row],[Other Restricted]]&gt;0),UnitsTbl[[#This Row],[Restricted Income Level]]="Manager"),175000,VLOOKUP(CONCATENATE(County,C21),LoanLimitsTbl[],AY21,FALSE)))))))),"")</f>
        <v>0</v>
      </c>
      <c r="AH21" s="1248"/>
      <c r="AI21"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21" s="751"/>
      <c r="AK21" s="755"/>
      <c r="AL21" s="752" t="str">
        <f>IFERROR(IF(UnitsTbl[[#This Row],[Max Gross Rent]]=0,"",UnitsTbl[[#This Row],[Max Gross Rent]]-UnitsTbl[[#This Row],[Less Utility Allowance Schedule 1]]-UnitsTbl[[#This Row],[Less Utility Allowance Schedule 2]]),"")</f>
        <v/>
      </c>
      <c r="AM21" s="751"/>
      <c r="AN21" s="752" t="str">
        <f>IF(UnitsTbl[[#This Row],[Proposed Net Rent ]]="","",UnitsTbl[[#This Row],[Total Units]]*UnitsTbl[[#This Row],[Proposed Net Rent ]])</f>
        <v/>
      </c>
      <c r="AO21" s="1250" t="str">
        <f>IFERROR(UnitsTbl[[#This Row],[Total Units]]*UnitsTbl[[#This Row],[Maximum Net Rent]],"")</f>
        <v/>
      </c>
      <c r="AP21" s="1253"/>
      <c r="AQ21" s="752" t="str">
        <f>IFERROR(IF(UnitsTbl[[#This Row],[Gross Monthly Contract Rent]]="","",IF($AV$4="Restricted",UnitsTbl[[#This Row],[Gross Monthly Contract Rent]]-UnitsTbl[[#This Row],[Maximum Net Rent]],IF($AV$4="Proposed",UnitsTbl[[#This Row],[Gross Monthly Contract Rent]]-UnitsTbl[[#This Row],[Proposed Net Rent ]],0))),"")</f>
        <v/>
      </c>
      <c r="AR21" s="864"/>
      <c r="AS21" s="753" t="str">
        <f>IFERROR(IF(UnitsTbl[[#This Row],[Units Subsidized]]="","",UnitsTbl[[#This Row],[Subsidy Payment Over  Net Rent]]*UnitsTbl[[#This Row],[Units Subsidized]]),"")</f>
        <v/>
      </c>
      <c r="AT21" s="754"/>
      <c r="AU21" s="752" t="str">
        <f>IFERROR(IF(UnitsTbl[[#This Row],[Gross Monthly Contract Rent2]]="","",IF($AV$4="Restricted",UnitsTbl[[#This Row],[Gross Monthly Contract Rent2]]-UnitsTbl[[#This Row],[Maximum Net Rent]],IF($AV$4="Proposed",UnitsTbl[[#This Row],[Gross Monthly Contract Rent2]]-UnitsTbl[[#This Row],[Proposed Net Rent ]],""))),"")</f>
        <v/>
      </c>
      <c r="AV21" s="864"/>
      <c r="AW21" s="1261" t="str">
        <f>IFERROR(IF(UnitsTbl[[#This Row],[Units Subsidized2]]="","",UnitsTbl[[#This Row],[Subsidy Payment Over  Net Rent2]]*UnitsTbl[[#This Row],[Units Subsidized2]]),"")</f>
        <v/>
      </c>
      <c r="AX21" s="1354">
        <f>IF(UnitsTbl[[#This Row],['# of Bedrooms]]="","",IF(UnitsTbl[[#This Row],['# of Bedrooms]]=0,2,IF(UnitsTbl[[#This Row],['# of Bedrooms]]=1,3,IF(UnitsTbl[[#This Row],['# of Bedrooms]]=2,4,IF(UnitsTbl[[#This Row],['# of Bedrooms]]=3,5,IF(UnitsTbl[[#This Row],['# of Bedrooms]]=4,6,IF(UnitsTbl[[#This Row],['# of Bedrooms]]&gt;4,6,"")))))))</f>
        <v>6</v>
      </c>
      <c r="AY21" s="470">
        <f>IF(UnitsTbl[[#This Row],['# of Bedrooms]]="","",IF(UnitsTbl[[#This Row],['# of Bedrooms]]=0,7,IF(UnitsTbl[[#This Row],['# of Bedrooms]]=1,8,IF(UnitsTbl[[#This Row],['# of Bedrooms]]=2,9,IF(UnitsTbl[[#This Row],['# of Bedrooms]]=3,10,IF(UnitsTbl[[#This Row],['# of Bedrooms]]=4,11,IF(UnitsTbl[[#This Row],['# of Bedrooms]]&gt;4,11,"")))))))</f>
        <v>11</v>
      </c>
      <c r="AZ21" s="470">
        <f>IF(UnitsTbl[[#This Row],['# of Bedrooms]]="","",IF(UnitsTbl[[#This Row],['# of Bedrooms]]=0,2,IF(UnitsTbl[[#This Row],['# of Bedrooms]]=1,3,IF(UnitsTbl[[#This Row],['# of Bedrooms]]=2,4,IF(UnitsTbl[[#This Row],['# of Bedrooms]]=3,5,IF(UnitsTbl[[#This Row],['# of Bedrooms]]=4,6,IF(UnitsTbl[[#This Row],['# of Bedrooms]]=5,7,"")))))))</f>
        <v>7</v>
      </c>
      <c r="BA21" s="1546">
        <f>MIN(SUM(UnitsTbl[[#This Row],[Disability Homelessness ]],UnitsTbl[[#This Row],[Chronic Homelessness]],UnitsTbl[[#This Row],[Homelessness]]),UnitsTbl[[#This Row],[Total Restricted Units]])</f>
        <v>0</v>
      </c>
      <c r="BB21" s="1546">
        <f>(UnitsTbl[[#This Row],[Restricted Income Level]]&lt;=30%)*UnitsTbl[[#This Row],[Total Restricted Units]]</f>
        <v>0</v>
      </c>
      <c r="BC21" s="1546">
        <f t="shared" ref="BC21:BC51" si="11">MAX(BA21,BB21)</f>
        <v>0</v>
      </c>
      <c r="BH21" s="1348" t="s">
        <v>2406</v>
      </c>
      <c r="BI21" s="483">
        <v>221736</v>
      </c>
      <c r="BJ21" s="483">
        <v>226921</v>
      </c>
      <c r="BK21" s="483">
        <v>242190</v>
      </c>
      <c r="BL21" s="483">
        <v>256451</v>
      </c>
      <c r="BM21" s="483">
        <v>268839</v>
      </c>
      <c r="BN21" s="483">
        <v>246736</v>
      </c>
      <c r="BO21" s="483">
        <v>251921</v>
      </c>
      <c r="BP21" s="483">
        <v>267190</v>
      </c>
      <c r="BQ21" s="483">
        <v>281451</v>
      </c>
      <c r="BR21" s="1344">
        <v>293839</v>
      </c>
      <c r="BS21" s="1545"/>
      <c r="BT21" s="1345" t="s">
        <v>2407</v>
      </c>
      <c r="BU21" s="508">
        <v>25300</v>
      </c>
      <c r="BV21" s="508">
        <v>28900</v>
      </c>
      <c r="BW21" s="508">
        <v>32500</v>
      </c>
      <c r="BX21" s="508">
        <v>36100</v>
      </c>
      <c r="BY21" s="508">
        <v>39000</v>
      </c>
      <c r="BZ21" s="508">
        <v>41900</v>
      </c>
      <c r="CA21" s="508">
        <v>44800</v>
      </c>
      <c r="CB21" s="1346">
        <v>47700</v>
      </c>
      <c r="CC21" s="1545"/>
      <c r="CD21" s="1348" t="s">
        <v>2406</v>
      </c>
      <c r="CE21" s="504">
        <v>166736</v>
      </c>
      <c r="CF21" s="504">
        <v>171921</v>
      </c>
      <c r="CG21" s="504">
        <v>187190</v>
      </c>
      <c r="CH21" s="504">
        <v>201451</v>
      </c>
      <c r="CI21" s="504">
        <v>213839</v>
      </c>
      <c r="CJ21" s="504">
        <v>181736</v>
      </c>
      <c r="CK21" s="504">
        <v>186921</v>
      </c>
      <c r="CL21" s="504">
        <v>202190</v>
      </c>
      <c r="CM21" s="504">
        <v>216451</v>
      </c>
      <c r="CN21" s="1347">
        <v>228839</v>
      </c>
      <c r="CP21" s="1545">
        <v>0.4</v>
      </c>
      <c r="CQ21" s="486">
        <f>$CQ$19*CP21/$CP$19</f>
        <v>21840</v>
      </c>
      <c r="CR21" s="486">
        <f t="shared" ref="CR21:CR26" si="12">$CR$19*CP21/$CP$19</f>
        <v>24960</v>
      </c>
      <c r="CS21" s="486">
        <f t="shared" ref="CS21:CS26" si="13">$CS$19*CP21/$CP$19</f>
        <v>28080</v>
      </c>
      <c r="CT21" s="486">
        <f t="shared" ref="CT21:CT26" si="14">$CT$19*CP21/$CP$19</f>
        <v>31160</v>
      </c>
      <c r="CU21" s="486">
        <f t="shared" ref="CU21:CU26" si="15">$CU$19*CP21/$CP$19</f>
        <v>33680</v>
      </c>
      <c r="CV21" s="486">
        <f t="shared" ref="CV21:CV26" si="16">$CV$19*CP21/$CP$19</f>
        <v>36160</v>
      </c>
      <c r="CW21" s="486">
        <f t="shared" ref="CW21:CW26" si="17">$CW$19*CP21/$CP$19</f>
        <v>38640</v>
      </c>
      <c r="CX21" s="486">
        <f t="shared" ref="CX21:CX26" si="18">$CX$19*CP21/$CP$19</f>
        <v>41160</v>
      </c>
    </row>
    <row r="22" spans="1:103" ht="18" customHeight="1">
      <c r="A22" s="1228"/>
      <c r="B22" s="611"/>
      <c r="C22" s="469"/>
      <c r="D22" s="615"/>
      <c r="E22" s="1048"/>
      <c r="F22" s="550"/>
      <c r="G22" s="550"/>
      <c r="H22" s="550"/>
      <c r="I22" s="550"/>
      <c r="J22" s="614"/>
      <c r="K22" s="1048"/>
      <c r="L22" s="550"/>
      <c r="M22" s="550"/>
      <c r="N22" s="550"/>
      <c r="O22" s="550"/>
      <c r="P22" s="550"/>
      <c r="Q22" s="550"/>
      <c r="R22" s="550"/>
      <c r="S22" s="550"/>
      <c r="T22" s="614"/>
      <c r="U22" s="1048"/>
      <c r="V22" s="615"/>
      <c r="W22" s="611"/>
      <c r="X22" s="864"/>
      <c r="Y22" s="615"/>
      <c r="Z22" s="1193">
        <f>IF(OR(UnitsTbl[[#This Row],[Restricted Income Level]]="Manager",UnitsTbl[[#This Row],[Restricted Income Level]]="Market",UnitsTbl[[#This Row],[Restricted Income Level]]&gt;60%),0,MIN(SUM(UnitsTbl[[#This Row],[IIG
Assisted]:[VHHP
Assisted]])+UnitsTbl[[#This Row],[Other Restricted]],UnitsTbl[[#This Row],[Total Units]]))</f>
        <v>0</v>
      </c>
      <c r="AA22" s="1626">
        <f>UnitsTbl[[#This Row],[Total Restricted Units]]*25000+IF(UnitsTbl[[#This Row],[Restricted Income Level]]="Manager",UnitsTbl[[#This Row],[Total Units]]*25000,0)</f>
        <v>0</v>
      </c>
      <c r="AB22"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22"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22"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22"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22" s="1629">
        <f>IFERROR(IF(AND(IsMhp,UnitsTbl[[#This Row],[Restricted Income Level]]="Manager"),UnitsTbl[[#This Row],[Total Units]]*IF(AND(UnitsTbl[[#This Row],[Total Units]]&gt;0,Taxcredit=9%,UnitsTbl[[#This Row],[Restricted Income Level]]="Manager"),95000,IF(AND(IsMhp,UnitsTbl[[#This Row],[Total Units]]&gt;0,Taxcredit=9%),VLOOKUP(CONCATENATE(County,C22),LoanLimit9Tbl[],AX22,FALSE),IF(AND(IsMhp,UnitsTbl[[#This Row],[Total Units]]&gt;0,OR(Taxcredit=4%,Taxcredit="None"),UnitsTbl[[#This Row],[Restricted Income Level]]="Manager"),150000,VLOOKUP(CONCATENATE(County,C22),LoanLimitsTbl[],AX22,FALSE)))),(IF($R$4=FALSE,((UnitsTbl[[#This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Restricted]]&gt;0),IsMhp,Taxcredit=9%),VLOOKUP(CONCATENATE(County,C22),LoanLimit9Tbl[],AX22,FALSE),IF(AND(IsMhp,UnitsTbl[[#This Row],[MHP
Assisted]]&gt;0,UnitsTbl[[#This Row],[Restricted Income Level]]="Manager"),150000,VLOOKUP(CONCATENATE(County,C22),LoanLimitsTbl[],AX22,FALSE))))))),0)</f>
        <v>0</v>
      </c>
      <c r="AG22"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Restricted]]&gt;0),IsMhp,Taxcredit=9%),VLOOKUP(CONCATENATE(County,C22),LoanLimit9Tbl[],AY22,FALSE),IF(AND(OR(UnitsTbl[[#This Row],[MHP
Assisted]]&gt;0,UnitsTbl[[#This Row],[Other Restricted]]&gt;0),UnitsTbl[[#This Row],[Restricted Income Level]]="Manager"),175000,VLOOKUP(CONCATENATE(County,C22),LoanLimitsTbl[],AY22,FALSE)))),IF(UnitsTbl[[#This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Restricted]]&gt;0),IsMhp,Taxcredit=9%),VLOOKUP(CONCATENATE(County,C22),LoanLimit9Tbl[],AY22,FALSE),IF(AND(OR(UnitsTbl[[#This Row],[MHP
Assisted]]&gt;0,UnitsTbl[[#This Row],[Other Restricted]]&gt;0),UnitsTbl[[#This Row],[Restricted Income Level]]="Manager"),175000,VLOOKUP(CONCATENATE(County,C22),LoanLimitsTbl[],AY22,FALSE)))))))),"")</f>
        <v>0</v>
      </c>
      <c r="AH22" s="1248"/>
      <c r="AI22"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22" s="751"/>
      <c r="AK22" s="755"/>
      <c r="AL22" s="752" t="str">
        <f>IFERROR(IF(UnitsTbl[[#This Row],[Max Gross Rent]]=0,"",UnitsTbl[[#This Row],[Max Gross Rent]]-UnitsTbl[[#This Row],[Less Utility Allowance Schedule 1]]-UnitsTbl[[#This Row],[Less Utility Allowance Schedule 2]]),"")</f>
        <v/>
      </c>
      <c r="AM22" s="751"/>
      <c r="AN22" s="752" t="str">
        <f>IF(UnitsTbl[[#This Row],[Proposed Net Rent ]]="","",UnitsTbl[[#This Row],[Total Units]]*UnitsTbl[[#This Row],[Proposed Net Rent ]])</f>
        <v/>
      </c>
      <c r="AO22" s="1250" t="str">
        <f>IFERROR(UnitsTbl[[#This Row],[Total Units]]*UnitsTbl[[#This Row],[Maximum Net Rent]],"")</f>
        <v/>
      </c>
      <c r="AP22" s="1253"/>
      <c r="AQ22" s="752" t="str">
        <f>IFERROR(IF(UnitsTbl[[#This Row],[Gross Monthly Contract Rent]]="","",IF($AV$4="Restricted",UnitsTbl[[#This Row],[Gross Monthly Contract Rent]]-UnitsTbl[[#This Row],[Maximum Net Rent]],IF($AV$4="Proposed",UnitsTbl[[#This Row],[Gross Monthly Contract Rent]]-UnitsTbl[[#This Row],[Proposed Net Rent ]],0))),"")</f>
        <v/>
      </c>
      <c r="AR22" s="864"/>
      <c r="AS22" s="753" t="str">
        <f>IFERROR(IF(UnitsTbl[[#This Row],[Units Subsidized]]="","",UnitsTbl[[#This Row],[Subsidy Payment Over  Net Rent]]*UnitsTbl[[#This Row],[Units Subsidized]]),"")</f>
        <v/>
      </c>
      <c r="AT22" s="754"/>
      <c r="AU22" s="752" t="str">
        <f>IFERROR(IF(UnitsTbl[[#This Row],[Gross Monthly Contract Rent2]]="","",IF($AV$4="Restricted",UnitsTbl[[#This Row],[Gross Monthly Contract Rent2]]-UnitsTbl[[#This Row],[Maximum Net Rent]],IF($AV$4="Proposed",UnitsTbl[[#This Row],[Gross Monthly Contract Rent2]]-UnitsTbl[[#This Row],[Proposed Net Rent ]],""))),"")</f>
        <v/>
      </c>
      <c r="AV22" s="864"/>
      <c r="AW22" s="1261" t="str">
        <f>IFERROR(IF(UnitsTbl[[#This Row],[Units Subsidized2]]="","",UnitsTbl[[#This Row],[Subsidy Payment Over  Net Rent2]]*UnitsTbl[[#This Row],[Units Subsidized2]]),"")</f>
        <v/>
      </c>
      <c r="AX22" s="1354" t="str">
        <f>IF(UnitsTbl[[#This Row],['# of Bedrooms]]="","",IF(UnitsTbl[[#This Row],['# of Bedrooms]]=0,2,IF(UnitsTbl[[#This Row],['# of Bedrooms]]=1,3,IF(UnitsTbl[[#This Row],['# of Bedrooms]]=2,4,IF(UnitsTbl[[#This Row],['# of Bedrooms]]=3,5,IF(UnitsTbl[[#This Row],['# of Bedrooms]]=4,6,IF(UnitsTbl[[#This Row],['# of Bedrooms]]&gt;4,6,"")))))))</f>
        <v/>
      </c>
      <c r="AY22" s="470" t="str">
        <f>IF(UnitsTbl[[#This Row],['# of Bedrooms]]="","",IF(UnitsTbl[[#This Row],['# of Bedrooms]]=0,7,IF(UnitsTbl[[#This Row],['# of Bedrooms]]=1,8,IF(UnitsTbl[[#This Row],['# of Bedrooms]]=2,9,IF(UnitsTbl[[#This Row],['# of Bedrooms]]=3,10,IF(UnitsTbl[[#This Row],['# of Bedrooms]]=4,11,IF(UnitsTbl[[#This Row],['# of Bedrooms]]&gt;4,11,"")))))))</f>
        <v/>
      </c>
      <c r="AZ22" s="470" t="str">
        <f>IF(UnitsTbl[[#This Row],['# of Bedrooms]]="","",IF(UnitsTbl[[#This Row],['# of Bedrooms]]=0,2,IF(UnitsTbl[[#This Row],['# of Bedrooms]]=1,3,IF(UnitsTbl[[#This Row],['# of Bedrooms]]=2,4,IF(UnitsTbl[[#This Row],['# of Bedrooms]]=3,5,IF(UnitsTbl[[#This Row],['# of Bedrooms]]=4,6,IF(UnitsTbl[[#This Row],['# of Bedrooms]]=5,7,"")))))))</f>
        <v/>
      </c>
      <c r="BA22" s="1546">
        <f>MIN(SUM(UnitsTbl[[#This Row],[Disability Homelessness ]],UnitsTbl[[#This Row],[Chronic Homelessness]],UnitsTbl[[#This Row],[Homelessness]]),UnitsTbl[[#This Row],[Total Restricted Units]])</f>
        <v>0</v>
      </c>
      <c r="BB22" s="1546">
        <f>(UnitsTbl[[#This Row],[Restricted Income Level]]&lt;=30%)*UnitsTbl[[#This Row],[Total Restricted Units]]</f>
        <v>0</v>
      </c>
      <c r="BC22" s="1546">
        <f t="shared" si="11"/>
        <v>0</v>
      </c>
      <c r="BH22" s="1348" t="s">
        <v>2408</v>
      </c>
      <c r="BI22" s="483">
        <v>231963</v>
      </c>
      <c r="BJ22" s="483">
        <v>237869</v>
      </c>
      <c r="BK22" s="483">
        <v>255299</v>
      </c>
      <c r="BL22" s="483">
        <v>271576</v>
      </c>
      <c r="BM22" s="483">
        <v>285693</v>
      </c>
      <c r="BN22" s="483">
        <v>256963</v>
      </c>
      <c r="BO22" s="483">
        <v>262869</v>
      </c>
      <c r="BP22" s="483">
        <v>280299</v>
      </c>
      <c r="BQ22" s="483">
        <v>296576</v>
      </c>
      <c r="BR22" s="1344">
        <v>310693</v>
      </c>
      <c r="BS22" s="1545"/>
      <c r="BT22" s="1345" t="s">
        <v>2409</v>
      </c>
      <c r="BU22" s="508">
        <v>41400</v>
      </c>
      <c r="BV22" s="508">
        <v>47300</v>
      </c>
      <c r="BW22" s="508">
        <v>53200</v>
      </c>
      <c r="BX22" s="508">
        <v>59100</v>
      </c>
      <c r="BY22" s="508">
        <v>63850</v>
      </c>
      <c r="BZ22" s="508">
        <v>68600</v>
      </c>
      <c r="CA22" s="508">
        <v>73300</v>
      </c>
      <c r="CB22" s="1346">
        <v>78050</v>
      </c>
      <c r="CC22" s="1545"/>
      <c r="CD22" s="1348" t="s">
        <v>2408</v>
      </c>
      <c r="CE22" s="504">
        <v>176963</v>
      </c>
      <c r="CF22" s="504">
        <v>182869</v>
      </c>
      <c r="CG22" s="504">
        <v>200299</v>
      </c>
      <c r="CH22" s="504">
        <v>216576</v>
      </c>
      <c r="CI22" s="504">
        <v>230693</v>
      </c>
      <c r="CJ22" s="504">
        <v>191963</v>
      </c>
      <c r="CK22" s="504">
        <v>197869</v>
      </c>
      <c r="CL22" s="504">
        <v>215299</v>
      </c>
      <c r="CM22" s="504">
        <v>231576</v>
      </c>
      <c r="CN22" s="1347">
        <v>245693</v>
      </c>
      <c r="CP22" s="1545">
        <v>0.35</v>
      </c>
      <c r="CQ22" s="486">
        <f t="shared" ref="CQ22:CQ26" si="19">$CQ$19*CP22/$CP$19</f>
        <v>19110</v>
      </c>
      <c r="CR22" s="486">
        <f t="shared" si="12"/>
        <v>21840</v>
      </c>
      <c r="CS22" s="486">
        <f t="shared" si="13"/>
        <v>24570</v>
      </c>
      <c r="CT22" s="486">
        <f t="shared" si="14"/>
        <v>27265</v>
      </c>
      <c r="CU22" s="486">
        <f t="shared" si="15"/>
        <v>29469.999999999996</v>
      </c>
      <c r="CV22" s="486">
        <f t="shared" si="16"/>
        <v>31639.999999999996</v>
      </c>
      <c r="CW22" s="486">
        <f t="shared" si="17"/>
        <v>33810</v>
      </c>
      <c r="CX22" s="486">
        <f t="shared" si="18"/>
        <v>36015</v>
      </c>
    </row>
    <row r="23" spans="1:103" ht="18" customHeight="1">
      <c r="A23" s="1228"/>
      <c r="B23" s="611"/>
      <c r="C23" s="469"/>
      <c r="D23" s="615"/>
      <c r="E23" s="1048"/>
      <c r="F23" s="550"/>
      <c r="G23" s="550"/>
      <c r="H23" s="550"/>
      <c r="I23" s="550"/>
      <c r="J23" s="614"/>
      <c r="K23" s="1048"/>
      <c r="L23" s="550"/>
      <c r="M23" s="550"/>
      <c r="N23" s="550"/>
      <c r="O23" s="550"/>
      <c r="P23" s="550"/>
      <c r="Q23" s="550"/>
      <c r="R23" s="550"/>
      <c r="S23" s="550"/>
      <c r="T23" s="614"/>
      <c r="U23" s="1048"/>
      <c r="V23" s="615"/>
      <c r="W23" s="611"/>
      <c r="X23" s="864"/>
      <c r="Y23" s="615"/>
      <c r="Z23" s="1193">
        <f>IF(OR(UnitsTbl[[#This Row],[Restricted Income Level]]="Manager",UnitsTbl[[#This Row],[Restricted Income Level]]="Market",UnitsTbl[[#This Row],[Restricted Income Level]]&gt;60%),0,MIN(SUM(UnitsTbl[[#This Row],[IIG
Assisted]:[VHHP
Assisted]])+UnitsTbl[[#This Row],[Other Restricted]],UnitsTbl[[#This Row],[Total Units]]))</f>
        <v>0</v>
      </c>
      <c r="AA23" s="1626">
        <f>UnitsTbl[[#This Row],[Total Restricted Units]]*25000+IF(UnitsTbl[[#This Row],[Restricted Income Level]]="Manager",UnitsTbl[[#This Row],[Total Units]]*25000,0)</f>
        <v>0</v>
      </c>
      <c r="AB23"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23"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23"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23"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23" s="1629">
        <f>IFERROR(IF(AND(IsMhp,UnitsTbl[[#This Row],[Restricted Income Level]]="Manager"),UnitsTbl[[#This Row],[Total Units]]*IF(AND(UnitsTbl[[#This Row],[Total Units]]&gt;0,Taxcredit=9%,UnitsTbl[[#This Row],[Restricted Income Level]]="Manager"),95000,IF(AND(IsMhp,UnitsTbl[[#This Row],[Total Units]]&gt;0,Taxcredit=9%),VLOOKUP(CONCATENATE(County,C23),LoanLimit9Tbl[],AX23,FALSE),IF(AND(IsMhp,UnitsTbl[[#This Row],[Total Units]]&gt;0,OR(Taxcredit=4%,Taxcredit="None"),UnitsTbl[[#This Row],[Restricted Income Level]]="Manager"),150000,VLOOKUP(CONCATENATE(County,C23),LoanLimitsTbl[],AX23,FALSE)))),(IF($R$4=FALSE,((UnitsTbl[[#This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Restricted]]&gt;0),IsMhp,Taxcredit=9%),VLOOKUP(CONCATENATE(County,C23),LoanLimit9Tbl[],AX23,FALSE),IF(AND(IsMhp,UnitsTbl[[#This Row],[MHP
Assisted]]&gt;0,UnitsTbl[[#This Row],[Restricted Income Level]]="Manager"),150000,VLOOKUP(CONCATENATE(County,C23),LoanLimitsTbl[],AX23,FALSE))))))),0)</f>
        <v>0</v>
      </c>
      <c r="AG23"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Restricted]]&gt;0),IsMhp,Taxcredit=9%),VLOOKUP(CONCATENATE(County,C23),LoanLimit9Tbl[],AY23,FALSE),IF(AND(OR(UnitsTbl[[#This Row],[MHP
Assisted]]&gt;0,UnitsTbl[[#This Row],[Other Restricted]]&gt;0),UnitsTbl[[#This Row],[Restricted Income Level]]="Manager"),175000,VLOOKUP(CONCATENATE(County,C23),LoanLimitsTbl[],AY23,FALSE)))),IF(UnitsTbl[[#This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Restricted]]&gt;0),IsMhp,Taxcredit=9%),VLOOKUP(CONCATENATE(County,C23),LoanLimit9Tbl[],AY23,FALSE),IF(AND(OR(UnitsTbl[[#This Row],[MHP
Assisted]]&gt;0,UnitsTbl[[#This Row],[Other Restricted]]&gt;0),UnitsTbl[[#This Row],[Restricted Income Level]]="Manager"),175000,VLOOKUP(CONCATENATE(County,C23),LoanLimitsTbl[],AY23,FALSE)))))))),"")</f>
        <v>0</v>
      </c>
      <c r="AH23" s="1248"/>
      <c r="AI23"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23" s="751"/>
      <c r="AK23" s="755"/>
      <c r="AL23" s="752" t="str">
        <f>IFERROR(IF(UnitsTbl[[#This Row],[Max Gross Rent]]=0,"",UnitsTbl[[#This Row],[Max Gross Rent]]-UnitsTbl[[#This Row],[Less Utility Allowance Schedule 1]]-UnitsTbl[[#This Row],[Less Utility Allowance Schedule 2]]),"")</f>
        <v/>
      </c>
      <c r="AM23" s="751"/>
      <c r="AN23" s="752" t="str">
        <f>IF(UnitsTbl[[#This Row],[Proposed Net Rent ]]="","",UnitsTbl[[#This Row],[Total Units]]*UnitsTbl[[#This Row],[Proposed Net Rent ]])</f>
        <v/>
      </c>
      <c r="AO23" s="1250" t="str">
        <f>IFERROR(UnitsTbl[[#This Row],[Total Units]]*UnitsTbl[[#This Row],[Maximum Net Rent]],"")</f>
        <v/>
      </c>
      <c r="AP23" s="1253"/>
      <c r="AQ23" s="752" t="str">
        <f>IFERROR(IF(UnitsTbl[[#This Row],[Gross Monthly Contract Rent]]="","",IF($AV$4="Restricted",UnitsTbl[[#This Row],[Gross Monthly Contract Rent]]-UnitsTbl[[#This Row],[Maximum Net Rent]],IF($AV$4="Proposed",UnitsTbl[[#This Row],[Gross Monthly Contract Rent]]-UnitsTbl[[#This Row],[Proposed Net Rent ]],0))),"")</f>
        <v/>
      </c>
      <c r="AR23" s="864"/>
      <c r="AS23" s="753" t="str">
        <f>IFERROR(IF(UnitsTbl[[#This Row],[Units Subsidized]]="","",UnitsTbl[[#This Row],[Subsidy Payment Over  Net Rent]]*UnitsTbl[[#This Row],[Units Subsidized]]),"")</f>
        <v/>
      </c>
      <c r="AT23" s="754"/>
      <c r="AU23" s="752" t="str">
        <f>IFERROR(IF(UnitsTbl[[#This Row],[Gross Monthly Contract Rent2]]="","",IF($AV$4="Restricted",UnitsTbl[[#This Row],[Gross Monthly Contract Rent2]]-UnitsTbl[[#This Row],[Maximum Net Rent]],IF($AV$4="Proposed",UnitsTbl[[#This Row],[Gross Monthly Contract Rent2]]-UnitsTbl[[#This Row],[Proposed Net Rent ]],""))),"")</f>
        <v/>
      </c>
      <c r="AV23" s="864"/>
      <c r="AW23" s="1261" t="str">
        <f>IFERROR(IF(UnitsTbl[[#This Row],[Units Subsidized2]]="","",UnitsTbl[[#This Row],[Subsidy Payment Over  Net Rent2]]*UnitsTbl[[#This Row],[Units Subsidized2]]),"")</f>
        <v/>
      </c>
      <c r="AX23" s="1354" t="str">
        <f>IF(UnitsTbl[[#This Row],['# of Bedrooms]]="","",IF(UnitsTbl[[#This Row],['# of Bedrooms]]=0,2,IF(UnitsTbl[[#This Row],['# of Bedrooms]]=1,3,IF(UnitsTbl[[#This Row],['# of Bedrooms]]=2,4,IF(UnitsTbl[[#This Row],['# of Bedrooms]]=3,5,IF(UnitsTbl[[#This Row],['# of Bedrooms]]=4,6,IF(UnitsTbl[[#This Row],['# of Bedrooms]]&gt;4,6,"")))))))</f>
        <v/>
      </c>
      <c r="AY23" s="470" t="str">
        <f>IF(UnitsTbl[[#This Row],['# of Bedrooms]]="","",IF(UnitsTbl[[#This Row],['# of Bedrooms]]=0,7,IF(UnitsTbl[[#This Row],['# of Bedrooms]]=1,8,IF(UnitsTbl[[#This Row],['# of Bedrooms]]=2,9,IF(UnitsTbl[[#This Row],['# of Bedrooms]]=3,10,IF(UnitsTbl[[#This Row],['# of Bedrooms]]=4,11,IF(UnitsTbl[[#This Row],['# of Bedrooms]]&gt;4,11,"")))))))</f>
        <v/>
      </c>
      <c r="AZ23" s="470" t="str">
        <f>IF(UnitsTbl[[#This Row],['# of Bedrooms]]="","",IF(UnitsTbl[[#This Row],['# of Bedrooms]]=0,2,IF(UnitsTbl[[#This Row],['# of Bedrooms]]=1,3,IF(UnitsTbl[[#This Row],['# of Bedrooms]]=2,4,IF(UnitsTbl[[#This Row],['# of Bedrooms]]=3,5,IF(UnitsTbl[[#This Row],['# of Bedrooms]]=4,6,IF(UnitsTbl[[#This Row],['# of Bedrooms]]=5,7,"")))))))</f>
        <v/>
      </c>
      <c r="BA23" s="1546">
        <f>MIN(SUM(UnitsTbl[[#This Row],[Disability Homelessness ]],UnitsTbl[[#This Row],[Chronic Homelessness]],UnitsTbl[[#This Row],[Homelessness]]),UnitsTbl[[#This Row],[Total Restricted Units]])</f>
        <v>0</v>
      </c>
      <c r="BB23" s="1546">
        <f>(UnitsTbl[[#This Row],[Restricted Income Level]]&lt;=30%)*UnitsTbl[[#This Row],[Total Restricted Units]]</f>
        <v>0</v>
      </c>
      <c r="BC23" s="1546">
        <f t="shared" si="11"/>
        <v>0</v>
      </c>
      <c r="BH23" s="1348" t="s">
        <v>2410</v>
      </c>
      <c r="BI23" s="483">
        <v>242190</v>
      </c>
      <c r="BJ23" s="483">
        <v>248816</v>
      </c>
      <c r="BK23" s="483">
        <v>268407</v>
      </c>
      <c r="BL23" s="483">
        <v>286845</v>
      </c>
      <c r="BM23" s="483">
        <v>302690</v>
      </c>
      <c r="BN23" s="483">
        <v>267190</v>
      </c>
      <c r="BO23" s="483">
        <v>273816</v>
      </c>
      <c r="BP23" s="483">
        <v>293407</v>
      </c>
      <c r="BQ23" s="483">
        <v>311845</v>
      </c>
      <c r="BR23" s="1344">
        <v>327690</v>
      </c>
      <c r="BS23" s="1545"/>
      <c r="BT23" s="1345" t="s">
        <v>2411</v>
      </c>
      <c r="BU23" s="508">
        <v>24400</v>
      </c>
      <c r="BV23" s="508">
        <v>27900</v>
      </c>
      <c r="BW23" s="508">
        <v>31400</v>
      </c>
      <c r="BX23" s="508">
        <v>34850</v>
      </c>
      <c r="BY23" s="508">
        <v>37650</v>
      </c>
      <c r="BZ23" s="508">
        <v>40450</v>
      </c>
      <c r="CA23" s="508">
        <v>43250</v>
      </c>
      <c r="CB23" s="1346">
        <v>46050</v>
      </c>
      <c r="CC23" s="1545"/>
      <c r="CD23" s="1348" t="s">
        <v>2410</v>
      </c>
      <c r="CE23" s="504">
        <v>187190</v>
      </c>
      <c r="CF23" s="504">
        <v>193816</v>
      </c>
      <c r="CG23" s="504">
        <v>213407</v>
      </c>
      <c r="CH23" s="504">
        <v>231845</v>
      </c>
      <c r="CI23" s="504">
        <v>247690</v>
      </c>
      <c r="CJ23" s="504">
        <v>202190</v>
      </c>
      <c r="CK23" s="504">
        <v>208816</v>
      </c>
      <c r="CL23" s="504">
        <v>228407</v>
      </c>
      <c r="CM23" s="504">
        <v>246845</v>
      </c>
      <c r="CN23" s="1347">
        <v>262690</v>
      </c>
      <c r="CP23" s="1545">
        <v>0.3</v>
      </c>
      <c r="CQ23" s="486">
        <f t="shared" si="19"/>
        <v>16380</v>
      </c>
      <c r="CR23" s="486">
        <f t="shared" si="12"/>
        <v>18720</v>
      </c>
      <c r="CS23" s="486">
        <f t="shared" si="13"/>
        <v>21060</v>
      </c>
      <c r="CT23" s="486">
        <f t="shared" si="14"/>
        <v>23370</v>
      </c>
      <c r="CU23" s="486">
        <f t="shared" si="15"/>
        <v>25260</v>
      </c>
      <c r="CV23" s="486">
        <f t="shared" si="16"/>
        <v>27120</v>
      </c>
      <c r="CW23" s="486">
        <f t="shared" si="17"/>
        <v>28980</v>
      </c>
      <c r="CX23" s="486">
        <f t="shared" si="18"/>
        <v>30870</v>
      </c>
    </row>
    <row r="24" spans="1:103" ht="18" customHeight="1">
      <c r="A24" s="1228"/>
      <c r="B24" s="611"/>
      <c r="C24" s="469"/>
      <c r="D24" s="615"/>
      <c r="E24" s="1048"/>
      <c r="F24" s="550"/>
      <c r="G24" s="550"/>
      <c r="H24" s="550"/>
      <c r="I24" s="550"/>
      <c r="J24" s="614"/>
      <c r="K24" s="1048"/>
      <c r="L24" s="550"/>
      <c r="M24" s="550"/>
      <c r="N24" s="550"/>
      <c r="O24" s="550"/>
      <c r="P24" s="550"/>
      <c r="Q24" s="550"/>
      <c r="R24" s="550"/>
      <c r="S24" s="550"/>
      <c r="T24" s="614"/>
      <c r="U24" s="1048"/>
      <c r="V24" s="615"/>
      <c r="W24" s="611"/>
      <c r="X24" s="864"/>
      <c r="Y24" s="615"/>
      <c r="Z24" s="1193">
        <f>IF(OR(UnitsTbl[[#This Row],[Restricted Income Level]]="Manager",UnitsTbl[[#This Row],[Restricted Income Level]]="Market",UnitsTbl[[#This Row],[Restricted Income Level]]&gt;60%),0,MIN(SUM(UnitsTbl[[#This Row],[IIG
Assisted]:[VHHP
Assisted]])+UnitsTbl[[#This Row],[Other Restricted]],UnitsTbl[[#This Row],[Total Units]]))</f>
        <v>0</v>
      </c>
      <c r="AA24" s="1626">
        <f>UnitsTbl[[#This Row],[Total Restricted Units]]*25000+IF(UnitsTbl[[#This Row],[Restricted Income Level]]="Manager",UnitsTbl[[#This Row],[Total Units]]*25000,0)</f>
        <v>0</v>
      </c>
      <c r="AB24"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24"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24"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24"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24" s="1629">
        <f>IFERROR(IF(AND(IsMhp,UnitsTbl[[#This Row],[Restricted Income Level]]="Manager"),UnitsTbl[[#This Row],[Total Units]]*IF(AND(UnitsTbl[[#This Row],[Total Units]]&gt;0,Taxcredit=9%,UnitsTbl[[#This Row],[Restricted Income Level]]="Manager"),95000,IF(AND(IsMhp,UnitsTbl[[#This Row],[Total Units]]&gt;0,Taxcredit=9%),VLOOKUP(CONCATENATE(County,C24),LoanLimit9Tbl[],AX24,FALSE),IF(AND(IsMhp,UnitsTbl[[#This Row],[Total Units]]&gt;0,OR(Taxcredit=4%,Taxcredit="None"),UnitsTbl[[#This Row],[Restricted Income Level]]="Manager"),150000,VLOOKUP(CONCATENATE(County,C24),LoanLimitsTbl[],AX24,FALSE)))),(IF($R$4=FALSE,((UnitsTbl[[#This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Restricted]]&gt;0),IsMhp,Taxcredit=9%),VLOOKUP(CONCATENATE(County,C24),LoanLimit9Tbl[],AX24,FALSE),IF(AND(IsMhp,UnitsTbl[[#This Row],[MHP
Assisted]]&gt;0,UnitsTbl[[#This Row],[Restricted Income Level]]="Manager"),150000,VLOOKUP(CONCATENATE(County,C24),LoanLimitsTbl[],AX24,FALSE))))))),0)</f>
        <v>0</v>
      </c>
      <c r="AG24"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Restricted]]&gt;0),IsMhp,Taxcredit=9%),VLOOKUP(CONCATENATE(County,C24),LoanLimit9Tbl[],AY24,FALSE),IF(AND(OR(UnitsTbl[[#This Row],[MHP
Assisted]]&gt;0,UnitsTbl[[#This Row],[Other Restricted]]&gt;0),UnitsTbl[[#This Row],[Restricted Income Level]]="Manager"),175000,VLOOKUP(CONCATENATE(County,C24),LoanLimitsTbl[],AY24,FALSE)))),IF(UnitsTbl[[#This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Restricted]]&gt;0),IsMhp,Taxcredit=9%),VLOOKUP(CONCATENATE(County,C24),LoanLimit9Tbl[],AY24,FALSE),IF(AND(OR(UnitsTbl[[#This Row],[MHP
Assisted]]&gt;0,UnitsTbl[[#This Row],[Other Restricted]]&gt;0),UnitsTbl[[#This Row],[Restricted Income Level]]="Manager"),175000,VLOOKUP(CONCATENATE(County,C24),LoanLimitsTbl[],AY24,FALSE)))))))),"")</f>
        <v>0</v>
      </c>
      <c r="AH24" s="1248"/>
      <c r="AI24"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24" s="751"/>
      <c r="AK24" s="755"/>
      <c r="AL24" s="752" t="str">
        <f>IFERROR(IF(UnitsTbl[[#This Row],[Max Gross Rent]]=0,"",UnitsTbl[[#This Row],[Max Gross Rent]]-UnitsTbl[[#This Row],[Less Utility Allowance Schedule 1]]-UnitsTbl[[#This Row],[Less Utility Allowance Schedule 2]]),"")</f>
        <v/>
      </c>
      <c r="AM24" s="751"/>
      <c r="AN24" s="752" t="str">
        <f>IF(UnitsTbl[[#This Row],[Proposed Net Rent ]]="","",UnitsTbl[[#This Row],[Total Units]]*UnitsTbl[[#This Row],[Proposed Net Rent ]])</f>
        <v/>
      </c>
      <c r="AO24" s="1250" t="str">
        <f>IFERROR(UnitsTbl[[#This Row],[Total Units]]*UnitsTbl[[#This Row],[Maximum Net Rent]],"")</f>
        <v/>
      </c>
      <c r="AP24" s="1253"/>
      <c r="AQ24" s="752" t="str">
        <f>IFERROR(IF(UnitsTbl[[#This Row],[Gross Monthly Contract Rent]]="","",IF($AV$4="Restricted",UnitsTbl[[#This Row],[Gross Monthly Contract Rent]]-UnitsTbl[[#This Row],[Maximum Net Rent]],IF($AV$4="Proposed",UnitsTbl[[#This Row],[Gross Monthly Contract Rent]]-UnitsTbl[[#This Row],[Proposed Net Rent ]],0))),"")</f>
        <v/>
      </c>
      <c r="AR24" s="864"/>
      <c r="AS24" s="753" t="str">
        <f>IFERROR(IF(UnitsTbl[[#This Row],[Units Subsidized]]="","",UnitsTbl[[#This Row],[Subsidy Payment Over  Net Rent]]*UnitsTbl[[#This Row],[Units Subsidized]]),"")</f>
        <v/>
      </c>
      <c r="AT24" s="754"/>
      <c r="AU24" s="752" t="str">
        <f>IFERROR(IF(UnitsTbl[[#This Row],[Gross Monthly Contract Rent2]]="","",IF($AV$4="Restricted",UnitsTbl[[#This Row],[Gross Monthly Contract Rent2]]-UnitsTbl[[#This Row],[Maximum Net Rent]],IF($AV$4="Proposed",UnitsTbl[[#This Row],[Gross Monthly Contract Rent2]]-UnitsTbl[[#This Row],[Proposed Net Rent ]],""))),"")</f>
        <v/>
      </c>
      <c r="AV24" s="864"/>
      <c r="AW24" s="1261" t="str">
        <f>IFERROR(IF(UnitsTbl[[#This Row],[Units Subsidized2]]="","",UnitsTbl[[#This Row],[Subsidy Payment Over  Net Rent2]]*UnitsTbl[[#This Row],[Units Subsidized2]]),"")</f>
        <v/>
      </c>
      <c r="AX24" s="1354" t="str">
        <f>IF(UnitsTbl[[#This Row],['# of Bedrooms]]="","",IF(UnitsTbl[[#This Row],['# of Bedrooms]]=0,2,IF(UnitsTbl[[#This Row],['# of Bedrooms]]=1,3,IF(UnitsTbl[[#This Row],['# of Bedrooms]]=2,4,IF(UnitsTbl[[#This Row],['# of Bedrooms]]=3,5,IF(UnitsTbl[[#This Row],['# of Bedrooms]]=4,6,IF(UnitsTbl[[#This Row],['# of Bedrooms]]&gt;4,6,"")))))))</f>
        <v/>
      </c>
      <c r="AY24" s="470" t="str">
        <f>IF(UnitsTbl[[#This Row],['# of Bedrooms]]="","",IF(UnitsTbl[[#This Row],['# of Bedrooms]]=0,7,IF(UnitsTbl[[#This Row],['# of Bedrooms]]=1,8,IF(UnitsTbl[[#This Row],['# of Bedrooms]]=2,9,IF(UnitsTbl[[#This Row],['# of Bedrooms]]=3,10,IF(UnitsTbl[[#This Row],['# of Bedrooms]]=4,11,IF(UnitsTbl[[#This Row],['# of Bedrooms]]&gt;4,11,"")))))))</f>
        <v/>
      </c>
      <c r="AZ24" s="470" t="str">
        <f>IF(UnitsTbl[[#This Row],['# of Bedrooms]]="","",IF(UnitsTbl[[#This Row],['# of Bedrooms]]=0,2,IF(UnitsTbl[[#This Row],['# of Bedrooms]]=1,3,IF(UnitsTbl[[#This Row],['# of Bedrooms]]=2,4,IF(UnitsTbl[[#This Row],['# of Bedrooms]]=3,5,IF(UnitsTbl[[#This Row],['# of Bedrooms]]=4,6,IF(UnitsTbl[[#This Row],['# of Bedrooms]]=5,7,"")))))))</f>
        <v/>
      </c>
      <c r="BA24" s="1546">
        <f>MIN(SUM(UnitsTbl[[#This Row],[Disability Homelessness ]],UnitsTbl[[#This Row],[Chronic Homelessness]],UnitsTbl[[#This Row],[Homelessness]]),UnitsTbl[[#This Row],[Total Restricted Units]])</f>
        <v>0</v>
      </c>
      <c r="BB24" s="1546">
        <f>(UnitsTbl[[#This Row],[Restricted Income Level]]&lt;=30%)*UnitsTbl[[#This Row],[Total Restricted Units]]</f>
        <v>0</v>
      </c>
      <c r="BC24" s="1546">
        <f t="shared" si="11"/>
        <v>0</v>
      </c>
      <c r="BH24" s="1343" t="s">
        <v>2412</v>
      </c>
      <c r="BI24" s="483">
        <v>150000</v>
      </c>
      <c r="BJ24" s="483">
        <v>150000</v>
      </c>
      <c r="BK24" s="483">
        <v>150000</v>
      </c>
      <c r="BL24" s="483">
        <v>150000</v>
      </c>
      <c r="BM24" s="483">
        <v>150000</v>
      </c>
      <c r="BN24" s="483">
        <v>175000</v>
      </c>
      <c r="BO24" s="483">
        <v>175000</v>
      </c>
      <c r="BP24" s="483">
        <v>175000</v>
      </c>
      <c r="BQ24" s="483">
        <v>175000</v>
      </c>
      <c r="BR24" s="1344">
        <v>175000</v>
      </c>
      <c r="BS24" s="1545"/>
      <c r="BT24" s="1345" t="s">
        <v>2413</v>
      </c>
      <c r="BU24" s="508">
        <v>63950</v>
      </c>
      <c r="BV24" s="508">
        <v>73100</v>
      </c>
      <c r="BW24" s="508">
        <v>82250</v>
      </c>
      <c r="BX24" s="508">
        <v>91350</v>
      </c>
      <c r="BY24" s="508">
        <v>98700</v>
      </c>
      <c r="BZ24" s="508">
        <v>106000</v>
      </c>
      <c r="CA24" s="508">
        <v>113300</v>
      </c>
      <c r="CB24" s="1346">
        <v>120600</v>
      </c>
      <c r="CC24" s="1545"/>
      <c r="CD24" s="1343" t="s">
        <v>2412</v>
      </c>
      <c r="CE24" s="504">
        <v>95000</v>
      </c>
      <c r="CF24" s="504">
        <v>95000</v>
      </c>
      <c r="CG24" s="504">
        <v>95000</v>
      </c>
      <c r="CH24" s="504">
        <v>95000</v>
      </c>
      <c r="CI24" s="504">
        <v>95000</v>
      </c>
      <c r="CJ24" s="504">
        <v>110000</v>
      </c>
      <c r="CK24" s="504">
        <v>110000</v>
      </c>
      <c r="CL24" s="504">
        <v>110000</v>
      </c>
      <c r="CM24" s="504">
        <v>110000</v>
      </c>
      <c r="CN24" s="1347">
        <v>110000</v>
      </c>
      <c r="CP24" s="1545">
        <v>0.25</v>
      </c>
      <c r="CQ24" s="486">
        <f t="shared" si="19"/>
        <v>13650</v>
      </c>
      <c r="CR24" s="486">
        <f t="shared" si="12"/>
        <v>15600</v>
      </c>
      <c r="CS24" s="486">
        <f t="shared" si="13"/>
        <v>17550</v>
      </c>
      <c r="CT24" s="486">
        <f t="shared" si="14"/>
        <v>19475</v>
      </c>
      <c r="CU24" s="486">
        <f t="shared" si="15"/>
        <v>21050</v>
      </c>
      <c r="CV24" s="486">
        <f t="shared" si="16"/>
        <v>22600</v>
      </c>
      <c r="CW24" s="486">
        <f t="shared" si="17"/>
        <v>24150</v>
      </c>
      <c r="CX24" s="486">
        <f t="shared" si="18"/>
        <v>25725</v>
      </c>
    </row>
    <row r="25" spans="1:103" ht="18" customHeight="1">
      <c r="A25" s="1228"/>
      <c r="B25" s="611"/>
      <c r="C25" s="469"/>
      <c r="D25" s="615"/>
      <c r="E25" s="1048"/>
      <c r="F25" s="550"/>
      <c r="G25" s="550"/>
      <c r="H25" s="550"/>
      <c r="I25" s="550"/>
      <c r="J25" s="614"/>
      <c r="K25" s="1048"/>
      <c r="L25" s="550"/>
      <c r="M25" s="550"/>
      <c r="N25" s="550"/>
      <c r="O25" s="550"/>
      <c r="P25" s="550"/>
      <c r="Q25" s="550"/>
      <c r="R25" s="550"/>
      <c r="S25" s="550"/>
      <c r="T25" s="614"/>
      <c r="U25" s="1048"/>
      <c r="V25" s="615"/>
      <c r="W25" s="611"/>
      <c r="X25" s="864"/>
      <c r="Y25" s="615"/>
      <c r="Z25" s="1193">
        <f>IF(OR(UnitsTbl[[#This Row],[Restricted Income Level]]="Manager",UnitsTbl[[#This Row],[Restricted Income Level]]="Market",UnitsTbl[[#This Row],[Restricted Income Level]]&gt;60%),0,MIN(SUM(UnitsTbl[[#This Row],[IIG
Assisted]:[VHHP
Assisted]])+UnitsTbl[[#This Row],[Other Restricted]],UnitsTbl[[#This Row],[Total Units]]))</f>
        <v>0</v>
      </c>
      <c r="AA25" s="1626">
        <f>UnitsTbl[[#This Row],[Total Restricted Units]]*25000+IF(UnitsTbl[[#This Row],[Restricted Income Level]]="Manager",UnitsTbl[[#This Row],[Total Units]]*25000,0)</f>
        <v>0</v>
      </c>
      <c r="AB25"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25"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25"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25"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25" s="1629">
        <f>IFERROR(IF(AND(IsMhp,UnitsTbl[[#This Row],[Restricted Income Level]]="Manager"),UnitsTbl[[#This Row],[Total Units]]*IF(AND(UnitsTbl[[#This Row],[Total Units]]&gt;0,Taxcredit=9%,UnitsTbl[[#This Row],[Restricted Income Level]]="Manager"),95000,IF(AND(IsMhp,UnitsTbl[[#This Row],[Total Units]]&gt;0,Taxcredit=9%),VLOOKUP(CONCATENATE(County,C25),LoanLimit9Tbl[],AX25,FALSE),IF(AND(IsMhp,UnitsTbl[[#This Row],[Total Units]]&gt;0,OR(Taxcredit=4%,Taxcredit="None"),UnitsTbl[[#This Row],[Restricted Income Level]]="Manager"),150000,VLOOKUP(CONCATENATE(County,C25),LoanLimitsTbl[],AX25,FALSE)))),(IF($R$4=FALSE,((UnitsTbl[[#This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Restricted]]&gt;0),IsMhp,Taxcredit=9%),VLOOKUP(CONCATENATE(County,C25),LoanLimit9Tbl[],AX25,FALSE),IF(AND(IsMhp,UnitsTbl[[#This Row],[MHP
Assisted]]&gt;0,UnitsTbl[[#This Row],[Restricted Income Level]]="Manager"),150000,VLOOKUP(CONCATENATE(County,C25),LoanLimitsTbl[],AX25,FALSE))))))),0)</f>
        <v>0</v>
      </c>
      <c r="AG25"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Restricted]]&gt;0),IsMhp,Taxcredit=9%),VLOOKUP(CONCATENATE(County,C25),LoanLimit9Tbl[],AY25,FALSE),IF(AND(OR(UnitsTbl[[#This Row],[MHP
Assisted]]&gt;0,UnitsTbl[[#This Row],[Other Restricted]]&gt;0),UnitsTbl[[#This Row],[Restricted Income Level]]="Manager"),175000,VLOOKUP(CONCATENATE(County,C25),LoanLimitsTbl[],AY25,FALSE)))),IF(UnitsTbl[[#This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Restricted]]&gt;0),IsMhp,Taxcredit=9%),VLOOKUP(CONCATENATE(County,C25),LoanLimit9Tbl[],AY25,FALSE),IF(AND(OR(UnitsTbl[[#This Row],[MHP
Assisted]]&gt;0,UnitsTbl[[#This Row],[Other Restricted]]&gt;0),UnitsTbl[[#This Row],[Restricted Income Level]]="Manager"),175000,VLOOKUP(CONCATENATE(County,C25),LoanLimitsTbl[],AY25,FALSE)))))))),"")</f>
        <v>0</v>
      </c>
      <c r="AH25" s="1248"/>
      <c r="AI25"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25" s="751"/>
      <c r="AK25" s="755"/>
      <c r="AL25" s="752" t="str">
        <f>IFERROR(IF(UnitsTbl[[#This Row],[Max Gross Rent]]=0,"",UnitsTbl[[#This Row],[Max Gross Rent]]-UnitsTbl[[#This Row],[Less Utility Allowance Schedule 1]]-UnitsTbl[[#This Row],[Less Utility Allowance Schedule 2]]),"")</f>
        <v/>
      </c>
      <c r="AM25" s="751"/>
      <c r="AN25" s="752" t="str">
        <f>IF(UnitsTbl[[#This Row],[Proposed Net Rent ]]="","",UnitsTbl[[#This Row],[Total Units]]*UnitsTbl[[#This Row],[Proposed Net Rent ]])</f>
        <v/>
      </c>
      <c r="AO25" s="1250" t="str">
        <f>IFERROR(UnitsTbl[[#This Row],[Total Units]]*UnitsTbl[[#This Row],[Maximum Net Rent]],"")</f>
        <v/>
      </c>
      <c r="AP25" s="1253"/>
      <c r="AQ25" s="752" t="str">
        <f>IFERROR(IF(UnitsTbl[[#This Row],[Gross Monthly Contract Rent]]="","",IF($AV$4="Restricted",UnitsTbl[[#This Row],[Gross Monthly Contract Rent]]-UnitsTbl[[#This Row],[Maximum Net Rent]],IF($AV$4="Proposed",UnitsTbl[[#This Row],[Gross Monthly Contract Rent]]-UnitsTbl[[#This Row],[Proposed Net Rent ]],0))),"")</f>
        <v/>
      </c>
      <c r="AR25" s="864"/>
      <c r="AS25" s="753" t="str">
        <f>IFERROR(IF(UnitsTbl[[#This Row],[Units Subsidized]]="","",UnitsTbl[[#This Row],[Subsidy Payment Over  Net Rent]]*UnitsTbl[[#This Row],[Units Subsidized]]),"")</f>
        <v/>
      </c>
      <c r="AT25" s="754"/>
      <c r="AU25" s="752" t="str">
        <f>IFERROR(IF(UnitsTbl[[#This Row],[Gross Monthly Contract Rent2]]="","",IF($AV$4="Restricted",UnitsTbl[[#This Row],[Gross Monthly Contract Rent2]]-UnitsTbl[[#This Row],[Maximum Net Rent]],IF($AV$4="Proposed",UnitsTbl[[#This Row],[Gross Monthly Contract Rent2]]-UnitsTbl[[#This Row],[Proposed Net Rent ]],""))),"")</f>
        <v/>
      </c>
      <c r="AV25" s="864"/>
      <c r="AW25" s="1261" t="str">
        <f>IFERROR(IF(UnitsTbl[[#This Row],[Units Subsidized2]]="","",UnitsTbl[[#This Row],[Subsidy Payment Over  Net Rent2]]*UnitsTbl[[#This Row],[Units Subsidized2]]),"")</f>
        <v/>
      </c>
      <c r="AX25" s="1354" t="str">
        <f>IF(UnitsTbl[[#This Row],['# of Bedrooms]]="","",IF(UnitsTbl[[#This Row],['# of Bedrooms]]=0,2,IF(UnitsTbl[[#This Row],['# of Bedrooms]]=1,3,IF(UnitsTbl[[#This Row],['# of Bedrooms]]=2,4,IF(UnitsTbl[[#This Row],['# of Bedrooms]]=3,5,IF(UnitsTbl[[#This Row],['# of Bedrooms]]=4,6,IF(UnitsTbl[[#This Row],['# of Bedrooms]]&gt;4,6,"")))))))</f>
        <v/>
      </c>
      <c r="AY25" s="470" t="str">
        <f>IF(UnitsTbl[[#This Row],['# of Bedrooms]]="","",IF(UnitsTbl[[#This Row],['# of Bedrooms]]=0,7,IF(UnitsTbl[[#This Row],['# of Bedrooms]]=1,8,IF(UnitsTbl[[#This Row],['# of Bedrooms]]=2,9,IF(UnitsTbl[[#This Row],['# of Bedrooms]]=3,10,IF(UnitsTbl[[#This Row],['# of Bedrooms]]=4,11,IF(UnitsTbl[[#This Row],['# of Bedrooms]]&gt;4,11,"")))))))</f>
        <v/>
      </c>
      <c r="AZ25" s="470" t="str">
        <f>IF(UnitsTbl[[#This Row],['# of Bedrooms]]="","",IF(UnitsTbl[[#This Row],['# of Bedrooms]]=0,2,IF(UnitsTbl[[#This Row],['# of Bedrooms]]=1,3,IF(UnitsTbl[[#This Row],['# of Bedrooms]]=2,4,IF(UnitsTbl[[#This Row],['# of Bedrooms]]=3,5,IF(UnitsTbl[[#This Row],['# of Bedrooms]]=4,6,IF(UnitsTbl[[#This Row],['# of Bedrooms]]=5,7,"")))))))</f>
        <v/>
      </c>
      <c r="BA25" s="1546">
        <f>MIN(SUM(UnitsTbl[[#This Row],[Disability Homelessness ]],UnitsTbl[[#This Row],[Chronic Homelessness]],UnitsTbl[[#This Row],[Homelessness]]),UnitsTbl[[#This Row],[Total Restricted Units]])</f>
        <v>0</v>
      </c>
      <c r="BB25" s="1546">
        <f>(UnitsTbl[[#This Row],[Restricted Income Level]]&lt;=30%)*UnitsTbl[[#This Row],[Total Restricted Units]]</f>
        <v>0</v>
      </c>
      <c r="BC25" s="1546">
        <f t="shared" si="11"/>
        <v>0</v>
      </c>
      <c r="BH25" s="1348" t="s">
        <v>2414</v>
      </c>
      <c r="BI25" s="483">
        <v>159939</v>
      </c>
      <c r="BJ25" s="483">
        <v>160515</v>
      </c>
      <c r="BK25" s="483">
        <v>162676</v>
      </c>
      <c r="BL25" s="483">
        <v>164549</v>
      </c>
      <c r="BM25" s="483">
        <v>166277</v>
      </c>
      <c r="BN25" s="483">
        <v>184939</v>
      </c>
      <c r="BO25" s="483">
        <v>185515</v>
      </c>
      <c r="BP25" s="483">
        <v>187676</v>
      </c>
      <c r="BQ25" s="483">
        <v>189549</v>
      </c>
      <c r="BR25" s="1344">
        <v>191277</v>
      </c>
      <c r="BS25" s="1545"/>
      <c r="BT25" s="1345" t="s">
        <v>2415</v>
      </c>
      <c r="BU25" s="508">
        <v>24400</v>
      </c>
      <c r="BV25" s="508">
        <v>27900</v>
      </c>
      <c r="BW25" s="508">
        <v>31400</v>
      </c>
      <c r="BX25" s="508">
        <v>34850</v>
      </c>
      <c r="BY25" s="508">
        <v>37650</v>
      </c>
      <c r="BZ25" s="508">
        <v>40450</v>
      </c>
      <c r="CA25" s="508">
        <v>43250</v>
      </c>
      <c r="CB25" s="1346">
        <v>46050</v>
      </c>
      <c r="CC25" s="1545"/>
      <c r="CD25" s="1348" t="s">
        <v>2414</v>
      </c>
      <c r="CE25" s="504">
        <v>104939</v>
      </c>
      <c r="CF25" s="504">
        <v>105515</v>
      </c>
      <c r="CG25" s="504">
        <v>107676</v>
      </c>
      <c r="CH25" s="504">
        <v>109549</v>
      </c>
      <c r="CI25" s="504">
        <v>111277</v>
      </c>
      <c r="CJ25" s="504">
        <v>119939</v>
      </c>
      <c r="CK25" s="504">
        <v>120515</v>
      </c>
      <c r="CL25" s="504">
        <v>122676</v>
      </c>
      <c r="CM25" s="504">
        <v>124549</v>
      </c>
      <c r="CN25" s="1347">
        <v>126277</v>
      </c>
      <c r="CP25" s="1545">
        <v>0.2</v>
      </c>
      <c r="CQ25" s="486">
        <f t="shared" si="19"/>
        <v>10920</v>
      </c>
      <c r="CR25" s="486">
        <f t="shared" si="12"/>
        <v>12480</v>
      </c>
      <c r="CS25" s="486">
        <f t="shared" si="13"/>
        <v>14040</v>
      </c>
      <c r="CT25" s="486">
        <f t="shared" si="14"/>
        <v>15580</v>
      </c>
      <c r="CU25" s="486">
        <f t="shared" si="15"/>
        <v>16840</v>
      </c>
      <c r="CV25" s="486">
        <f t="shared" si="16"/>
        <v>18080</v>
      </c>
      <c r="CW25" s="486">
        <f t="shared" si="17"/>
        <v>19320</v>
      </c>
      <c r="CX25" s="486">
        <f t="shared" si="18"/>
        <v>20580</v>
      </c>
    </row>
    <row r="26" spans="1:103" ht="18" customHeight="1">
      <c r="A26" s="1228"/>
      <c r="B26" s="611"/>
      <c r="C26" s="469"/>
      <c r="D26" s="615"/>
      <c r="E26" s="1048"/>
      <c r="F26" s="550"/>
      <c r="G26" s="550"/>
      <c r="H26" s="550"/>
      <c r="I26" s="550"/>
      <c r="J26" s="614"/>
      <c r="K26" s="1048"/>
      <c r="L26" s="550"/>
      <c r="M26" s="550"/>
      <c r="N26" s="550"/>
      <c r="O26" s="550"/>
      <c r="P26" s="550"/>
      <c r="Q26" s="550"/>
      <c r="R26" s="550"/>
      <c r="S26" s="550"/>
      <c r="T26" s="614"/>
      <c r="U26" s="1048"/>
      <c r="V26" s="615"/>
      <c r="W26" s="611"/>
      <c r="X26" s="864"/>
      <c r="Y26" s="615"/>
      <c r="Z26" s="1193">
        <f>IF(OR(UnitsTbl[[#This Row],[Restricted Income Level]]="Manager",UnitsTbl[[#This Row],[Restricted Income Level]]="Market",UnitsTbl[[#This Row],[Restricted Income Level]]&gt;60%),0,MIN(SUM(UnitsTbl[[#This Row],[IIG
Assisted]:[VHHP
Assisted]])+UnitsTbl[[#This Row],[Other Restricted]],UnitsTbl[[#This Row],[Total Units]]))</f>
        <v>0</v>
      </c>
      <c r="AA26" s="1626">
        <f>UnitsTbl[[#This Row],[Total Restricted Units]]*25000+IF(UnitsTbl[[#This Row],[Restricted Income Level]]="Manager",UnitsTbl[[#This Row],[Total Units]]*25000,0)</f>
        <v>0</v>
      </c>
      <c r="AB26"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26"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26"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26"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26" s="1629">
        <f>IFERROR(IF(AND(IsMhp,UnitsTbl[[#This Row],[Restricted Income Level]]="Manager"),UnitsTbl[[#This Row],[Total Units]]*IF(AND(UnitsTbl[[#This Row],[Total Units]]&gt;0,Taxcredit=9%,UnitsTbl[[#This Row],[Restricted Income Level]]="Manager"),95000,IF(AND(IsMhp,UnitsTbl[[#This Row],[Total Units]]&gt;0,Taxcredit=9%),VLOOKUP(CONCATENATE(County,C26),LoanLimit9Tbl[],AX26,FALSE),IF(AND(IsMhp,UnitsTbl[[#This Row],[Total Units]]&gt;0,OR(Taxcredit=4%,Taxcredit="None"),UnitsTbl[[#This Row],[Restricted Income Level]]="Manager"),150000,VLOOKUP(CONCATENATE(County,C26),LoanLimitsTbl[],AX26,FALSE)))),(IF($R$4=FALSE,((UnitsTbl[[#This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Restricted]]&gt;0),IsMhp,Taxcredit=9%),VLOOKUP(CONCATENATE(County,C26),LoanLimit9Tbl[],AX26,FALSE),IF(AND(IsMhp,UnitsTbl[[#This Row],[MHP
Assisted]]&gt;0,UnitsTbl[[#This Row],[Restricted Income Level]]="Manager"),150000,VLOOKUP(CONCATENATE(County,C26),LoanLimitsTbl[],AX26,FALSE))))))),0)</f>
        <v>0</v>
      </c>
      <c r="AG26"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Restricted]]&gt;0),IsMhp,Taxcredit=9%),VLOOKUP(CONCATENATE(County,C26),LoanLimit9Tbl[],AY26,FALSE),IF(AND(OR(UnitsTbl[[#This Row],[MHP
Assisted]]&gt;0,UnitsTbl[[#This Row],[Other Restricted]]&gt;0),UnitsTbl[[#This Row],[Restricted Income Level]]="Manager"),175000,VLOOKUP(CONCATENATE(County,C26),LoanLimitsTbl[],AY26,FALSE)))),IF(UnitsTbl[[#This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Restricted]]&gt;0),IsMhp,Taxcredit=9%),VLOOKUP(CONCATENATE(County,C26),LoanLimit9Tbl[],AY26,FALSE),IF(AND(OR(UnitsTbl[[#This Row],[MHP
Assisted]]&gt;0,UnitsTbl[[#This Row],[Other Restricted]]&gt;0),UnitsTbl[[#This Row],[Restricted Income Level]]="Manager"),175000,VLOOKUP(CONCATENATE(County,C26),LoanLimitsTbl[],AY26,FALSE)))))))),"")</f>
        <v>0</v>
      </c>
      <c r="AH26" s="1248"/>
      <c r="AI26"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26" s="751"/>
      <c r="AK26" s="755"/>
      <c r="AL26" s="752" t="str">
        <f>IFERROR(IF(UnitsTbl[[#This Row],[Max Gross Rent]]=0,"",UnitsTbl[[#This Row],[Max Gross Rent]]-UnitsTbl[[#This Row],[Less Utility Allowance Schedule 1]]-UnitsTbl[[#This Row],[Less Utility Allowance Schedule 2]]),"")</f>
        <v/>
      </c>
      <c r="AM26" s="751"/>
      <c r="AN26" s="752" t="str">
        <f>IF(UnitsTbl[[#This Row],[Proposed Net Rent ]]="","",UnitsTbl[[#This Row],[Total Units]]*UnitsTbl[[#This Row],[Proposed Net Rent ]])</f>
        <v/>
      </c>
      <c r="AO26" s="1250" t="str">
        <f>IFERROR(UnitsTbl[[#This Row],[Total Units]]*UnitsTbl[[#This Row],[Maximum Net Rent]],"")</f>
        <v/>
      </c>
      <c r="AP26" s="1253"/>
      <c r="AQ26" s="752" t="str">
        <f>IFERROR(IF(UnitsTbl[[#This Row],[Gross Monthly Contract Rent]]="","",IF($AV$4="Restricted",UnitsTbl[[#This Row],[Gross Monthly Contract Rent]]-UnitsTbl[[#This Row],[Maximum Net Rent]],IF($AV$4="Proposed",UnitsTbl[[#This Row],[Gross Monthly Contract Rent]]-UnitsTbl[[#This Row],[Proposed Net Rent ]],0))),"")</f>
        <v/>
      </c>
      <c r="AR26" s="864"/>
      <c r="AS26" s="753" t="str">
        <f>IFERROR(IF(UnitsTbl[[#This Row],[Units Subsidized]]="","",UnitsTbl[[#This Row],[Subsidy Payment Over  Net Rent]]*UnitsTbl[[#This Row],[Units Subsidized]]),"")</f>
        <v/>
      </c>
      <c r="AT26" s="754"/>
      <c r="AU26" s="752" t="str">
        <f>IFERROR(IF(UnitsTbl[[#This Row],[Gross Monthly Contract Rent2]]="","",IF($AV$4="Restricted",UnitsTbl[[#This Row],[Gross Monthly Contract Rent2]]-UnitsTbl[[#This Row],[Maximum Net Rent]],IF($AV$4="Proposed",UnitsTbl[[#This Row],[Gross Monthly Contract Rent2]]-UnitsTbl[[#This Row],[Proposed Net Rent ]],""))),"")</f>
        <v/>
      </c>
      <c r="AV26" s="864"/>
      <c r="AW26" s="1261" t="str">
        <f>IFERROR(IF(UnitsTbl[[#This Row],[Units Subsidized2]]="","",UnitsTbl[[#This Row],[Subsidy Payment Over  Net Rent2]]*UnitsTbl[[#This Row],[Units Subsidized2]]),"")</f>
        <v/>
      </c>
      <c r="AX26" s="1354" t="str">
        <f>IF(UnitsTbl[[#This Row],['# of Bedrooms]]="","",IF(UnitsTbl[[#This Row],['# of Bedrooms]]=0,2,IF(UnitsTbl[[#This Row],['# of Bedrooms]]=1,3,IF(UnitsTbl[[#This Row],['# of Bedrooms]]=2,4,IF(UnitsTbl[[#This Row],['# of Bedrooms]]=3,5,IF(UnitsTbl[[#This Row],['# of Bedrooms]]=4,6,IF(UnitsTbl[[#This Row],['# of Bedrooms]]&gt;4,6,"")))))))</f>
        <v/>
      </c>
      <c r="AY26" s="470" t="str">
        <f>IF(UnitsTbl[[#This Row],['# of Bedrooms]]="","",IF(UnitsTbl[[#This Row],['# of Bedrooms]]=0,7,IF(UnitsTbl[[#This Row],['# of Bedrooms]]=1,8,IF(UnitsTbl[[#This Row],['# of Bedrooms]]=2,9,IF(UnitsTbl[[#This Row],['# of Bedrooms]]=3,10,IF(UnitsTbl[[#This Row],['# of Bedrooms]]=4,11,IF(UnitsTbl[[#This Row],['# of Bedrooms]]&gt;4,11,"")))))))</f>
        <v/>
      </c>
      <c r="AZ26" s="470" t="str">
        <f>IF(UnitsTbl[[#This Row],['# of Bedrooms]]="","",IF(UnitsTbl[[#This Row],['# of Bedrooms]]=0,2,IF(UnitsTbl[[#This Row],['# of Bedrooms]]=1,3,IF(UnitsTbl[[#This Row],['# of Bedrooms]]=2,4,IF(UnitsTbl[[#This Row],['# of Bedrooms]]=3,5,IF(UnitsTbl[[#This Row],['# of Bedrooms]]=4,6,IF(UnitsTbl[[#This Row],['# of Bedrooms]]=5,7,"")))))))</f>
        <v/>
      </c>
      <c r="BA26" s="1546">
        <f>MIN(SUM(UnitsTbl[[#This Row],[Disability Homelessness ]],UnitsTbl[[#This Row],[Chronic Homelessness]],UnitsTbl[[#This Row],[Homelessness]]),UnitsTbl[[#This Row],[Total Restricted Units]])</f>
        <v>0</v>
      </c>
      <c r="BB26" s="1546">
        <f>(UnitsTbl[[#This Row],[Restricted Income Level]]&lt;=30%)*UnitsTbl[[#This Row],[Total Restricted Units]]</f>
        <v>0</v>
      </c>
      <c r="BC26" s="1546">
        <f t="shared" si="11"/>
        <v>0</v>
      </c>
      <c r="BH26" s="1348" t="s">
        <v>2416</v>
      </c>
      <c r="BI26" s="483">
        <v>169734</v>
      </c>
      <c r="BJ26" s="483">
        <v>171031</v>
      </c>
      <c r="BK26" s="483">
        <v>175352</v>
      </c>
      <c r="BL26" s="483">
        <v>179098</v>
      </c>
      <c r="BM26" s="483">
        <v>182555</v>
      </c>
      <c r="BN26" s="483">
        <v>194734</v>
      </c>
      <c r="BO26" s="483">
        <v>196031</v>
      </c>
      <c r="BP26" s="483">
        <v>200352</v>
      </c>
      <c r="BQ26" s="483">
        <v>204098</v>
      </c>
      <c r="BR26" s="1344">
        <v>207555</v>
      </c>
      <c r="BS26" s="1545"/>
      <c r="BT26" s="1345" t="s">
        <v>2417</v>
      </c>
      <c r="BU26" s="508">
        <v>25350</v>
      </c>
      <c r="BV26" s="508">
        <v>28950</v>
      </c>
      <c r="BW26" s="508">
        <v>32550</v>
      </c>
      <c r="BX26" s="508">
        <v>36150</v>
      </c>
      <c r="BY26" s="508">
        <v>39050</v>
      </c>
      <c r="BZ26" s="508">
        <v>41950</v>
      </c>
      <c r="CA26" s="508">
        <v>44850</v>
      </c>
      <c r="CB26" s="1346">
        <v>47750</v>
      </c>
      <c r="CC26" s="1545"/>
      <c r="CD26" s="1348" t="s">
        <v>2416</v>
      </c>
      <c r="CE26" s="504">
        <v>114734</v>
      </c>
      <c r="CF26" s="504">
        <v>116031</v>
      </c>
      <c r="CG26" s="504">
        <v>120352</v>
      </c>
      <c r="CH26" s="504">
        <v>124098</v>
      </c>
      <c r="CI26" s="504">
        <v>127555</v>
      </c>
      <c r="CJ26" s="504">
        <v>129734</v>
      </c>
      <c r="CK26" s="504">
        <v>131031</v>
      </c>
      <c r="CL26" s="504">
        <v>135352</v>
      </c>
      <c r="CM26" s="504">
        <v>139098</v>
      </c>
      <c r="CN26" s="1347">
        <v>142555</v>
      </c>
      <c r="CP26" s="1545">
        <v>0.15</v>
      </c>
      <c r="CQ26" s="486">
        <f t="shared" si="19"/>
        <v>8190</v>
      </c>
      <c r="CR26" s="486">
        <f t="shared" si="12"/>
        <v>9360</v>
      </c>
      <c r="CS26" s="486">
        <f t="shared" si="13"/>
        <v>10530</v>
      </c>
      <c r="CT26" s="486">
        <f t="shared" si="14"/>
        <v>11685</v>
      </c>
      <c r="CU26" s="486">
        <f t="shared" si="15"/>
        <v>12630</v>
      </c>
      <c r="CV26" s="486">
        <f t="shared" si="16"/>
        <v>13560</v>
      </c>
      <c r="CW26" s="486">
        <f t="shared" si="17"/>
        <v>14490</v>
      </c>
      <c r="CX26" s="486">
        <f t="shared" si="18"/>
        <v>15435</v>
      </c>
    </row>
    <row r="27" spans="1:103" ht="18" customHeight="1">
      <c r="A27" s="1228"/>
      <c r="B27" s="611"/>
      <c r="C27" s="469"/>
      <c r="D27" s="615"/>
      <c r="E27" s="1048"/>
      <c r="F27" s="550"/>
      <c r="G27" s="550"/>
      <c r="H27" s="550"/>
      <c r="I27" s="550"/>
      <c r="J27" s="614"/>
      <c r="K27" s="1048"/>
      <c r="L27" s="550"/>
      <c r="M27" s="550"/>
      <c r="N27" s="550"/>
      <c r="O27" s="550"/>
      <c r="P27" s="550"/>
      <c r="Q27" s="550"/>
      <c r="R27" s="550"/>
      <c r="S27" s="550"/>
      <c r="T27" s="614"/>
      <c r="U27" s="1048"/>
      <c r="V27" s="615"/>
      <c r="W27" s="611"/>
      <c r="X27" s="864"/>
      <c r="Y27" s="615"/>
      <c r="Z27" s="1193">
        <f>IF(OR(UnitsTbl[[#This Row],[Restricted Income Level]]="Manager",UnitsTbl[[#This Row],[Restricted Income Level]]="Market",UnitsTbl[[#This Row],[Restricted Income Level]]&gt;60%),0,MIN(SUM(UnitsTbl[[#This Row],[IIG
Assisted]:[VHHP
Assisted]])+UnitsTbl[[#This Row],[Other Restricted]],UnitsTbl[[#This Row],[Total Units]]))</f>
        <v>0</v>
      </c>
      <c r="AA27" s="1626">
        <f>UnitsTbl[[#This Row],[Total Restricted Units]]*25000+IF(UnitsTbl[[#This Row],[Restricted Income Level]]="Manager",UnitsTbl[[#This Row],[Total Units]]*25000,0)</f>
        <v>0</v>
      </c>
      <c r="AB27"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27"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27"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27"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27" s="1629">
        <f>IFERROR(IF(AND(IsMhp,UnitsTbl[[#This Row],[Restricted Income Level]]="Manager"),UnitsTbl[[#This Row],[Total Units]]*IF(AND(UnitsTbl[[#This Row],[Total Units]]&gt;0,Taxcredit=9%,UnitsTbl[[#This Row],[Restricted Income Level]]="Manager"),95000,IF(AND(IsMhp,UnitsTbl[[#This Row],[Total Units]]&gt;0,Taxcredit=9%),VLOOKUP(CONCATENATE(County,C27),LoanLimit9Tbl[],AX27,FALSE),IF(AND(IsMhp,UnitsTbl[[#This Row],[Total Units]]&gt;0,OR(Taxcredit=4%,Taxcredit="None"),UnitsTbl[[#This Row],[Restricted Income Level]]="Manager"),150000,VLOOKUP(CONCATENATE(County,C27),LoanLimitsTbl[],AX27,FALSE)))),(IF($R$4=FALSE,((UnitsTbl[[#This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Restricted]]&gt;0),IsMhp,Taxcredit=9%),VLOOKUP(CONCATENATE(County,C27),LoanLimit9Tbl[],AX27,FALSE),IF(AND(IsMhp,UnitsTbl[[#This Row],[MHP
Assisted]]&gt;0,UnitsTbl[[#This Row],[Restricted Income Level]]="Manager"),150000,VLOOKUP(CONCATENATE(County,C27),LoanLimitsTbl[],AX27,FALSE))))))),0)</f>
        <v>0</v>
      </c>
      <c r="AG27"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Restricted]]&gt;0),IsMhp,Taxcredit=9%),VLOOKUP(CONCATENATE(County,C27),LoanLimit9Tbl[],AY27,FALSE),IF(AND(OR(UnitsTbl[[#This Row],[MHP
Assisted]]&gt;0,UnitsTbl[[#This Row],[Other Restricted]]&gt;0),UnitsTbl[[#This Row],[Restricted Income Level]]="Manager"),175000,VLOOKUP(CONCATENATE(County,C27),LoanLimitsTbl[],AY27,FALSE)))),IF(UnitsTbl[[#This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Restricted]]&gt;0),IsMhp,Taxcredit=9%),VLOOKUP(CONCATENATE(County,C27),LoanLimit9Tbl[],AY27,FALSE),IF(AND(OR(UnitsTbl[[#This Row],[MHP
Assisted]]&gt;0,UnitsTbl[[#This Row],[Other Restricted]]&gt;0),UnitsTbl[[#This Row],[Restricted Income Level]]="Manager"),175000,VLOOKUP(CONCATENATE(County,C27),LoanLimitsTbl[],AY27,FALSE)))))))),"")</f>
        <v>0</v>
      </c>
      <c r="AH27" s="1248"/>
      <c r="AI27"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27" s="751"/>
      <c r="AK27" s="755"/>
      <c r="AL27" s="752" t="str">
        <f>IFERROR(IF(UnitsTbl[[#This Row],[Max Gross Rent]]=0,"",UnitsTbl[[#This Row],[Max Gross Rent]]-UnitsTbl[[#This Row],[Less Utility Allowance Schedule 1]]-UnitsTbl[[#This Row],[Less Utility Allowance Schedule 2]]),"")</f>
        <v/>
      </c>
      <c r="AM27" s="751"/>
      <c r="AN27" s="752" t="str">
        <f>IF(UnitsTbl[[#This Row],[Proposed Net Rent ]]="","",UnitsTbl[[#This Row],[Total Units]]*UnitsTbl[[#This Row],[Proposed Net Rent ]])</f>
        <v/>
      </c>
      <c r="AO27" s="1250" t="str">
        <f>IFERROR(UnitsTbl[[#This Row],[Total Units]]*UnitsTbl[[#This Row],[Maximum Net Rent]],"")</f>
        <v/>
      </c>
      <c r="AP27" s="1253"/>
      <c r="AQ27" s="752" t="str">
        <f>IFERROR(IF(UnitsTbl[[#This Row],[Gross Monthly Contract Rent]]="","",IF($AV$4="Restricted",UnitsTbl[[#This Row],[Gross Monthly Contract Rent]]-UnitsTbl[[#This Row],[Maximum Net Rent]],IF($AV$4="Proposed",UnitsTbl[[#This Row],[Gross Monthly Contract Rent]]-UnitsTbl[[#This Row],[Proposed Net Rent ]],0))),"")</f>
        <v/>
      </c>
      <c r="AR27" s="864"/>
      <c r="AS27" s="753" t="str">
        <f>IFERROR(IF(UnitsTbl[[#This Row],[Units Subsidized]]="","",UnitsTbl[[#This Row],[Subsidy Payment Over  Net Rent]]*UnitsTbl[[#This Row],[Units Subsidized]]),"")</f>
        <v/>
      </c>
      <c r="AT27" s="754"/>
      <c r="AU27" s="752" t="str">
        <f>IFERROR(IF(UnitsTbl[[#This Row],[Gross Monthly Contract Rent2]]="","",IF($AV$4="Restricted",UnitsTbl[[#This Row],[Gross Monthly Contract Rent2]]-UnitsTbl[[#This Row],[Maximum Net Rent]],IF($AV$4="Proposed",UnitsTbl[[#This Row],[Gross Monthly Contract Rent2]]-UnitsTbl[[#This Row],[Proposed Net Rent ]],""))),"")</f>
        <v/>
      </c>
      <c r="AV27" s="864"/>
      <c r="AW27" s="1261" t="str">
        <f>IFERROR(IF(UnitsTbl[[#This Row],[Units Subsidized2]]="","",UnitsTbl[[#This Row],[Subsidy Payment Over  Net Rent2]]*UnitsTbl[[#This Row],[Units Subsidized2]]),"")</f>
        <v/>
      </c>
      <c r="AX27" s="1354" t="str">
        <f>IF(UnitsTbl[[#This Row],['# of Bedrooms]]="","",IF(UnitsTbl[[#This Row],['# of Bedrooms]]=0,2,IF(UnitsTbl[[#This Row],['# of Bedrooms]]=1,3,IF(UnitsTbl[[#This Row],['# of Bedrooms]]=2,4,IF(UnitsTbl[[#This Row],['# of Bedrooms]]=3,5,IF(UnitsTbl[[#This Row],['# of Bedrooms]]=4,6,IF(UnitsTbl[[#This Row],['# of Bedrooms]]&gt;4,6,"")))))))</f>
        <v/>
      </c>
      <c r="AY27" s="470" t="str">
        <f>IF(UnitsTbl[[#This Row],['# of Bedrooms]]="","",IF(UnitsTbl[[#This Row],['# of Bedrooms]]=0,7,IF(UnitsTbl[[#This Row],['# of Bedrooms]]=1,8,IF(UnitsTbl[[#This Row],['# of Bedrooms]]=2,9,IF(UnitsTbl[[#This Row],['# of Bedrooms]]=3,10,IF(UnitsTbl[[#This Row],['# of Bedrooms]]=4,11,IF(UnitsTbl[[#This Row],['# of Bedrooms]]&gt;4,11,"")))))))</f>
        <v/>
      </c>
      <c r="AZ27" s="470" t="str">
        <f>IF(UnitsTbl[[#This Row],['# of Bedrooms]]="","",IF(UnitsTbl[[#This Row],['# of Bedrooms]]=0,2,IF(UnitsTbl[[#This Row],['# of Bedrooms]]=1,3,IF(UnitsTbl[[#This Row],['# of Bedrooms]]=2,4,IF(UnitsTbl[[#This Row],['# of Bedrooms]]=3,5,IF(UnitsTbl[[#This Row],['# of Bedrooms]]=4,6,IF(UnitsTbl[[#This Row],['# of Bedrooms]]=5,7,"")))))))</f>
        <v/>
      </c>
      <c r="BA27" s="1546">
        <f>MIN(SUM(UnitsTbl[[#This Row],[Disability Homelessness ]],UnitsTbl[[#This Row],[Chronic Homelessness]],UnitsTbl[[#This Row],[Homelessness]]),UnitsTbl[[#This Row],[Total Restricted Units]])</f>
        <v>0</v>
      </c>
      <c r="BB27" s="1546">
        <f>(UnitsTbl[[#This Row],[Restricted Income Level]]&lt;=30%)*UnitsTbl[[#This Row],[Total Restricted Units]]</f>
        <v>0</v>
      </c>
      <c r="BC27" s="1546">
        <f t="shared" si="11"/>
        <v>0</v>
      </c>
      <c r="BH27" s="1348" t="s">
        <v>2418</v>
      </c>
      <c r="BI27" s="483">
        <v>179530</v>
      </c>
      <c r="BJ27" s="483">
        <v>181546</v>
      </c>
      <c r="BK27" s="483">
        <v>188028</v>
      </c>
      <c r="BL27" s="483">
        <v>193790</v>
      </c>
      <c r="BM27" s="483">
        <v>198832</v>
      </c>
      <c r="BN27" s="483">
        <v>204530</v>
      </c>
      <c r="BO27" s="483">
        <v>206546</v>
      </c>
      <c r="BP27" s="483">
        <v>213028</v>
      </c>
      <c r="BQ27" s="483">
        <v>218790</v>
      </c>
      <c r="BR27" s="1344">
        <v>223832</v>
      </c>
      <c r="BS27" s="1545"/>
      <c r="BT27" s="1345" t="s">
        <v>2419</v>
      </c>
      <c r="BU27" s="508">
        <v>24400</v>
      </c>
      <c r="BV27" s="508">
        <v>27900</v>
      </c>
      <c r="BW27" s="508">
        <v>31400</v>
      </c>
      <c r="BX27" s="508">
        <v>34850</v>
      </c>
      <c r="BY27" s="508">
        <v>37650</v>
      </c>
      <c r="BZ27" s="508">
        <v>40450</v>
      </c>
      <c r="CA27" s="508">
        <v>43250</v>
      </c>
      <c r="CB27" s="1346">
        <v>46050</v>
      </c>
      <c r="CC27" s="1545"/>
      <c r="CD27" s="1348" t="s">
        <v>2418</v>
      </c>
      <c r="CE27" s="504">
        <v>124530</v>
      </c>
      <c r="CF27" s="504">
        <v>126546</v>
      </c>
      <c r="CG27" s="504">
        <v>133028</v>
      </c>
      <c r="CH27" s="504">
        <v>138790</v>
      </c>
      <c r="CI27" s="504">
        <v>143832</v>
      </c>
      <c r="CJ27" s="504">
        <v>139530</v>
      </c>
      <c r="CK27" s="504">
        <v>141546</v>
      </c>
      <c r="CL27" s="504">
        <v>148028</v>
      </c>
      <c r="CM27" s="504">
        <v>153790</v>
      </c>
      <c r="CN27" s="1347">
        <v>158832</v>
      </c>
      <c r="CP27" s="1545" t="b">
        <v>0</v>
      </c>
      <c r="CQ27" s="1545" t="b">
        <v>1</v>
      </c>
      <c r="CR27" s="1545"/>
      <c r="CS27" s="1545"/>
      <c r="CT27" s="1545"/>
      <c r="CU27" s="1545"/>
      <c r="CV27" s="1545"/>
      <c r="CW27" s="1545"/>
      <c r="CX27" s="1545"/>
    </row>
    <row r="28" spans="1:103" ht="18" customHeight="1">
      <c r="A28" s="1228"/>
      <c r="B28" s="611"/>
      <c r="C28" s="469"/>
      <c r="D28" s="615"/>
      <c r="E28" s="1048"/>
      <c r="F28" s="550"/>
      <c r="G28" s="550"/>
      <c r="H28" s="550"/>
      <c r="I28" s="550"/>
      <c r="J28" s="614"/>
      <c r="K28" s="1048"/>
      <c r="L28" s="550"/>
      <c r="M28" s="550"/>
      <c r="N28" s="550"/>
      <c r="O28" s="550"/>
      <c r="P28" s="550"/>
      <c r="Q28" s="550"/>
      <c r="R28" s="550"/>
      <c r="S28" s="550"/>
      <c r="T28" s="614"/>
      <c r="U28" s="1048"/>
      <c r="V28" s="615"/>
      <c r="W28" s="611"/>
      <c r="X28" s="864"/>
      <c r="Y28" s="615"/>
      <c r="Z28" s="1193">
        <f>IF(OR(UnitsTbl[[#This Row],[Restricted Income Level]]="Manager",UnitsTbl[[#This Row],[Restricted Income Level]]="Market",UnitsTbl[[#This Row],[Restricted Income Level]]&gt;60%),0,MIN(SUM(UnitsTbl[[#This Row],[IIG
Assisted]:[VHHP
Assisted]])+UnitsTbl[[#This Row],[Other Restricted]],UnitsTbl[[#This Row],[Total Units]]))</f>
        <v>0</v>
      </c>
      <c r="AA28" s="1626">
        <f>UnitsTbl[[#This Row],[Total Restricted Units]]*25000+IF(UnitsTbl[[#This Row],[Restricted Income Level]]="Manager",UnitsTbl[[#This Row],[Total Units]]*25000,0)</f>
        <v>0</v>
      </c>
      <c r="AB28"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28"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28"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28"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28" s="1629">
        <f>IFERROR(IF(AND(IsMhp,UnitsTbl[[#This Row],[Restricted Income Level]]="Manager"),UnitsTbl[[#This Row],[Total Units]]*IF(AND(UnitsTbl[[#This Row],[Total Units]]&gt;0,Taxcredit=9%,UnitsTbl[[#This Row],[Restricted Income Level]]="Manager"),95000,IF(AND(IsMhp,UnitsTbl[[#This Row],[Total Units]]&gt;0,Taxcredit=9%),VLOOKUP(CONCATENATE(County,C28),LoanLimit9Tbl[],AX28,FALSE),IF(AND(IsMhp,UnitsTbl[[#This Row],[Total Units]]&gt;0,OR(Taxcredit=4%,Taxcredit="None"),UnitsTbl[[#This Row],[Restricted Income Level]]="Manager"),150000,VLOOKUP(CONCATENATE(County,C28),LoanLimitsTbl[],AX28,FALSE)))),(IF($R$4=FALSE,((UnitsTbl[[#This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Restricted]]&gt;0),IsMhp,Taxcredit=9%),VLOOKUP(CONCATENATE(County,C28),LoanLimit9Tbl[],AX28,FALSE),IF(AND(IsMhp,UnitsTbl[[#This Row],[MHP
Assisted]]&gt;0,UnitsTbl[[#This Row],[Restricted Income Level]]="Manager"),150000,VLOOKUP(CONCATENATE(County,C28),LoanLimitsTbl[],AX28,FALSE))))))),0)</f>
        <v>0</v>
      </c>
      <c r="AG28"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Restricted]]&gt;0),IsMhp,Taxcredit=9%),VLOOKUP(CONCATENATE(County,C28),LoanLimit9Tbl[],AY28,FALSE),IF(AND(OR(UnitsTbl[[#This Row],[MHP
Assisted]]&gt;0,UnitsTbl[[#This Row],[Other Restricted]]&gt;0),UnitsTbl[[#This Row],[Restricted Income Level]]="Manager"),175000,VLOOKUP(CONCATENATE(County,C28),LoanLimitsTbl[],AY28,FALSE)))),IF(UnitsTbl[[#This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Restricted]]&gt;0),IsMhp,Taxcredit=9%),VLOOKUP(CONCATENATE(County,C28),LoanLimit9Tbl[],AY28,FALSE),IF(AND(OR(UnitsTbl[[#This Row],[MHP
Assisted]]&gt;0,UnitsTbl[[#This Row],[Other Restricted]]&gt;0),UnitsTbl[[#This Row],[Restricted Income Level]]="Manager"),175000,VLOOKUP(CONCATENATE(County,C28),LoanLimitsTbl[],AY28,FALSE)))))))),"")</f>
        <v>0</v>
      </c>
      <c r="AH28" s="1248"/>
      <c r="AI28"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28" s="751"/>
      <c r="AK28" s="755"/>
      <c r="AL28" s="752" t="str">
        <f>IFERROR(IF(UnitsTbl[[#This Row],[Max Gross Rent]]=0,"",UnitsTbl[[#This Row],[Max Gross Rent]]-UnitsTbl[[#This Row],[Less Utility Allowance Schedule 1]]-UnitsTbl[[#This Row],[Less Utility Allowance Schedule 2]]),"")</f>
        <v/>
      </c>
      <c r="AM28" s="751"/>
      <c r="AN28" s="752" t="str">
        <f>IF(UnitsTbl[[#This Row],[Proposed Net Rent ]]="","",UnitsTbl[[#This Row],[Total Units]]*UnitsTbl[[#This Row],[Proposed Net Rent ]])</f>
        <v/>
      </c>
      <c r="AO28" s="1250" t="str">
        <f>IFERROR(UnitsTbl[[#This Row],[Total Units]]*UnitsTbl[[#This Row],[Maximum Net Rent]],"")</f>
        <v/>
      </c>
      <c r="AP28" s="1253"/>
      <c r="AQ28" s="752" t="str">
        <f>IFERROR(IF(UnitsTbl[[#This Row],[Gross Monthly Contract Rent]]="","",IF($AV$4="Restricted",UnitsTbl[[#This Row],[Gross Monthly Contract Rent]]-UnitsTbl[[#This Row],[Maximum Net Rent]],IF($AV$4="Proposed",UnitsTbl[[#This Row],[Gross Monthly Contract Rent]]-UnitsTbl[[#This Row],[Proposed Net Rent ]],0))),"")</f>
        <v/>
      </c>
      <c r="AR28" s="864"/>
      <c r="AS28" s="753" t="str">
        <f>IFERROR(IF(UnitsTbl[[#This Row],[Units Subsidized]]="","",UnitsTbl[[#This Row],[Subsidy Payment Over  Net Rent]]*UnitsTbl[[#This Row],[Units Subsidized]]),"")</f>
        <v/>
      </c>
      <c r="AT28" s="754"/>
      <c r="AU28" s="752" t="str">
        <f>IFERROR(IF(UnitsTbl[[#This Row],[Gross Monthly Contract Rent2]]="","",IF($AV$4="Restricted",UnitsTbl[[#This Row],[Gross Monthly Contract Rent2]]-UnitsTbl[[#This Row],[Maximum Net Rent]],IF($AV$4="Proposed",UnitsTbl[[#This Row],[Gross Monthly Contract Rent2]]-UnitsTbl[[#This Row],[Proposed Net Rent ]],""))),"")</f>
        <v/>
      </c>
      <c r="AV28" s="864"/>
      <c r="AW28" s="1261" t="str">
        <f>IFERROR(IF(UnitsTbl[[#This Row],[Units Subsidized2]]="","",UnitsTbl[[#This Row],[Subsidy Payment Over  Net Rent2]]*UnitsTbl[[#This Row],[Units Subsidized2]]),"")</f>
        <v/>
      </c>
      <c r="AX28" s="1354" t="str">
        <f>IF(UnitsTbl[[#This Row],['# of Bedrooms]]="","",IF(UnitsTbl[[#This Row],['# of Bedrooms]]=0,2,IF(UnitsTbl[[#This Row],['# of Bedrooms]]=1,3,IF(UnitsTbl[[#This Row],['# of Bedrooms]]=2,4,IF(UnitsTbl[[#This Row],['# of Bedrooms]]=3,5,IF(UnitsTbl[[#This Row],['# of Bedrooms]]=4,6,IF(UnitsTbl[[#This Row],['# of Bedrooms]]&gt;4,6,"")))))))</f>
        <v/>
      </c>
      <c r="AY28" s="470" t="str">
        <f>IF(UnitsTbl[[#This Row],['# of Bedrooms]]="","",IF(UnitsTbl[[#This Row],['# of Bedrooms]]=0,7,IF(UnitsTbl[[#This Row],['# of Bedrooms]]=1,8,IF(UnitsTbl[[#This Row],['# of Bedrooms]]=2,9,IF(UnitsTbl[[#This Row],['# of Bedrooms]]=3,10,IF(UnitsTbl[[#This Row],['# of Bedrooms]]=4,11,IF(UnitsTbl[[#This Row],['# of Bedrooms]]&gt;4,11,"")))))))</f>
        <v/>
      </c>
      <c r="AZ28" s="470" t="str">
        <f>IF(UnitsTbl[[#This Row],['# of Bedrooms]]="","",IF(UnitsTbl[[#This Row],['# of Bedrooms]]=0,2,IF(UnitsTbl[[#This Row],['# of Bedrooms]]=1,3,IF(UnitsTbl[[#This Row],['# of Bedrooms]]=2,4,IF(UnitsTbl[[#This Row],['# of Bedrooms]]=3,5,IF(UnitsTbl[[#This Row],['# of Bedrooms]]=4,6,IF(UnitsTbl[[#This Row],['# of Bedrooms]]=5,7,"")))))))</f>
        <v/>
      </c>
      <c r="BA28" s="1546">
        <f>MIN(SUM(UnitsTbl[[#This Row],[Disability Homelessness ]],UnitsTbl[[#This Row],[Chronic Homelessness]],UnitsTbl[[#This Row],[Homelessness]]),UnitsTbl[[#This Row],[Total Restricted Units]])</f>
        <v>0</v>
      </c>
      <c r="BB28" s="1546">
        <f>(UnitsTbl[[#This Row],[Restricted Income Level]]&lt;=30%)*UnitsTbl[[#This Row],[Total Restricted Units]]</f>
        <v>0</v>
      </c>
      <c r="BC28" s="1546">
        <f t="shared" si="11"/>
        <v>0</v>
      </c>
      <c r="BH28" s="1348" t="s">
        <v>2420</v>
      </c>
      <c r="BI28" s="483">
        <v>189325</v>
      </c>
      <c r="BJ28" s="483">
        <v>192062</v>
      </c>
      <c r="BK28" s="483">
        <v>200561</v>
      </c>
      <c r="BL28" s="483">
        <v>208339</v>
      </c>
      <c r="BM28" s="483">
        <v>215109</v>
      </c>
      <c r="BN28" s="483">
        <v>214325</v>
      </c>
      <c r="BO28" s="483">
        <v>217062</v>
      </c>
      <c r="BP28" s="483">
        <v>225561</v>
      </c>
      <c r="BQ28" s="483">
        <v>233339</v>
      </c>
      <c r="BR28" s="1344">
        <v>240109</v>
      </c>
      <c r="BS28" s="1545"/>
      <c r="BT28" s="1345" t="s">
        <v>2421</v>
      </c>
      <c r="BU28" s="508">
        <v>24400</v>
      </c>
      <c r="BV28" s="508">
        <v>27900</v>
      </c>
      <c r="BW28" s="508">
        <v>31400</v>
      </c>
      <c r="BX28" s="508">
        <v>34850</v>
      </c>
      <c r="BY28" s="508">
        <v>37650</v>
      </c>
      <c r="BZ28" s="508">
        <v>40450</v>
      </c>
      <c r="CA28" s="508">
        <v>43250</v>
      </c>
      <c r="CB28" s="1346">
        <v>46050</v>
      </c>
      <c r="CC28" s="1545"/>
      <c r="CD28" s="1348" t="s">
        <v>2420</v>
      </c>
      <c r="CE28" s="504">
        <v>134325</v>
      </c>
      <c r="CF28" s="504">
        <v>137062</v>
      </c>
      <c r="CG28" s="504">
        <v>145561</v>
      </c>
      <c r="CH28" s="504">
        <v>153339</v>
      </c>
      <c r="CI28" s="504">
        <v>160109</v>
      </c>
      <c r="CJ28" s="504">
        <v>149325</v>
      </c>
      <c r="CK28" s="504">
        <v>152062</v>
      </c>
      <c r="CL28" s="504">
        <v>160561</v>
      </c>
      <c r="CM28" s="504">
        <v>168339</v>
      </c>
      <c r="CN28" s="1347">
        <v>175109</v>
      </c>
      <c r="CP28" s="2818" t="s">
        <v>2422</v>
      </c>
      <c r="CQ28" s="2818"/>
      <c r="CR28" s="2818"/>
      <c r="CS28" s="2818"/>
      <c r="CT28" s="1549"/>
      <c r="CU28" s="1549"/>
      <c r="CV28" s="1549"/>
      <c r="CW28" s="1549"/>
      <c r="CX28" s="1549"/>
    </row>
    <row r="29" spans="1:103" ht="18" customHeight="1">
      <c r="A29" s="1228"/>
      <c r="B29" s="611"/>
      <c r="C29" s="469"/>
      <c r="D29" s="615"/>
      <c r="E29" s="1048"/>
      <c r="F29" s="550"/>
      <c r="G29" s="550"/>
      <c r="H29" s="550"/>
      <c r="I29" s="550"/>
      <c r="J29" s="614"/>
      <c r="K29" s="1048"/>
      <c r="L29" s="550"/>
      <c r="M29" s="550"/>
      <c r="N29" s="550"/>
      <c r="O29" s="550"/>
      <c r="P29" s="550"/>
      <c r="Q29" s="550"/>
      <c r="R29" s="550"/>
      <c r="S29" s="550"/>
      <c r="T29" s="614"/>
      <c r="U29" s="1048"/>
      <c r="V29" s="615"/>
      <c r="W29" s="611"/>
      <c r="X29" s="864"/>
      <c r="Y29" s="615"/>
      <c r="Z29" s="1193">
        <f>IF(OR(UnitsTbl[[#This Row],[Restricted Income Level]]="Manager",UnitsTbl[[#This Row],[Restricted Income Level]]="Market",UnitsTbl[[#This Row],[Restricted Income Level]]&gt;60%),0,MIN(SUM(UnitsTbl[[#This Row],[IIG
Assisted]:[VHHP
Assisted]])+UnitsTbl[[#This Row],[Other Restricted]],UnitsTbl[[#This Row],[Total Units]]))</f>
        <v>0</v>
      </c>
      <c r="AA29" s="1626">
        <f>UnitsTbl[[#This Row],[Total Restricted Units]]*25000+IF(UnitsTbl[[#This Row],[Restricted Income Level]]="Manager",UnitsTbl[[#This Row],[Total Units]]*25000,0)</f>
        <v>0</v>
      </c>
      <c r="AB29"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29"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29"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29"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29" s="1629">
        <f>IFERROR(IF(AND(IsMhp,UnitsTbl[[#This Row],[Restricted Income Level]]="Manager"),UnitsTbl[[#This Row],[Total Units]]*IF(AND(UnitsTbl[[#This Row],[Total Units]]&gt;0,Taxcredit=9%,UnitsTbl[[#This Row],[Restricted Income Level]]="Manager"),95000,IF(AND(IsMhp,UnitsTbl[[#This Row],[Total Units]]&gt;0,Taxcredit=9%),VLOOKUP(CONCATENATE(County,C29),LoanLimit9Tbl[],AX29,FALSE),IF(AND(IsMhp,UnitsTbl[[#This Row],[Total Units]]&gt;0,OR(Taxcredit=4%,Taxcredit="None"),UnitsTbl[[#This Row],[Restricted Income Level]]="Manager"),150000,VLOOKUP(CONCATENATE(County,C29),LoanLimitsTbl[],AX29,FALSE)))),(IF($R$4=FALSE,((UnitsTbl[[#This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Restricted]]&gt;0),IsMhp,Taxcredit=9%),VLOOKUP(CONCATENATE(County,C29),LoanLimit9Tbl[],AX29,FALSE),IF(AND(IsMhp,UnitsTbl[[#This Row],[MHP
Assisted]]&gt;0,UnitsTbl[[#This Row],[Restricted Income Level]]="Manager"),150000,VLOOKUP(CONCATENATE(County,C29),LoanLimitsTbl[],AX29,FALSE))))))),0)</f>
        <v>0</v>
      </c>
      <c r="AG29"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Restricted]]&gt;0),IsMhp,Taxcredit=9%),VLOOKUP(CONCATENATE(County,C29),LoanLimit9Tbl[],AY29,FALSE),IF(AND(OR(UnitsTbl[[#This Row],[MHP
Assisted]]&gt;0,UnitsTbl[[#This Row],[Other Restricted]]&gt;0),UnitsTbl[[#This Row],[Restricted Income Level]]="Manager"),175000,VLOOKUP(CONCATENATE(County,C29),LoanLimitsTbl[],AY29,FALSE)))),IF(UnitsTbl[[#This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Restricted]]&gt;0),IsMhp,Taxcredit=9%),VLOOKUP(CONCATENATE(County,C29),LoanLimit9Tbl[],AY29,FALSE),IF(AND(OR(UnitsTbl[[#This Row],[MHP
Assisted]]&gt;0,UnitsTbl[[#This Row],[Other Restricted]]&gt;0),UnitsTbl[[#This Row],[Restricted Income Level]]="Manager"),175000,VLOOKUP(CONCATENATE(County,C29),LoanLimitsTbl[],AY29,FALSE)))))))),"")</f>
        <v>0</v>
      </c>
      <c r="AH29" s="1248"/>
      <c r="AI29"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29" s="751"/>
      <c r="AK29" s="755"/>
      <c r="AL29" s="752" t="str">
        <f>IFERROR(IF(UnitsTbl[[#This Row],[Max Gross Rent]]=0,"",UnitsTbl[[#This Row],[Max Gross Rent]]-UnitsTbl[[#This Row],[Less Utility Allowance Schedule 1]]-UnitsTbl[[#This Row],[Less Utility Allowance Schedule 2]]),"")</f>
        <v/>
      </c>
      <c r="AM29" s="751"/>
      <c r="AN29" s="752" t="str">
        <f>IF(UnitsTbl[[#This Row],[Proposed Net Rent ]]="","",UnitsTbl[[#This Row],[Total Units]]*UnitsTbl[[#This Row],[Proposed Net Rent ]])</f>
        <v/>
      </c>
      <c r="AO29" s="1250" t="str">
        <f>IFERROR(UnitsTbl[[#This Row],[Total Units]]*UnitsTbl[[#This Row],[Maximum Net Rent]],"")</f>
        <v/>
      </c>
      <c r="AP29" s="1253"/>
      <c r="AQ29" s="752" t="str">
        <f>IFERROR(IF(UnitsTbl[[#This Row],[Gross Monthly Contract Rent]]="","",IF($AV$4="Restricted",UnitsTbl[[#This Row],[Gross Monthly Contract Rent]]-UnitsTbl[[#This Row],[Maximum Net Rent]],IF($AV$4="Proposed",UnitsTbl[[#This Row],[Gross Monthly Contract Rent]]-UnitsTbl[[#This Row],[Proposed Net Rent ]],0))),"")</f>
        <v/>
      </c>
      <c r="AR29" s="864"/>
      <c r="AS29" s="753" t="str">
        <f>IFERROR(IF(UnitsTbl[[#This Row],[Units Subsidized]]="","",UnitsTbl[[#This Row],[Subsidy Payment Over  Net Rent]]*UnitsTbl[[#This Row],[Units Subsidized]]),"")</f>
        <v/>
      </c>
      <c r="AT29" s="754"/>
      <c r="AU29" s="752" t="str">
        <f>IFERROR(IF(UnitsTbl[[#This Row],[Gross Monthly Contract Rent2]]="","",IF($AV$4="Restricted",UnitsTbl[[#This Row],[Gross Monthly Contract Rent2]]-UnitsTbl[[#This Row],[Maximum Net Rent]],IF($AV$4="Proposed",UnitsTbl[[#This Row],[Gross Monthly Contract Rent2]]-UnitsTbl[[#This Row],[Proposed Net Rent ]],""))),"")</f>
        <v/>
      </c>
      <c r="AV29" s="864"/>
      <c r="AW29" s="1261" t="str">
        <f>IFERROR(IF(UnitsTbl[[#This Row],[Units Subsidized2]]="","",UnitsTbl[[#This Row],[Subsidy Payment Over  Net Rent2]]*UnitsTbl[[#This Row],[Units Subsidized2]]),"")</f>
        <v/>
      </c>
      <c r="AX29" s="1354" t="str">
        <f>IF(UnitsTbl[[#This Row],['# of Bedrooms]]="","",IF(UnitsTbl[[#This Row],['# of Bedrooms]]=0,2,IF(UnitsTbl[[#This Row],['# of Bedrooms]]=1,3,IF(UnitsTbl[[#This Row],['# of Bedrooms]]=2,4,IF(UnitsTbl[[#This Row],['# of Bedrooms]]=3,5,IF(UnitsTbl[[#This Row],['# of Bedrooms]]=4,6,IF(UnitsTbl[[#This Row],['# of Bedrooms]]&gt;4,6,"")))))))</f>
        <v/>
      </c>
      <c r="AY29" s="470" t="str">
        <f>IF(UnitsTbl[[#This Row],['# of Bedrooms]]="","",IF(UnitsTbl[[#This Row],['# of Bedrooms]]=0,7,IF(UnitsTbl[[#This Row],['# of Bedrooms]]=1,8,IF(UnitsTbl[[#This Row],['# of Bedrooms]]=2,9,IF(UnitsTbl[[#This Row],['# of Bedrooms]]=3,10,IF(UnitsTbl[[#This Row],['# of Bedrooms]]=4,11,IF(UnitsTbl[[#This Row],['# of Bedrooms]]&gt;4,11,"")))))))</f>
        <v/>
      </c>
      <c r="AZ29" s="470" t="str">
        <f>IF(UnitsTbl[[#This Row],['# of Bedrooms]]="","",IF(UnitsTbl[[#This Row],['# of Bedrooms]]=0,2,IF(UnitsTbl[[#This Row],['# of Bedrooms]]=1,3,IF(UnitsTbl[[#This Row],['# of Bedrooms]]=2,4,IF(UnitsTbl[[#This Row],['# of Bedrooms]]=3,5,IF(UnitsTbl[[#This Row],['# of Bedrooms]]=4,6,IF(UnitsTbl[[#This Row],['# of Bedrooms]]=5,7,"")))))))</f>
        <v/>
      </c>
      <c r="BA29" s="1546">
        <f>MIN(SUM(UnitsTbl[[#This Row],[Disability Homelessness ]],UnitsTbl[[#This Row],[Chronic Homelessness]],UnitsTbl[[#This Row],[Homelessness]]),UnitsTbl[[#This Row],[Total Restricted Units]])</f>
        <v>0</v>
      </c>
      <c r="BB29" s="1546">
        <f>(UnitsTbl[[#This Row],[Restricted Income Level]]&lt;=30%)*UnitsTbl[[#This Row],[Total Restricted Units]]</f>
        <v>0</v>
      </c>
      <c r="BC29" s="1546">
        <f t="shared" si="11"/>
        <v>0</v>
      </c>
      <c r="BH29" s="1348" t="s">
        <v>2423</v>
      </c>
      <c r="BI29" s="483">
        <v>199264</v>
      </c>
      <c r="BJ29" s="483">
        <v>202721</v>
      </c>
      <c r="BK29" s="483">
        <v>213237</v>
      </c>
      <c r="BL29" s="483">
        <v>222888</v>
      </c>
      <c r="BM29" s="483">
        <v>231387</v>
      </c>
      <c r="BN29" s="483">
        <v>224264</v>
      </c>
      <c r="BO29" s="483">
        <v>227721</v>
      </c>
      <c r="BP29" s="483">
        <v>238237</v>
      </c>
      <c r="BQ29" s="483">
        <v>247888</v>
      </c>
      <c r="BR29" s="1344">
        <v>256387</v>
      </c>
      <c r="BS29" s="1545"/>
      <c r="BT29" s="1345" t="s">
        <v>2424</v>
      </c>
      <c r="BU29" s="508">
        <v>27650</v>
      </c>
      <c r="BV29" s="508">
        <v>31600</v>
      </c>
      <c r="BW29" s="508">
        <v>35550</v>
      </c>
      <c r="BX29" s="508">
        <v>39450</v>
      </c>
      <c r="BY29" s="508">
        <v>42650</v>
      </c>
      <c r="BZ29" s="508">
        <v>45800</v>
      </c>
      <c r="CA29" s="508">
        <v>48950</v>
      </c>
      <c r="CB29" s="1346">
        <v>52100</v>
      </c>
      <c r="CC29" s="1545"/>
      <c r="CD29" s="1348" t="s">
        <v>2423</v>
      </c>
      <c r="CE29" s="504">
        <v>144264</v>
      </c>
      <c r="CF29" s="504">
        <v>147721</v>
      </c>
      <c r="CG29" s="504">
        <v>158237</v>
      </c>
      <c r="CH29" s="504">
        <v>167888</v>
      </c>
      <c r="CI29" s="504">
        <v>176387</v>
      </c>
      <c r="CJ29" s="504">
        <v>159264</v>
      </c>
      <c r="CK29" s="504">
        <v>162721</v>
      </c>
      <c r="CL29" s="504">
        <v>173237</v>
      </c>
      <c r="CM29" s="504">
        <v>182888</v>
      </c>
      <c r="CN29" s="1347">
        <v>191387</v>
      </c>
      <c r="CP29" s="2818" t="s">
        <v>2425</v>
      </c>
      <c r="CQ29" s="2818"/>
      <c r="CR29" s="2818"/>
      <c r="CS29" s="2818"/>
      <c r="CT29" s="2818"/>
      <c r="CU29" s="2818"/>
      <c r="CV29" s="2818"/>
      <c r="CW29" s="2818"/>
      <c r="CX29" s="2818"/>
    </row>
    <row r="30" spans="1:103" ht="18" customHeight="1">
      <c r="A30" s="1228"/>
      <c r="B30" s="611"/>
      <c r="C30" s="469"/>
      <c r="D30" s="615"/>
      <c r="E30" s="1048"/>
      <c r="F30" s="550"/>
      <c r="G30" s="550"/>
      <c r="H30" s="550"/>
      <c r="I30" s="550"/>
      <c r="J30" s="614"/>
      <c r="K30" s="1048"/>
      <c r="L30" s="550"/>
      <c r="M30" s="550"/>
      <c r="N30" s="550"/>
      <c r="O30" s="550"/>
      <c r="P30" s="550"/>
      <c r="Q30" s="550"/>
      <c r="R30" s="550"/>
      <c r="S30" s="550"/>
      <c r="T30" s="614"/>
      <c r="U30" s="1048"/>
      <c r="V30" s="615"/>
      <c r="W30" s="611"/>
      <c r="X30" s="864"/>
      <c r="Y30" s="615"/>
      <c r="Z30" s="1193">
        <f>IF(OR(UnitsTbl[[#This Row],[Restricted Income Level]]="Manager",UnitsTbl[[#This Row],[Restricted Income Level]]="Market",UnitsTbl[[#This Row],[Restricted Income Level]]&gt;60%),0,MIN(SUM(UnitsTbl[[#This Row],[IIG
Assisted]:[VHHP
Assisted]])+UnitsTbl[[#This Row],[Other Restricted]],UnitsTbl[[#This Row],[Total Units]]))</f>
        <v>0</v>
      </c>
      <c r="AA30" s="1626">
        <f>UnitsTbl[[#This Row],[Total Restricted Units]]*25000+IF(UnitsTbl[[#This Row],[Restricted Income Level]]="Manager",UnitsTbl[[#This Row],[Total Units]]*25000,0)</f>
        <v>0</v>
      </c>
      <c r="AB30"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30"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30"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30"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30" s="1629">
        <f>IFERROR(IF(AND(IsMhp,UnitsTbl[[#This Row],[Restricted Income Level]]="Manager"),UnitsTbl[[#This Row],[Total Units]]*IF(AND(UnitsTbl[[#This Row],[Total Units]]&gt;0,Taxcredit=9%,UnitsTbl[[#This Row],[Restricted Income Level]]="Manager"),95000,IF(AND(IsMhp,UnitsTbl[[#This Row],[Total Units]]&gt;0,Taxcredit=9%),VLOOKUP(CONCATENATE(County,C30),LoanLimit9Tbl[],AX30,FALSE),IF(AND(IsMhp,UnitsTbl[[#This Row],[Total Units]]&gt;0,OR(Taxcredit=4%,Taxcredit="None"),UnitsTbl[[#This Row],[Restricted Income Level]]="Manager"),150000,VLOOKUP(CONCATENATE(County,C30),LoanLimitsTbl[],AX30,FALSE)))),(IF($R$4=FALSE,((UnitsTbl[[#This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Restricted]]&gt;0),IsMhp,Taxcredit=9%),VLOOKUP(CONCATENATE(County,C30),LoanLimit9Tbl[],AX30,FALSE),IF(AND(IsMhp,UnitsTbl[[#This Row],[MHP
Assisted]]&gt;0,UnitsTbl[[#This Row],[Restricted Income Level]]="Manager"),150000,VLOOKUP(CONCATENATE(County,C30),LoanLimitsTbl[],AX30,FALSE))))))),0)</f>
        <v>0</v>
      </c>
      <c r="AG30"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Restricted]]&gt;0),IsMhp,Taxcredit=9%),VLOOKUP(CONCATENATE(County,C30),LoanLimit9Tbl[],AY30,FALSE),IF(AND(OR(UnitsTbl[[#This Row],[MHP
Assisted]]&gt;0,UnitsTbl[[#This Row],[Other Restricted]]&gt;0),UnitsTbl[[#This Row],[Restricted Income Level]]="Manager"),175000,VLOOKUP(CONCATENATE(County,C30),LoanLimitsTbl[],AY30,FALSE)))),IF(UnitsTbl[[#This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Restricted]]&gt;0),IsMhp,Taxcredit=9%),VLOOKUP(CONCATENATE(County,C30),LoanLimit9Tbl[],AY30,FALSE),IF(AND(OR(UnitsTbl[[#This Row],[MHP
Assisted]]&gt;0,UnitsTbl[[#This Row],[Other Restricted]]&gt;0),UnitsTbl[[#This Row],[Restricted Income Level]]="Manager"),175000,VLOOKUP(CONCATENATE(County,C30),LoanLimitsTbl[],AY30,FALSE)))))))),"")</f>
        <v>0</v>
      </c>
      <c r="AH30" s="1248"/>
      <c r="AI30"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30" s="751"/>
      <c r="AK30" s="755"/>
      <c r="AL30" s="752" t="str">
        <f>IFERROR(IF(UnitsTbl[[#This Row],[Max Gross Rent]]=0,"",UnitsTbl[[#This Row],[Max Gross Rent]]-UnitsTbl[[#This Row],[Less Utility Allowance Schedule 1]]-UnitsTbl[[#This Row],[Less Utility Allowance Schedule 2]]),"")</f>
        <v/>
      </c>
      <c r="AM30" s="751"/>
      <c r="AN30" s="752" t="str">
        <f>IF(UnitsTbl[[#This Row],[Proposed Net Rent ]]="","",UnitsTbl[[#This Row],[Total Units]]*UnitsTbl[[#This Row],[Proposed Net Rent ]])</f>
        <v/>
      </c>
      <c r="AO30" s="1250" t="str">
        <f>IFERROR(UnitsTbl[[#This Row],[Total Units]]*UnitsTbl[[#This Row],[Maximum Net Rent]],"")</f>
        <v/>
      </c>
      <c r="AP30" s="1253"/>
      <c r="AQ30" s="752" t="str">
        <f>IFERROR(IF(UnitsTbl[[#This Row],[Gross Monthly Contract Rent]]="","",IF($AV$4="Restricted",UnitsTbl[[#This Row],[Gross Monthly Contract Rent]]-UnitsTbl[[#This Row],[Maximum Net Rent]],IF($AV$4="Proposed",UnitsTbl[[#This Row],[Gross Monthly Contract Rent]]-UnitsTbl[[#This Row],[Proposed Net Rent ]],0))),"")</f>
        <v/>
      </c>
      <c r="AR30" s="864"/>
      <c r="AS30" s="753" t="str">
        <f>IFERROR(IF(UnitsTbl[[#This Row],[Units Subsidized]]="","",UnitsTbl[[#This Row],[Subsidy Payment Over  Net Rent]]*UnitsTbl[[#This Row],[Units Subsidized]]),"")</f>
        <v/>
      </c>
      <c r="AT30" s="754"/>
      <c r="AU30" s="752" t="str">
        <f>IFERROR(IF(UnitsTbl[[#This Row],[Gross Monthly Contract Rent2]]="","",IF($AV$4="Restricted",UnitsTbl[[#This Row],[Gross Monthly Contract Rent2]]-UnitsTbl[[#This Row],[Maximum Net Rent]],IF($AV$4="Proposed",UnitsTbl[[#This Row],[Gross Monthly Contract Rent2]]-UnitsTbl[[#This Row],[Proposed Net Rent ]],""))),"")</f>
        <v/>
      </c>
      <c r="AV30" s="864"/>
      <c r="AW30" s="1261" t="str">
        <f>IFERROR(IF(UnitsTbl[[#This Row],[Units Subsidized2]]="","",UnitsTbl[[#This Row],[Subsidy Payment Over  Net Rent2]]*UnitsTbl[[#This Row],[Units Subsidized2]]),"")</f>
        <v/>
      </c>
      <c r="AX30" s="1354" t="str">
        <f>IF(UnitsTbl[[#This Row],['# of Bedrooms]]="","",IF(UnitsTbl[[#This Row],['# of Bedrooms]]=0,2,IF(UnitsTbl[[#This Row],['# of Bedrooms]]=1,3,IF(UnitsTbl[[#This Row],['# of Bedrooms]]=2,4,IF(UnitsTbl[[#This Row],['# of Bedrooms]]=3,5,IF(UnitsTbl[[#This Row],['# of Bedrooms]]=4,6,IF(UnitsTbl[[#This Row],['# of Bedrooms]]&gt;4,6,"")))))))</f>
        <v/>
      </c>
      <c r="AY30" s="470" t="str">
        <f>IF(UnitsTbl[[#This Row],['# of Bedrooms]]="","",IF(UnitsTbl[[#This Row],['# of Bedrooms]]=0,7,IF(UnitsTbl[[#This Row],['# of Bedrooms]]=1,8,IF(UnitsTbl[[#This Row],['# of Bedrooms]]=2,9,IF(UnitsTbl[[#This Row],['# of Bedrooms]]=3,10,IF(UnitsTbl[[#This Row],['# of Bedrooms]]=4,11,IF(UnitsTbl[[#This Row],['# of Bedrooms]]&gt;4,11,"")))))))</f>
        <v/>
      </c>
      <c r="AZ30" s="470" t="str">
        <f>IF(UnitsTbl[[#This Row],['# of Bedrooms]]="","",IF(UnitsTbl[[#This Row],['# of Bedrooms]]=0,2,IF(UnitsTbl[[#This Row],['# of Bedrooms]]=1,3,IF(UnitsTbl[[#This Row],['# of Bedrooms]]=2,4,IF(UnitsTbl[[#This Row],['# of Bedrooms]]=3,5,IF(UnitsTbl[[#This Row],['# of Bedrooms]]=4,6,IF(UnitsTbl[[#This Row],['# of Bedrooms]]=5,7,"")))))))</f>
        <v/>
      </c>
      <c r="BA30" s="1546">
        <f>MIN(SUM(UnitsTbl[[#This Row],[Disability Homelessness ]],UnitsTbl[[#This Row],[Chronic Homelessness]],UnitsTbl[[#This Row],[Homelessness]]),UnitsTbl[[#This Row],[Total Restricted Units]])</f>
        <v>0</v>
      </c>
      <c r="BB30" s="1546">
        <f>(UnitsTbl[[#This Row],[Restricted Income Level]]&lt;=30%)*UnitsTbl[[#This Row],[Total Restricted Units]]</f>
        <v>0</v>
      </c>
      <c r="BC30" s="1546">
        <f t="shared" si="11"/>
        <v>0</v>
      </c>
      <c r="BH30" s="1348" t="s">
        <v>2426</v>
      </c>
      <c r="BI30" s="483">
        <v>209059</v>
      </c>
      <c r="BJ30" s="483">
        <v>213237</v>
      </c>
      <c r="BK30" s="483">
        <v>225913</v>
      </c>
      <c r="BL30" s="483">
        <v>237581</v>
      </c>
      <c r="BM30" s="483">
        <v>247664</v>
      </c>
      <c r="BN30" s="483">
        <v>234059</v>
      </c>
      <c r="BO30" s="483">
        <v>238237</v>
      </c>
      <c r="BP30" s="483">
        <v>250913</v>
      </c>
      <c r="BQ30" s="483">
        <v>262581</v>
      </c>
      <c r="BR30" s="1344">
        <v>272664</v>
      </c>
      <c r="BS30" s="1545"/>
      <c r="BT30" s="1345" t="s">
        <v>2427</v>
      </c>
      <c r="BU30" s="508">
        <v>35600</v>
      </c>
      <c r="BV30" s="508">
        <v>40700</v>
      </c>
      <c r="BW30" s="508">
        <v>45800</v>
      </c>
      <c r="BX30" s="508">
        <v>50850</v>
      </c>
      <c r="BY30" s="508">
        <v>54950</v>
      </c>
      <c r="BZ30" s="508">
        <v>59000</v>
      </c>
      <c r="CA30" s="508">
        <v>63100</v>
      </c>
      <c r="CB30" s="1346">
        <v>67150</v>
      </c>
      <c r="CC30" s="1545"/>
      <c r="CD30" s="1348" t="s">
        <v>2426</v>
      </c>
      <c r="CE30" s="504">
        <v>154059</v>
      </c>
      <c r="CF30" s="504">
        <v>158237</v>
      </c>
      <c r="CG30" s="504">
        <v>170913</v>
      </c>
      <c r="CH30" s="504">
        <v>182581</v>
      </c>
      <c r="CI30" s="504">
        <v>192664</v>
      </c>
      <c r="CJ30" s="504">
        <v>169059</v>
      </c>
      <c r="CK30" s="504">
        <v>173237</v>
      </c>
      <c r="CL30" s="504">
        <v>185913</v>
      </c>
      <c r="CM30" s="504">
        <v>197581</v>
      </c>
      <c r="CN30" s="1347">
        <v>207664</v>
      </c>
      <c r="CP30" s="1545"/>
      <c r="CQ30" s="1545"/>
      <c r="CR30" s="1545"/>
      <c r="CS30" s="1545"/>
      <c r="CT30" s="1545"/>
      <c r="CU30" s="1545"/>
      <c r="CV30" s="1545"/>
      <c r="CW30" s="1545"/>
      <c r="CX30" s="1545"/>
    </row>
    <row r="31" spans="1:103" ht="18" customHeight="1">
      <c r="A31" s="1228"/>
      <c r="B31" s="611"/>
      <c r="C31" s="469"/>
      <c r="D31" s="615"/>
      <c r="E31" s="1048"/>
      <c r="F31" s="550"/>
      <c r="G31" s="550"/>
      <c r="H31" s="550"/>
      <c r="I31" s="550"/>
      <c r="J31" s="614"/>
      <c r="K31" s="1048"/>
      <c r="L31" s="550"/>
      <c r="M31" s="550"/>
      <c r="N31" s="550"/>
      <c r="O31" s="550"/>
      <c r="P31" s="550"/>
      <c r="Q31" s="550"/>
      <c r="R31" s="550"/>
      <c r="S31" s="550"/>
      <c r="T31" s="614"/>
      <c r="U31" s="1048"/>
      <c r="V31" s="615"/>
      <c r="W31" s="611"/>
      <c r="X31" s="864"/>
      <c r="Y31" s="615"/>
      <c r="Z31" s="1193">
        <f>IF(OR(UnitsTbl[[#This Row],[Restricted Income Level]]="Manager",UnitsTbl[[#This Row],[Restricted Income Level]]="Market",UnitsTbl[[#This Row],[Restricted Income Level]]&gt;60%),0,MIN(SUM(UnitsTbl[[#This Row],[IIG
Assisted]:[VHHP
Assisted]])+UnitsTbl[[#This Row],[Other Restricted]],UnitsTbl[[#This Row],[Total Units]]))</f>
        <v>0</v>
      </c>
      <c r="AA31" s="1626">
        <f>UnitsTbl[[#This Row],[Total Restricted Units]]*25000+IF(UnitsTbl[[#This Row],[Restricted Income Level]]="Manager",UnitsTbl[[#This Row],[Total Units]]*25000,0)</f>
        <v>0</v>
      </c>
      <c r="AB31"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31"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31"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31"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31" s="1629">
        <f>IFERROR(IF(AND(IsMhp,UnitsTbl[[#This Row],[Restricted Income Level]]="Manager"),UnitsTbl[[#This Row],[Total Units]]*IF(AND(UnitsTbl[[#This Row],[Total Units]]&gt;0,Taxcredit=9%,UnitsTbl[[#This Row],[Restricted Income Level]]="Manager"),95000,IF(AND(IsMhp,UnitsTbl[[#This Row],[Total Units]]&gt;0,Taxcredit=9%),VLOOKUP(CONCATENATE(County,C31),LoanLimit9Tbl[],AX31,FALSE),IF(AND(IsMhp,UnitsTbl[[#This Row],[Total Units]]&gt;0,OR(Taxcredit=4%,Taxcredit="None"),UnitsTbl[[#This Row],[Restricted Income Level]]="Manager"),150000,VLOOKUP(CONCATENATE(County,C31),LoanLimitsTbl[],AX31,FALSE)))),(IF($R$4=FALSE,((UnitsTbl[[#This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Restricted]]&gt;0),IsMhp,Taxcredit=9%),VLOOKUP(CONCATENATE(County,C31),LoanLimit9Tbl[],AX31,FALSE),IF(AND(IsMhp,UnitsTbl[[#This Row],[MHP
Assisted]]&gt;0,UnitsTbl[[#This Row],[Restricted Income Level]]="Manager"),150000,VLOOKUP(CONCATENATE(County,C31),LoanLimitsTbl[],AX31,FALSE))))))),0)</f>
        <v>0</v>
      </c>
      <c r="AG31"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Restricted]]&gt;0),IsMhp,Taxcredit=9%),VLOOKUP(CONCATENATE(County,C31),LoanLimit9Tbl[],AY31,FALSE),IF(AND(OR(UnitsTbl[[#This Row],[MHP
Assisted]]&gt;0,UnitsTbl[[#This Row],[Other Restricted]]&gt;0),UnitsTbl[[#This Row],[Restricted Income Level]]="Manager"),175000,VLOOKUP(CONCATENATE(County,C31),LoanLimitsTbl[],AY31,FALSE)))),IF(UnitsTbl[[#This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Restricted]]&gt;0),IsMhp,Taxcredit=9%),VLOOKUP(CONCATENATE(County,C31),LoanLimit9Tbl[],AY31,FALSE),IF(AND(OR(UnitsTbl[[#This Row],[MHP
Assisted]]&gt;0,UnitsTbl[[#This Row],[Other Restricted]]&gt;0),UnitsTbl[[#This Row],[Restricted Income Level]]="Manager"),175000,VLOOKUP(CONCATENATE(County,C31),LoanLimitsTbl[],AY31,FALSE)))))))),"")</f>
        <v>0</v>
      </c>
      <c r="AH31" s="1248"/>
      <c r="AI31"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31" s="751"/>
      <c r="AK31" s="755"/>
      <c r="AL31" s="752" t="str">
        <f>IFERROR(IF(UnitsTbl[[#This Row],[Max Gross Rent]]=0,"",UnitsTbl[[#This Row],[Max Gross Rent]]-UnitsTbl[[#This Row],[Less Utility Allowance Schedule 1]]-UnitsTbl[[#This Row],[Less Utility Allowance Schedule 2]]),"")</f>
        <v/>
      </c>
      <c r="AM31" s="751"/>
      <c r="AN31" s="752" t="str">
        <f>IF(UnitsTbl[[#This Row],[Proposed Net Rent ]]="","",UnitsTbl[[#This Row],[Total Units]]*UnitsTbl[[#This Row],[Proposed Net Rent ]])</f>
        <v/>
      </c>
      <c r="AO31" s="1250" t="str">
        <f>IFERROR(UnitsTbl[[#This Row],[Total Units]]*UnitsTbl[[#This Row],[Maximum Net Rent]],"")</f>
        <v/>
      </c>
      <c r="AP31" s="1253"/>
      <c r="AQ31" s="752" t="str">
        <f>IFERROR(IF(UnitsTbl[[#This Row],[Gross Monthly Contract Rent]]="","",IF($AV$4="Restricted",UnitsTbl[[#This Row],[Gross Monthly Contract Rent]]-UnitsTbl[[#This Row],[Maximum Net Rent]],IF($AV$4="Proposed",UnitsTbl[[#This Row],[Gross Monthly Contract Rent]]-UnitsTbl[[#This Row],[Proposed Net Rent ]],0))),"")</f>
        <v/>
      </c>
      <c r="AR31" s="864"/>
      <c r="AS31" s="753" t="str">
        <f>IFERROR(IF(UnitsTbl[[#This Row],[Units Subsidized]]="","",UnitsTbl[[#This Row],[Subsidy Payment Over  Net Rent]]*UnitsTbl[[#This Row],[Units Subsidized]]),"")</f>
        <v/>
      </c>
      <c r="AT31" s="754"/>
      <c r="AU31" s="752" t="str">
        <f>IFERROR(IF(UnitsTbl[[#This Row],[Gross Monthly Contract Rent2]]="","",IF($AV$4="Restricted",UnitsTbl[[#This Row],[Gross Monthly Contract Rent2]]-UnitsTbl[[#This Row],[Maximum Net Rent]],IF($AV$4="Proposed",UnitsTbl[[#This Row],[Gross Monthly Contract Rent2]]-UnitsTbl[[#This Row],[Proposed Net Rent ]],""))),"")</f>
        <v/>
      </c>
      <c r="AV31" s="864"/>
      <c r="AW31" s="1261" t="str">
        <f>IFERROR(IF(UnitsTbl[[#This Row],[Units Subsidized2]]="","",UnitsTbl[[#This Row],[Subsidy Payment Over  Net Rent2]]*UnitsTbl[[#This Row],[Units Subsidized2]]),"")</f>
        <v/>
      </c>
      <c r="AX31" s="1354" t="str">
        <f>IF(UnitsTbl[[#This Row],['# of Bedrooms]]="","",IF(UnitsTbl[[#This Row],['# of Bedrooms]]=0,2,IF(UnitsTbl[[#This Row],['# of Bedrooms]]=1,3,IF(UnitsTbl[[#This Row],['# of Bedrooms]]=2,4,IF(UnitsTbl[[#This Row],['# of Bedrooms]]=3,5,IF(UnitsTbl[[#This Row],['# of Bedrooms]]=4,6,IF(UnitsTbl[[#This Row],['# of Bedrooms]]&gt;4,6,"")))))))</f>
        <v/>
      </c>
      <c r="AY31" s="470" t="str">
        <f>IF(UnitsTbl[[#This Row],['# of Bedrooms]]="","",IF(UnitsTbl[[#This Row],['# of Bedrooms]]=0,7,IF(UnitsTbl[[#This Row],['# of Bedrooms]]=1,8,IF(UnitsTbl[[#This Row],['# of Bedrooms]]=2,9,IF(UnitsTbl[[#This Row],['# of Bedrooms]]=3,10,IF(UnitsTbl[[#This Row],['# of Bedrooms]]=4,11,IF(UnitsTbl[[#This Row],['# of Bedrooms]]&gt;4,11,"")))))))</f>
        <v/>
      </c>
      <c r="AZ31" s="470" t="str">
        <f>IF(UnitsTbl[[#This Row],['# of Bedrooms]]="","",IF(UnitsTbl[[#This Row],['# of Bedrooms]]=0,2,IF(UnitsTbl[[#This Row],['# of Bedrooms]]=1,3,IF(UnitsTbl[[#This Row],['# of Bedrooms]]=2,4,IF(UnitsTbl[[#This Row],['# of Bedrooms]]=3,5,IF(UnitsTbl[[#This Row],['# of Bedrooms]]=4,6,IF(UnitsTbl[[#This Row],['# of Bedrooms]]=5,7,"")))))))</f>
        <v/>
      </c>
      <c r="BA31" s="1546">
        <f>MIN(SUM(UnitsTbl[[#This Row],[Disability Homelessness ]],UnitsTbl[[#This Row],[Chronic Homelessness]],UnitsTbl[[#This Row],[Homelessness]]),UnitsTbl[[#This Row],[Total Restricted Units]])</f>
        <v>0</v>
      </c>
      <c r="BB31" s="1546">
        <f>(UnitsTbl[[#This Row],[Restricted Income Level]]&lt;=30%)*UnitsTbl[[#This Row],[Total Restricted Units]]</f>
        <v>0</v>
      </c>
      <c r="BC31" s="1546">
        <f t="shared" si="11"/>
        <v>0</v>
      </c>
      <c r="BH31" s="1348" t="s">
        <v>2428</v>
      </c>
      <c r="BI31" s="483">
        <v>218855</v>
      </c>
      <c r="BJ31" s="483">
        <v>223752</v>
      </c>
      <c r="BK31" s="483">
        <v>238589</v>
      </c>
      <c r="BL31" s="483">
        <v>252130</v>
      </c>
      <c r="BM31" s="483">
        <v>263941</v>
      </c>
      <c r="BN31" s="483">
        <v>243855</v>
      </c>
      <c r="BO31" s="483">
        <v>248752</v>
      </c>
      <c r="BP31" s="483">
        <v>263589</v>
      </c>
      <c r="BQ31" s="483">
        <v>277130</v>
      </c>
      <c r="BR31" s="1344">
        <v>288941</v>
      </c>
      <c r="BS31" s="1545"/>
      <c r="BT31" s="1345" t="s">
        <v>2429</v>
      </c>
      <c r="BU31" s="508">
        <v>39800</v>
      </c>
      <c r="BV31" s="508">
        <v>45500</v>
      </c>
      <c r="BW31" s="508">
        <v>51200</v>
      </c>
      <c r="BX31" s="508">
        <v>56850</v>
      </c>
      <c r="BY31" s="508">
        <v>61400</v>
      </c>
      <c r="BZ31" s="508">
        <v>65950</v>
      </c>
      <c r="CA31" s="508">
        <v>70500</v>
      </c>
      <c r="CB31" s="1346">
        <v>75050</v>
      </c>
      <c r="CC31" s="1545"/>
      <c r="CD31" s="1348" t="s">
        <v>2428</v>
      </c>
      <c r="CE31" s="504">
        <v>163855</v>
      </c>
      <c r="CF31" s="504">
        <v>168752</v>
      </c>
      <c r="CG31" s="504">
        <v>183589</v>
      </c>
      <c r="CH31" s="504">
        <v>197130</v>
      </c>
      <c r="CI31" s="504">
        <v>208941</v>
      </c>
      <c r="CJ31" s="504">
        <v>178855</v>
      </c>
      <c r="CK31" s="504">
        <v>183752</v>
      </c>
      <c r="CL31" s="504">
        <v>198589</v>
      </c>
      <c r="CM31" s="504">
        <v>212130</v>
      </c>
      <c r="CN31" s="1347">
        <v>223941</v>
      </c>
      <c r="CP31" s="1545"/>
      <c r="CQ31" s="1545" t="s">
        <v>2430</v>
      </c>
      <c r="CR31" s="1545"/>
      <c r="CS31" s="1545"/>
      <c r="CT31" s="1545"/>
      <c r="CU31" s="1545"/>
      <c r="CV31" s="1545"/>
      <c r="CW31" s="1545"/>
      <c r="CX31" s="1545"/>
    </row>
    <row r="32" spans="1:103" ht="18" customHeight="1">
      <c r="A32" s="1228"/>
      <c r="B32" s="611"/>
      <c r="C32" s="469"/>
      <c r="D32" s="615"/>
      <c r="E32" s="1048"/>
      <c r="F32" s="550"/>
      <c r="G32" s="550"/>
      <c r="H32" s="550"/>
      <c r="I32" s="550"/>
      <c r="J32" s="614"/>
      <c r="K32" s="1048"/>
      <c r="L32" s="550"/>
      <c r="M32" s="550"/>
      <c r="N32" s="550"/>
      <c r="O32" s="550"/>
      <c r="P32" s="550"/>
      <c r="Q32" s="550"/>
      <c r="R32" s="550"/>
      <c r="S32" s="550"/>
      <c r="T32" s="614"/>
      <c r="U32" s="1048"/>
      <c r="V32" s="615"/>
      <c r="W32" s="611"/>
      <c r="X32" s="864"/>
      <c r="Y32" s="615"/>
      <c r="Z32" s="1193">
        <f>IF(OR(UnitsTbl[[#This Row],[Restricted Income Level]]="Manager",UnitsTbl[[#This Row],[Restricted Income Level]]="Market",UnitsTbl[[#This Row],[Restricted Income Level]]&gt;60%),0,MIN(SUM(UnitsTbl[[#This Row],[IIG
Assisted]:[VHHP
Assisted]])+UnitsTbl[[#This Row],[Other Restricted]],UnitsTbl[[#This Row],[Total Units]]))</f>
        <v>0</v>
      </c>
      <c r="AA32" s="1626">
        <f>UnitsTbl[[#This Row],[Total Restricted Units]]*25000+IF(UnitsTbl[[#This Row],[Restricted Income Level]]="Manager",UnitsTbl[[#This Row],[Total Units]]*25000,0)</f>
        <v>0</v>
      </c>
      <c r="AB32"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32"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32"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32"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32" s="1629">
        <f>IFERROR(IF(AND(IsMhp,UnitsTbl[[#This Row],[Restricted Income Level]]="Manager"),UnitsTbl[[#This Row],[Total Units]]*IF(AND(UnitsTbl[[#This Row],[Total Units]]&gt;0,Taxcredit=9%,UnitsTbl[[#This Row],[Restricted Income Level]]="Manager"),95000,IF(AND(IsMhp,UnitsTbl[[#This Row],[Total Units]]&gt;0,Taxcredit=9%),VLOOKUP(CONCATENATE(County,C32),LoanLimit9Tbl[],AX32,FALSE),IF(AND(IsMhp,UnitsTbl[[#This Row],[Total Units]]&gt;0,OR(Taxcredit=4%,Taxcredit="None"),UnitsTbl[[#This Row],[Restricted Income Level]]="Manager"),150000,VLOOKUP(CONCATENATE(County,C32),LoanLimitsTbl[],AX32,FALSE)))),(IF($R$4=FALSE,((UnitsTbl[[#This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Restricted]]&gt;0),IsMhp,Taxcredit=9%),VLOOKUP(CONCATENATE(County,C32),LoanLimit9Tbl[],AX32,FALSE),IF(AND(IsMhp,UnitsTbl[[#This Row],[MHP
Assisted]]&gt;0,UnitsTbl[[#This Row],[Restricted Income Level]]="Manager"),150000,VLOOKUP(CONCATENATE(County,C32),LoanLimitsTbl[],AX32,FALSE))))))),0)</f>
        <v>0</v>
      </c>
      <c r="AG32"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Restricted]]&gt;0),IsMhp,Taxcredit=9%),VLOOKUP(CONCATENATE(County,C32),LoanLimit9Tbl[],AY32,FALSE),IF(AND(OR(UnitsTbl[[#This Row],[MHP
Assisted]]&gt;0,UnitsTbl[[#This Row],[Other Restricted]]&gt;0),UnitsTbl[[#This Row],[Restricted Income Level]]="Manager"),175000,VLOOKUP(CONCATENATE(County,C32),LoanLimitsTbl[],AY32,FALSE)))),IF(UnitsTbl[[#This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Restricted]]&gt;0),IsMhp,Taxcredit=9%),VLOOKUP(CONCATENATE(County,C32),LoanLimit9Tbl[],AY32,FALSE),IF(AND(OR(UnitsTbl[[#This Row],[MHP
Assisted]]&gt;0,UnitsTbl[[#This Row],[Other Restricted]]&gt;0),UnitsTbl[[#This Row],[Restricted Income Level]]="Manager"),175000,VLOOKUP(CONCATENATE(County,C32),LoanLimitsTbl[],AY32,FALSE)))))))),"")</f>
        <v>0</v>
      </c>
      <c r="AH32" s="1248"/>
      <c r="AI32"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32" s="751"/>
      <c r="AK32" s="755"/>
      <c r="AL32" s="752" t="str">
        <f>IFERROR(IF(UnitsTbl[[#This Row],[Max Gross Rent]]=0,"",UnitsTbl[[#This Row],[Max Gross Rent]]-UnitsTbl[[#This Row],[Less Utility Allowance Schedule 1]]-UnitsTbl[[#This Row],[Less Utility Allowance Schedule 2]]),"")</f>
        <v/>
      </c>
      <c r="AM32" s="751"/>
      <c r="AN32" s="752" t="str">
        <f>IF(UnitsTbl[[#This Row],[Proposed Net Rent ]]="","",UnitsTbl[[#This Row],[Total Units]]*UnitsTbl[[#This Row],[Proposed Net Rent ]])</f>
        <v/>
      </c>
      <c r="AO32" s="1250" t="str">
        <f>IFERROR(UnitsTbl[[#This Row],[Total Units]]*UnitsTbl[[#This Row],[Maximum Net Rent]],"")</f>
        <v/>
      </c>
      <c r="AP32" s="1253"/>
      <c r="AQ32" s="752" t="str">
        <f>IFERROR(IF(UnitsTbl[[#This Row],[Gross Monthly Contract Rent]]="","",IF($AV$4="Restricted",UnitsTbl[[#This Row],[Gross Monthly Contract Rent]]-UnitsTbl[[#This Row],[Maximum Net Rent]],IF($AV$4="Proposed",UnitsTbl[[#This Row],[Gross Monthly Contract Rent]]-UnitsTbl[[#This Row],[Proposed Net Rent ]],0))),"")</f>
        <v/>
      </c>
      <c r="AR32" s="864"/>
      <c r="AS32" s="753" t="str">
        <f>IFERROR(IF(UnitsTbl[[#This Row],[Units Subsidized]]="","",UnitsTbl[[#This Row],[Subsidy Payment Over  Net Rent]]*UnitsTbl[[#This Row],[Units Subsidized]]),"")</f>
        <v/>
      </c>
      <c r="AT32" s="754"/>
      <c r="AU32" s="752" t="str">
        <f>IFERROR(IF(UnitsTbl[[#This Row],[Gross Monthly Contract Rent2]]="","",IF($AV$4="Restricted",UnitsTbl[[#This Row],[Gross Monthly Contract Rent2]]-UnitsTbl[[#This Row],[Maximum Net Rent]],IF($AV$4="Proposed",UnitsTbl[[#This Row],[Gross Monthly Contract Rent2]]-UnitsTbl[[#This Row],[Proposed Net Rent ]],""))),"")</f>
        <v/>
      </c>
      <c r="AV32" s="864"/>
      <c r="AW32" s="1261" t="str">
        <f>IFERROR(IF(UnitsTbl[[#This Row],[Units Subsidized2]]="","",UnitsTbl[[#This Row],[Subsidy Payment Over  Net Rent2]]*UnitsTbl[[#This Row],[Units Subsidized2]]),"")</f>
        <v/>
      </c>
      <c r="AX32" s="1354" t="str">
        <f>IF(UnitsTbl[[#This Row],['# of Bedrooms]]="","",IF(UnitsTbl[[#This Row],['# of Bedrooms]]=0,2,IF(UnitsTbl[[#This Row],['# of Bedrooms]]=1,3,IF(UnitsTbl[[#This Row],['# of Bedrooms]]=2,4,IF(UnitsTbl[[#This Row],['# of Bedrooms]]=3,5,IF(UnitsTbl[[#This Row],['# of Bedrooms]]=4,6,IF(UnitsTbl[[#This Row],['# of Bedrooms]]&gt;4,6,"")))))))</f>
        <v/>
      </c>
      <c r="AY32" s="470" t="str">
        <f>IF(UnitsTbl[[#This Row],['# of Bedrooms]]="","",IF(UnitsTbl[[#This Row],['# of Bedrooms]]=0,7,IF(UnitsTbl[[#This Row],['# of Bedrooms]]=1,8,IF(UnitsTbl[[#This Row],['# of Bedrooms]]=2,9,IF(UnitsTbl[[#This Row],['# of Bedrooms]]=3,10,IF(UnitsTbl[[#This Row],['# of Bedrooms]]=4,11,IF(UnitsTbl[[#This Row],['# of Bedrooms]]&gt;4,11,"")))))))</f>
        <v/>
      </c>
      <c r="AZ32" s="470" t="str">
        <f>IF(UnitsTbl[[#This Row],['# of Bedrooms]]="","",IF(UnitsTbl[[#This Row],['# of Bedrooms]]=0,2,IF(UnitsTbl[[#This Row],['# of Bedrooms]]=1,3,IF(UnitsTbl[[#This Row],['# of Bedrooms]]=2,4,IF(UnitsTbl[[#This Row],['# of Bedrooms]]=3,5,IF(UnitsTbl[[#This Row],['# of Bedrooms]]=4,6,IF(UnitsTbl[[#This Row],['# of Bedrooms]]=5,7,"")))))))</f>
        <v/>
      </c>
      <c r="BA32" s="1546">
        <f>MIN(SUM(UnitsTbl[[#This Row],[Disability Homelessness ]],UnitsTbl[[#This Row],[Chronic Homelessness]],UnitsTbl[[#This Row],[Homelessness]]),UnitsTbl[[#This Row],[Total Restricted Units]])</f>
        <v>0</v>
      </c>
      <c r="BB32" s="1546">
        <f>(UnitsTbl[[#This Row],[Restricted Income Level]]&lt;=30%)*UnitsTbl[[#This Row],[Total Restricted Units]]</f>
        <v>0</v>
      </c>
      <c r="BC32" s="1546">
        <f t="shared" si="11"/>
        <v>0</v>
      </c>
      <c r="BH32" s="1348" t="s">
        <v>2431</v>
      </c>
      <c r="BI32" s="483">
        <v>228650</v>
      </c>
      <c r="BJ32" s="483">
        <v>234268</v>
      </c>
      <c r="BK32" s="483">
        <v>251121</v>
      </c>
      <c r="BL32" s="483">
        <v>266678</v>
      </c>
      <c r="BM32" s="483">
        <v>280219</v>
      </c>
      <c r="BN32" s="483">
        <v>253650</v>
      </c>
      <c r="BO32" s="483">
        <v>259268</v>
      </c>
      <c r="BP32" s="483">
        <v>276121</v>
      </c>
      <c r="BQ32" s="483">
        <v>291678</v>
      </c>
      <c r="BR32" s="1344">
        <v>305219</v>
      </c>
      <c r="BS32" s="1545"/>
      <c r="BT32" s="1345" t="s">
        <v>2432</v>
      </c>
      <c r="BU32" s="508">
        <v>31450</v>
      </c>
      <c r="BV32" s="508">
        <v>35950</v>
      </c>
      <c r="BW32" s="508">
        <v>40450</v>
      </c>
      <c r="BX32" s="508">
        <v>44900</v>
      </c>
      <c r="BY32" s="508">
        <v>48500</v>
      </c>
      <c r="BZ32" s="508">
        <v>52100</v>
      </c>
      <c r="CA32" s="508">
        <v>55700</v>
      </c>
      <c r="CB32" s="1346">
        <v>59300</v>
      </c>
      <c r="CC32" s="1545"/>
      <c r="CD32" s="1348" t="s">
        <v>2431</v>
      </c>
      <c r="CE32" s="504">
        <v>173650</v>
      </c>
      <c r="CF32" s="504">
        <v>179268</v>
      </c>
      <c r="CG32" s="504">
        <v>196121</v>
      </c>
      <c r="CH32" s="504">
        <v>211678</v>
      </c>
      <c r="CI32" s="504">
        <v>225219</v>
      </c>
      <c r="CJ32" s="504">
        <v>188650</v>
      </c>
      <c r="CK32" s="504">
        <v>194268</v>
      </c>
      <c r="CL32" s="504">
        <v>211121</v>
      </c>
      <c r="CM32" s="504">
        <v>226678</v>
      </c>
      <c r="CN32" s="1347">
        <v>240219</v>
      </c>
      <c r="CO32" s="493"/>
      <c r="CP32" s="464"/>
      <c r="CQ32" s="1545" t="s">
        <v>2433</v>
      </c>
      <c r="CR32" s="1545" t="s">
        <v>906</v>
      </c>
      <c r="CS32" s="1545" t="s">
        <v>908</v>
      </c>
      <c r="CT32" s="1545" t="s">
        <v>910</v>
      </c>
      <c r="CU32" s="1545" t="s">
        <v>912</v>
      </c>
      <c r="CV32" s="1545" t="s">
        <v>914</v>
      </c>
      <c r="CW32" s="1545" t="s">
        <v>916</v>
      </c>
      <c r="CX32" s="1545"/>
      <c r="CY32" s="1545"/>
    </row>
    <row r="33" spans="1:103" ht="18" customHeight="1">
      <c r="A33" s="1228"/>
      <c r="B33" s="611"/>
      <c r="C33" s="469"/>
      <c r="D33" s="615"/>
      <c r="E33" s="1048"/>
      <c r="F33" s="550"/>
      <c r="G33" s="550"/>
      <c r="H33" s="550"/>
      <c r="I33" s="550"/>
      <c r="J33" s="614"/>
      <c r="K33" s="1048"/>
      <c r="L33" s="550"/>
      <c r="M33" s="550"/>
      <c r="N33" s="550"/>
      <c r="O33" s="550"/>
      <c r="P33" s="550"/>
      <c r="Q33" s="550"/>
      <c r="R33" s="550"/>
      <c r="S33" s="550"/>
      <c r="T33" s="614"/>
      <c r="U33" s="1048"/>
      <c r="V33" s="615"/>
      <c r="W33" s="611"/>
      <c r="X33" s="864"/>
      <c r="Y33" s="615"/>
      <c r="Z33" s="1193">
        <f>IF(OR(UnitsTbl[[#This Row],[Restricted Income Level]]="Manager",UnitsTbl[[#This Row],[Restricted Income Level]]="Market",UnitsTbl[[#This Row],[Restricted Income Level]]&gt;60%),0,MIN(SUM(UnitsTbl[[#This Row],[IIG
Assisted]:[VHHP
Assisted]])+UnitsTbl[[#This Row],[Other Restricted]],UnitsTbl[[#This Row],[Total Units]]))</f>
        <v>0</v>
      </c>
      <c r="AA33" s="1626">
        <f>UnitsTbl[[#This Row],[Total Restricted Units]]*25000+IF(UnitsTbl[[#This Row],[Restricted Income Level]]="Manager",UnitsTbl[[#This Row],[Total Units]]*25000,0)</f>
        <v>0</v>
      </c>
      <c r="AB33"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33"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33"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33"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33" s="1629">
        <f>IFERROR(IF(AND(IsMhp,UnitsTbl[[#This Row],[Restricted Income Level]]="Manager"),UnitsTbl[[#This Row],[Total Units]]*IF(AND(UnitsTbl[[#This Row],[Total Units]]&gt;0,Taxcredit=9%,UnitsTbl[[#This Row],[Restricted Income Level]]="Manager"),95000,IF(AND(IsMhp,UnitsTbl[[#This Row],[Total Units]]&gt;0,Taxcredit=9%),VLOOKUP(CONCATENATE(County,C33),LoanLimit9Tbl[],AX33,FALSE),IF(AND(IsMhp,UnitsTbl[[#This Row],[Total Units]]&gt;0,OR(Taxcredit=4%,Taxcredit="None"),UnitsTbl[[#This Row],[Restricted Income Level]]="Manager"),150000,VLOOKUP(CONCATENATE(County,C33),LoanLimitsTbl[],AX33,FALSE)))),(IF($R$4=FALSE,((UnitsTbl[[#This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Restricted]]&gt;0),IsMhp,Taxcredit=9%),VLOOKUP(CONCATENATE(County,C33),LoanLimit9Tbl[],AX33,FALSE),IF(AND(IsMhp,UnitsTbl[[#This Row],[MHP
Assisted]]&gt;0,UnitsTbl[[#This Row],[Restricted Income Level]]="Manager"),150000,VLOOKUP(CONCATENATE(County,C33),LoanLimitsTbl[],AX33,FALSE))))))),0)</f>
        <v>0</v>
      </c>
      <c r="AG33"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Restricted]]&gt;0),IsMhp,Taxcredit=9%),VLOOKUP(CONCATENATE(County,C33),LoanLimit9Tbl[],AY33,FALSE),IF(AND(OR(UnitsTbl[[#This Row],[MHP
Assisted]]&gt;0,UnitsTbl[[#This Row],[Other Restricted]]&gt;0),UnitsTbl[[#This Row],[Restricted Income Level]]="Manager"),175000,VLOOKUP(CONCATENATE(County,C33),LoanLimitsTbl[],AY33,FALSE)))),IF(UnitsTbl[[#This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Restricted]]&gt;0),IsMhp,Taxcredit=9%),VLOOKUP(CONCATENATE(County,C33),LoanLimit9Tbl[],AY33,FALSE),IF(AND(OR(UnitsTbl[[#This Row],[MHP
Assisted]]&gt;0,UnitsTbl[[#This Row],[Other Restricted]]&gt;0),UnitsTbl[[#This Row],[Restricted Income Level]]="Manager"),175000,VLOOKUP(CONCATENATE(County,C33),LoanLimitsTbl[],AY33,FALSE)))))))),"")</f>
        <v>0</v>
      </c>
      <c r="AH33" s="1248"/>
      <c r="AI33"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33" s="751"/>
      <c r="AK33" s="755"/>
      <c r="AL33" s="752" t="str">
        <f>IFERROR(IF(UnitsTbl[[#This Row],[Max Gross Rent]]=0,"",UnitsTbl[[#This Row],[Max Gross Rent]]-UnitsTbl[[#This Row],[Less Utility Allowance Schedule 1]]-UnitsTbl[[#This Row],[Less Utility Allowance Schedule 2]]),"")</f>
        <v/>
      </c>
      <c r="AM33" s="751"/>
      <c r="AN33" s="752" t="str">
        <f>IF(UnitsTbl[[#This Row],[Proposed Net Rent ]]="","",UnitsTbl[[#This Row],[Total Units]]*UnitsTbl[[#This Row],[Proposed Net Rent ]])</f>
        <v/>
      </c>
      <c r="AO33" s="1250" t="str">
        <f>IFERROR(UnitsTbl[[#This Row],[Total Units]]*UnitsTbl[[#This Row],[Maximum Net Rent]],"")</f>
        <v/>
      </c>
      <c r="AP33" s="1253"/>
      <c r="AQ33" s="752" t="str">
        <f>IFERROR(IF(UnitsTbl[[#This Row],[Gross Monthly Contract Rent]]="","",IF($AV$4="Restricted",UnitsTbl[[#This Row],[Gross Monthly Contract Rent]]-UnitsTbl[[#This Row],[Maximum Net Rent]],IF($AV$4="Proposed",UnitsTbl[[#This Row],[Gross Monthly Contract Rent]]-UnitsTbl[[#This Row],[Proposed Net Rent ]],0))),"")</f>
        <v/>
      </c>
      <c r="AR33" s="864"/>
      <c r="AS33" s="753" t="str">
        <f>IFERROR(IF(UnitsTbl[[#This Row],[Units Subsidized]]="","",UnitsTbl[[#This Row],[Subsidy Payment Over  Net Rent]]*UnitsTbl[[#This Row],[Units Subsidized]]),"")</f>
        <v/>
      </c>
      <c r="AT33" s="754"/>
      <c r="AU33" s="752" t="str">
        <f>IFERROR(IF(UnitsTbl[[#This Row],[Gross Monthly Contract Rent2]]="","",IF($AV$4="Restricted",UnitsTbl[[#This Row],[Gross Monthly Contract Rent2]]-UnitsTbl[[#This Row],[Maximum Net Rent]],IF($AV$4="Proposed",UnitsTbl[[#This Row],[Gross Monthly Contract Rent2]]-UnitsTbl[[#This Row],[Proposed Net Rent ]],""))),"")</f>
        <v/>
      </c>
      <c r="AV33" s="864"/>
      <c r="AW33" s="1261" t="str">
        <f>IFERROR(IF(UnitsTbl[[#This Row],[Units Subsidized2]]="","",UnitsTbl[[#This Row],[Subsidy Payment Over  Net Rent2]]*UnitsTbl[[#This Row],[Units Subsidized2]]),"")</f>
        <v/>
      </c>
      <c r="AX33" s="1354" t="str">
        <f>IF(UnitsTbl[[#This Row],['# of Bedrooms]]="","",IF(UnitsTbl[[#This Row],['# of Bedrooms]]=0,2,IF(UnitsTbl[[#This Row],['# of Bedrooms]]=1,3,IF(UnitsTbl[[#This Row],['# of Bedrooms]]=2,4,IF(UnitsTbl[[#This Row],['# of Bedrooms]]=3,5,IF(UnitsTbl[[#This Row],['# of Bedrooms]]=4,6,IF(UnitsTbl[[#This Row],['# of Bedrooms]]&gt;4,6,"")))))))</f>
        <v/>
      </c>
      <c r="AY33" s="470" t="str">
        <f>IF(UnitsTbl[[#This Row],['# of Bedrooms]]="","",IF(UnitsTbl[[#This Row],['# of Bedrooms]]=0,7,IF(UnitsTbl[[#This Row],['# of Bedrooms]]=1,8,IF(UnitsTbl[[#This Row],['# of Bedrooms]]=2,9,IF(UnitsTbl[[#This Row],['# of Bedrooms]]=3,10,IF(UnitsTbl[[#This Row],['# of Bedrooms]]=4,11,IF(UnitsTbl[[#This Row],['# of Bedrooms]]&gt;4,11,"")))))))</f>
        <v/>
      </c>
      <c r="AZ33" s="470" t="str">
        <f>IF(UnitsTbl[[#This Row],['# of Bedrooms]]="","",IF(UnitsTbl[[#This Row],['# of Bedrooms]]=0,2,IF(UnitsTbl[[#This Row],['# of Bedrooms]]=1,3,IF(UnitsTbl[[#This Row],['# of Bedrooms]]=2,4,IF(UnitsTbl[[#This Row],['# of Bedrooms]]=3,5,IF(UnitsTbl[[#This Row],['# of Bedrooms]]=4,6,IF(UnitsTbl[[#This Row],['# of Bedrooms]]=5,7,"")))))))</f>
        <v/>
      </c>
      <c r="BA33" s="1546">
        <f>MIN(SUM(UnitsTbl[[#This Row],[Disability Homelessness ]],UnitsTbl[[#This Row],[Chronic Homelessness]],UnitsTbl[[#This Row],[Homelessness]]),UnitsTbl[[#This Row],[Total Restricted Units]])</f>
        <v>0</v>
      </c>
      <c r="BB33" s="1546">
        <f>(UnitsTbl[[#This Row],[Restricted Income Level]]&lt;=30%)*UnitsTbl[[#This Row],[Total Restricted Units]]</f>
        <v>0</v>
      </c>
      <c r="BC33" s="1546">
        <f t="shared" si="11"/>
        <v>0</v>
      </c>
      <c r="BH33" s="1348" t="s">
        <v>2434</v>
      </c>
      <c r="BI33" s="483">
        <v>238589</v>
      </c>
      <c r="BJ33" s="483">
        <v>244783</v>
      </c>
      <c r="BK33" s="483">
        <v>263797</v>
      </c>
      <c r="BL33" s="483">
        <v>281371</v>
      </c>
      <c r="BM33" s="483">
        <v>296496</v>
      </c>
      <c r="BN33" s="483">
        <v>263589</v>
      </c>
      <c r="BO33" s="483">
        <v>269783</v>
      </c>
      <c r="BP33" s="483">
        <v>288797</v>
      </c>
      <c r="BQ33" s="483">
        <v>306371</v>
      </c>
      <c r="BR33" s="1344">
        <v>321496</v>
      </c>
      <c r="BS33" s="1545"/>
      <c r="BT33" s="1345" t="s">
        <v>2435</v>
      </c>
      <c r="BU33" s="508">
        <v>47100</v>
      </c>
      <c r="BV33" s="508">
        <v>53800</v>
      </c>
      <c r="BW33" s="508">
        <v>60550</v>
      </c>
      <c r="BX33" s="508">
        <v>67250</v>
      </c>
      <c r="BY33" s="508">
        <v>72650</v>
      </c>
      <c r="BZ33" s="508">
        <v>78050</v>
      </c>
      <c r="CA33" s="508">
        <v>83400</v>
      </c>
      <c r="CB33" s="1346">
        <v>88800</v>
      </c>
      <c r="CC33" s="1545"/>
      <c r="CD33" s="1348" t="s">
        <v>2434</v>
      </c>
      <c r="CE33" s="504">
        <v>183589</v>
      </c>
      <c r="CF33" s="504">
        <v>189783</v>
      </c>
      <c r="CG33" s="504">
        <v>208797</v>
      </c>
      <c r="CH33" s="504">
        <v>226371</v>
      </c>
      <c r="CI33" s="504">
        <v>241496</v>
      </c>
      <c r="CJ33" s="504">
        <v>198589</v>
      </c>
      <c r="CK33" s="504">
        <v>204783</v>
      </c>
      <c r="CL33" s="504">
        <v>223797</v>
      </c>
      <c r="CM33" s="504">
        <v>241371</v>
      </c>
      <c r="CN33" s="1347">
        <v>256496</v>
      </c>
      <c r="CO33" s="493"/>
      <c r="CP33" s="464"/>
      <c r="CQ33" s="1545" t="str">
        <f>CONCATENATE(County,0.5)</f>
        <v>Amador0.5</v>
      </c>
      <c r="CR33" s="486">
        <f>CQ19/12*0.3</f>
        <v>682.5</v>
      </c>
      <c r="CS33" s="486">
        <f>CR19/12*0.3</f>
        <v>780</v>
      </c>
      <c r="CT33" s="486">
        <f>CS19/12*0.3</f>
        <v>877.5</v>
      </c>
      <c r="CU33" s="486">
        <f>CT19/12*0.3</f>
        <v>973.75</v>
      </c>
      <c r="CV33" s="486">
        <f t="shared" ref="CV33" si="20">CU19/12*0.3</f>
        <v>1052.5</v>
      </c>
      <c r="CW33" s="486">
        <f>CV19/12*0.3</f>
        <v>1130</v>
      </c>
      <c r="CX33" s="486"/>
      <c r="CY33" s="486"/>
    </row>
    <row r="34" spans="1:103" ht="18" customHeight="1">
      <c r="A34" s="1228"/>
      <c r="B34" s="611"/>
      <c r="C34" s="469"/>
      <c r="D34" s="615"/>
      <c r="E34" s="1048"/>
      <c r="F34" s="550"/>
      <c r="G34" s="550"/>
      <c r="H34" s="550"/>
      <c r="I34" s="550"/>
      <c r="J34" s="614"/>
      <c r="K34" s="1048"/>
      <c r="L34" s="550"/>
      <c r="M34" s="550"/>
      <c r="N34" s="550"/>
      <c r="O34" s="550"/>
      <c r="P34" s="550"/>
      <c r="Q34" s="550"/>
      <c r="R34" s="550"/>
      <c r="S34" s="550"/>
      <c r="T34" s="614"/>
      <c r="U34" s="1048"/>
      <c r="V34" s="615"/>
      <c r="W34" s="611"/>
      <c r="X34" s="864"/>
      <c r="Y34" s="615"/>
      <c r="Z34" s="1193">
        <f>IF(OR(UnitsTbl[[#This Row],[Restricted Income Level]]="Manager",UnitsTbl[[#This Row],[Restricted Income Level]]="Market",UnitsTbl[[#This Row],[Restricted Income Level]]&gt;60%),0,MIN(SUM(UnitsTbl[[#This Row],[IIG
Assisted]:[VHHP
Assisted]])+UnitsTbl[[#This Row],[Other Restricted]],UnitsTbl[[#This Row],[Total Units]]))</f>
        <v>0</v>
      </c>
      <c r="AA34" s="1626">
        <f>UnitsTbl[[#This Row],[Total Restricted Units]]*25000+IF(UnitsTbl[[#This Row],[Restricted Income Level]]="Manager",UnitsTbl[[#This Row],[Total Units]]*25000,0)</f>
        <v>0</v>
      </c>
      <c r="AB34"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34"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34"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34"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34" s="1629">
        <f>IFERROR(IF(AND(IsMhp,UnitsTbl[[#This Row],[Restricted Income Level]]="Manager"),UnitsTbl[[#This Row],[Total Units]]*IF(AND(UnitsTbl[[#This Row],[Total Units]]&gt;0,Taxcredit=9%,UnitsTbl[[#This Row],[Restricted Income Level]]="Manager"),95000,IF(AND(IsMhp,UnitsTbl[[#This Row],[Total Units]]&gt;0,Taxcredit=9%),VLOOKUP(CONCATENATE(County,C34),LoanLimit9Tbl[],AX34,FALSE),IF(AND(IsMhp,UnitsTbl[[#This Row],[Total Units]]&gt;0,OR(Taxcredit=4%,Taxcredit="None"),UnitsTbl[[#This Row],[Restricted Income Level]]="Manager"),150000,VLOOKUP(CONCATENATE(County,C34),LoanLimitsTbl[],AX34,FALSE)))),(IF($R$4=FALSE,((UnitsTbl[[#This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Restricted]]&gt;0),IsMhp,Taxcredit=9%),VLOOKUP(CONCATENATE(County,C34),LoanLimit9Tbl[],AX34,FALSE),IF(AND(IsMhp,UnitsTbl[[#This Row],[MHP
Assisted]]&gt;0,UnitsTbl[[#This Row],[Restricted Income Level]]="Manager"),150000,VLOOKUP(CONCATENATE(County,C34),LoanLimitsTbl[],AX34,FALSE))))))),0)</f>
        <v>0</v>
      </c>
      <c r="AG34"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Restricted]]&gt;0),IsMhp,Taxcredit=9%),VLOOKUP(CONCATENATE(County,C34),LoanLimit9Tbl[],AY34,FALSE),IF(AND(OR(UnitsTbl[[#This Row],[MHP
Assisted]]&gt;0,UnitsTbl[[#This Row],[Other Restricted]]&gt;0),UnitsTbl[[#This Row],[Restricted Income Level]]="Manager"),175000,VLOOKUP(CONCATENATE(County,C34),LoanLimitsTbl[],AY34,FALSE)))),IF(UnitsTbl[[#This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Restricted]]&gt;0),IsMhp,Taxcredit=9%),VLOOKUP(CONCATENATE(County,C34),LoanLimit9Tbl[],AY34,FALSE),IF(AND(OR(UnitsTbl[[#This Row],[MHP
Assisted]]&gt;0,UnitsTbl[[#This Row],[Other Restricted]]&gt;0),UnitsTbl[[#This Row],[Restricted Income Level]]="Manager"),175000,VLOOKUP(CONCATENATE(County,C34),LoanLimitsTbl[],AY34,FALSE)))))))),"")</f>
        <v>0</v>
      </c>
      <c r="AH34" s="1248"/>
      <c r="AI34"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34" s="751"/>
      <c r="AK34" s="755"/>
      <c r="AL34" s="752" t="str">
        <f>IFERROR(IF(UnitsTbl[[#This Row],[Max Gross Rent]]=0,"",UnitsTbl[[#This Row],[Max Gross Rent]]-UnitsTbl[[#This Row],[Less Utility Allowance Schedule 1]]-UnitsTbl[[#This Row],[Less Utility Allowance Schedule 2]]),"")</f>
        <v/>
      </c>
      <c r="AM34" s="751"/>
      <c r="AN34" s="752" t="str">
        <f>IF(UnitsTbl[[#This Row],[Proposed Net Rent ]]="","",UnitsTbl[[#This Row],[Total Units]]*UnitsTbl[[#This Row],[Proposed Net Rent ]])</f>
        <v/>
      </c>
      <c r="AO34" s="1250" t="str">
        <f>IFERROR(UnitsTbl[[#This Row],[Total Units]]*UnitsTbl[[#This Row],[Maximum Net Rent]],"")</f>
        <v/>
      </c>
      <c r="AP34" s="1253"/>
      <c r="AQ34" s="752" t="str">
        <f>IFERROR(IF(UnitsTbl[[#This Row],[Gross Monthly Contract Rent]]="","",IF($AV$4="Restricted",UnitsTbl[[#This Row],[Gross Monthly Contract Rent]]-UnitsTbl[[#This Row],[Maximum Net Rent]],IF($AV$4="Proposed",UnitsTbl[[#This Row],[Gross Monthly Contract Rent]]-UnitsTbl[[#This Row],[Proposed Net Rent ]],0))),"")</f>
        <v/>
      </c>
      <c r="AR34" s="864"/>
      <c r="AS34" s="753" t="str">
        <f>IFERROR(IF(UnitsTbl[[#This Row],[Units Subsidized]]="","",UnitsTbl[[#This Row],[Subsidy Payment Over  Net Rent]]*UnitsTbl[[#This Row],[Units Subsidized]]),"")</f>
        <v/>
      </c>
      <c r="AT34" s="754"/>
      <c r="AU34" s="752" t="str">
        <f>IFERROR(IF(UnitsTbl[[#This Row],[Gross Monthly Contract Rent2]]="","",IF($AV$4="Restricted",UnitsTbl[[#This Row],[Gross Monthly Contract Rent2]]-UnitsTbl[[#This Row],[Maximum Net Rent]],IF($AV$4="Proposed",UnitsTbl[[#This Row],[Gross Monthly Contract Rent2]]-UnitsTbl[[#This Row],[Proposed Net Rent ]],""))),"")</f>
        <v/>
      </c>
      <c r="AV34" s="864"/>
      <c r="AW34" s="1261" t="str">
        <f>IFERROR(IF(UnitsTbl[[#This Row],[Units Subsidized2]]="","",UnitsTbl[[#This Row],[Subsidy Payment Over  Net Rent2]]*UnitsTbl[[#This Row],[Units Subsidized2]]),"")</f>
        <v/>
      </c>
      <c r="AX34" s="1354" t="str">
        <f>IF(UnitsTbl[[#This Row],['# of Bedrooms]]="","",IF(UnitsTbl[[#This Row],['# of Bedrooms]]=0,2,IF(UnitsTbl[[#This Row],['# of Bedrooms]]=1,3,IF(UnitsTbl[[#This Row],['# of Bedrooms]]=2,4,IF(UnitsTbl[[#This Row],['# of Bedrooms]]=3,5,IF(UnitsTbl[[#This Row],['# of Bedrooms]]=4,6,IF(UnitsTbl[[#This Row],['# of Bedrooms]]&gt;4,6,"")))))))</f>
        <v/>
      </c>
      <c r="AY34" s="470" t="str">
        <f>IF(UnitsTbl[[#This Row],['# of Bedrooms]]="","",IF(UnitsTbl[[#This Row],['# of Bedrooms]]=0,7,IF(UnitsTbl[[#This Row],['# of Bedrooms]]=1,8,IF(UnitsTbl[[#This Row],['# of Bedrooms]]=2,9,IF(UnitsTbl[[#This Row],['# of Bedrooms]]=3,10,IF(UnitsTbl[[#This Row],['# of Bedrooms]]=4,11,IF(UnitsTbl[[#This Row],['# of Bedrooms]]&gt;4,11,"")))))))</f>
        <v/>
      </c>
      <c r="AZ34" s="470" t="str">
        <f>IF(UnitsTbl[[#This Row],['# of Bedrooms]]="","",IF(UnitsTbl[[#This Row],['# of Bedrooms]]=0,2,IF(UnitsTbl[[#This Row],['# of Bedrooms]]=1,3,IF(UnitsTbl[[#This Row],['# of Bedrooms]]=2,4,IF(UnitsTbl[[#This Row],['# of Bedrooms]]=3,5,IF(UnitsTbl[[#This Row],['# of Bedrooms]]=4,6,IF(UnitsTbl[[#This Row],['# of Bedrooms]]=5,7,"")))))))</f>
        <v/>
      </c>
      <c r="BA34" s="1546">
        <f>MIN(SUM(UnitsTbl[[#This Row],[Disability Homelessness ]],UnitsTbl[[#This Row],[Chronic Homelessness]],UnitsTbl[[#This Row],[Homelessness]]),UnitsTbl[[#This Row],[Total Restricted Units]])</f>
        <v>0</v>
      </c>
      <c r="BB34" s="1546">
        <f>(UnitsTbl[[#This Row],[Restricted Income Level]]&lt;=30%)*UnitsTbl[[#This Row],[Total Restricted Units]]</f>
        <v>0</v>
      </c>
      <c r="BC34" s="1546">
        <f t="shared" si="11"/>
        <v>0</v>
      </c>
      <c r="BH34" s="1343" t="s">
        <v>2436</v>
      </c>
      <c r="BI34" s="483">
        <v>150000</v>
      </c>
      <c r="BJ34" s="483">
        <v>150000</v>
      </c>
      <c r="BK34" s="483">
        <v>150000</v>
      </c>
      <c r="BL34" s="483">
        <v>150000</v>
      </c>
      <c r="BM34" s="483">
        <v>150000</v>
      </c>
      <c r="BN34" s="483">
        <v>175000</v>
      </c>
      <c r="BO34" s="483">
        <v>175000</v>
      </c>
      <c r="BP34" s="483">
        <v>175000</v>
      </c>
      <c r="BQ34" s="483">
        <v>175000</v>
      </c>
      <c r="BR34" s="1344">
        <v>175000</v>
      </c>
      <c r="BS34" s="1545"/>
      <c r="BT34" s="1345" t="s">
        <v>2437</v>
      </c>
      <c r="BU34" s="508">
        <v>31750</v>
      </c>
      <c r="BV34" s="508">
        <v>36250</v>
      </c>
      <c r="BW34" s="508">
        <v>40800</v>
      </c>
      <c r="BX34" s="508">
        <v>45300</v>
      </c>
      <c r="BY34" s="508">
        <v>48950</v>
      </c>
      <c r="BZ34" s="508">
        <v>52550</v>
      </c>
      <c r="CA34" s="508">
        <v>56200</v>
      </c>
      <c r="CB34" s="1346">
        <v>59800</v>
      </c>
      <c r="CC34" s="1545"/>
      <c r="CD34" s="1343" t="s">
        <v>2436</v>
      </c>
      <c r="CE34" s="504">
        <v>95000</v>
      </c>
      <c r="CF34" s="504">
        <v>95000</v>
      </c>
      <c r="CG34" s="504">
        <v>95000</v>
      </c>
      <c r="CH34" s="504">
        <v>95000</v>
      </c>
      <c r="CI34" s="504">
        <v>95000</v>
      </c>
      <c r="CJ34" s="504">
        <v>110000</v>
      </c>
      <c r="CK34" s="504">
        <v>110000</v>
      </c>
      <c r="CL34" s="504">
        <v>110000</v>
      </c>
      <c r="CM34" s="504">
        <v>110000</v>
      </c>
      <c r="CN34" s="1347">
        <v>110000</v>
      </c>
      <c r="CP34" s="1545"/>
      <c r="CQ34" s="1545"/>
      <c r="CR34" s="1545"/>
      <c r="CS34" s="1545"/>
      <c r="CT34" s="1545"/>
      <c r="CU34" s="1545"/>
      <c r="CV34" s="1545"/>
      <c r="CW34" s="1545"/>
      <c r="CX34" s="1545"/>
    </row>
    <row r="35" spans="1:103" ht="18" customHeight="1">
      <c r="A35" s="1228"/>
      <c r="B35" s="611"/>
      <c r="C35" s="469"/>
      <c r="D35" s="615"/>
      <c r="E35" s="1048"/>
      <c r="F35" s="550"/>
      <c r="G35" s="550"/>
      <c r="H35" s="550"/>
      <c r="I35" s="550"/>
      <c r="J35" s="614"/>
      <c r="K35" s="1048"/>
      <c r="L35" s="550"/>
      <c r="M35" s="550"/>
      <c r="N35" s="550"/>
      <c r="O35" s="550"/>
      <c r="P35" s="550"/>
      <c r="Q35" s="550"/>
      <c r="R35" s="550"/>
      <c r="S35" s="550"/>
      <c r="T35" s="614"/>
      <c r="U35" s="1048"/>
      <c r="V35" s="615"/>
      <c r="W35" s="611"/>
      <c r="X35" s="864"/>
      <c r="Y35" s="615"/>
      <c r="Z35" s="1193">
        <f>IF(OR(UnitsTbl[[#This Row],[Restricted Income Level]]="Manager",UnitsTbl[[#This Row],[Restricted Income Level]]="Market",UnitsTbl[[#This Row],[Restricted Income Level]]&gt;60%),0,MIN(SUM(UnitsTbl[[#This Row],[IIG
Assisted]:[VHHP
Assisted]])+UnitsTbl[[#This Row],[Other Restricted]],UnitsTbl[[#This Row],[Total Units]]))</f>
        <v>0</v>
      </c>
      <c r="AA35" s="1626">
        <f>UnitsTbl[[#This Row],[Total Restricted Units]]*25000+IF(UnitsTbl[[#This Row],[Restricted Income Level]]="Manager",UnitsTbl[[#This Row],[Total Units]]*25000,0)</f>
        <v>0</v>
      </c>
      <c r="AB35"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35"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35"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35"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35" s="1629">
        <f>IFERROR(IF(AND(IsMhp,UnitsTbl[[#This Row],[Restricted Income Level]]="Manager"),UnitsTbl[[#This Row],[Total Units]]*IF(AND(UnitsTbl[[#This Row],[Total Units]]&gt;0,Taxcredit=9%,UnitsTbl[[#This Row],[Restricted Income Level]]="Manager"),95000,IF(AND(IsMhp,UnitsTbl[[#This Row],[Total Units]]&gt;0,Taxcredit=9%),VLOOKUP(CONCATENATE(County,C35),LoanLimit9Tbl[],AX35,FALSE),IF(AND(IsMhp,UnitsTbl[[#This Row],[Total Units]]&gt;0,OR(Taxcredit=4%,Taxcredit="None"),UnitsTbl[[#This Row],[Restricted Income Level]]="Manager"),150000,VLOOKUP(CONCATENATE(County,C35),LoanLimitsTbl[],AX35,FALSE)))),(IF($R$4=FALSE,((UnitsTbl[[#This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Restricted]]&gt;0),IsMhp,Taxcredit=9%),VLOOKUP(CONCATENATE(County,C35),LoanLimit9Tbl[],AX35,FALSE),IF(AND(IsMhp,UnitsTbl[[#This Row],[MHP
Assisted]]&gt;0,UnitsTbl[[#This Row],[Restricted Income Level]]="Manager"),150000,VLOOKUP(CONCATENATE(County,C35),LoanLimitsTbl[],AX35,FALSE))))))),0)</f>
        <v>0</v>
      </c>
      <c r="AG35"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Restricted]]&gt;0),IsMhp,Taxcredit=9%),VLOOKUP(CONCATENATE(County,C35),LoanLimit9Tbl[],AY35,FALSE),IF(AND(OR(UnitsTbl[[#This Row],[MHP
Assisted]]&gt;0,UnitsTbl[[#This Row],[Other Restricted]]&gt;0),UnitsTbl[[#This Row],[Restricted Income Level]]="Manager"),175000,VLOOKUP(CONCATENATE(County,C35),LoanLimitsTbl[],AY35,FALSE)))),IF(UnitsTbl[[#This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Restricted]]&gt;0),IsMhp,Taxcredit=9%),VLOOKUP(CONCATENATE(County,C35),LoanLimit9Tbl[],AY35,FALSE),IF(AND(OR(UnitsTbl[[#This Row],[MHP
Assisted]]&gt;0,UnitsTbl[[#This Row],[Other Restricted]]&gt;0),UnitsTbl[[#This Row],[Restricted Income Level]]="Manager"),175000,VLOOKUP(CONCATENATE(County,C35),LoanLimitsTbl[],AY35,FALSE)))))))),"")</f>
        <v>0</v>
      </c>
      <c r="AH35" s="1248"/>
      <c r="AI35"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35" s="751"/>
      <c r="AK35" s="755"/>
      <c r="AL35" s="752" t="str">
        <f>IFERROR(IF(UnitsTbl[[#This Row],[Max Gross Rent]]=0,"",UnitsTbl[[#This Row],[Max Gross Rent]]-UnitsTbl[[#This Row],[Less Utility Allowance Schedule 1]]-UnitsTbl[[#This Row],[Less Utility Allowance Schedule 2]]),"")</f>
        <v/>
      </c>
      <c r="AM35" s="751"/>
      <c r="AN35" s="752" t="str">
        <f>IF(UnitsTbl[[#This Row],[Proposed Net Rent ]]="","",UnitsTbl[[#This Row],[Total Units]]*UnitsTbl[[#This Row],[Proposed Net Rent ]])</f>
        <v/>
      </c>
      <c r="AO35" s="1250" t="str">
        <f>IFERROR(UnitsTbl[[#This Row],[Total Units]]*UnitsTbl[[#This Row],[Maximum Net Rent]],"")</f>
        <v/>
      </c>
      <c r="AP35" s="1253"/>
      <c r="AQ35" s="752" t="str">
        <f>IFERROR(IF(UnitsTbl[[#This Row],[Gross Monthly Contract Rent]]="","",IF($AV$4="Restricted",UnitsTbl[[#This Row],[Gross Monthly Contract Rent]]-UnitsTbl[[#This Row],[Maximum Net Rent]],IF($AV$4="Proposed",UnitsTbl[[#This Row],[Gross Monthly Contract Rent]]-UnitsTbl[[#This Row],[Proposed Net Rent ]],0))),"")</f>
        <v/>
      </c>
      <c r="AR35" s="864"/>
      <c r="AS35" s="753" t="str">
        <f>IFERROR(IF(UnitsTbl[[#This Row],[Units Subsidized]]="","",UnitsTbl[[#This Row],[Subsidy Payment Over  Net Rent]]*UnitsTbl[[#This Row],[Units Subsidized]]),"")</f>
        <v/>
      </c>
      <c r="AT35" s="754"/>
      <c r="AU35" s="752" t="str">
        <f>IFERROR(IF(UnitsTbl[[#This Row],[Gross Monthly Contract Rent2]]="","",IF($AV$4="Restricted",UnitsTbl[[#This Row],[Gross Monthly Contract Rent2]]-UnitsTbl[[#This Row],[Maximum Net Rent]],IF($AV$4="Proposed",UnitsTbl[[#This Row],[Gross Monthly Contract Rent2]]-UnitsTbl[[#This Row],[Proposed Net Rent ]],""))),"")</f>
        <v/>
      </c>
      <c r="AV35" s="864"/>
      <c r="AW35" s="1261" t="str">
        <f>IFERROR(IF(UnitsTbl[[#This Row],[Units Subsidized2]]="","",UnitsTbl[[#This Row],[Subsidy Payment Over  Net Rent2]]*UnitsTbl[[#This Row],[Units Subsidized2]]),"")</f>
        <v/>
      </c>
      <c r="AX35" s="1354" t="str">
        <f>IF(UnitsTbl[[#This Row],['# of Bedrooms]]="","",IF(UnitsTbl[[#This Row],['# of Bedrooms]]=0,2,IF(UnitsTbl[[#This Row],['# of Bedrooms]]=1,3,IF(UnitsTbl[[#This Row],['# of Bedrooms]]=2,4,IF(UnitsTbl[[#This Row],['# of Bedrooms]]=3,5,IF(UnitsTbl[[#This Row],['# of Bedrooms]]=4,6,IF(UnitsTbl[[#This Row],['# of Bedrooms]]&gt;4,6,"")))))))</f>
        <v/>
      </c>
      <c r="AY35" s="470" t="str">
        <f>IF(UnitsTbl[[#This Row],['# of Bedrooms]]="","",IF(UnitsTbl[[#This Row],['# of Bedrooms]]=0,7,IF(UnitsTbl[[#This Row],['# of Bedrooms]]=1,8,IF(UnitsTbl[[#This Row],['# of Bedrooms]]=2,9,IF(UnitsTbl[[#This Row],['# of Bedrooms]]=3,10,IF(UnitsTbl[[#This Row],['# of Bedrooms]]=4,11,IF(UnitsTbl[[#This Row],['# of Bedrooms]]&gt;4,11,"")))))))</f>
        <v/>
      </c>
      <c r="AZ35" s="470" t="str">
        <f>IF(UnitsTbl[[#This Row],['# of Bedrooms]]="","",IF(UnitsTbl[[#This Row],['# of Bedrooms]]=0,2,IF(UnitsTbl[[#This Row],['# of Bedrooms]]=1,3,IF(UnitsTbl[[#This Row],['# of Bedrooms]]=2,4,IF(UnitsTbl[[#This Row],['# of Bedrooms]]=3,5,IF(UnitsTbl[[#This Row],['# of Bedrooms]]=4,6,IF(UnitsTbl[[#This Row],['# of Bedrooms]]=5,7,"")))))))</f>
        <v/>
      </c>
      <c r="BA35" s="1546">
        <f>MIN(SUM(UnitsTbl[[#This Row],[Disability Homelessness ]],UnitsTbl[[#This Row],[Chronic Homelessness]],UnitsTbl[[#This Row],[Homelessness]]),UnitsTbl[[#This Row],[Total Restricted Units]])</f>
        <v>0</v>
      </c>
      <c r="BB35" s="1546">
        <f>(UnitsTbl[[#This Row],[Restricted Income Level]]&lt;=30%)*UnitsTbl[[#This Row],[Total Restricted Units]]</f>
        <v>0</v>
      </c>
      <c r="BC35" s="1546">
        <f t="shared" si="11"/>
        <v>0</v>
      </c>
      <c r="BH35" s="1348" t="s">
        <v>2438</v>
      </c>
      <c r="BI35" s="483">
        <v>158787</v>
      </c>
      <c r="BJ35" s="483">
        <v>159363</v>
      </c>
      <c r="BK35" s="483">
        <v>161380</v>
      </c>
      <c r="BL35" s="483">
        <v>163108</v>
      </c>
      <c r="BM35" s="483">
        <v>164549</v>
      </c>
      <c r="BN35" s="483">
        <v>183787</v>
      </c>
      <c r="BO35" s="483">
        <v>184363</v>
      </c>
      <c r="BP35" s="483">
        <v>186380</v>
      </c>
      <c r="BQ35" s="483">
        <v>188108</v>
      </c>
      <c r="BR35" s="1344">
        <v>189549</v>
      </c>
      <c r="BS35" s="1545"/>
      <c r="BT35" s="1345" t="s">
        <v>2439</v>
      </c>
      <c r="BU35" s="508">
        <v>25600</v>
      </c>
      <c r="BV35" s="508">
        <v>29250</v>
      </c>
      <c r="BW35" s="508">
        <v>32900</v>
      </c>
      <c r="BX35" s="508">
        <v>36550</v>
      </c>
      <c r="BY35" s="508">
        <v>39500</v>
      </c>
      <c r="BZ35" s="508">
        <v>42400</v>
      </c>
      <c r="CA35" s="508">
        <v>45350</v>
      </c>
      <c r="CB35" s="1346">
        <v>48250</v>
      </c>
      <c r="CC35" s="1545"/>
      <c r="CD35" s="1348" t="s">
        <v>2438</v>
      </c>
      <c r="CE35" s="504">
        <v>103787</v>
      </c>
      <c r="CF35" s="504">
        <v>104363</v>
      </c>
      <c r="CG35" s="504">
        <v>106380</v>
      </c>
      <c r="CH35" s="504">
        <v>108108</v>
      </c>
      <c r="CI35" s="504">
        <v>109549</v>
      </c>
      <c r="CJ35" s="504">
        <v>118787</v>
      </c>
      <c r="CK35" s="504">
        <v>119363</v>
      </c>
      <c r="CL35" s="504">
        <v>121380</v>
      </c>
      <c r="CM35" s="504">
        <v>123108</v>
      </c>
      <c r="CN35" s="1347">
        <v>124549</v>
      </c>
      <c r="CP35" s="2753" t="s">
        <v>2440</v>
      </c>
      <c r="CQ35" s="2753"/>
      <c r="CR35" s="2753"/>
      <c r="CS35" s="2753"/>
      <c r="CT35" s="2753"/>
      <c r="CU35" s="2753"/>
      <c r="CV35" s="2753"/>
      <c r="CW35" s="1545"/>
      <c r="CX35" s="1545"/>
    </row>
    <row r="36" spans="1:103" ht="18" customHeight="1">
      <c r="A36" s="1228"/>
      <c r="B36" s="611"/>
      <c r="C36" s="469"/>
      <c r="D36" s="615"/>
      <c r="E36" s="1048"/>
      <c r="F36" s="550"/>
      <c r="G36" s="550"/>
      <c r="H36" s="550"/>
      <c r="I36" s="550"/>
      <c r="J36" s="614"/>
      <c r="K36" s="1048"/>
      <c r="L36" s="550"/>
      <c r="M36" s="550"/>
      <c r="N36" s="550"/>
      <c r="O36" s="550"/>
      <c r="P36" s="550"/>
      <c r="Q36" s="550"/>
      <c r="R36" s="550"/>
      <c r="S36" s="550"/>
      <c r="T36" s="614"/>
      <c r="U36" s="1048"/>
      <c r="V36" s="615"/>
      <c r="W36" s="611"/>
      <c r="X36" s="864"/>
      <c r="Y36" s="615"/>
      <c r="Z36" s="1193">
        <f>IF(OR(UnitsTbl[[#This Row],[Restricted Income Level]]="Manager",UnitsTbl[[#This Row],[Restricted Income Level]]="Market",UnitsTbl[[#This Row],[Restricted Income Level]]&gt;60%),0,MIN(SUM(UnitsTbl[[#This Row],[IIG
Assisted]:[VHHP
Assisted]])+UnitsTbl[[#This Row],[Other Restricted]],UnitsTbl[[#This Row],[Total Units]]))</f>
        <v>0</v>
      </c>
      <c r="AA36" s="1626">
        <f>UnitsTbl[[#This Row],[Total Restricted Units]]*25000+IF(UnitsTbl[[#This Row],[Restricted Income Level]]="Manager",UnitsTbl[[#This Row],[Total Units]]*25000,0)</f>
        <v>0</v>
      </c>
      <c r="AB36"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36"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36"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36"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36" s="1629">
        <f>IFERROR(IF(AND(IsMhp,UnitsTbl[[#This Row],[Restricted Income Level]]="Manager"),UnitsTbl[[#This Row],[Total Units]]*IF(AND(UnitsTbl[[#This Row],[Total Units]]&gt;0,Taxcredit=9%,UnitsTbl[[#This Row],[Restricted Income Level]]="Manager"),95000,IF(AND(IsMhp,UnitsTbl[[#This Row],[Total Units]]&gt;0,Taxcredit=9%),VLOOKUP(CONCATENATE(County,C36),LoanLimit9Tbl[],AX36,FALSE),IF(AND(IsMhp,UnitsTbl[[#This Row],[Total Units]]&gt;0,OR(Taxcredit=4%,Taxcredit="None"),UnitsTbl[[#This Row],[Restricted Income Level]]="Manager"),150000,VLOOKUP(CONCATENATE(County,C36),LoanLimitsTbl[],AX36,FALSE)))),(IF($R$4=FALSE,((UnitsTbl[[#This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Restricted]]&gt;0),IsMhp,Taxcredit=9%),VLOOKUP(CONCATENATE(County,C36),LoanLimit9Tbl[],AX36,FALSE),IF(AND(IsMhp,UnitsTbl[[#This Row],[MHP
Assisted]]&gt;0,UnitsTbl[[#This Row],[Restricted Income Level]]="Manager"),150000,VLOOKUP(CONCATENATE(County,C36),LoanLimitsTbl[],AX36,FALSE))))))),0)</f>
        <v>0</v>
      </c>
      <c r="AG36"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Restricted]]&gt;0),IsMhp,Taxcredit=9%),VLOOKUP(CONCATENATE(County,C36),LoanLimit9Tbl[],AY36,FALSE),IF(AND(OR(UnitsTbl[[#This Row],[MHP
Assisted]]&gt;0,UnitsTbl[[#This Row],[Other Restricted]]&gt;0),UnitsTbl[[#This Row],[Restricted Income Level]]="Manager"),175000,VLOOKUP(CONCATENATE(County,C36),LoanLimitsTbl[],AY36,FALSE)))),IF(UnitsTbl[[#This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Restricted]]&gt;0),IsMhp,Taxcredit=9%),VLOOKUP(CONCATENATE(County,C36),LoanLimit9Tbl[],AY36,FALSE),IF(AND(OR(UnitsTbl[[#This Row],[MHP
Assisted]]&gt;0,UnitsTbl[[#This Row],[Other Restricted]]&gt;0),UnitsTbl[[#This Row],[Restricted Income Level]]="Manager"),175000,VLOOKUP(CONCATENATE(County,C36),LoanLimitsTbl[],AY36,FALSE)))))))),"")</f>
        <v>0</v>
      </c>
      <c r="AH36" s="1248"/>
      <c r="AI36"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36" s="751"/>
      <c r="AK36" s="755"/>
      <c r="AL36" s="752" t="str">
        <f>IFERROR(IF(UnitsTbl[[#This Row],[Max Gross Rent]]=0,"",UnitsTbl[[#This Row],[Max Gross Rent]]-UnitsTbl[[#This Row],[Less Utility Allowance Schedule 1]]-UnitsTbl[[#This Row],[Less Utility Allowance Schedule 2]]),"")</f>
        <v/>
      </c>
      <c r="AM36" s="751"/>
      <c r="AN36" s="752" t="str">
        <f>IF(UnitsTbl[[#This Row],[Proposed Net Rent ]]="","",UnitsTbl[[#This Row],[Total Units]]*UnitsTbl[[#This Row],[Proposed Net Rent ]])</f>
        <v/>
      </c>
      <c r="AO36" s="1250" t="str">
        <f>IFERROR(UnitsTbl[[#This Row],[Total Units]]*UnitsTbl[[#This Row],[Maximum Net Rent]],"")</f>
        <v/>
      </c>
      <c r="AP36" s="1253"/>
      <c r="AQ36" s="752" t="str">
        <f>IFERROR(IF(UnitsTbl[[#This Row],[Gross Monthly Contract Rent]]="","",IF($AV$4="Restricted",UnitsTbl[[#This Row],[Gross Monthly Contract Rent]]-UnitsTbl[[#This Row],[Maximum Net Rent]],IF($AV$4="Proposed",UnitsTbl[[#This Row],[Gross Monthly Contract Rent]]-UnitsTbl[[#This Row],[Proposed Net Rent ]],0))),"")</f>
        <v/>
      </c>
      <c r="AR36" s="864"/>
      <c r="AS36" s="753" t="str">
        <f>IFERROR(IF(UnitsTbl[[#This Row],[Units Subsidized]]="","",UnitsTbl[[#This Row],[Subsidy Payment Over  Net Rent]]*UnitsTbl[[#This Row],[Units Subsidized]]),"")</f>
        <v/>
      </c>
      <c r="AT36" s="754"/>
      <c r="AU36" s="752" t="str">
        <f>IFERROR(IF(UnitsTbl[[#This Row],[Gross Monthly Contract Rent2]]="","",IF($AV$4="Restricted",UnitsTbl[[#This Row],[Gross Monthly Contract Rent2]]-UnitsTbl[[#This Row],[Maximum Net Rent]],IF($AV$4="Proposed",UnitsTbl[[#This Row],[Gross Monthly Contract Rent2]]-UnitsTbl[[#This Row],[Proposed Net Rent ]],""))),"")</f>
        <v/>
      </c>
      <c r="AV36" s="864"/>
      <c r="AW36" s="1261" t="str">
        <f>IFERROR(IF(UnitsTbl[[#This Row],[Units Subsidized2]]="","",UnitsTbl[[#This Row],[Subsidy Payment Over  Net Rent2]]*UnitsTbl[[#This Row],[Units Subsidized2]]),"")</f>
        <v/>
      </c>
      <c r="AX36" s="1354" t="str">
        <f>IF(UnitsTbl[[#This Row],['# of Bedrooms]]="","",IF(UnitsTbl[[#This Row],['# of Bedrooms]]=0,2,IF(UnitsTbl[[#This Row],['# of Bedrooms]]=1,3,IF(UnitsTbl[[#This Row],['# of Bedrooms]]=2,4,IF(UnitsTbl[[#This Row],['# of Bedrooms]]=3,5,IF(UnitsTbl[[#This Row],['# of Bedrooms]]=4,6,IF(UnitsTbl[[#This Row],['# of Bedrooms]]&gt;4,6,"")))))))</f>
        <v/>
      </c>
      <c r="AY36" s="470" t="str">
        <f>IF(UnitsTbl[[#This Row],['# of Bedrooms]]="","",IF(UnitsTbl[[#This Row],['# of Bedrooms]]=0,7,IF(UnitsTbl[[#This Row],['# of Bedrooms]]=1,8,IF(UnitsTbl[[#This Row],['# of Bedrooms]]=2,9,IF(UnitsTbl[[#This Row],['# of Bedrooms]]=3,10,IF(UnitsTbl[[#This Row],['# of Bedrooms]]=4,11,IF(UnitsTbl[[#This Row],['# of Bedrooms]]&gt;4,11,"")))))))</f>
        <v/>
      </c>
      <c r="AZ36" s="470" t="str">
        <f>IF(UnitsTbl[[#This Row],['# of Bedrooms]]="","",IF(UnitsTbl[[#This Row],['# of Bedrooms]]=0,2,IF(UnitsTbl[[#This Row],['# of Bedrooms]]=1,3,IF(UnitsTbl[[#This Row],['# of Bedrooms]]=2,4,IF(UnitsTbl[[#This Row],['# of Bedrooms]]=3,5,IF(UnitsTbl[[#This Row],['# of Bedrooms]]=4,6,IF(UnitsTbl[[#This Row],['# of Bedrooms]]=5,7,"")))))))</f>
        <v/>
      </c>
      <c r="BA36" s="1546">
        <f>MIN(SUM(UnitsTbl[[#This Row],[Disability Homelessness ]],UnitsTbl[[#This Row],[Chronic Homelessness]],UnitsTbl[[#This Row],[Homelessness]]),UnitsTbl[[#This Row],[Total Restricted Units]])</f>
        <v>0</v>
      </c>
      <c r="BB36" s="1546">
        <f>(UnitsTbl[[#This Row],[Restricted Income Level]]&lt;=30%)*UnitsTbl[[#This Row],[Total Restricted Units]]</f>
        <v>0</v>
      </c>
      <c r="BC36" s="1546">
        <f t="shared" si="11"/>
        <v>0</v>
      </c>
      <c r="BH36" s="1348" t="s">
        <v>2441</v>
      </c>
      <c r="BI36" s="483">
        <v>167574</v>
      </c>
      <c r="BJ36" s="483">
        <v>168870</v>
      </c>
      <c r="BK36" s="483">
        <v>172615</v>
      </c>
      <c r="BL36" s="483">
        <v>176073</v>
      </c>
      <c r="BM36" s="483">
        <v>179098</v>
      </c>
      <c r="BN36" s="483">
        <v>192574</v>
      </c>
      <c r="BO36" s="483">
        <v>193870</v>
      </c>
      <c r="BP36" s="483">
        <v>197615</v>
      </c>
      <c r="BQ36" s="483">
        <v>201073</v>
      </c>
      <c r="BR36" s="1344">
        <v>204098</v>
      </c>
      <c r="BS36" s="1545"/>
      <c r="BT36" s="1345" t="s">
        <v>2442</v>
      </c>
      <c r="BU36" s="508">
        <v>27650</v>
      </c>
      <c r="BV36" s="508">
        <v>31600</v>
      </c>
      <c r="BW36" s="508">
        <v>35550</v>
      </c>
      <c r="BX36" s="508">
        <v>39500</v>
      </c>
      <c r="BY36" s="508">
        <v>42700</v>
      </c>
      <c r="BZ36" s="508">
        <v>45850</v>
      </c>
      <c r="CA36" s="508">
        <v>49000</v>
      </c>
      <c r="CB36" s="1346">
        <v>52150</v>
      </c>
      <c r="CC36" s="1545"/>
      <c r="CD36" s="1348" t="s">
        <v>2441</v>
      </c>
      <c r="CE36" s="504">
        <v>112574</v>
      </c>
      <c r="CF36" s="504">
        <v>113870</v>
      </c>
      <c r="CG36" s="504">
        <v>117615</v>
      </c>
      <c r="CH36" s="504">
        <v>121073</v>
      </c>
      <c r="CI36" s="504">
        <v>124098</v>
      </c>
      <c r="CJ36" s="504">
        <v>127574</v>
      </c>
      <c r="CK36" s="504">
        <v>128870</v>
      </c>
      <c r="CL36" s="504">
        <v>132615</v>
      </c>
      <c r="CM36" s="504">
        <v>136073</v>
      </c>
      <c r="CN36" s="1347">
        <v>139098</v>
      </c>
      <c r="CP36" s="2753" t="s">
        <v>2443</v>
      </c>
      <c r="CQ36" s="2753"/>
      <c r="CR36" s="2753"/>
      <c r="CS36" s="2753"/>
      <c r="CT36" s="2753"/>
      <c r="CU36" s="2753"/>
      <c r="CV36" s="2753"/>
      <c r="CW36" s="1545"/>
      <c r="CX36" s="1545"/>
    </row>
    <row r="37" spans="1:103" ht="18" customHeight="1">
      <c r="A37" s="1228"/>
      <c r="B37" s="611"/>
      <c r="C37" s="469"/>
      <c r="D37" s="615"/>
      <c r="E37" s="1048"/>
      <c r="F37" s="550"/>
      <c r="G37" s="550"/>
      <c r="H37" s="550"/>
      <c r="I37" s="550"/>
      <c r="J37" s="614"/>
      <c r="K37" s="1048"/>
      <c r="L37" s="550"/>
      <c r="M37" s="550"/>
      <c r="N37" s="550"/>
      <c r="O37" s="550"/>
      <c r="P37" s="550"/>
      <c r="Q37" s="550"/>
      <c r="R37" s="550"/>
      <c r="S37" s="550"/>
      <c r="T37" s="614"/>
      <c r="U37" s="1048"/>
      <c r="V37" s="615"/>
      <c r="W37" s="611"/>
      <c r="X37" s="864"/>
      <c r="Y37" s="615"/>
      <c r="Z37" s="1193">
        <f>IF(OR(UnitsTbl[[#This Row],[Restricted Income Level]]="Manager",UnitsTbl[[#This Row],[Restricted Income Level]]="Market",UnitsTbl[[#This Row],[Restricted Income Level]]&gt;60%),0,MIN(SUM(UnitsTbl[[#This Row],[IIG
Assisted]:[VHHP
Assisted]])+UnitsTbl[[#This Row],[Other Restricted]],UnitsTbl[[#This Row],[Total Units]]))</f>
        <v>0</v>
      </c>
      <c r="AA37" s="1626">
        <f>UnitsTbl[[#This Row],[Total Restricted Units]]*25000+IF(UnitsTbl[[#This Row],[Restricted Income Level]]="Manager",UnitsTbl[[#This Row],[Total Units]]*25000,0)</f>
        <v>0</v>
      </c>
      <c r="AB37"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37"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37"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37"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37" s="1629">
        <f>IFERROR(IF(AND(IsMhp,UnitsTbl[[#This Row],[Restricted Income Level]]="Manager"),UnitsTbl[[#This Row],[Total Units]]*IF(AND(UnitsTbl[[#This Row],[Total Units]]&gt;0,Taxcredit=9%,UnitsTbl[[#This Row],[Restricted Income Level]]="Manager"),95000,IF(AND(IsMhp,UnitsTbl[[#This Row],[Total Units]]&gt;0,Taxcredit=9%),VLOOKUP(CONCATENATE(County,C37),LoanLimit9Tbl[],AX37,FALSE),IF(AND(IsMhp,UnitsTbl[[#This Row],[Total Units]]&gt;0,OR(Taxcredit=4%,Taxcredit="None"),UnitsTbl[[#This Row],[Restricted Income Level]]="Manager"),150000,VLOOKUP(CONCATENATE(County,C37),LoanLimitsTbl[],AX37,FALSE)))),(IF($R$4=FALSE,((UnitsTbl[[#This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Restricted]]&gt;0),IsMhp,Taxcredit=9%),VLOOKUP(CONCATENATE(County,C37),LoanLimit9Tbl[],AX37,FALSE),IF(AND(IsMhp,UnitsTbl[[#This Row],[MHP
Assisted]]&gt;0,UnitsTbl[[#This Row],[Restricted Income Level]]="Manager"),150000,VLOOKUP(CONCATENATE(County,C37),LoanLimitsTbl[],AX37,FALSE))))))),0)</f>
        <v>0</v>
      </c>
      <c r="AG37"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Restricted]]&gt;0),IsMhp,Taxcredit=9%),VLOOKUP(CONCATENATE(County,C37),LoanLimit9Tbl[],AY37,FALSE),IF(AND(OR(UnitsTbl[[#This Row],[MHP
Assisted]]&gt;0,UnitsTbl[[#This Row],[Other Restricted]]&gt;0),UnitsTbl[[#This Row],[Restricted Income Level]]="Manager"),175000,VLOOKUP(CONCATENATE(County,C37),LoanLimitsTbl[],AY37,FALSE)))),IF(UnitsTbl[[#This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Restricted]]&gt;0),IsMhp,Taxcredit=9%),VLOOKUP(CONCATENATE(County,C37),LoanLimit9Tbl[],AY37,FALSE),IF(AND(OR(UnitsTbl[[#This Row],[MHP
Assisted]]&gt;0,UnitsTbl[[#This Row],[Other Restricted]]&gt;0),UnitsTbl[[#This Row],[Restricted Income Level]]="Manager"),175000,VLOOKUP(CONCATENATE(County,C37),LoanLimitsTbl[],AY37,FALSE)))))))),"")</f>
        <v>0</v>
      </c>
      <c r="AH37" s="1248"/>
      <c r="AI37"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37" s="751"/>
      <c r="AK37" s="755"/>
      <c r="AL37" s="752" t="str">
        <f>IFERROR(IF(UnitsTbl[[#This Row],[Max Gross Rent]]=0,"",UnitsTbl[[#This Row],[Max Gross Rent]]-UnitsTbl[[#This Row],[Less Utility Allowance Schedule 1]]-UnitsTbl[[#This Row],[Less Utility Allowance Schedule 2]]),"")</f>
        <v/>
      </c>
      <c r="AM37" s="751"/>
      <c r="AN37" s="752" t="str">
        <f>IF(UnitsTbl[[#This Row],[Proposed Net Rent ]]="","",UnitsTbl[[#This Row],[Total Units]]*UnitsTbl[[#This Row],[Proposed Net Rent ]])</f>
        <v/>
      </c>
      <c r="AO37" s="1250" t="str">
        <f>IFERROR(UnitsTbl[[#This Row],[Total Units]]*UnitsTbl[[#This Row],[Maximum Net Rent]],"")</f>
        <v/>
      </c>
      <c r="AP37" s="1253"/>
      <c r="AQ37" s="752" t="str">
        <f>IFERROR(IF(UnitsTbl[[#This Row],[Gross Monthly Contract Rent]]="","",IF($AV$4="Restricted",UnitsTbl[[#This Row],[Gross Monthly Contract Rent]]-UnitsTbl[[#This Row],[Maximum Net Rent]],IF($AV$4="Proposed",UnitsTbl[[#This Row],[Gross Monthly Contract Rent]]-UnitsTbl[[#This Row],[Proposed Net Rent ]],0))),"")</f>
        <v/>
      </c>
      <c r="AR37" s="864"/>
      <c r="AS37" s="753" t="str">
        <f>IFERROR(IF(UnitsTbl[[#This Row],[Units Subsidized]]="","",UnitsTbl[[#This Row],[Subsidy Payment Over  Net Rent]]*UnitsTbl[[#This Row],[Units Subsidized]]),"")</f>
        <v/>
      </c>
      <c r="AT37" s="754"/>
      <c r="AU37" s="752" t="str">
        <f>IFERROR(IF(UnitsTbl[[#This Row],[Gross Monthly Contract Rent2]]="","",IF($AV$4="Restricted",UnitsTbl[[#This Row],[Gross Monthly Contract Rent2]]-UnitsTbl[[#This Row],[Maximum Net Rent]],IF($AV$4="Proposed",UnitsTbl[[#This Row],[Gross Monthly Contract Rent2]]-UnitsTbl[[#This Row],[Proposed Net Rent ]],""))),"")</f>
        <v/>
      </c>
      <c r="AV37" s="864"/>
      <c r="AW37" s="1261" t="str">
        <f>IFERROR(IF(UnitsTbl[[#This Row],[Units Subsidized2]]="","",UnitsTbl[[#This Row],[Subsidy Payment Over  Net Rent2]]*UnitsTbl[[#This Row],[Units Subsidized2]]),"")</f>
        <v/>
      </c>
      <c r="AX37" s="1354" t="str">
        <f>IF(UnitsTbl[[#This Row],['# of Bedrooms]]="","",IF(UnitsTbl[[#This Row],['# of Bedrooms]]=0,2,IF(UnitsTbl[[#This Row],['# of Bedrooms]]=1,3,IF(UnitsTbl[[#This Row],['# of Bedrooms]]=2,4,IF(UnitsTbl[[#This Row],['# of Bedrooms]]=3,5,IF(UnitsTbl[[#This Row],['# of Bedrooms]]=4,6,IF(UnitsTbl[[#This Row],['# of Bedrooms]]&gt;4,6,"")))))))</f>
        <v/>
      </c>
      <c r="AY37" s="470" t="str">
        <f>IF(UnitsTbl[[#This Row],['# of Bedrooms]]="","",IF(UnitsTbl[[#This Row],['# of Bedrooms]]=0,7,IF(UnitsTbl[[#This Row],['# of Bedrooms]]=1,8,IF(UnitsTbl[[#This Row],['# of Bedrooms]]=2,9,IF(UnitsTbl[[#This Row],['# of Bedrooms]]=3,10,IF(UnitsTbl[[#This Row],['# of Bedrooms]]=4,11,IF(UnitsTbl[[#This Row],['# of Bedrooms]]&gt;4,11,"")))))))</f>
        <v/>
      </c>
      <c r="AZ37" s="470" t="str">
        <f>IF(UnitsTbl[[#This Row],['# of Bedrooms]]="","",IF(UnitsTbl[[#This Row],['# of Bedrooms]]=0,2,IF(UnitsTbl[[#This Row],['# of Bedrooms]]=1,3,IF(UnitsTbl[[#This Row],['# of Bedrooms]]=2,4,IF(UnitsTbl[[#This Row],['# of Bedrooms]]=3,5,IF(UnitsTbl[[#This Row],['# of Bedrooms]]=4,6,IF(UnitsTbl[[#This Row],['# of Bedrooms]]=5,7,"")))))))</f>
        <v/>
      </c>
      <c r="BA37" s="1546">
        <f>MIN(SUM(UnitsTbl[[#This Row],[Disability Homelessness ]],UnitsTbl[[#This Row],[Chronic Homelessness]],UnitsTbl[[#This Row],[Homelessness]]),UnitsTbl[[#This Row],[Total Restricted Units]])</f>
        <v>0</v>
      </c>
      <c r="BB37" s="1546">
        <f>(UnitsTbl[[#This Row],[Restricted Income Level]]&lt;=30%)*UnitsTbl[[#This Row],[Total Restricted Units]]</f>
        <v>0</v>
      </c>
      <c r="BC37" s="1546">
        <f t="shared" si="11"/>
        <v>0</v>
      </c>
      <c r="BH37" s="1348" t="s">
        <v>2444</v>
      </c>
      <c r="BI37" s="483">
        <v>176361</v>
      </c>
      <c r="BJ37" s="483">
        <v>178233</v>
      </c>
      <c r="BK37" s="483">
        <v>183995</v>
      </c>
      <c r="BL37" s="483">
        <v>189181</v>
      </c>
      <c r="BM37" s="483">
        <v>193646</v>
      </c>
      <c r="BN37" s="483">
        <v>201361</v>
      </c>
      <c r="BO37" s="483">
        <v>203233</v>
      </c>
      <c r="BP37" s="483">
        <v>208995</v>
      </c>
      <c r="BQ37" s="483">
        <v>214181</v>
      </c>
      <c r="BR37" s="1344">
        <v>218646</v>
      </c>
      <c r="BS37" s="1545"/>
      <c r="BT37" s="1345" t="s">
        <v>2445</v>
      </c>
      <c r="BU37" s="508">
        <v>31750</v>
      </c>
      <c r="BV37" s="508">
        <v>36250</v>
      </c>
      <c r="BW37" s="508">
        <v>40800</v>
      </c>
      <c r="BX37" s="508">
        <v>45300</v>
      </c>
      <c r="BY37" s="508">
        <v>48950</v>
      </c>
      <c r="BZ37" s="508">
        <v>52550</v>
      </c>
      <c r="CA37" s="508">
        <v>56200</v>
      </c>
      <c r="CB37" s="1346">
        <v>59800</v>
      </c>
      <c r="CC37" s="1545"/>
      <c r="CD37" s="1348" t="s">
        <v>2444</v>
      </c>
      <c r="CE37" s="504">
        <v>121361</v>
      </c>
      <c r="CF37" s="504">
        <v>123233</v>
      </c>
      <c r="CG37" s="504">
        <v>128995</v>
      </c>
      <c r="CH37" s="504">
        <v>134181</v>
      </c>
      <c r="CI37" s="504">
        <v>138646</v>
      </c>
      <c r="CJ37" s="504">
        <v>136361</v>
      </c>
      <c r="CK37" s="504">
        <v>138233</v>
      </c>
      <c r="CL37" s="504">
        <v>143995</v>
      </c>
      <c r="CM37" s="504">
        <v>149181</v>
      </c>
      <c r="CN37" s="1347">
        <v>153646</v>
      </c>
      <c r="CP37" s="1545"/>
      <c r="CQ37" s="1545"/>
      <c r="CR37" s="1545"/>
      <c r="CS37" s="1545"/>
      <c r="CT37" s="1545"/>
      <c r="CU37" s="1545"/>
      <c r="CV37" s="1545"/>
      <c r="CW37" s="1545"/>
      <c r="CX37" s="1545"/>
    </row>
    <row r="38" spans="1:103" ht="18" customHeight="1">
      <c r="A38" s="1228"/>
      <c r="B38" s="611"/>
      <c r="C38" s="469"/>
      <c r="D38" s="615"/>
      <c r="E38" s="1048"/>
      <c r="F38" s="550"/>
      <c r="G38" s="550"/>
      <c r="H38" s="550"/>
      <c r="I38" s="550"/>
      <c r="J38" s="614"/>
      <c r="K38" s="1048"/>
      <c r="L38" s="550"/>
      <c r="M38" s="550"/>
      <c r="N38" s="550"/>
      <c r="O38" s="550"/>
      <c r="P38" s="550"/>
      <c r="Q38" s="550"/>
      <c r="R38" s="550"/>
      <c r="S38" s="550"/>
      <c r="T38" s="614"/>
      <c r="U38" s="1048"/>
      <c r="V38" s="615"/>
      <c r="W38" s="611"/>
      <c r="X38" s="864"/>
      <c r="Y38" s="615"/>
      <c r="Z38" s="1193">
        <f>IF(OR(UnitsTbl[[#This Row],[Restricted Income Level]]="Manager",UnitsTbl[[#This Row],[Restricted Income Level]]="Market",UnitsTbl[[#This Row],[Restricted Income Level]]&gt;60%),0,MIN(SUM(UnitsTbl[[#This Row],[IIG
Assisted]:[VHHP
Assisted]])+UnitsTbl[[#This Row],[Other Restricted]],UnitsTbl[[#This Row],[Total Units]]))</f>
        <v>0</v>
      </c>
      <c r="AA38" s="1626">
        <f>UnitsTbl[[#This Row],[Total Restricted Units]]*25000+IF(UnitsTbl[[#This Row],[Restricted Income Level]]="Manager",UnitsTbl[[#This Row],[Total Units]]*25000,0)</f>
        <v>0</v>
      </c>
      <c r="AB38"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38"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38"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38"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38" s="1629">
        <f>IFERROR(IF(AND(IsMhp,UnitsTbl[[#This Row],[Restricted Income Level]]="Manager"),UnitsTbl[[#This Row],[Total Units]]*IF(AND(UnitsTbl[[#This Row],[Total Units]]&gt;0,Taxcredit=9%,UnitsTbl[[#This Row],[Restricted Income Level]]="Manager"),95000,IF(AND(IsMhp,UnitsTbl[[#This Row],[Total Units]]&gt;0,Taxcredit=9%),VLOOKUP(CONCATENATE(County,C38),LoanLimit9Tbl[],AX38,FALSE),IF(AND(IsMhp,UnitsTbl[[#This Row],[Total Units]]&gt;0,OR(Taxcredit=4%,Taxcredit="None"),UnitsTbl[[#This Row],[Restricted Income Level]]="Manager"),150000,VLOOKUP(CONCATENATE(County,C38),LoanLimitsTbl[],AX38,FALSE)))),(IF($R$4=FALSE,((UnitsTbl[[#This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Restricted]]&gt;0),IsMhp,Taxcredit=9%),VLOOKUP(CONCATENATE(County,C38),LoanLimit9Tbl[],AX38,FALSE),IF(AND(IsMhp,UnitsTbl[[#This Row],[MHP
Assisted]]&gt;0,UnitsTbl[[#This Row],[Restricted Income Level]]="Manager"),150000,VLOOKUP(CONCATENATE(County,C38),LoanLimitsTbl[],AX38,FALSE))))))),0)</f>
        <v>0</v>
      </c>
      <c r="AG38"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Restricted]]&gt;0),IsMhp,Taxcredit=9%),VLOOKUP(CONCATENATE(County,C38),LoanLimit9Tbl[],AY38,FALSE),IF(AND(OR(UnitsTbl[[#This Row],[MHP
Assisted]]&gt;0,UnitsTbl[[#This Row],[Other Restricted]]&gt;0),UnitsTbl[[#This Row],[Restricted Income Level]]="Manager"),175000,VLOOKUP(CONCATENATE(County,C38),LoanLimitsTbl[],AY38,FALSE)))),IF(UnitsTbl[[#This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Restricted]]&gt;0),IsMhp,Taxcredit=9%),VLOOKUP(CONCATENATE(County,C38),LoanLimit9Tbl[],AY38,FALSE),IF(AND(OR(UnitsTbl[[#This Row],[MHP
Assisted]]&gt;0,UnitsTbl[[#This Row],[Other Restricted]]&gt;0),UnitsTbl[[#This Row],[Restricted Income Level]]="Manager"),175000,VLOOKUP(CONCATENATE(County,C38),LoanLimitsTbl[],AY38,FALSE)))))))),"")</f>
        <v>0</v>
      </c>
      <c r="AH38" s="1248"/>
      <c r="AI38"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38" s="751"/>
      <c r="AK38" s="755"/>
      <c r="AL38" s="752" t="str">
        <f>IFERROR(IF(UnitsTbl[[#This Row],[Max Gross Rent]]=0,"",UnitsTbl[[#This Row],[Max Gross Rent]]-UnitsTbl[[#This Row],[Less Utility Allowance Schedule 1]]-UnitsTbl[[#This Row],[Less Utility Allowance Schedule 2]]),"")</f>
        <v/>
      </c>
      <c r="AM38" s="751"/>
      <c r="AN38" s="752" t="str">
        <f>IF(UnitsTbl[[#This Row],[Proposed Net Rent ]]="","",UnitsTbl[[#This Row],[Total Units]]*UnitsTbl[[#This Row],[Proposed Net Rent ]])</f>
        <v/>
      </c>
      <c r="AO38" s="1250" t="str">
        <f>IFERROR(UnitsTbl[[#This Row],[Total Units]]*UnitsTbl[[#This Row],[Maximum Net Rent]],"")</f>
        <v/>
      </c>
      <c r="AP38" s="1253"/>
      <c r="AQ38" s="752" t="str">
        <f>IFERROR(IF(UnitsTbl[[#This Row],[Gross Monthly Contract Rent]]="","",IF($AV$4="Restricted",UnitsTbl[[#This Row],[Gross Monthly Contract Rent]]-UnitsTbl[[#This Row],[Maximum Net Rent]],IF($AV$4="Proposed",UnitsTbl[[#This Row],[Gross Monthly Contract Rent]]-UnitsTbl[[#This Row],[Proposed Net Rent ]],0))),"")</f>
        <v/>
      </c>
      <c r="AR38" s="864"/>
      <c r="AS38" s="753" t="str">
        <f>IFERROR(IF(UnitsTbl[[#This Row],[Units Subsidized]]="","",UnitsTbl[[#This Row],[Subsidy Payment Over  Net Rent]]*UnitsTbl[[#This Row],[Units Subsidized]]),"")</f>
        <v/>
      </c>
      <c r="AT38" s="754"/>
      <c r="AU38" s="752" t="str">
        <f>IFERROR(IF(UnitsTbl[[#This Row],[Gross Monthly Contract Rent2]]="","",IF($AV$4="Restricted",UnitsTbl[[#This Row],[Gross Monthly Contract Rent2]]-UnitsTbl[[#This Row],[Maximum Net Rent]],IF($AV$4="Proposed",UnitsTbl[[#This Row],[Gross Monthly Contract Rent2]]-UnitsTbl[[#This Row],[Proposed Net Rent ]],""))),"")</f>
        <v/>
      </c>
      <c r="AV38" s="864"/>
      <c r="AW38" s="1261" t="str">
        <f>IFERROR(IF(UnitsTbl[[#This Row],[Units Subsidized2]]="","",UnitsTbl[[#This Row],[Subsidy Payment Over  Net Rent2]]*UnitsTbl[[#This Row],[Units Subsidized2]]),"")</f>
        <v/>
      </c>
      <c r="AX38" s="1354" t="str">
        <f>IF(UnitsTbl[[#This Row],['# of Bedrooms]]="","",IF(UnitsTbl[[#This Row],['# of Bedrooms]]=0,2,IF(UnitsTbl[[#This Row],['# of Bedrooms]]=1,3,IF(UnitsTbl[[#This Row],['# of Bedrooms]]=2,4,IF(UnitsTbl[[#This Row],['# of Bedrooms]]=3,5,IF(UnitsTbl[[#This Row],['# of Bedrooms]]=4,6,IF(UnitsTbl[[#This Row],['# of Bedrooms]]&gt;4,6,"")))))))</f>
        <v/>
      </c>
      <c r="AY38" s="470" t="str">
        <f>IF(UnitsTbl[[#This Row],['# of Bedrooms]]="","",IF(UnitsTbl[[#This Row],['# of Bedrooms]]=0,7,IF(UnitsTbl[[#This Row],['# of Bedrooms]]=1,8,IF(UnitsTbl[[#This Row],['# of Bedrooms]]=2,9,IF(UnitsTbl[[#This Row],['# of Bedrooms]]=3,10,IF(UnitsTbl[[#This Row],['# of Bedrooms]]=4,11,IF(UnitsTbl[[#This Row],['# of Bedrooms]]&gt;4,11,"")))))))</f>
        <v/>
      </c>
      <c r="AZ38" s="470" t="str">
        <f>IF(UnitsTbl[[#This Row],['# of Bedrooms]]="","",IF(UnitsTbl[[#This Row],['# of Bedrooms]]=0,2,IF(UnitsTbl[[#This Row],['# of Bedrooms]]=1,3,IF(UnitsTbl[[#This Row],['# of Bedrooms]]=2,4,IF(UnitsTbl[[#This Row],['# of Bedrooms]]=3,5,IF(UnitsTbl[[#This Row],['# of Bedrooms]]=4,6,IF(UnitsTbl[[#This Row],['# of Bedrooms]]=5,7,"")))))))</f>
        <v/>
      </c>
      <c r="BA38" s="1546">
        <f>MIN(SUM(UnitsTbl[[#This Row],[Disability Homelessness ]],UnitsTbl[[#This Row],[Chronic Homelessness]],UnitsTbl[[#This Row],[Homelessness]]),UnitsTbl[[#This Row],[Total Restricted Units]])</f>
        <v>0</v>
      </c>
      <c r="BB38" s="1546">
        <f>(UnitsTbl[[#This Row],[Restricted Income Level]]&lt;=30%)*UnitsTbl[[#This Row],[Total Restricted Units]]</f>
        <v>0</v>
      </c>
      <c r="BC38" s="1546">
        <f t="shared" si="11"/>
        <v>0</v>
      </c>
      <c r="BH38" s="1348" t="s">
        <v>2446</v>
      </c>
      <c r="BI38" s="483">
        <v>185148</v>
      </c>
      <c r="BJ38" s="483">
        <v>187596</v>
      </c>
      <c r="BK38" s="483">
        <v>195231</v>
      </c>
      <c r="BL38" s="483">
        <v>202145</v>
      </c>
      <c r="BM38" s="483">
        <v>208195</v>
      </c>
      <c r="BN38" s="483">
        <v>210148</v>
      </c>
      <c r="BO38" s="483">
        <v>212596</v>
      </c>
      <c r="BP38" s="483">
        <v>220231</v>
      </c>
      <c r="BQ38" s="483">
        <v>227145</v>
      </c>
      <c r="BR38" s="1344">
        <v>233195</v>
      </c>
      <c r="BS38" s="1545"/>
      <c r="BT38" s="1345" t="s">
        <v>2447</v>
      </c>
      <c r="BU38" s="508">
        <v>34200</v>
      </c>
      <c r="BV38" s="508">
        <v>39050</v>
      </c>
      <c r="BW38" s="508">
        <v>43950</v>
      </c>
      <c r="BX38" s="508">
        <v>48800</v>
      </c>
      <c r="BY38" s="508">
        <v>52750</v>
      </c>
      <c r="BZ38" s="508">
        <v>56650</v>
      </c>
      <c r="CA38" s="508">
        <v>60550</v>
      </c>
      <c r="CB38" s="1346">
        <v>64450</v>
      </c>
      <c r="CC38" s="1545"/>
      <c r="CD38" s="1348" t="s">
        <v>2446</v>
      </c>
      <c r="CE38" s="504">
        <v>130148</v>
      </c>
      <c r="CF38" s="504">
        <v>132596</v>
      </c>
      <c r="CG38" s="504">
        <v>140231</v>
      </c>
      <c r="CH38" s="504">
        <v>147145</v>
      </c>
      <c r="CI38" s="504">
        <v>153195</v>
      </c>
      <c r="CJ38" s="504">
        <v>145148</v>
      </c>
      <c r="CK38" s="504">
        <v>147596</v>
      </c>
      <c r="CL38" s="504">
        <v>155231</v>
      </c>
      <c r="CM38" s="504">
        <v>162145</v>
      </c>
      <c r="CN38" s="1347">
        <v>168195</v>
      </c>
      <c r="CP38" s="1545"/>
      <c r="CQ38" s="1545"/>
      <c r="CR38" s="1545"/>
      <c r="CS38" s="1545"/>
      <c r="CT38" s="1545"/>
      <c r="CU38" s="1545"/>
      <c r="CV38" s="1545"/>
      <c r="CW38" s="1545"/>
      <c r="CX38" s="1545"/>
    </row>
    <row r="39" spans="1:103" ht="18" customHeight="1">
      <c r="A39" s="1228"/>
      <c r="B39" s="611"/>
      <c r="C39" s="469"/>
      <c r="D39" s="615"/>
      <c r="E39" s="1048"/>
      <c r="F39" s="550"/>
      <c r="G39" s="550"/>
      <c r="H39" s="550"/>
      <c r="I39" s="550"/>
      <c r="J39" s="614"/>
      <c r="K39" s="1048"/>
      <c r="L39" s="550"/>
      <c r="M39" s="550"/>
      <c r="N39" s="550"/>
      <c r="O39" s="550"/>
      <c r="P39" s="550"/>
      <c r="Q39" s="550"/>
      <c r="R39" s="550"/>
      <c r="S39" s="550"/>
      <c r="T39" s="614"/>
      <c r="U39" s="1048"/>
      <c r="V39" s="615"/>
      <c r="W39" s="611"/>
      <c r="X39" s="864"/>
      <c r="Y39" s="615"/>
      <c r="Z39" s="1193">
        <f>IF(OR(UnitsTbl[[#This Row],[Restricted Income Level]]="Manager",UnitsTbl[[#This Row],[Restricted Income Level]]="Market",UnitsTbl[[#This Row],[Restricted Income Level]]&gt;60%),0,MIN(SUM(UnitsTbl[[#This Row],[IIG
Assisted]:[VHHP
Assisted]])+UnitsTbl[[#This Row],[Other Restricted]],UnitsTbl[[#This Row],[Total Units]]))</f>
        <v>0</v>
      </c>
      <c r="AA39" s="1626">
        <f>UnitsTbl[[#This Row],[Total Restricted Units]]*25000+IF(UnitsTbl[[#This Row],[Restricted Income Level]]="Manager",UnitsTbl[[#This Row],[Total Units]]*25000,0)</f>
        <v>0</v>
      </c>
      <c r="AB39"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39"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39"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39"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39" s="1629">
        <f>IFERROR(IF(AND(IsMhp,UnitsTbl[[#This Row],[Restricted Income Level]]="Manager"),UnitsTbl[[#This Row],[Total Units]]*IF(AND(UnitsTbl[[#This Row],[Total Units]]&gt;0,Taxcredit=9%,UnitsTbl[[#This Row],[Restricted Income Level]]="Manager"),95000,IF(AND(IsMhp,UnitsTbl[[#This Row],[Total Units]]&gt;0,Taxcredit=9%),VLOOKUP(CONCATENATE(County,C39),LoanLimit9Tbl[],AX39,FALSE),IF(AND(IsMhp,UnitsTbl[[#This Row],[Total Units]]&gt;0,OR(Taxcredit=4%,Taxcredit="None"),UnitsTbl[[#This Row],[Restricted Income Level]]="Manager"),150000,VLOOKUP(CONCATENATE(County,C39),LoanLimitsTbl[],AX39,FALSE)))),(IF($R$4=FALSE,((UnitsTbl[[#This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Restricted]]&gt;0),IsMhp,Taxcredit=9%),VLOOKUP(CONCATENATE(County,C39),LoanLimit9Tbl[],AX39,FALSE),IF(AND(IsMhp,UnitsTbl[[#This Row],[MHP
Assisted]]&gt;0,UnitsTbl[[#This Row],[Restricted Income Level]]="Manager"),150000,VLOOKUP(CONCATENATE(County,C39),LoanLimitsTbl[],AX39,FALSE))))))),0)</f>
        <v>0</v>
      </c>
      <c r="AG39"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Restricted]]&gt;0),IsMhp,Taxcredit=9%),VLOOKUP(CONCATENATE(County,C39),LoanLimit9Tbl[],AY39,FALSE),IF(AND(OR(UnitsTbl[[#This Row],[MHP
Assisted]]&gt;0,UnitsTbl[[#This Row],[Other Restricted]]&gt;0),UnitsTbl[[#This Row],[Restricted Income Level]]="Manager"),175000,VLOOKUP(CONCATENATE(County,C39),LoanLimitsTbl[],AY39,FALSE)))),IF(UnitsTbl[[#This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Restricted]]&gt;0),IsMhp,Taxcredit=9%),VLOOKUP(CONCATENATE(County,C39),LoanLimit9Tbl[],AY39,FALSE),IF(AND(OR(UnitsTbl[[#This Row],[MHP
Assisted]]&gt;0,UnitsTbl[[#This Row],[Other Restricted]]&gt;0),UnitsTbl[[#This Row],[Restricted Income Level]]="Manager"),175000,VLOOKUP(CONCATENATE(County,C39),LoanLimitsTbl[],AY39,FALSE)))))))),"")</f>
        <v>0</v>
      </c>
      <c r="AH39" s="1248"/>
      <c r="AI39"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39" s="751"/>
      <c r="AK39" s="755"/>
      <c r="AL39" s="752" t="str">
        <f>IFERROR(IF(UnitsTbl[[#This Row],[Max Gross Rent]]=0,"",UnitsTbl[[#This Row],[Max Gross Rent]]-UnitsTbl[[#This Row],[Less Utility Allowance Schedule 1]]-UnitsTbl[[#This Row],[Less Utility Allowance Schedule 2]]),"")</f>
        <v/>
      </c>
      <c r="AM39" s="751"/>
      <c r="AN39" s="752" t="str">
        <f>IF(UnitsTbl[[#This Row],[Proposed Net Rent ]]="","",UnitsTbl[[#This Row],[Total Units]]*UnitsTbl[[#This Row],[Proposed Net Rent ]])</f>
        <v/>
      </c>
      <c r="AO39" s="1250" t="str">
        <f>IFERROR(UnitsTbl[[#This Row],[Total Units]]*UnitsTbl[[#This Row],[Maximum Net Rent]],"")</f>
        <v/>
      </c>
      <c r="AP39" s="1253"/>
      <c r="AQ39" s="752" t="str">
        <f>IFERROR(IF(UnitsTbl[[#This Row],[Gross Monthly Contract Rent]]="","",IF($AV$4="Restricted",UnitsTbl[[#This Row],[Gross Monthly Contract Rent]]-UnitsTbl[[#This Row],[Maximum Net Rent]],IF($AV$4="Proposed",UnitsTbl[[#This Row],[Gross Monthly Contract Rent]]-UnitsTbl[[#This Row],[Proposed Net Rent ]],0))),"")</f>
        <v/>
      </c>
      <c r="AR39" s="864"/>
      <c r="AS39" s="753" t="str">
        <f>IFERROR(IF(UnitsTbl[[#This Row],[Units Subsidized]]="","",UnitsTbl[[#This Row],[Subsidy Payment Over  Net Rent]]*UnitsTbl[[#This Row],[Units Subsidized]]),"")</f>
        <v/>
      </c>
      <c r="AT39" s="754"/>
      <c r="AU39" s="752" t="str">
        <f>IFERROR(IF(UnitsTbl[[#This Row],[Gross Monthly Contract Rent2]]="","",IF($AV$4="Restricted",UnitsTbl[[#This Row],[Gross Monthly Contract Rent2]]-UnitsTbl[[#This Row],[Maximum Net Rent]],IF($AV$4="Proposed",UnitsTbl[[#This Row],[Gross Monthly Contract Rent2]]-UnitsTbl[[#This Row],[Proposed Net Rent ]],""))),"")</f>
        <v/>
      </c>
      <c r="AV39" s="864"/>
      <c r="AW39" s="1261" t="str">
        <f>IFERROR(IF(UnitsTbl[[#This Row],[Units Subsidized2]]="","",UnitsTbl[[#This Row],[Subsidy Payment Over  Net Rent2]]*UnitsTbl[[#This Row],[Units Subsidized2]]),"")</f>
        <v/>
      </c>
      <c r="AX39" s="1354" t="str">
        <f>IF(UnitsTbl[[#This Row],['# of Bedrooms]]="","",IF(UnitsTbl[[#This Row],['# of Bedrooms]]=0,2,IF(UnitsTbl[[#This Row],['# of Bedrooms]]=1,3,IF(UnitsTbl[[#This Row],['# of Bedrooms]]=2,4,IF(UnitsTbl[[#This Row],['# of Bedrooms]]=3,5,IF(UnitsTbl[[#This Row],['# of Bedrooms]]=4,6,IF(UnitsTbl[[#This Row],['# of Bedrooms]]&gt;4,6,"")))))))</f>
        <v/>
      </c>
      <c r="AY39" s="470" t="str">
        <f>IF(UnitsTbl[[#This Row],['# of Bedrooms]]="","",IF(UnitsTbl[[#This Row],['# of Bedrooms]]=0,7,IF(UnitsTbl[[#This Row],['# of Bedrooms]]=1,8,IF(UnitsTbl[[#This Row],['# of Bedrooms]]=2,9,IF(UnitsTbl[[#This Row],['# of Bedrooms]]=3,10,IF(UnitsTbl[[#This Row],['# of Bedrooms]]=4,11,IF(UnitsTbl[[#This Row],['# of Bedrooms]]&gt;4,11,"")))))))</f>
        <v/>
      </c>
      <c r="AZ39" s="470" t="str">
        <f>IF(UnitsTbl[[#This Row],['# of Bedrooms]]="","",IF(UnitsTbl[[#This Row],['# of Bedrooms]]=0,2,IF(UnitsTbl[[#This Row],['# of Bedrooms]]=1,3,IF(UnitsTbl[[#This Row],['# of Bedrooms]]=2,4,IF(UnitsTbl[[#This Row],['# of Bedrooms]]=3,5,IF(UnitsTbl[[#This Row],['# of Bedrooms]]=4,6,IF(UnitsTbl[[#This Row],['# of Bedrooms]]=5,7,"")))))))</f>
        <v/>
      </c>
      <c r="BA39" s="1546">
        <f>MIN(SUM(UnitsTbl[[#This Row],[Disability Homelessness ]],UnitsTbl[[#This Row],[Chronic Homelessness]],UnitsTbl[[#This Row],[Homelessness]]),UnitsTbl[[#This Row],[Total Restricted Units]])</f>
        <v>0</v>
      </c>
      <c r="BB39" s="1546">
        <f>(UnitsTbl[[#This Row],[Restricted Income Level]]&lt;=30%)*UnitsTbl[[#This Row],[Total Restricted Units]]</f>
        <v>0</v>
      </c>
      <c r="BC39" s="1546">
        <f t="shared" si="11"/>
        <v>0</v>
      </c>
      <c r="BH39" s="1348" t="s">
        <v>2448</v>
      </c>
      <c r="BI39" s="483">
        <v>193934</v>
      </c>
      <c r="BJ39" s="483">
        <v>197103</v>
      </c>
      <c r="BK39" s="483">
        <v>206611</v>
      </c>
      <c r="BL39" s="483">
        <v>215253</v>
      </c>
      <c r="BM39" s="483">
        <v>222888</v>
      </c>
      <c r="BN39" s="483">
        <v>218934</v>
      </c>
      <c r="BO39" s="483">
        <v>222103</v>
      </c>
      <c r="BP39" s="483">
        <v>231611</v>
      </c>
      <c r="BQ39" s="483">
        <v>240253</v>
      </c>
      <c r="BR39" s="1344">
        <v>247888</v>
      </c>
      <c r="BS39" s="1545"/>
      <c r="BT39" s="1345" t="s">
        <v>2449</v>
      </c>
      <c r="BU39" s="508">
        <v>27650</v>
      </c>
      <c r="BV39" s="508">
        <v>31600</v>
      </c>
      <c r="BW39" s="508">
        <v>35550</v>
      </c>
      <c r="BX39" s="508">
        <v>39500</v>
      </c>
      <c r="BY39" s="508">
        <v>42700</v>
      </c>
      <c r="BZ39" s="508">
        <v>45850</v>
      </c>
      <c r="CA39" s="508">
        <v>49000</v>
      </c>
      <c r="CB39" s="1346">
        <v>52150</v>
      </c>
      <c r="CC39" s="1545"/>
      <c r="CD39" s="1348" t="s">
        <v>2448</v>
      </c>
      <c r="CE39" s="504">
        <v>138934</v>
      </c>
      <c r="CF39" s="504">
        <v>142103</v>
      </c>
      <c r="CG39" s="504">
        <v>151611</v>
      </c>
      <c r="CH39" s="504">
        <v>160253</v>
      </c>
      <c r="CI39" s="504">
        <v>167888</v>
      </c>
      <c r="CJ39" s="504">
        <v>153934</v>
      </c>
      <c r="CK39" s="504">
        <v>157103</v>
      </c>
      <c r="CL39" s="504">
        <v>166611</v>
      </c>
      <c r="CM39" s="504">
        <v>175253</v>
      </c>
      <c r="CN39" s="1347">
        <v>182888</v>
      </c>
      <c r="CP39" s="1545"/>
      <c r="CQ39" s="255" t="s">
        <v>2450</v>
      </c>
      <c r="CR39" s="1545"/>
      <c r="CS39" s="1545"/>
      <c r="CT39" s="1545"/>
      <c r="CU39" s="1545"/>
      <c r="CV39" s="1545"/>
      <c r="CW39" s="1545"/>
      <c r="CX39" s="1545"/>
    </row>
    <row r="40" spans="1:103" ht="18" customHeight="1">
      <c r="A40" s="1228"/>
      <c r="B40" s="611"/>
      <c r="C40" s="469"/>
      <c r="D40" s="615"/>
      <c r="E40" s="1048"/>
      <c r="F40" s="550"/>
      <c r="G40" s="550"/>
      <c r="H40" s="550"/>
      <c r="I40" s="550"/>
      <c r="J40" s="614"/>
      <c r="K40" s="1048"/>
      <c r="L40" s="550"/>
      <c r="M40" s="550"/>
      <c r="N40" s="550"/>
      <c r="O40" s="550"/>
      <c r="P40" s="550"/>
      <c r="Q40" s="550"/>
      <c r="R40" s="550"/>
      <c r="S40" s="550"/>
      <c r="T40" s="614"/>
      <c r="U40" s="1048"/>
      <c r="V40" s="615"/>
      <c r="W40" s="611"/>
      <c r="X40" s="864"/>
      <c r="Y40" s="615"/>
      <c r="Z40" s="1193">
        <f>IF(OR(UnitsTbl[[#This Row],[Restricted Income Level]]="Manager",UnitsTbl[[#This Row],[Restricted Income Level]]="Market",UnitsTbl[[#This Row],[Restricted Income Level]]&gt;60%),0,MIN(SUM(UnitsTbl[[#This Row],[IIG
Assisted]:[VHHP
Assisted]])+UnitsTbl[[#This Row],[Other Restricted]],UnitsTbl[[#This Row],[Total Units]]))</f>
        <v>0</v>
      </c>
      <c r="AA40" s="1626">
        <f>UnitsTbl[[#This Row],[Total Restricted Units]]*25000+IF(UnitsTbl[[#This Row],[Restricted Income Level]]="Manager",UnitsTbl[[#This Row],[Total Units]]*25000,0)</f>
        <v>0</v>
      </c>
      <c r="AB40"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40"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40"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40"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40" s="1629">
        <f>IFERROR(IF(AND(IsMhp,UnitsTbl[[#This Row],[Restricted Income Level]]="Manager"),UnitsTbl[[#This Row],[Total Units]]*IF(AND(UnitsTbl[[#This Row],[Total Units]]&gt;0,Taxcredit=9%,UnitsTbl[[#This Row],[Restricted Income Level]]="Manager"),95000,IF(AND(IsMhp,UnitsTbl[[#This Row],[Total Units]]&gt;0,Taxcredit=9%),VLOOKUP(CONCATENATE(County,C40),LoanLimit9Tbl[],AX40,FALSE),IF(AND(IsMhp,UnitsTbl[[#This Row],[Total Units]]&gt;0,OR(Taxcredit=4%,Taxcredit="None"),UnitsTbl[[#This Row],[Restricted Income Level]]="Manager"),150000,VLOOKUP(CONCATENATE(County,C40),LoanLimitsTbl[],AX40,FALSE)))),(IF($R$4=FALSE,((UnitsTbl[[#This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Restricted]]&gt;0),IsMhp,Taxcredit=9%),VLOOKUP(CONCATENATE(County,C40),LoanLimit9Tbl[],AX40,FALSE),IF(AND(IsMhp,UnitsTbl[[#This Row],[MHP
Assisted]]&gt;0,UnitsTbl[[#This Row],[Restricted Income Level]]="Manager"),150000,VLOOKUP(CONCATENATE(County,C40),LoanLimitsTbl[],AX40,FALSE))))))),0)</f>
        <v>0</v>
      </c>
      <c r="AG40"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Restricted]]&gt;0),IsMhp,Taxcredit=9%),VLOOKUP(CONCATENATE(County,C40),LoanLimit9Tbl[],AY40,FALSE),IF(AND(OR(UnitsTbl[[#This Row],[MHP
Assisted]]&gt;0,UnitsTbl[[#This Row],[Other Restricted]]&gt;0),UnitsTbl[[#This Row],[Restricted Income Level]]="Manager"),175000,VLOOKUP(CONCATENATE(County,C40),LoanLimitsTbl[],AY40,FALSE)))),IF(UnitsTbl[[#This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Restricted]]&gt;0),IsMhp,Taxcredit=9%),VLOOKUP(CONCATENATE(County,C40),LoanLimit9Tbl[],AY40,FALSE),IF(AND(OR(UnitsTbl[[#This Row],[MHP
Assisted]]&gt;0,UnitsTbl[[#This Row],[Other Restricted]]&gt;0),UnitsTbl[[#This Row],[Restricted Income Level]]="Manager"),175000,VLOOKUP(CONCATENATE(County,C40),LoanLimitsTbl[],AY40,FALSE)))))))),"")</f>
        <v>0</v>
      </c>
      <c r="AH40" s="1248"/>
      <c r="AI40"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40" s="751"/>
      <c r="AK40" s="755"/>
      <c r="AL40" s="752" t="str">
        <f>IFERROR(IF(UnitsTbl[[#This Row],[Max Gross Rent]]=0,"",UnitsTbl[[#This Row],[Max Gross Rent]]-UnitsTbl[[#This Row],[Less Utility Allowance Schedule 1]]-UnitsTbl[[#This Row],[Less Utility Allowance Schedule 2]]),"")</f>
        <v/>
      </c>
      <c r="AM40" s="751"/>
      <c r="AN40" s="752" t="str">
        <f>IF(UnitsTbl[[#This Row],[Proposed Net Rent ]]="","",UnitsTbl[[#This Row],[Total Units]]*UnitsTbl[[#This Row],[Proposed Net Rent ]])</f>
        <v/>
      </c>
      <c r="AO40" s="1250" t="str">
        <f>IFERROR(UnitsTbl[[#This Row],[Total Units]]*UnitsTbl[[#This Row],[Maximum Net Rent]],"")</f>
        <v/>
      </c>
      <c r="AP40" s="1253"/>
      <c r="AQ40" s="752" t="str">
        <f>IFERROR(IF(UnitsTbl[[#This Row],[Gross Monthly Contract Rent]]="","",IF($AV$4="Restricted",UnitsTbl[[#This Row],[Gross Monthly Contract Rent]]-UnitsTbl[[#This Row],[Maximum Net Rent]],IF($AV$4="Proposed",UnitsTbl[[#This Row],[Gross Monthly Contract Rent]]-UnitsTbl[[#This Row],[Proposed Net Rent ]],0))),"")</f>
        <v/>
      </c>
      <c r="AR40" s="864"/>
      <c r="AS40" s="753" t="str">
        <f>IFERROR(IF(UnitsTbl[[#This Row],[Units Subsidized]]="","",UnitsTbl[[#This Row],[Subsidy Payment Over  Net Rent]]*UnitsTbl[[#This Row],[Units Subsidized]]),"")</f>
        <v/>
      </c>
      <c r="AT40" s="754"/>
      <c r="AU40" s="752" t="str">
        <f>IFERROR(IF(UnitsTbl[[#This Row],[Gross Monthly Contract Rent2]]="","",IF($AV$4="Restricted",UnitsTbl[[#This Row],[Gross Monthly Contract Rent2]]-UnitsTbl[[#This Row],[Maximum Net Rent]],IF($AV$4="Proposed",UnitsTbl[[#This Row],[Gross Monthly Contract Rent2]]-UnitsTbl[[#This Row],[Proposed Net Rent ]],""))),"")</f>
        <v/>
      </c>
      <c r="AV40" s="864"/>
      <c r="AW40" s="1261" t="str">
        <f>IFERROR(IF(UnitsTbl[[#This Row],[Units Subsidized2]]="","",UnitsTbl[[#This Row],[Subsidy Payment Over  Net Rent2]]*UnitsTbl[[#This Row],[Units Subsidized2]]),"")</f>
        <v/>
      </c>
      <c r="AX40" s="1354" t="str">
        <f>IF(UnitsTbl[[#This Row],['# of Bedrooms]]="","",IF(UnitsTbl[[#This Row],['# of Bedrooms]]=0,2,IF(UnitsTbl[[#This Row],['# of Bedrooms]]=1,3,IF(UnitsTbl[[#This Row],['# of Bedrooms]]=2,4,IF(UnitsTbl[[#This Row],['# of Bedrooms]]=3,5,IF(UnitsTbl[[#This Row],['# of Bedrooms]]=4,6,IF(UnitsTbl[[#This Row],['# of Bedrooms]]&gt;4,6,"")))))))</f>
        <v/>
      </c>
      <c r="AY40" s="470" t="str">
        <f>IF(UnitsTbl[[#This Row],['# of Bedrooms]]="","",IF(UnitsTbl[[#This Row],['# of Bedrooms]]=0,7,IF(UnitsTbl[[#This Row],['# of Bedrooms]]=1,8,IF(UnitsTbl[[#This Row],['# of Bedrooms]]=2,9,IF(UnitsTbl[[#This Row],['# of Bedrooms]]=3,10,IF(UnitsTbl[[#This Row],['# of Bedrooms]]=4,11,IF(UnitsTbl[[#This Row],['# of Bedrooms]]&gt;4,11,"")))))))</f>
        <v/>
      </c>
      <c r="AZ40" s="470" t="str">
        <f>IF(UnitsTbl[[#This Row],['# of Bedrooms]]="","",IF(UnitsTbl[[#This Row],['# of Bedrooms]]=0,2,IF(UnitsTbl[[#This Row],['# of Bedrooms]]=1,3,IF(UnitsTbl[[#This Row],['# of Bedrooms]]=2,4,IF(UnitsTbl[[#This Row],['# of Bedrooms]]=3,5,IF(UnitsTbl[[#This Row],['# of Bedrooms]]=4,6,IF(UnitsTbl[[#This Row],['# of Bedrooms]]=5,7,"")))))))</f>
        <v/>
      </c>
      <c r="BA40" s="1546">
        <f>MIN(SUM(UnitsTbl[[#This Row],[Disability Homelessness ]],UnitsTbl[[#This Row],[Chronic Homelessness]],UnitsTbl[[#This Row],[Homelessness]]),UnitsTbl[[#This Row],[Total Restricted Units]])</f>
        <v>0</v>
      </c>
      <c r="BB40" s="1546">
        <f>(UnitsTbl[[#This Row],[Restricted Income Level]]&lt;=30%)*UnitsTbl[[#This Row],[Total Restricted Units]]</f>
        <v>0</v>
      </c>
      <c r="BC40" s="1546">
        <f t="shared" si="11"/>
        <v>0</v>
      </c>
      <c r="BH40" s="1348" t="s">
        <v>2451</v>
      </c>
      <c r="BI40" s="483">
        <v>202721</v>
      </c>
      <c r="BJ40" s="483">
        <v>206467</v>
      </c>
      <c r="BK40" s="483">
        <v>217846</v>
      </c>
      <c r="BL40" s="483">
        <v>228362</v>
      </c>
      <c r="BM40" s="483">
        <v>237437</v>
      </c>
      <c r="BN40" s="483">
        <v>227721</v>
      </c>
      <c r="BO40" s="483">
        <v>231467</v>
      </c>
      <c r="BP40" s="483">
        <v>242846</v>
      </c>
      <c r="BQ40" s="483">
        <v>253362</v>
      </c>
      <c r="BR40" s="1344">
        <v>262437</v>
      </c>
      <c r="BS40" s="1545"/>
      <c r="BT40" s="1345" t="s">
        <v>2452</v>
      </c>
      <c r="BU40" s="508">
        <v>42450</v>
      </c>
      <c r="BV40" s="508">
        <v>48500</v>
      </c>
      <c r="BW40" s="508">
        <v>54550</v>
      </c>
      <c r="BX40" s="508">
        <v>60600</v>
      </c>
      <c r="BY40" s="508">
        <v>65450</v>
      </c>
      <c r="BZ40" s="508">
        <v>70300</v>
      </c>
      <c r="CA40" s="508">
        <v>75150</v>
      </c>
      <c r="CB40" s="1346">
        <v>80000</v>
      </c>
      <c r="CC40" s="1545"/>
      <c r="CD40" s="1348" t="s">
        <v>2451</v>
      </c>
      <c r="CE40" s="504">
        <v>147721</v>
      </c>
      <c r="CF40" s="504">
        <v>151467</v>
      </c>
      <c r="CG40" s="504">
        <v>162846</v>
      </c>
      <c r="CH40" s="504">
        <v>173362</v>
      </c>
      <c r="CI40" s="504">
        <v>182437</v>
      </c>
      <c r="CJ40" s="504">
        <v>162721</v>
      </c>
      <c r="CK40" s="504">
        <v>166467</v>
      </c>
      <c r="CL40" s="504">
        <v>177846</v>
      </c>
      <c r="CM40" s="504">
        <v>188362</v>
      </c>
      <c r="CN40" s="1347">
        <v>197437</v>
      </c>
      <c r="CP40" s="1545"/>
      <c r="CQ40" s="1593" t="s">
        <v>2453</v>
      </c>
      <c r="CR40" s="488" t="s">
        <v>906</v>
      </c>
      <c r="CS40" s="488" t="s">
        <v>908</v>
      </c>
      <c r="CT40" s="488" t="s">
        <v>910</v>
      </c>
      <c r="CU40" s="488" t="s">
        <v>912</v>
      </c>
      <c r="CV40" s="488" t="s">
        <v>914</v>
      </c>
      <c r="CW40" s="1355" t="s">
        <v>916</v>
      </c>
      <c r="CX40" s="1545"/>
    </row>
    <row r="41" spans="1:103" ht="18" customHeight="1">
      <c r="A41" s="1228"/>
      <c r="B41" s="611"/>
      <c r="C41" s="469"/>
      <c r="D41" s="615"/>
      <c r="E41" s="1048"/>
      <c r="F41" s="550"/>
      <c r="G41" s="550"/>
      <c r="H41" s="550"/>
      <c r="I41" s="550"/>
      <c r="J41" s="614"/>
      <c r="K41" s="1048"/>
      <c r="L41" s="550"/>
      <c r="M41" s="550"/>
      <c r="N41" s="550"/>
      <c r="O41" s="550"/>
      <c r="P41" s="550"/>
      <c r="Q41" s="550"/>
      <c r="R41" s="550"/>
      <c r="S41" s="550"/>
      <c r="T41" s="614"/>
      <c r="U41" s="1048"/>
      <c r="V41" s="615"/>
      <c r="W41" s="611"/>
      <c r="X41" s="864"/>
      <c r="Y41" s="615"/>
      <c r="Z41" s="1193">
        <f>IF(OR(UnitsTbl[[#This Row],[Restricted Income Level]]="Manager",UnitsTbl[[#This Row],[Restricted Income Level]]="Market",UnitsTbl[[#This Row],[Restricted Income Level]]&gt;60%),0,MIN(SUM(UnitsTbl[[#This Row],[IIG
Assisted]:[VHHP
Assisted]])+UnitsTbl[[#This Row],[Other Restricted]],UnitsTbl[[#This Row],[Total Units]]))</f>
        <v>0</v>
      </c>
      <c r="AA41" s="1626">
        <f>UnitsTbl[[#This Row],[Total Restricted Units]]*25000+IF(UnitsTbl[[#This Row],[Restricted Income Level]]="Manager",UnitsTbl[[#This Row],[Total Units]]*25000,0)</f>
        <v>0</v>
      </c>
      <c r="AB41"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41"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41"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41"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41" s="1629">
        <f>IFERROR(IF(AND(IsMhp,UnitsTbl[[#This Row],[Restricted Income Level]]="Manager"),UnitsTbl[[#This Row],[Total Units]]*IF(AND(UnitsTbl[[#This Row],[Total Units]]&gt;0,Taxcredit=9%,UnitsTbl[[#This Row],[Restricted Income Level]]="Manager"),95000,IF(AND(IsMhp,UnitsTbl[[#This Row],[Total Units]]&gt;0,Taxcredit=9%),VLOOKUP(CONCATENATE(County,C41),LoanLimit9Tbl[],AX41,FALSE),IF(AND(IsMhp,UnitsTbl[[#This Row],[Total Units]]&gt;0,OR(Taxcredit=4%,Taxcredit="None"),UnitsTbl[[#This Row],[Restricted Income Level]]="Manager"),150000,VLOOKUP(CONCATENATE(County,C41),LoanLimitsTbl[],AX41,FALSE)))),(IF($R$4=FALSE,((UnitsTbl[[#This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Restricted]]&gt;0),IsMhp,Taxcredit=9%),VLOOKUP(CONCATENATE(County,C41),LoanLimit9Tbl[],AX41,FALSE),IF(AND(IsMhp,UnitsTbl[[#This Row],[MHP
Assisted]]&gt;0,UnitsTbl[[#This Row],[Restricted Income Level]]="Manager"),150000,VLOOKUP(CONCATENATE(County,C41),LoanLimitsTbl[],AX41,FALSE))))))),0)</f>
        <v>0</v>
      </c>
      <c r="AG41"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Restricted]]&gt;0),IsMhp,Taxcredit=9%),VLOOKUP(CONCATENATE(County,C41),LoanLimit9Tbl[],AY41,FALSE),IF(AND(OR(UnitsTbl[[#This Row],[MHP
Assisted]]&gt;0,UnitsTbl[[#This Row],[Other Restricted]]&gt;0),UnitsTbl[[#This Row],[Restricted Income Level]]="Manager"),175000,VLOOKUP(CONCATENATE(County,C41),LoanLimitsTbl[],AY41,FALSE)))),IF(UnitsTbl[[#This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Restricted]]&gt;0),IsMhp,Taxcredit=9%),VLOOKUP(CONCATENATE(County,C41),LoanLimit9Tbl[],AY41,FALSE),IF(AND(OR(UnitsTbl[[#This Row],[MHP
Assisted]]&gt;0,UnitsTbl[[#This Row],[Other Restricted]]&gt;0),UnitsTbl[[#This Row],[Restricted Income Level]]="Manager"),175000,VLOOKUP(CONCATENATE(County,C41),LoanLimitsTbl[],AY41,FALSE)))))))),"")</f>
        <v>0</v>
      </c>
      <c r="AH41" s="1248"/>
      <c r="AI41"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41" s="751"/>
      <c r="AK41" s="755"/>
      <c r="AL41" s="752" t="str">
        <f>IFERROR(IF(UnitsTbl[[#This Row],[Max Gross Rent]]=0,"",UnitsTbl[[#This Row],[Max Gross Rent]]-UnitsTbl[[#This Row],[Less Utility Allowance Schedule 1]]-UnitsTbl[[#This Row],[Less Utility Allowance Schedule 2]]),"")</f>
        <v/>
      </c>
      <c r="AM41" s="751"/>
      <c r="AN41" s="752" t="str">
        <f>IF(UnitsTbl[[#This Row],[Proposed Net Rent ]]="","",UnitsTbl[[#This Row],[Total Units]]*UnitsTbl[[#This Row],[Proposed Net Rent ]])</f>
        <v/>
      </c>
      <c r="AO41" s="1250" t="str">
        <f>IFERROR(UnitsTbl[[#This Row],[Total Units]]*UnitsTbl[[#This Row],[Maximum Net Rent]],"")</f>
        <v/>
      </c>
      <c r="AP41" s="1253"/>
      <c r="AQ41" s="752" t="str">
        <f>IFERROR(IF(UnitsTbl[[#This Row],[Gross Monthly Contract Rent]]="","",IF($AV$4="Restricted",UnitsTbl[[#This Row],[Gross Monthly Contract Rent]]-UnitsTbl[[#This Row],[Maximum Net Rent]],IF($AV$4="Proposed",UnitsTbl[[#This Row],[Gross Monthly Contract Rent]]-UnitsTbl[[#This Row],[Proposed Net Rent ]],0))),"")</f>
        <v/>
      </c>
      <c r="AR41" s="864"/>
      <c r="AS41" s="753" t="str">
        <f>IFERROR(IF(UnitsTbl[[#This Row],[Units Subsidized]]="","",UnitsTbl[[#This Row],[Subsidy Payment Over  Net Rent]]*UnitsTbl[[#This Row],[Units Subsidized]]),"")</f>
        <v/>
      </c>
      <c r="AT41" s="754"/>
      <c r="AU41" s="752" t="str">
        <f>IFERROR(IF(UnitsTbl[[#This Row],[Gross Monthly Contract Rent2]]="","",IF($AV$4="Restricted",UnitsTbl[[#This Row],[Gross Monthly Contract Rent2]]-UnitsTbl[[#This Row],[Maximum Net Rent]],IF($AV$4="Proposed",UnitsTbl[[#This Row],[Gross Monthly Contract Rent2]]-UnitsTbl[[#This Row],[Proposed Net Rent ]],""))),"")</f>
        <v/>
      </c>
      <c r="AV41" s="864"/>
      <c r="AW41" s="1261" t="str">
        <f>IFERROR(IF(UnitsTbl[[#This Row],[Units Subsidized2]]="","",UnitsTbl[[#This Row],[Subsidy Payment Over  Net Rent2]]*UnitsTbl[[#This Row],[Units Subsidized2]]),"")</f>
        <v/>
      </c>
      <c r="AX41" s="1354" t="str">
        <f>IF(UnitsTbl[[#This Row],['# of Bedrooms]]="","",IF(UnitsTbl[[#This Row],['# of Bedrooms]]=0,2,IF(UnitsTbl[[#This Row],['# of Bedrooms]]=1,3,IF(UnitsTbl[[#This Row],['# of Bedrooms]]=2,4,IF(UnitsTbl[[#This Row],['# of Bedrooms]]=3,5,IF(UnitsTbl[[#This Row],['# of Bedrooms]]=4,6,IF(UnitsTbl[[#This Row],['# of Bedrooms]]&gt;4,6,"")))))))</f>
        <v/>
      </c>
      <c r="AY41" s="470" t="str">
        <f>IF(UnitsTbl[[#This Row],['# of Bedrooms]]="","",IF(UnitsTbl[[#This Row],['# of Bedrooms]]=0,7,IF(UnitsTbl[[#This Row],['# of Bedrooms]]=1,8,IF(UnitsTbl[[#This Row],['# of Bedrooms]]=2,9,IF(UnitsTbl[[#This Row],['# of Bedrooms]]=3,10,IF(UnitsTbl[[#This Row],['# of Bedrooms]]=4,11,IF(UnitsTbl[[#This Row],['# of Bedrooms]]&gt;4,11,"")))))))</f>
        <v/>
      </c>
      <c r="AZ41" s="470" t="str">
        <f>IF(UnitsTbl[[#This Row],['# of Bedrooms]]="","",IF(UnitsTbl[[#This Row],['# of Bedrooms]]=0,2,IF(UnitsTbl[[#This Row],['# of Bedrooms]]=1,3,IF(UnitsTbl[[#This Row],['# of Bedrooms]]=2,4,IF(UnitsTbl[[#This Row],['# of Bedrooms]]=3,5,IF(UnitsTbl[[#This Row],['# of Bedrooms]]=4,6,IF(UnitsTbl[[#This Row],['# of Bedrooms]]=5,7,"")))))))</f>
        <v/>
      </c>
      <c r="BA41" s="1546">
        <f>MIN(SUM(UnitsTbl[[#This Row],[Disability Homelessness ]],UnitsTbl[[#This Row],[Chronic Homelessness]],UnitsTbl[[#This Row],[Homelessness]]),UnitsTbl[[#This Row],[Total Restricted Units]])</f>
        <v>0</v>
      </c>
      <c r="BB41" s="1546">
        <f>(UnitsTbl[[#This Row],[Restricted Income Level]]&lt;=30%)*UnitsTbl[[#This Row],[Total Restricted Units]]</f>
        <v>0</v>
      </c>
      <c r="BC41" s="1546">
        <f t="shared" si="11"/>
        <v>0</v>
      </c>
      <c r="BH41" s="1348" t="s">
        <v>2454</v>
      </c>
      <c r="BI41" s="483">
        <v>211508</v>
      </c>
      <c r="BJ41" s="483">
        <v>215974</v>
      </c>
      <c r="BK41" s="483">
        <v>229226</v>
      </c>
      <c r="BL41" s="483">
        <v>241326</v>
      </c>
      <c r="BM41" s="483">
        <v>251985</v>
      </c>
      <c r="BN41" s="483">
        <v>236508</v>
      </c>
      <c r="BO41" s="483">
        <v>240974</v>
      </c>
      <c r="BP41" s="483">
        <v>254226</v>
      </c>
      <c r="BQ41" s="483">
        <v>266326</v>
      </c>
      <c r="BR41" s="1344">
        <v>276985</v>
      </c>
      <c r="BS41" s="1545"/>
      <c r="BT41" s="1345" t="s">
        <v>2455</v>
      </c>
      <c r="BU41" s="508">
        <v>63950</v>
      </c>
      <c r="BV41" s="508">
        <v>73100</v>
      </c>
      <c r="BW41" s="508">
        <v>82250</v>
      </c>
      <c r="BX41" s="508">
        <v>91350</v>
      </c>
      <c r="BY41" s="508">
        <v>98700</v>
      </c>
      <c r="BZ41" s="508">
        <v>106000</v>
      </c>
      <c r="CA41" s="508">
        <v>113300</v>
      </c>
      <c r="CB41" s="1346">
        <v>120600</v>
      </c>
      <c r="CC41" s="1545"/>
      <c r="CD41" s="1348" t="s">
        <v>2454</v>
      </c>
      <c r="CE41" s="504">
        <v>156508</v>
      </c>
      <c r="CF41" s="504">
        <v>160974</v>
      </c>
      <c r="CG41" s="504">
        <v>174226</v>
      </c>
      <c r="CH41" s="504">
        <v>186326</v>
      </c>
      <c r="CI41" s="504">
        <v>196985</v>
      </c>
      <c r="CJ41" s="504">
        <v>171508</v>
      </c>
      <c r="CK41" s="504">
        <v>175974</v>
      </c>
      <c r="CL41" s="504">
        <v>189226</v>
      </c>
      <c r="CM41" s="504">
        <v>201326</v>
      </c>
      <c r="CN41" s="1347">
        <v>211985</v>
      </c>
      <c r="CP41" s="1545"/>
      <c r="CQ41" s="690" t="str">
        <f>CONCATENATE(County,1.2)</f>
        <v>Amador1.2</v>
      </c>
      <c r="CR41" s="489">
        <f>TRUNC(CQ7/12*0.3)</f>
        <v>1638</v>
      </c>
      <c r="CS41" s="489">
        <f t="shared" ref="CS41:CS60" si="21">TRUNC((CQ7+CR7)/2/12*0.3)</f>
        <v>1755</v>
      </c>
      <c r="CT41" s="489">
        <f t="shared" ref="CT41:CT60" si="22">TRUNC(CS7/12*0.3)</f>
        <v>2106</v>
      </c>
      <c r="CU41" s="489">
        <f t="shared" ref="CU41:CU60" si="23">TRUNC((CT7+CU7)/2/12*0.3)</f>
        <v>2431</v>
      </c>
      <c r="CV41" s="489">
        <f t="shared" ref="CV41:CV60" si="24">TRUNC(CV7/12*0.3)</f>
        <v>2712</v>
      </c>
      <c r="CW41" s="1356">
        <f t="shared" ref="CW41:CW60" si="25">TRUNC((CW7+CX7)/2/12*0.3)</f>
        <v>2992</v>
      </c>
      <c r="CX41" s="1545"/>
    </row>
    <row r="42" spans="1:103" ht="18" customHeight="1">
      <c r="A42" s="1228"/>
      <c r="B42" s="611"/>
      <c r="C42" s="469"/>
      <c r="D42" s="615"/>
      <c r="E42" s="1048"/>
      <c r="F42" s="550"/>
      <c r="G42" s="550"/>
      <c r="H42" s="550"/>
      <c r="I42" s="550"/>
      <c r="J42" s="614"/>
      <c r="K42" s="1048"/>
      <c r="L42" s="550"/>
      <c r="M42" s="550"/>
      <c r="N42" s="550"/>
      <c r="O42" s="550"/>
      <c r="P42" s="550"/>
      <c r="Q42" s="550"/>
      <c r="R42" s="550"/>
      <c r="S42" s="550"/>
      <c r="T42" s="614"/>
      <c r="U42" s="1048"/>
      <c r="V42" s="615"/>
      <c r="W42" s="611"/>
      <c r="X42" s="864"/>
      <c r="Y42" s="615"/>
      <c r="Z42" s="1193">
        <f>IF(OR(UnitsTbl[[#This Row],[Restricted Income Level]]="Manager",UnitsTbl[[#This Row],[Restricted Income Level]]="Market",UnitsTbl[[#This Row],[Restricted Income Level]]&gt;60%),0,MIN(SUM(UnitsTbl[[#This Row],[IIG
Assisted]:[VHHP
Assisted]])+UnitsTbl[[#This Row],[Other Restricted]],UnitsTbl[[#This Row],[Total Units]]))</f>
        <v>0</v>
      </c>
      <c r="AA42" s="1626">
        <f>UnitsTbl[[#This Row],[Total Restricted Units]]*25000+IF(UnitsTbl[[#This Row],[Restricted Income Level]]="Manager",UnitsTbl[[#This Row],[Total Units]]*25000,0)</f>
        <v>0</v>
      </c>
      <c r="AB42"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42"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42"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42"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42" s="1629">
        <f>IFERROR(IF(AND(IsMhp,UnitsTbl[[#This Row],[Restricted Income Level]]="Manager"),UnitsTbl[[#This Row],[Total Units]]*IF(AND(UnitsTbl[[#This Row],[Total Units]]&gt;0,Taxcredit=9%,UnitsTbl[[#This Row],[Restricted Income Level]]="Manager"),95000,IF(AND(IsMhp,UnitsTbl[[#This Row],[Total Units]]&gt;0,Taxcredit=9%),VLOOKUP(CONCATENATE(County,C42),LoanLimit9Tbl[],AX42,FALSE),IF(AND(IsMhp,UnitsTbl[[#This Row],[Total Units]]&gt;0,OR(Taxcredit=4%,Taxcredit="None"),UnitsTbl[[#This Row],[Restricted Income Level]]="Manager"),150000,VLOOKUP(CONCATENATE(County,C42),LoanLimitsTbl[],AX42,FALSE)))),(IF($R$4=FALSE,((UnitsTbl[[#This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Restricted]]&gt;0),IsMhp,Taxcredit=9%),VLOOKUP(CONCATENATE(County,C42),LoanLimit9Tbl[],AX42,FALSE),IF(AND(IsMhp,UnitsTbl[[#This Row],[MHP
Assisted]]&gt;0,UnitsTbl[[#This Row],[Restricted Income Level]]="Manager"),150000,VLOOKUP(CONCATENATE(County,C42),LoanLimitsTbl[],AX42,FALSE))))))),0)</f>
        <v>0</v>
      </c>
      <c r="AG42"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Restricted]]&gt;0),IsMhp,Taxcredit=9%),VLOOKUP(CONCATENATE(County,C42),LoanLimit9Tbl[],AY42,FALSE),IF(AND(OR(UnitsTbl[[#This Row],[MHP
Assisted]]&gt;0,UnitsTbl[[#This Row],[Other Restricted]]&gt;0),UnitsTbl[[#This Row],[Restricted Income Level]]="Manager"),175000,VLOOKUP(CONCATENATE(County,C42),LoanLimitsTbl[],AY42,FALSE)))),IF(UnitsTbl[[#This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Restricted]]&gt;0),IsMhp,Taxcredit=9%),VLOOKUP(CONCATENATE(County,C42),LoanLimit9Tbl[],AY42,FALSE),IF(AND(OR(UnitsTbl[[#This Row],[MHP
Assisted]]&gt;0,UnitsTbl[[#This Row],[Other Restricted]]&gt;0),UnitsTbl[[#This Row],[Restricted Income Level]]="Manager"),175000,VLOOKUP(CONCATENATE(County,C42),LoanLimitsTbl[],AY42,FALSE)))))))),"")</f>
        <v>0</v>
      </c>
      <c r="AH42" s="1248"/>
      <c r="AI42"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42" s="751"/>
      <c r="AK42" s="755"/>
      <c r="AL42" s="752" t="str">
        <f>IFERROR(IF(UnitsTbl[[#This Row],[Max Gross Rent]]=0,"",UnitsTbl[[#This Row],[Max Gross Rent]]-UnitsTbl[[#This Row],[Less Utility Allowance Schedule 1]]-UnitsTbl[[#This Row],[Less Utility Allowance Schedule 2]]),"")</f>
        <v/>
      </c>
      <c r="AM42" s="751"/>
      <c r="AN42" s="752" t="str">
        <f>IF(UnitsTbl[[#This Row],[Proposed Net Rent ]]="","",UnitsTbl[[#This Row],[Total Units]]*UnitsTbl[[#This Row],[Proposed Net Rent ]])</f>
        <v/>
      </c>
      <c r="AO42" s="1250" t="str">
        <f>IFERROR(UnitsTbl[[#This Row],[Total Units]]*UnitsTbl[[#This Row],[Maximum Net Rent]],"")</f>
        <v/>
      </c>
      <c r="AP42" s="1253"/>
      <c r="AQ42" s="752" t="str">
        <f>IFERROR(IF(UnitsTbl[[#This Row],[Gross Monthly Contract Rent]]="","",IF($AV$4="Restricted",UnitsTbl[[#This Row],[Gross Monthly Contract Rent]]-UnitsTbl[[#This Row],[Maximum Net Rent]],IF($AV$4="Proposed",UnitsTbl[[#This Row],[Gross Monthly Contract Rent]]-UnitsTbl[[#This Row],[Proposed Net Rent ]],0))),"")</f>
        <v/>
      </c>
      <c r="AR42" s="864"/>
      <c r="AS42" s="753" t="str">
        <f>IFERROR(IF(UnitsTbl[[#This Row],[Units Subsidized]]="","",UnitsTbl[[#This Row],[Subsidy Payment Over  Net Rent]]*UnitsTbl[[#This Row],[Units Subsidized]]),"")</f>
        <v/>
      </c>
      <c r="AT42" s="754"/>
      <c r="AU42" s="752" t="str">
        <f>IFERROR(IF(UnitsTbl[[#This Row],[Gross Monthly Contract Rent2]]="","",IF($AV$4="Restricted",UnitsTbl[[#This Row],[Gross Monthly Contract Rent2]]-UnitsTbl[[#This Row],[Maximum Net Rent]],IF($AV$4="Proposed",UnitsTbl[[#This Row],[Gross Monthly Contract Rent2]]-UnitsTbl[[#This Row],[Proposed Net Rent ]],""))),"")</f>
        <v/>
      </c>
      <c r="AV42" s="864"/>
      <c r="AW42" s="1261" t="str">
        <f>IFERROR(IF(UnitsTbl[[#This Row],[Units Subsidized2]]="","",UnitsTbl[[#This Row],[Subsidy Payment Over  Net Rent2]]*UnitsTbl[[#This Row],[Units Subsidized2]]),"")</f>
        <v/>
      </c>
      <c r="AX42" s="1354" t="str">
        <f>IF(UnitsTbl[[#This Row],['# of Bedrooms]]="","",IF(UnitsTbl[[#This Row],['# of Bedrooms]]=0,2,IF(UnitsTbl[[#This Row],['# of Bedrooms]]=1,3,IF(UnitsTbl[[#This Row],['# of Bedrooms]]=2,4,IF(UnitsTbl[[#This Row],['# of Bedrooms]]=3,5,IF(UnitsTbl[[#This Row],['# of Bedrooms]]=4,6,IF(UnitsTbl[[#This Row],['# of Bedrooms]]&gt;4,6,"")))))))</f>
        <v/>
      </c>
      <c r="AY42" s="470" t="str">
        <f>IF(UnitsTbl[[#This Row],['# of Bedrooms]]="","",IF(UnitsTbl[[#This Row],['# of Bedrooms]]=0,7,IF(UnitsTbl[[#This Row],['# of Bedrooms]]=1,8,IF(UnitsTbl[[#This Row],['# of Bedrooms]]=2,9,IF(UnitsTbl[[#This Row],['# of Bedrooms]]=3,10,IF(UnitsTbl[[#This Row],['# of Bedrooms]]=4,11,IF(UnitsTbl[[#This Row],['# of Bedrooms]]&gt;4,11,"")))))))</f>
        <v/>
      </c>
      <c r="AZ42" s="470" t="str">
        <f>IF(UnitsTbl[[#This Row],['# of Bedrooms]]="","",IF(UnitsTbl[[#This Row],['# of Bedrooms]]=0,2,IF(UnitsTbl[[#This Row],['# of Bedrooms]]=1,3,IF(UnitsTbl[[#This Row],['# of Bedrooms]]=2,4,IF(UnitsTbl[[#This Row],['# of Bedrooms]]=3,5,IF(UnitsTbl[[#This Row],['# of Bedrooms]]=4,6,IF(UnitsTbl[[#This Row],['# of Bedrooms]]=5,7,"")))))))</f>
        <v/>
      </c>
      <c r="BA42" s="1546">
        <f>MIN(SUM(UnitsTbl[[#This Row],[Disability Homelessness ]],UnitsTbl[[#This Row],[Chronic Homelessness]],UnitsTbl[[#This Row],[Homelessness]]),UnitsTbl[[#This Row],[Total Restricted Units]])</f>
        <v>0</v>
      </c>
      <c r="BB42" s="1546">
        <f>(UnitsTbl[[#This Row],[Restricted Income Level]]&lt;=30%)*UnitsTbl[[#This Row],[Total Restricted Units]]</f>
        <v>0</v>
      </c>
      <c r="BC42" s="1546">
        <f t="shared" si="11"/>
        <v>0</v>
      </c>
      <c r="BH42" s="1348" t="s">
        <v>2456</v>
      </c>
      <c r="BI42" s="483">
        <v>220295</v>
      </c>
      <c r="BJ42" s="483">
        <v>225337</v>
      </c>
      <c r="BK42" s="483">
        <v>240462</v>
      </c>
      <c r="BL42" s="483">
        <v>254434</v>
      </c>
      <c r="BM42" s="483">
        <v>266534</v>
      </c>
      <c r="BN42" s="483">
        <v>245295</v>
      </c>
      <c r="BO42" s="483">
        <v>250337</v>
      </c>
      <c r="BP42" s="483">
        <v>265462</v>
      </c>
      <c r="BQ42" s="483">
        <v>279434</v>
      </c>
      <c r="BR42" s="1344">
        <v>291534</v>
      </c>
      <c r="BS42" s="1545"/>
      <c r="BT42" s="1345" t="s">
        <v>2457</v>
      </c>
      <c r="BU42" s="508">
        <v>25900</v>
      </c>
      <c r="BV42" s="508">
        <v>29600</v>
      </c>
      <c r="BW42" s="508">
        <v>33300</v>
      </c>
      <c r="BX42" s="508">
        <v>37000</v>
      </c>
      <c r="BY42" s="508">
        <v>40000</v>
      </c>
      <c r="BZ42" s="508">
        <v>42950</v>
      </c>
      <c r="CA42" s="508">
        <v>45900</v>
      </c>
      <c r="CB42" s="1346">
        <v>48850</v>
      </c>
      <c r="CC42" s="1545"/>
      <c r="CD42" s="1348" t="s">
        <v>2456</v>
      </c>
      <c r="CE42" s="504">
        <v>165295</v>
      </c>
      <c r="CF42" s="504">
        <v>170337</v>
      </c>
      <c r="CG42" s="504">
        <v>185462</v>
      </c>
      <c r="CH42" s="504">
        <v>199434</v>
      </c>
      <c r="CI42" s="504">
        <v>211534</v>
      </c>
      <c r="CJ42" s="504">
        <v>180295</v>
      </c>
      <c r="CK42" s="504">
        <v>185337</v>
      </c>
      <c r="CL42" s="504">
        <v>200462</v>
      </c>
      <c r="CM42" s="504">
        <v>214434</v>
      </c>
      <c r="CN42" s="1347">
        <v>226534</v>
      </c>
      <c r="CP42" s="1545"/>
      <c r="CQ42" s="690" t="str">
        <f>CONCATENATE(County,1.1)</f>
        <v>Amador1.1</v>
      </c>
      <c r="CR42" s="489">
        <f t="shared" ref="CR42:CR60" si="26">TRUNC(CQ8/12*0.3)</f>
        <v>1501</v>
      </c>
      <c r="CS42" s="489">
        <f t="shared" si="21"/>
        <v>1608</v>
      </c>
      <c r="CT42" s="489">
        <f t="shared" si="22"/>
        <v>1930</v>
      </c>
      <c r="CU42" s="489">
        <f t="shared" si="23"/>
        <v>2228</v>
      </c>
      <c r="CV42" s="489">
        <f t="shared" si="24"/>
        <v>2486</v>
      </c>
      <c r="CW42" s="1356">
        <f t="shared" si="25"/>
        <v>2743</v>
      </c>
      <c r="CX42" s="1545"/>
    </row>
    <row r="43" spans="1:103" ht="18" customHeight="1">
      <c r="A43" s="1228"/>
      <c r="B43" s="611"/>
      <c r="C43" s="469"/>
      <c r="D43" s="615"/>
      <c r="E43" s="1048"/>
      <c r="F43" s="550"/>
      <c r="G43" s="550"/>
      <c r="H43" s="550"/>
      <c r="I43" s="550"/>
      <c r="J43" s="614"/>
      <c r="K43" s="1048"/>
      <c r="L43" s="550"/>
      <c r="M43" s="550"/>
      <c r="N43" s="550"/>
      <c r="O43" s="550"/>
      <c r="P43" s="550"/>
      <c r="Q43" s="550"/>
      <c r="R43" s="550"/>
      <c r="S43" s="550"/>
      <c r="T43" s="614"/>
      <c r="U43" s="1048"/>
      <c r="V43" s="615"/>
      <c r="W43" s="611"/>
      <c r="X43" s="864"/>
      <c r="Y43" s="615"/>
      <c r="Z43" s="1193">
        <f>IF(OR(UnitsTbl[[#This Row],[Restricted Income Level]]="Manager",UnitsTbl[[#This Row],[Restricted Income Level]]="Market",UnitsTbl[[#This Row],[Restricted Income Level]]&gt;60%),0,MIN(SUM(UnitsTbl[[#This Row],[IIG
Assisted]:[VHHP
Assisted]])+UnitsTbl[[#This Row],[Other Restricted]],UnitsTbl[[#This Row],[Total Units]]))</f>
        <v>0</v>
      </c>
      <c r="AA43" s="1626">
        <f>UnitsTbl[[#This Row],[Total Restricted Units]]*25000+IF(UnitsTbl[[#This Row],[Restricted Income Level]]="Manager",UnitsTbl[[#This Row],[Total Units]]*25000,0)</f>
        <v>0</v>
      </c>
      <c r="AB43"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43"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43"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43"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43" s="1629">
        <f>IFERROR(IF(AND(IsMhp,UnitsTbl[[#This Row],[Restricted Income Level]]="Manager"),UnitsTbl[[#This Row],[Total Units]]*IF(AND(UnitsTbl[[#This Row],[Total Units]]&gt;0,Taxcredit=9%,UnitsTbl[[#This Row],[Restricted Income Level]]="Manager"),95000,IF(AND(IsMhp,UnitsTbl[[#This Row],[Total Units]]&gt;0,Taxcredit=9%),VLOOKUP(CONCATENATE(County,C43),LoanLimit9Tbl[],AX43,FALSE),IF(AND(IsMhp,UnitsTbl[[#This Row],[Total Units]]&gt;0,OR(Taxcredit=4%,Taxcredit="None"),UnitsTbl[[#This Row],[Restricted Income Level]]="Manager"),150000,VLOOKUP(CONCATENATE(County,C43),LoanLimitsTbl[],AX43,FALSE)))),(IF($R$4=FALSE,((UnitsTbl[[#This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Restricted]]&gt;0),IsMhp,Taxcredit=9%),VLOOKUP(CONCATENATE(County,C43),LoanLimit9Tbl[],AX43,FALSE),IF(AND(IsMhp,UnitsTbl[[#This Row],[MHP
Assisted]]&gt;0,UnitsTbl[[#This Row],[Restricted Income Level]]="Manager"),150000,VLOOKUP(CONCATENATE(County,C43),LoanLimitsTbl[],AX43,FALSE))))))),0)</f>
        <v>0</v>
      </c>
      <c r="AG43"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Restricted]]&gt;0),IsMhp,Taxcredit=9%),VLOOKUP(CONCATENATE(County,C43),LoanLimit9Tbl[],AY43,FALSE),IF(AND(OR(UnitsTbl[[#This Row],[MHP
Assisted]]&gt;0,UnitsTbl[[#This Row],[Other Restricted]]&gt;0),UnitsTbl[[#This Row],[Restricted Income Level]]="Manager"),175000,VLOOKUP(CONCATENATE(County,C43),LoanLimitsTbl[],AY43,FALSE)))),IF(UnitsTbl[[#This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Restricted]]&gt;0),IsMhp,Taxcredit=9%),VLOOKUP(CONCATENATE(County,C43),LoanLimit9Tbl[],AY43,FALSE),IF(AND(OR(UnitsTbl[[#This Row],[MHP
Assisted]]&gt;0,UnitsTbl[[#This Row],[Other Restricted]]&gt;0),UnitsTbl[[#This Row],[Restricted Income Level]]="Manager"),175000,VLOOKUP(CONCATENATE(County,C43),LoanLimitsTbl[],AY43,FALSE)))))))),"")</f>
        <v>0</v>
      </c>
      <c r="AH43" s="1248"/>
      <c r="AI43"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43" s="751"/>
      <c r="AK43" s="755"/>
      <c r="AL43" s="752" t="str">
        <f>IFERROR(IF(UnitsTbl[[#This Row],[Max Gross Rent]]=0,"",UnitsTbl[[#This Row],[Max Gross Rent]]-UnitsTbl[[#This Row],[Less Utility Allowance Schedule 1]]-UnitsTbl[[#This Row],[Less Utility Allowance Schedule 2]]),"")</f>
        <v/>
      </c>
      <c r="AM43" s="751"/>
      <c r="AN43" s="752" t="str">
        <f>IF(UnitsTbl[[#This Row],[Proposed Net Rent ]]="","",UnitsTbl[[#This Row],[Total Units]]*UnitsTbl[[#This Row],[Proposed Net Rent ]])</f>
        <v/>
      </c>
      <c r="AO43" s="1250" t="str">
        <f>IFERROR(UnitsTbl[[#This Row],[Total Units]]*UnitsTbl[[#This Row],[Maximum Net Rent]],"")</f>
        <v/>
      </c>
      <c r="AP43" s="1253"/>
      <c r="AQ43" s="752" t="str">
        <f>IFERROR(IF(UnitsTbl[[#This Row],[Gross Monthly Contract Rent]]="","",IF($AV$4="Restricted",UnitsTbl[[#This Row],[Gross Monthly Contract Rent]]-UnitsTbl[[#This Row],[Maximum Net Rent]],IF($AV$4="Proposed",UnitsTbl[[#This Row],[Gross Monthly Contract Rent]]-UnitsTbl[[#This Row],[Proposed Net Rent ]],0))),"")</f>
        <v/>
      </c>
      <c r="AR43" s="864"/>
      <c r="AS43" s="753" t="str">
        <f>IFERROR(IF(UnitsTbl[[#This Row],[Units Subsidized]]="","",UnitsTbl[[#This Row],[Subsidy Payment Over  Net Rent]]*UnitsTbl[[#This Row],[Units Subsidized]]),"")</f>
        <v/>
      </c>
      <c r="AT43" s="754"/>
      <c r="AU43" s="752" t="str">
        <f>IFERROR(IF(UnitsTbl[[#This Row],[Gross Monthly Contract Rent2]]="","",IF($AV$4="Restricted",UnitsTbl[[#This Row],[Gross Monthly Contract Rent2]]-UnitsTbl[[#This Row],[Maximum Net Rent]],IF($AV$4="Proposed",UnitsTbl[[#This Row],[Gross Monthly Contract Rent2]]-UnitsTbl[[#This Row],[Proposed Net Rent ]],""))),"")</f>
        <v/>
      </c>
      <c r="AV43" s="864"/>
      <c r="AW43" s="1261" t="str">
        <f>IFERROR(IF(UnitsTbl[[#This Row],[Units Subsidized2]]="","",UnitsTbl[[#This Row],[Subsidy Payment Over  Net Rent2]]*UnitsTbl[[#This Row],[Units Subsidized2]]),"")</f>
        <v/>
      </c>
      <c r="AX43" s="1354" t="str">
        <f>IF(UnitsTbl[[#This Row],['# of Bedrooms]]="","",IF(UnitsTbl[[#This Row],['# of Bedrooms]]=0,2,IF(UnitsTbl[[#This Row],['# of Bedrooms]]=1,3,IF(UnitsTbl[[#This Row],['# of Bedrooms]]=2,4,IF(UnitsTbl[[#This Row],['# of Bedrooms]]=3,5,IF(UnitsTbl[[#This Row],['# of Bedrooms]]=4,6,IF(UnitsTbl[[#This Row],['# of Bedrooms]]&gt;4,6,"")))))))</f>
        <v/>
      </c>
      <c r="AY43" s="470" t="str">
        <f>IF(UnitsTbl[[#This Row],['# of Bedrooms]]="","",IF(UnitsTbl[[#This Row],['# of Bedrooms]]=0,7,IF(UnitsTbl[[#This Row],['# of Bedrooms]]=1,8,IF(UnitsTbl[[#This Row],['# of Bedrooms]]=2,9,IF(UnitsTbl[[#This Row],['# of Bedrooms]]=3,10,IF(UnitsTbl[[#This Row],['# of Bedrooms]]=4,11,IF(UnitsTbl[[#This Row],['# of Bedrooms]]&gt;4,11,"")))))))</f>
        <v/>
      </c>
      <c r="AZ43" s="470" t="str">
        <f>IF(UnitsTbl[[#This Row],['# of Bedrooms]]="","",IF(UnitsTbl[[#This Row],['# of Bedrooms]]=0,2,IF(UnitsTbl[[#This Row],['# of Bedrooms]]=1,3,IF(UnitsTbl[[#This Row],['# of Bedrooms]]=2,4,IF(UnitsTbl[[#This Row],['# of Bedrooms]]=3,5,IF(UnitsTbl[[#This Row],['# of Bedrooms]]=4,6,IF(UnitsTbl[[#This Row],['# of Bedrooms]]=5,7,"")))))))</f>
        <v/>
      </c>
      <c r="BA43" s="1546">
        <f>MIN(SUM(UnitsTbl[[#This Row],[Disability Homelessness ]],UnitsTbl[[#This Row],[Chronic Homelessness]],UnitsTbl[[#This Row],[Homelessness]]),UnitsTbl[[#This Row],[Total Restricted Units]])</f>
        <v>0</v>
      </c>
      <c r="BB43" s="1546">
        <f>(UnitsTbl[[#This Row],[Restricted Income Level]]&lt;=30%)*UnitsTbl[[#This Row],[Total Restricted Units]]</f>
        <v>0</v>
      </c>
      <c r="BC43" s="1546">
        <f t="shared" si="11"/>
        <v>0</v>
      </c>
      <c r="BH43" s="1348" t="s">
        <v>2458</v>
      </c>
      <c r="BI43" s="483">
        <v>229082</v>
      </c>
      <c r="BJ43" s="483">
        <v>234700</v>
      </c>
      <c r="BK43" s="483">
        <v>251841</v>
      </c>
      <c r="BL43" s="483">
        <v>267543</v>
      </c>
      <c r="BM43" s="483">
        <v>281083</v>
      </c>
      <c r="BN43" s="483">
        <v>254082</v>
      </c>
      <c r="BO43" s="483">
        <v>259700</v>
      </c>
      <c r="BP43" s="483">
        <v>276841</v>
      </c>
      <c r="BQ43" s="483">
        <v>292543</v>
      </c>
      <c r="BR43" s="1344">
        <v>306083</v>
      </c>
      <c r="BS43" s="1545"/>
      <c r="BT43" s="1345" t="s">
        <v>2459</v>
      </c>
      <c r="BU43" s="508">
        <v>34250</v>
      </c>
      <c r="BV43" s="508">
        <v>39150</v>
      </c>
      <c r="BW43" s="508">
        <v>44050</v>
      </c>
      <c r="BX43" s="508">
        <v>48900</v>
      </c>
      <c r="BY43" s="508">
        <v>52850</v>
      </c>
      <c r="BZ43" s="508">
        <v>56750</v>
      </c>
      <c r="CA43" s="508">
        <v>60650</v>
      </c>
      <c r="CB43" s="1346">
        <v>64550</v>
      </c>
      <c r="CC43" s="1545"/>
      <c r="CD43" s="1348" t="s">
        <v>2458</v>
      </c>
      <c r="CE43" s="504">
        <v>174082</v>
      </c>
      <c r="CF43" s="504">
        <v>179700</v>
      </c>
      <c r="CG43" s="504">
        <v>196841</v>
      </c>
      <c r="CH43" s="504">
        <v>212543</v>
      </c>
      <c r="CI43" s="504">
        <v>226083</v>
      </c>
      <c r="CJ43" s="504">
        <v>189082</v>
      </c>
      <c r="CK43" s="504">
        <v>194700</v>
      </c>
      <c r="CL43" s="504">
        <v>211841</v>
      </c>
      <c r="CM43" s="504">
        <v>227543</v>
      </c>
      <c r="CN43" s="1347">
        <v>241083</v>
      </c>
      <c r="CP43" s="1545"/>
      <c r="CQ43" s="690" t="str">
        <f>CONCATENATE(County,1)</f>
        <v>Amador1</v>
      </c>
      <c r="CR43" s="489">
        <f t="shared" si="26"/>
        <v>1365</v>
      </c>
      <c r="CS43" s="489">
        <f t="shared" si="21"/>
        <v>1462</v>
      </c>
      <c r="CT43" s="489">
        <f t="shared" si="22"/>
        <v>1755</v>
      </c>
      <c r="CU43" s="489">
        <f t="shared" si="23"/>
        <v>2026</v>
      </c>
      <c r="CV43" s="489">
        <f t="shared" si="24"/>
        <v>2260</v>
      </c>
      <c r="CW43" s="1356">
        <f t="shared" si="25"/>
        <v>2493</v>
      </c>
      <c r="CX43" s="1545"/>
    </row>
    <row r="44" spans="1:103" ht="18" customHeight="1">
      <c r="A44" s="1228"/>
      <c r="B44" s="611"/>
      <c r="C44" s="469"/>
      <c r="D44" s="615"/>
      <c r="E44" s="1048"/>
      <c r="F44" s="550"/>
      <c r="G44" s="550"/>
      <c r="H44" s="550"/>
      <c r="I44" s="550"/>
      <c r="J44" s="614"/>
      <c r="K44" s="1048"/>
      <c r="L44" s="550"/>
      <c r="M44" s="550"/>
      <c r="N44" s="550"/>
      <c r="O44" s="550"/>
      <c r="P44" s="550"/>
      <c r="Q44" s="550"/>
      <c r="R44" s="550"/>
      <c r="S44" s="550"/>
      <c r="T44" s="614"/>
      <c r="U44" s="1048"/>
      <c r="V44" s="615"/>
      <c r="W44" s="611"/>
      <c r="X44" s="864"/>
      <c r="Y44" s="615"/>
      <c r="Z44" s="1193">
        <f>IF(OR(UnitsTbl[[#This Row],[Restricted Income Level]]="Manager",UnitsTbl[[#This Row],[Restricted Income Level]]="Market",UnitsTbl[[#This Row],[Restricted Income Level]]&gt;60%),0,MIN(SUM(UnitsTbl[[#This Row],[IIG
Assisted]:[VHHP
Assisted]])+UnitsTbl[[#This Row],[Other Restricted]],UnitsTbl[[#This Row],[Total Units]]))</f>
        <v>0</v>
      </c>
      <c r="AA44" s="1626">
        <f>UnitsTbl[[#This Row],[Total Restricted Units]]*25000+IF(UnitsTbl[[#This Row],[Restricted Income Level]]="Manager",UnitsTbl[[#This Row],[Total Units]]*25000,0)</f>
        <v>0</v>
      </c>
      <c r="AB44"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44"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44"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44"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44" s="1629">
        <f>IFERROR(IF(AND(IsMhp,UnitsTbl[[#This Row],[Restricted Income Level]]="Manager"),UnitsTbl[[#This Row],[Total Units]]*IF(AND(UnitsTbl[[#This Row],[Total Units]]&gt;0,Taxcredit=9%,UnitsTbl[[#This Row],[Restricted Income Level]]="Manager"),95000,IF(AND(IsMhp,UnitsTbl[[#This Row],[Total Units]]&gt;0,Taxcredit=9%),VLOOKUP(CONCATENATE(County,C44),LoanLimit9Tbl[],AX44,FALSE),IF(AND(IsMhp,UnitsTbl[[#This Row],[Total Units]]&gt;0,OR(Taxcredit=4%,Taxcredit="None"),UnitsTbl[[#This Row],[Restricted Income Level]]="Manager"),150000,VLOOKUP(CONCATENATE(County,C44),LoanLimitsTbl[],AX44,FALSE)))),(IF($R$4=FALSE,((UnitsTbl[[#This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Restricted]]&gt;0),IsMhp,Taxcredit=9%),VLOOKUP(CONCATENATE(County,C44),LoanLimit9Tbl[],AX44,FALSE),IF(AND(IsMhp,UnitsTbl[[#This Row],[MHP
Assisted]]&gt;0,UnitsTbl[[#This Row],[Restricted Income Level]]="Manager"),150000,VLOOKUP(CONCATENATE(County,C44),LoanLimitsTbl[],AX44,FALSE))))))),0)</f>
        <v>0</v>
      </c>
      <c r="AG44"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Restricted]]&gt;0),IsMhp,Taxcredit=9%),VLOOKUP(CONCATENATE(County,C44),LoanLimit9Tbl[],AY44,FALSE),IF(AND(OR(UnitsTbl[[#This Row],[MHP
Assisted]]&gt;0,UnitsTbl[[#This Row],[Other Restricted]]&gt;0),UnitsTbl[[#This Row],[Restricted Income Level]]="Manager"),175000,VLOOKUP(CONCATENATE(County,C44),LoanLimitsTbl[],AY44,FALSE)))),IF(UnitsTbl[[#This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Restricted]]&gt;0),IsMhp,Taxcredit=9%),VLOOKUP(CONCATENATE(County,C44),LoanLimit9Tbl[],AY44,FALSE),IF(AND(OR(UnitsTbl[[#This Row],[MHP
Assisted]]&gt;0,UnitsTbl[[#This Row],[Other Restricted]]&gt;0),UnitsTbl[[#This Row],[Restricted Income Level]]="Manager"),175000,VLOOKUP(CONCATENATE(County,C44),LoanLimitsTbl[],AY44,FALSE)))))))),"")</f>
        <v>0</v>
      </c>
      <c r="AH44" s="1248"/>
      <c r="AI44"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44" s="751"/>
      <c r="AK44" s="755"/>
      <c r="AL44" s="752" t="str">
        <f>IFERROR(IF(UnitsTbl[[#This Row],[Max Gross Rent]]=0,"",UnitsTbl[[#This Row],[Max Gross Rent]]-UnitsTbl[[#This Row],[Less Utility Allowance Schedule 1]]-UnitsTbl[[#This Row],[Less Utility Allowance Schedule 2]]),"")</f>
        <v/>
      </c>
      <c r="AM44" s="751"/>
      <c r="AN44" s="752" t="str">
        <f>IF(UnitsTbl[[#This Row],[Proposed Net Rent ]]="","",UnitsTbl[[#This Row],[Total Units]]*UnitsTbl[[#This Row],[Proposed Net Rent ]])</f>
        <v/>
      </c>
      <c r="AO44" s="1250" t="str">
        <f>IFERROR(UnitsTbl[[#This Row],[Total Units]]*UnitsTbl[[#This Row],[Maximum Net Rent]],"")</f>
        <v/>
      </c>
      <c r="AP44" s="1253"/>
      <c r="AQ44" s="752" t="str">
        <f>IFERROR(IF(UnitsTbl[[#This Row],[Gross Monthly Contract Rent]]="","",IF($AV$4="Restricted",UnitsTbl[[#This Row],[Gross Monthly Contract Rent]]-UnitsTbl[[#This Row],[Maximum Net Rent]],IF($AV$4="Proposed",UnitsTbl[[#This Row],[Gross Monthly Contract Rent]]-UnitsTbl[[#This Row],[Proposed Net Rent ]],0))),"")</f>
        <v/>
      </c>
      <c r="AR44" s="864"/>
      <c r="AS44" s="753" t="str">
        <f>IFERROR(IF(UnitsTbl[[#This Row],[Units Subsidized]]="","",UnitsTbl[[#This Row],[Subsidy Payment Over  Net Rent]]*UnitsTbl[[#This Row],[Units Subsidized]]),"")</f>
        <v/>
      </c>
      <c r="AT44" s="754"/>
      <c r="AU44" s="752" t="str">
        <f>IFERROR(IF(UnitsTbl[[#This Row],[Gross Monthly Contract Rent2]]="","",IF($AV$4="Restricted",UnitsTbl[[#This Row],[Gross Monthly Contract Rent2]]-UnitsTbl[[#This Row],[Maximum Net Rent]],IF($AV$4="Proposed",UnitsTbl[[#This Row],[Gross Monthly Contract Rent2]]-UnitsTbl[[#This Row],[Proposed Net Rent ]],""))),"")</f>
        <v/>
      </c>
      <c r="AV44" s="864"/>
      <c r="AW44" s="1261" t="str">
        <f>IFERROR(IF(UnitsTbl[[#This Row],[Units Subsidized2]]="","",UnitsTbl[[#This Row],[Subsidy Payment Over  Net Rent2]]*UnitsTbl[[#This Row],[Units Subsidized2]]),"")</f>
        <v/>
      </c>
      <c r="AX44" s="1354" t="str">
        <f>IF(UnitsTbl[[#This Row],['# of Bedrooms]]="","",IF(UnitsTbl[[#This Row],['# of Bedrooms]]=0,2,IF(UnitsTbl[[#This Row],['# of Bedrooms]]=1,3,IF(UnitsTbl[[#This Row],['# of Bedrooms]]=2,4,IF(UnitsTbl[[#This Row],['# of Bedrooms]]=3,5,IF(UnitsTbl[[#This Row],['# of Bedrooms]]=4,6,IF(UnitsTbl[[#This Row],['# of Bedrooms]]&gt;4,6,"")))))))</f>
        <v/>
      </c>
      <c r="AY44" s="470" t="str">
        <f>IF(UnitsTbl[[#This Row],['# of Bedrooms]]="","",IF(UnitsTbl[[#This Row],['# of Bedrooms]]=0,7,IF(UnitsTbl[[#This Row],['# of Bedrooms]]=1,8,IF(UnitsTbl[[#This Row],['# of Bedrooms]]=2,9,IF(UnitsTbl[[#This Row],['# of Bedrooms]]=3,10,IF(UnitsTbl[[#This Row],['# of Bedrooms]]=4,11,IF(UnitsTbl[[#This Row],['# of Bedrooms]]&gt;4,11,"")))))))</f>
        <v/>
      </c>
      <c r="AZ44" s="470" t="str">
        <f>IF(UnitsTbl[[#This Row],['# of Bedrooms]]="","",IF(UnitsTbl[[#This Row],['# of Bedrooms]]=0,2,IF(UnitsTbl[[#This Row],['# of Bedrooms]]=1,3,IF(UnitsTbl[[#This Row],['# of Bedrooms]]=2,4,IF(UnitsTbl[[#This Row],['# of Bedrooms]]=3,5,IF(UnitsTbl[[#This Row],['# of Bedrooms]]=4,6,IF(UnitsTbl[[#This Row],['# of Bedrooms]]=5,7,"")))))))</f>
        <v/>
      </c>
      <c r="BA44" s="1546">
        <f>MIN(SUM(UnitsTbl[[#This Row],[Disability Homelessness ]],UnitsTbl[[#This Row],[Chronic Homelessness]],UnitsTbl[[#This Row],[Homelessness]]),UnitsTbl[[#This Row],[Total Restricted Units]])</f>
        <v>0</v>
      </c>
      <c r="BB44" s="1546">
        <f>(UnitsTbl[[#This Row],[Restricted Income Level]]&lt;=30%)*UnitsTbl[[#This Row],[Total Restricted Units]]</f>
        <v>0</v>
      </c>
      <c r="BC44" s="1546">
        <f t="shared" si="11"/>
        <v>0</v>
      </c>
      <c r="BH44" s="1343" t="s">
        <v>2460</v>
      </c>
      <c r="BI44" s="483">
        <v>150000</v>
      </c>
      <c r="BJ44" s="483">
        <v>150000</v>
      </c>
      <c r="BK44" s="483">
        <v>150000</v>
      </c>
      <c r="BL44" s="483">
        <v>150000</v>
      </c>
      <c r="BM44" s="483">
        <v>150000</v>
      </c>
      <c r="BN44" s="483">
        <v>175000</v>
      </c>
      <c r="BO44" s="483">
        <v>175000</v>
      </c>
      <c r="BP44" s="483">
        <v>175000</v>
      </c>
      <c r="BQ44" s="483">
        <v>175000</v>
      </c>
      <c r="BR44" s="1344">
        <v>175000</v>
      </c>
      <c r="BS44" s="1545"/>
      <c r="BT44" s="1345" t="s">
        <v>2461</v>
      </c>
      <c r="BU44" s="508">
        <v>63950</v>
      </c>
      <c r="BV44" s="508">
        <v>73100</v>
      </c>
      <c r="BW44" s="508">
        <v>82250</v>
      </c>
      <c r="BX44" s="508">
        <v>91350</v>
      </c>
      <c r="BY44" s="508">
        <v>98700</v>
      </c>
      <c r="BZ44" s="508">
        <v>106000</v>
      </c>
      <c r="CA44" s="508">
        <v>113300</v>
      </c>
      <c r="CB44" s="1346">
        <v>120600</v>
      </c>
      <c r="CC44" s="1545"/>
      <c r="CD44" s="1343" t="s">
        <v>2460</v>
      </c>
      <c r="CE44" s="504">
        <v>95000</v>
      </c>
      <c r="CF44" s="504">
        <v>95000</v>
      </c>
      <c r="CG44" s="504">
        <v>95000</v>
      </c>
      <c r="CH44" s="504">
        <v>95000</v>
      </c>
      <c r="CI44" s="504">
        <v>95000</v>
      </c>
      <c r="CJ44" s="504">
        <v>110000</v>
      </c>
      <c r="CK44" s="504">
        <v>110000</v>
      </c>
      <c r="CL44" s="504">
        <v>110000</v>
      </c>
      <c r="CM44" s="504">
        <v>110000</v>
      </c>
      <c r="CN44" s="1347">
        <v>110000</v>
      </c>
      <c r="CP44" s="1545"/>
      <c r="CQ44" s="690" t="str">
        <f>CONCATENATE(County,0.95)</f>
        <v>Amador0.95</v>
      </c>
      <c r="CR44" s="490">
        <f t="shared" si="26"/>
        <v>1296</v>
      </c>
      <c r="CS44" s="490">
        <f t="shared" si="21"/>
        <v>1389</v>
      </c>
      <c r="CT44" s="490">
        <f t="shared" si="22"/>
        <v>1667</v>
      </c>
      <c r="CU44" s="490">
        <f t="shared" si="23"/>
        <v>1924</v>
      </c>
      <c r="CV44" s="490">
        <f t="shared" si="24"/>
        <v>2147</v>
      </c>
      <c r="CW44" s="1357">
        <f t="shared" si="25"/>
        <v>2369</v>
      </c>
      <c r="CX44" s="1545"/>
    </row>
    <row r="45" spans="1:103" ht="18" customHeight="1">
      <c r="A45" s="1228"/>
      <c r="B45" s="611"/>
      <c r="C45" s="469"/>
      <c r="D45" s="615"/>
      <c r="E45" s="1048"/>
      <c r="F45" s="550"/>
      <c r="G45" s="550"/>
      <c r="H45" s="550"/>
      <c r="I45" s="550"/>
      <c r="J45" s="614"/>
      <c r="K45" s="1048"/>
      <c r="L45" s="550"/>
      <c r="M45" s="550"/>
      <c r="N45" s="550"/>
      <c r="O45" s="550"/>
      <c r="P45" s="550"/>
      <c r="Q45" s="550"/>
      <c r="R45" s="550"/>
      <c r="S45" s="550"/>
      <c r="T45" s="614"/>
      <c r="U45" s="1048"/>
      <c r="V45" s="615"/>
      <c r="W45" s="611"/>
      <c r="X45" s="864"/>
      <c r="Y45" s="615"/>
      <c r="Z45" s="1193">
        <f>IF(OR(UnitsTbl[[#This Row],[Restricted Income Level]]="Manager",UnitsTbl[[#This Row],[Restricted Income Level]]="Market",UnitsTbl[[#This Row],[Restricted Income Level]]&gt;60%),0,MIN(SUM(UnitsTbl[[#This Row],[IIG
Assisted]:[VHHP
Assisted]])+UnitsTbl[[#This Row],[Other Restricted]],UnitsTbl[[#This Row],[Total Units]]))</f>
        <v>0</v>
      </c>
      <c r="AA45" s="1626">
        <f>UnitsTbl[[#This Row],[Total Restricted Units]]*25000+IF(UnitsTbl[[#This Row],[Restricted Income Level]]="Manager",UnitsTbl[[#This Row],[Total Units]]*25000,0)</f>
        <v>0</v>
      </c>
      <c r="AB45"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45"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45"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45"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45" s="1629">
        <f>IFERROR(IF(AND(IsMhp,UnitsTbl[[#This Row],[Restricted Income Level]]="Manager"),UnitsTbl[[#This Row],[Total Units]]*IF(AND(UnitsTbl[[#This Row],[Total Units]]&gt;0,Taxcredit=9%,UnitsTbl[[#This Row],[Restricted Income Level]]="Manager"),95000,IF(AND(IsMhp,UnitsTbl[[#This Row],[Total Units]]&gt;0,Taxcredit=9%),VLOOKUP(CONCATENATE(County,C45),LoanLimit9Tbl[],AX45,FALSE),IF(AND(IsMhp,UnitsTbl[[#This Row],[Total Units]]&gt;0,OR(Taxcredit=4%,Taxcredit="None"),UnitsTbl[[#This Row],[Restricted Income Level]]="Manager"),150000,VLOOKUP(CONCATENATE(County,C45),LoanLimitsTbl[],AX45,FALSE)))),(IF($R$4=FALSE,((UnitsTbl[[#This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Restricted]]&gt;0),IsMhp,Taxcredit=9%),VLOOKUP(CONCATENATE(County,C45),LoanLimit9Tbl[],AX45,FALSE),IF(AND(IsMhp,UnitsTbl[[#This Row],[MHP
Assisted]]&gt;0,UnitsTbl[[#This Row],[Restricted Income Level]]="Manager"),150000,VLOOKUP(CONCATENATE(County,C45),LoanLimitsTbl[],AX45,FALSE))))))),0)</f>
        <v>0</v>
      </c>
      <c r="AG45"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Restricted]]&gt;0),IsMhp,Taxcredit=9%),VLOOKUP(CONCATENATE(County,C45),LoanLimit9Tbl[],AY45,FALSE),IF(AND(OR(UnitsTbl[[#This Row],[MHP
Assisted]]&gt;0,UnitsTbl[[#This Row],[Other Restricted]]&gt;0),UnitsTbl[[#This Row],[Restricted Income Level]]="Manager"),175000,VLOOKUP(CONCATENATE(County,C45),LoanLimitsTbl[],AY45,FALSE)))),IF(UnitsTbl[[#This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Restricted]]&gt;0),IsMhp,Taxcredit=9%),VLOOKUP(CONCATENATE(County,C45),LoanLimit9Tbl[],AY45,FALSE),IF(AND(OR(UnitsTbl[[#This Row],[MHP
Assisted]]&gt;0,UnitsTbl[[#This Row],[Other Restricted]]&gt;0),UnitsTbl[[#This Row],[Restricted Income Level]]="Manager"),175000,VLOOKUP(CONCATENATE(County,C45),LoanLimitsTbl[],AY45,FALSE)))))))),"")</f>
        <v>0</v>
      </c>
      <c r="AH45" s="1248"/>
      <c r="AI45"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45" s="751"/>
      <c r="AK45" s="755"/>
      <c r="AL45" s="752" t="str">
        <f>IFERROR(IF(UnitsTbl[[#This Row],[Max Gross Rent]]=0,"",UnitsTbl[[#This Row],[Max Gross Rent]]-UnitsTbl[[#This Row],[Less Utility Allowance Schedule 1]]-UnitsTbl[[#This Row],[Less Utility Allowance Schedule 2]]),"")</f>
        <v/>
      </c>
      <c r="AM45" s="751"/>
      <c r="AN45" s="752" t="str">
        <f>IF(UnitsTbl[[#This Row],[Proposed Net Rent ]]="","",UnitsTbl[[#This Row],[Total Units]]*UnitsTbl[[#This Row],[Proposed Net Rent ]])</f>
        <v/>
      </c>
      <c r="AO45" s="1250" t="str">
        <f>IFERROR(UnitsTbl[[#This Row],[Total Units]]*UnitsTbl[[#This Row],[Maximum Net Rent]],"")</f>
        <v/>
      </c>
      <c r="AP45" s="1253"/>
      <c r="AQ45" s="752" t="str">
        <f>IFERROR(IF(UnitsTbl[[#This Row],[Gross Monthly Contract Rent]]="","",IF($AV$4="Restricted",UnitsTbl[[#This Row],[Gross Monthly Contract Rent]]-UnitsTbl[[#This Row],[Maximum Net Rent]],IF($AV$4="Proposed",UnitsTbl[[#This Row],[Gross Monthly Contract Rent]]-UnitsTbl[[#This Row],[Proposed Net Rent ]],0))),"")</f>
        <v/>
      </c>
      <c r="AR45" s="864"/>
      <c r="AS45" s="753" t="str">
        <f>IFERROR(IF(UnitsTbl[[#This Row],[Units Subsidized]]="","",UnitsTbl[[#This Row],[Subsidy Payment Over  Net Rent]]*UnitsTbl[[#This Row],[Units Subsidized]]),"")</f>
        <v/>
      </c>
      <c r="AT45" s="754"/>
      <c r="AU45" s="752" t="str">
        <f>IFERROR(IF(UnitsTbl[[#This Row],[Gross Monthly Contract Rent2]]="","",IF($AV$4="Restricted",UnitsTbl[[#This Row],[Gross Monthly Contract Rent2]]-UnitsTbl[[#This Row],[Maximum Net Rent]],IF($AV$4="Proposed",UnitsTbl[[#This Row],[Gross Monthly Contract Rent2]]-UnitsTbl[[#This Row],[Proposed Net Rent ]],""))),"")</f>
        <v/>
      </c>
      <c r="AV45" s="864"/>
      <c r="AW45" s="1261" t="str">
        <f>IFERROR(IF(UnitsTbl[[#This Row],[Units Subsidized2]]="","",UnitsTbl[[#This Row],[Subsidy Payment Over  Net Rent2]]*UnitsTbl[[#This Row],[Units Subsidized2]]),"")</f>
        <v/>
      </c>
      <c r="AX45" s="1354" t="str">
        <f>IF(UnitsTbl[[#This Row],['# of Bedrooms]]="","",IF(UnitsTbl[[#This Row],['# of Bedrooms]]=0,2,IF(UnitsTbl[[#This Row],['# of Bedrooms]]=1,3,IF(UnitsTbl[[#This Row],['# of Bedrooms]]=2,4,IF(UnitsTbl[[#This Row],['# of Bedrooms]]=3,5,IF(UnitsTbl[[#This Row],['# of Bedrooms]]=4,6,IF(UnitsTbl[[#This Row],['# of Bedrooms]]&gt;4,6,"")))))))</f>
        <v/>
      </c>
      <c r="AY45" s="470" t="str">
        <f>IF(UnitsTbl[[#This Row],['# of Bedrooms]]="","",IF(UnitsTbl[[#This Row],['# of Bedrooms]]=0,7,IF(UnitsTbl[[#This Row],['# of Bedrooms]]=1,8,IF(UnitsTbl[[#This Row],['# of Bedrooms]]=2,9,IF(UnitsTbl[[#This Row],['# of Bedrooms]]=3,10,IF(UnitsTbl[[#This Row],['# of Bedrooms]]=4,11,IF(UnitsTbl[[#This Row],['# of Bedrooms]]&gt;4,11,"")))))))</f>
        <v/>
      </c>
      <c r="AZ45" s="470" t="str">
        <f>IF(UnitsTbl[[#This Row],['# of Bedrooms]]="","",IF(UnitsTbl[[#This Row],['# of Bedrooms]]=0,2,IF(UnitsTbl[[#This Row],['# of Bedrooms]]=1,3,IF(UnitsTbl[[#This Row],['# of Bedrooms]]=2,4,IF(UnitsTbl[[#This Row],['# of Bedrooms]]=3,5,IF(UnitsTbl[[#This Row],['# of Bedrooms]]=4,6,IF(UnitsTbl[[#This Row],['# of Bedrooms]]=5,7,"")))))))</f>
        <v/>
      </c>
      <c r="BA45" s="1546">
        <f>MIN(SUM(UnitsTbl[[#This Row],[Disability Homelessness ]],UnitsTbl[[#This Row],[Chronic Homelessness]],UnitsTbl[[#This Row],[Homelessness]]),UnitsTbl[[#This Row],[Total Restricted Units]])</f>
        <v>0</v>
      </c>
      <c r="BB45" s="1546">
        <f>(UnitsTbl[[#This Row],[Restricted Income Level]]&lt;=30%)*UnitsTbl[[#This Row],[Total Restricted Units]]</f>
        <v>0</v>
      </c>
      <c r="BC45" s="1546">
        <f t="shared" si="11"/>
        <v>0</v>
      </c>
      <c r="BH45" s="1348" t="s">
        <v>2462</v>
      </c>
      <c r="BI45" s="483">
        <v>160371</v>
      </c>
      <c r="BJ45" s="483">
        <v>161092</v>
      </c>
      <c r="BK45" s="483">
        <v>163252</v>
      </c>
      <c r="BL45" s="483">
        <v>165413</v>
      </c>
      <c r="BM45" s="483">
        <v>167142</v>
      </c>
      <c r="BN45" s="483">
        <v>185371</v>
      </c>
      <c r="BO45" s="483">
        <v>186092</v>
      </c>
      <c r="BP45" s="483">
        <v>188252</v>
      </c>
      <c r="BQ45" s="483">
        <v>190413</v>
      </c>
      <c r="BR45" s="1344">
        <v>192142</v>
      </c>
      <c r="BS45" s="1545"/>
      <c r="BT45" s="1345" t="s">
        <v>2463</v>
      </c>
      <c r="BU45" s="508">
        <v>43750</v>
      </c>
      <c r="BV45" s="508">
        <v>50000</v>
      </c>
      <c r="BW45" s="508">
        <v>56250</v>
      </c>
      <c r="BX45" s="508">
        <v>62450</v>
      </c>
      <c r="BY45" s="508">
        <v>67450</v>
      </c>
      <c r="BZ45" s="508">
        <v>72450</v>
      </c>
      <c r="CA45" s="508">
        <v>77450</v>
      </c>
      <c r="CB45" s="1346">
        <v>82450</v>
      </c>
      <c r="CC45" s="1545"/>
      <c r="CD45" s="1348" t="s">
        <v>2462</v>
      </c>
      <c r="CE45" s="504">
        <v>105371</v>
      </c>
      <c r="CF45" s="504">
        <v>106092</v>
      </c>
      <c r="CG45" s="504">
        <v>108252</v>
      </c>
      <c r="CH45" s="504">
        <v>110413</v>
      </c>
      <c r="CI45" s="504">
        <v>112142</v>
      </c>
      <c r="CJ45" s="504">
        <v>120371</v>
      </c>
      <c r="CK45" s="504">
        <v>121092</v>
      </c>
      <c r="CL45" s="504">
        <v>123252</v>
      </c>
      <c r="CM45" s="504">
        <v>125413</v>
      </c>
      <c r="CN45" s="1347">
        <v>127142</v>
      </c>
      <c r="CP45" s="1545"/>
      <c r="CQ45" s="690" t="str">
        <f>CONCATENATE(County,0.9)</f>
        <v>Amador0.9</v>
      </c>
      <c r="CR45" s="489">
        <f t="shared" si="26"/>
        <v>1228</v>
      </c>
      <c r="CS45" s="489">
        <f t="shared" si="21"/>
        <v>1316</v>
      </c>
      <c r="CT45" s="489">
        <f t="shared" si="22"/>
        <v>1579</v>
      </c>
      <c r="CU45" s="489">
        <f t="shared" si="23"/>
        <v>1823</v>
      </c>
      <c r="CV45" s="489">
        <f t="shared" si="24"/>
        <v>2034</v>
      </c>
      <c r="CW45" s="1356">
        <f t="shared" si="25"/>
        <v>2244</v>
      </c>
      <c r="CX45" s="1545"/>
    </row>
    <row r="46" spans="1:103" ht="18" customHeight="1">
      <c r="A46" s="1228"/>
      <c r="B46" s="611"/>
      <c r="C46" s="469"/>
      <c r="D46" s="615"/>
      <c r="E46" s="1048"/>
      <c r="F46" s="550"/>
      <c r="G46" s="550"/>
      <c r="H46" s="550"/>
      <c r="I46" s="550"/>
      <c r="J46" s="614"/>
      <c r="K46" s="1048"/>
      <c r="L46" s="550"/>
      <c r="M46" s="550"/>
      <c r="N46" s="550"/>
      <c r="O46" s="550"/>
      <c r="P46" s="550"/>
      <c r="Q46" s="550"/>
      <c r="R46" s="550"/>
      <c r="S46" s="550"/>
      <c r="T46" s="614"/>
      <c r="U46" s="1048"/>
      <c r="V46" s="615"/>
      <c r="W46" s="611"/>
      <c r="X46" s="864"/>
      <c r="Y46" s="615"/>
      <c r="Z46" s="1193">
        <f>IF(OR(UnitsTbl[[#This Row],[Restricted Income Level]]="Manager",UnitsTbl[[#This Row],[Restricted Income Level]]="Market",UnitsTbl[[#This Row],[Restricted Income Level]]&gt;60%),0,MIN(SUM(UnitsTbl[[#This Row],[IIG
Assisted]:[VHHP
Assisted]])+UnitsTbl[[#This Row],[Other Restricted]],UnitsTbl[[#This Row],[Total Units]]))</f>
        <v>0</v>
      </c>
      <c r="AA46" s="1626">
        <f>UnitsTbl[[#This Row],[Total Restricted Units]]*25000+IF(UnitsTbl[[#This Row],[Restricted Income Level]]="Manager",UnitsTbl[[#This Row],[Total Units]]*25000,0)</f>
        <v>0</v>
      </c>
      <c r="AB46"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46"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46"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46"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46" s="1629">
        <f>IFERROR(IF(AND(IsMhp,UnitsTbl[[#This Row],[Restricted Income Level]]="Manager"),UnitsTbl[[#This Row],[Total Units]]*IF(AND(UnitsTbl[[#This Row],[Total Units]]&gt;0,Taxcredit=9%,UnitsTbl[[#This Row],[Restricted Income Level]]="Manager"),95000,IF(AND(IsMhp,UnitsTbl[[#This Row],[Total Units]]&gt;0,Taxcredit=9%),VLOOKUP(CONCATENATE(County,C46),LoanLimit9Tbl[],AX46,FALSE),IF(AND(IsMhp,UnitsTbl[[#This Row],[Total Units]]&gt;0,OR(Taxcredit=4%,Taxcredit="None"),UnitsTbl[[#This Row],[Restricted Income Level]]="Manager"),150000,VLOOKUP(CONCATENATE(County,C46),LoanLimitsTbl[],AX46,FALSE)))),(IF($R$4=FALSE,((UnitsTbl[[#This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Restricted]]&gt;0),IsMhp,Taxcredit=9%),VLOOKUP(CONCATENATE(County,C46),LoanLimit9Tbl[],AX46,FALSE),IF(AND(IsMhp,UnitsTbl[[#This Row],[MHP
Assisted]]&gt;0,UnitsTbl[[#This Row],[Restricted Income Level]]="Manager"),150000,VLOOKUP(CONCATENATE(County,C46),LoanLimitsTbl[],AX46,FALSE))))))),0)</f>
        <v>0</v>
      </c>
      <c r="AG46"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Restricted]]&gt;0),IsMhp,Taxcredit=9%),VLOOKUP(CONCATENATE(County,C46),LoanLimit9Tbl[],AY46,FALSE),IF(AND(OR(UnitsTbl[[#This Row],[MHP
Assisted]]&gt;0,UnitsTbl[[#This Row],[Other Restricted]]&gt;0),UnitsTbl[[#This Row],[Restricted Income Level]]="Manager"),175000,VLOOKUP(CONCATENATE(County,C46),LoanLimitsTbl[],AY46,FALSE)))),IF(UnitsTbl[[#This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Restricted]]&gt;0),IsMhp,Taxcredit=9%),VLOOKUP(CONCATENATE(County,C46),LoanLimit9Tbl[],AY46,FALSE),IF(AND(OR(UnitsTbl[[#This Row],[MHP
Assisted]]&gt;0,UnitsTbl[[#This Row],[Other Restricted]]&gt;0),UnitsTbl[[#This Row],[Restricted Income Level]]="Manager"),175000,VLOOKUP(CONCATENATE(County,C46),LoanLimitsTbl[],AY46,FALSE)))))))),"")</f>
        <v>0</v>
      </c>
      <c r="AH46" s="1248"/>
      <c r="AI46"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46" s="751"/>
      <c r="AK46" s="755"/>
      <c r="AL46" s="752" t="str">
        <f>IFERROR(IF(UnitsTbl[[#This Row],[Max Gross Rent]]=0,"",UnitsTbl[[#This Row],[Max Gross Rent]]-UnitsTbl[[#This Row],[Less Utility Allowance Schedule 1]]-UnitsTbl[[#This Row],[Less Utility Allowance Schedule 2]]),"")</f>
        <v/>
      </c>
      <c r="AM46" s="751"/>
      <c r="AN46" s="752" t="str">
        <f>IF(UnitsTbl[[#This Row],[Proposed Net Rent ]]="","",UnitsTbl[[#This Row],[Total Units]]*UnitsTbl[[#This Row],[Proposed Net Rent ]])</f>
        <v/>
      </c>
      <c r="AO46" s="1250" t="str">
        <f>IFERROR(UnitsTbl[[#This Row],[Total Units]]*UnitsTbl[[#This Row],[Maximum Net Rent]],"")</f>
        <v/>
      </c>
      <c r="AP46" s="1253"/>
      <c r="AQ46" s="752" t="str">
        <f>IFERROR(IF(UnitsTbl[[#This Row],[Gross Monthly Contract Rent]]="","",IF($AV$4="Restricted",UnitsTbl[[#This Row],[Gross Monthly Contract Rent]]-UnitsTbl[[#This Row],[Maximum Net Rent]],IF($AV$4="Proposed",UnitsTbl[[#This Row],[Gross Monthly Contract Rent]]-UnitsTbl[[#This Row],[Proposed Net Rent ]],0))),"")</f>
        <v/>
      </c>
      <c r="AR46" s="864"/>
      <c r="AS46" s="753" t="str">
        <f>IFERROR(IF(UnitsTbl[[#This Row],[Units Subsidized]]="","",UnitsTbl[[#This Row],[Subsidy Payment Over  Net Rent]]*UnitsTbl[[#This Row],[Units Subsidized]]),"")</f>
        <v/>
      </c>
      <c r="AT46" s="754"/>
      <c r="AU46" s="752" t="str">
        <f>IFERROR(IF(UnitsTbl[[#This Row],[Gross Monthly Contract Rent2]]="","",IF($AV$4="Restricted",UnitsTbl[[#This Row],[Gross Monthly Contract Rent2]]-UnitsTbl[[#This Row],[Maximum Net Rent]],IF($AV$4="Proposed",UnitsTbl[[#This Row],[Gross Monthly Contract Rent2]]-UnitsTbl[[#This Row],[Proposed Net Rent ]],""))),"")</f>
        <v/>
      </c>
      <c r="AV46" s="864"/>
      <c r="AW46" s="1261" t="str">
        <f>IFERROR(IF(UnitsTbl[[#This Row],[Units Subsidized2]]="","",UnitsTbl[[#This Row],[Subsidy Payment Over  Net Rent2]]*UnitsTbl[[#This Row],[Units Subsidized2]]),"")</f>
        <v/>
      </c>
      <c r="AX46" s="1354" t="str">
        <f>IF(UnitsTbl[[#This Row],['# of Bedrooms]]="","",IF(UnitsTbl[[#This Row],['# of Bedrooms]]=0,2,IF(UnitsTbl[[#This Row],['# of Bedrooms]]=1,3,IF(UnitsTbl[[#This Row],['# of Bedrooms]]=2,4,IF(UnitsTbl[[#This Row],['# of Bedrooms]]=3,5,IF(UnitsTbl[[#This Row],['# of Bedrooms]]=4,6,IF(UnitsTbl[[#This Row],['# of Bedrooms]]&gt;4,6,"")))))))</f>
        <v/>
      </c>
      <c r="AY46" s="470" t="str">
        <f>IF(UnitsTbl[[#This Row],['# of Bedrooms]]="","",IF(UnitsTbl[[#This Row],['# of Bedrooms]]=0,7,IF(UnitsTbl[[#This Row],['# of Bedrooms]]=1,8,IF(UnitsTbl[[#This Row],['# of Bedrooms]]=2,9,IF(UnitsTbl[[#This Row],['# of Bedrooms]]=3,10,IF(UnitsTbl[[#This Row],['# of Bedrooms]]=4,11,IF(UnitsTbl[[#This Row],['# of Bedrooms]]&gt;4,11,"")))))))</f>
        <v/>
      </c>
      <c r="AZ46" s="470" t="str">
        <f>IF(UnitsTbl[[#This Row],['# of Bedrooms]]="","",IF(UnitsTbl[[#This Row],['# of Bedrooms]]=0,2,IF(UnitsTbl[[#This Row],['# of Bedrooms]]=1,3,IF(UnitsTbl[[#This Row],['# of Bedrooms]]=2,4,IF(UnitsTbl[[#This Row],['# of Bedrooms]]=3,5,IF(UnitsTbl[[#This Row],['# of Bedrooms]]=4,6,IF(UnitsTbl[[#This Row],['# of Bedrooms]]=5,7,"")))))))</f>
        <v/>
      </c>
      <c r="BA46" s="1546">
        <f>MIN(SUM(UnitsTbl[[#This Row],[Disability Homelessness ]],UnitsTbl[[#This Row],[Chronic Homelessness]],UnitsTbl[[#This Row],[Homelessness]]),UnitsTbl[[#This Row],[Total Restricted Units]])</f>
        <v>0</v>
      </c>
      <c r="BB46" s="1546">
        <f>(UnitsTbl[[#This Row],[Restricted Income Level]]&lt;=30%)*UnitsTbl[[#This Row],[Total Restricted Units]]</f>
        <v>0</v>
      </c>
      <c r="BC46" s="1546">
        <f t="shared" si="11"/>
        <v>0</v>
      </c>
      <c r="BH46" s="1348" t="s">
        <v>2464</v>
      </c>
      <c r="BI46" s="483">
        <v>170599</v>
      </c>
      <c r="BJ46" s="483">
        <v>172039</v>
      </c>
      <c r="BK46" s="483">
        <v>176505</v>
      </c>
      <c r="BL46" s="483">
        <v>180682</v>
      </c>
      <c r="BM46" s="483">
        <v>184139</v>
      </c>
      <c r="BN46" s="483">
        <v>195599</v>
      </c>
      <c r="BO46" s="483">
        <v>197039</v>
      </c>
      <c r="BP46" s="483">
        <v>201505</v>
      </c>
      <c r="BQ46" s="483">
        <v>205682</v>
      </c>
      <c r="BR46" s="1344">
        <v>209139</v>
      </c>
      <c r="BS46" s="1545"/>
      <c r="BT46" s="1345" t="s">
        <v>2465</v>
      </c>
      <c r="BU46" s="508">
        <v>58000</v>
      </c>
      <c r="BV46" s="508">
        <v>66300</v>
      </c>
      <c r="BW46" s="508">
        <v>74600</v>
      </c>
      <c r="BX46" s="508">
        <v>82850</v>
      </c>
      <c r="BY46" s="508">
        <v>89500</v>
      </c>
      <c r="BZ46" s="508">
        <v>96150</v>
      </c>
      <c r="CA46" s="508">
        <v>102750</v>
      </c>
      <c r="CB46" s="1346">
        <v>109400</v>
      </c>
      <c r="CC46" s="1545"/>
      <c r="CD46" s="1348" t="s">
        <v>2464</v>
      </c>
      <c r="CE46" s="504">
        <v>115599</v>
      </c>
      <c r="CF46" s="504">
        <v>117039</v>
      </c>
      <c r="CG46" s="504">
        <v>121505</v>
      </c>
      <c r="CH46" s="504">
        <v>125682</v>
      </c>
      <c r="CI46" s="504">
        <v>129139</v>
      </c>
      <c r="CJ46" s="504">
        <v>130599</v>
      </c>
      <c r="CK46" s="504">
        <v>132039</v>
      </c>
      <c r="CL46" s="504">
        <v>136505</v>
      </c>
      <c r="CM46" s="504">
        <v>140682</v>
      </c>
      <c r="CN46" s="1347">
        <v>144139</v>
      </c>
      <c r="CP46" s="1545"/>
      <c r="CQ46" s="690" t="str">
        <f>CONCATENATE(County,0.85)</f>
        <v>Amador0.85</v>
      </c>
      <c r="CR46" s="490">
        <f t="shared" si="26"/>
        <v>1160</v>
      </c>
      <c r="CS46" s="490">
        <f t="shared" si="21"/>
        <v>1243</v>
      </c>
      <c r="CT46" s="490">
        <f t="shared" si="22"/>
        <v>1491</v>
      </c>
      <c r="CU46" s="490">
        <f t="shared" si="23"/>
        <v>1722</v>
      </c>
      <c r="CV46" s="490">
        <f t="shared" si="24"/>
        <v>1921</v>
      </c>
      <c r="CW46" s="1357">
        <f t="shared" si="25"/>
        <v>2119</v>
      </c>
      <c r="CX46" s="1545"/>
    </row>
    <row r="47" spans="1:103" ht="18" customHeight="1">
      <c r="A47" s="1228"/>
      <c r="B47" s="611"/>
      <c r="C47" s="469"/>
      <c r="D47" s="615"/>
      <c r="E47" s="1048"/>
      <c r="F47" s="550"/>
      <c r="G47" s="550"/>
      <c r="H47" s="550"/>
      <c r="I47" s="550"/>
      <c r="J47" s="614"/>
      <c r="K47" s="1048"/>
      <c r="L47" s="550"/>
      <c r="M47" s="550"/>
      <c r="N47" s="550"/>
      <c r="O47" s="550"/>
      <c r="P47" s="550"/>
      <c r="Q47" s="550"/>
      <c r="R47" s="550"/>
      <c r="S47" s="550"/>
      <c r="T47" s="614"/>
      <c r="U47" s="1048"/>
      <c r="V47" s="615"/>
      <c r="W47" s="611"/>
      <c r="X47" s="864"/>
      <c r="Y47" s="615"/>
      <c r="Z47" s="1193">
        <f>IF(OR(UnitsTbl[[#This Row],[Restricted Income Level]]="Manager",UnitsTbl[[#This Row],[Restricted Income Level]]="Market",UnitsTbl[[#This Row],[Restricted Income Level]]&gt;60%),0,MIN(SUM(UnitsTbl[[#This Row],[IIG
Assisted]:[VHHP
Assisted]])+UnitsTbl[[#This Row],[Other Restricted]],UnitsTbl[[#This Row],[Total Units]]))</f>
        <v>0</v>
      </c>
      <c r="AA47" s="1626">
        <f>UnitsTbl[[#This Row],[Total Restricted Units]]*25000+IF(UnitsTbl[[#This Row],[Restricted Income Level]]="Manager",UnitsTbl[[#This Row],[Total Units]]*25000,0)</f>
        <v>0</v>
      </c>
      <c r="AB47"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47"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47"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47"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47" s="1629">
        <f>IFERROR(IF(AND(IsMhp,UnitsTbl[[#This Row],[Restricted Income Level]]="Manager"),UnitsTbl[[#This Row],[Total Units]]*IF(AND(UnitsTbl[[#This Row],[Total Units]]&gt;0,Taxcredit=9%,UnitsTbl[[#This Row],[Restricted Income Level]]="Manager"),95000,IF(AND(IsMhp,UnitsTbl[[#This Row],[Total Units]]&gt;0,Taxcredit=9%),VLOOKUP(CONCATENATE(County,C47),LoanLimit9Tbl[],AX47,FALSE),IF(AND(IsMhp,UnitsTbl[[#This Row],[Total Units]]&gt;0,OR(Taxcredit=4%,Taxcredit="None"),UnitsTbl[[#This Row],[Restricted Income Level]]="Manager"),150000,VLOOKUP(CONCATENATE(County,C47),LoanLimitsTbl[],AX47,FALSE)))),(IF($R$4=FALSE,((UnitsTbl[[#This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Restricted]]&gt;0),IsMhp,Taxcredit=9%),VLOOKUP(CONCATENATE(County,C47),LoanLimit9Tbl[],AX47,FALSE),IF(AND(IsMhp,UnitsTbl[[#This Row],[MHP
Assisted]]&gt;0,UnitsTbl[[#This Row],[Restricted Income Level]]="Manager"),150000,VLOOKUP(CONCATENATE(County,C47),LoanLimitsTbl[],AX47,FALSE))))))),0)</f>
        <v>0</v>
      </c>
      <c r="AG47"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Restricted]]&gt;0),IsMhp,Taxcredit=9%),VLOOKUP(CONCATENATE(County,C47),LoanLimit9Tbl[],AY47,FALSE),IF(AND(OR(UnitsTbl[[#This Row],[MHP
Assisted]]&gt;0,UnitsTbl[[#This Row],[Other Restricted]]&gt;0),UnitsTbl[[#This Row],[Restricted Income Level]]="Manager"),175000,VLOOKUP(CONCATENATE(County,C47),LoanLimitsTbl[],AY47,FALSE)))),IF(UnitsTbl[[#This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Restricted]]&gt;0),IsMhp,Taxcredit=9%),VLOOKUP(CONCATENATE(County,C47),LoanLimit9Tbl[],AY47,FALSE),IF(AND(OR(UnitsTbl[[#This Row],[MHP
Assisted]]&gt;0,UnitsTbl[[#This Row],[Other Restricted]]&gt;0),UnitsTbl[[#This Row],[Restricted Income Level]]="Manager"),175000,VLOOKUP(CONCATENATE(County,C47),LoanLimitsTbl[],AY47,FALSE)))))))),"")</f>
        <v>0</v>
      </c>
      <c r="AH47" s="1248"/>
      <c r="AI47"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47" s="751"/>
      <c r="AK47" s="755"/>
      <c r="AL47" s="752" t="str">
        <f>IFERROR(IF(UnitsTbl[[#This Row],[Max Gross Rent]]=0,"",UnitsTbl[[#This Row],[Max Gross Rent]]-UnitsTbl[[#This Row],[Less Utility Allowance Schedule 1]]-UnitsTbl[[#This Row],[Less Utility Allowance Schedule 2]]),"")</f>
        <v/>
      </c>
      <c r="AM47" s="751"/>
      <c r="AN47" s="752" t="str">
        <f>IF(UnitsTbl[[#This Row],[Proposed Net Rent ]]="","",UnitsTbl[[#This Row],[Total Units]]*UnitsTbl[[#This Row],[Proposed Net Rent ]])</f>
        <v/>
      </c>
      <c r="AO47" s="1250" t="str">
        <f>IFERROR(UnitsTbl[[#This Row],[Total Units]]*UnitsTbl[[#This Row],[Maximum Net Rent]],"")</f>
        <v/>
      </c>
      <c r="AP47" s="1253"/>
      <c r="AQ47" s="752" t="str">
        <f>IFERROR(IF(UnitsTbl[[#This Row],[Gross Monthly Contract Rent]]="","",IF($AV$4="Restricted",UnitsTbl[[#This Row],[Gross Monthly Contract Rent]]-UnitsTbl[[#This Row],[Maximum Net Rent]],IF($AV$4="Proposed",UnitsTbl[[#This Row],[Gross Monthly Contract Rent]]-UnitsTbl[[#This Row],[Proposed Net Rent ]],0))),"")</f>
        <v/>
      </c>
      <c r="AR47" s="864"/>
      <c r="AS47" s="753" t="str">
        <f>IFERROR(IF(UnitsTbl[[#This Row],[Units Subsidized]]="","",UnitsTbl[[#This Row],[Subsidy Payment Over  Net Rent]]*UnitsTbl[[#This Row],[Units Subsidized]]),"")</f>
        <v/>
      </c>
      <c r="AT47" s="754"/>
      <c r="AU47" s="752" t="str">
        <f>IFERROR(IF(UnitsTbl[[#This Row],[Gross Monthly Contract Rent2]]="","",IF($AV$4="Restricted",UnitsTbl[[#This Row],[Gross Monthly Contract Rent2]]-UnitsTbl[[#This Row],[Maximum Net Rent]],IF($AV$4="Proposed",UnitsTbl[[#This Row],[Gross Monthly Contract Rent2]]-UnitsTbl[[#This Row],[Proposed Net Rent ]],""))),"")</f>
        <v/>
      </c>
      <c r="AV47" s="864"/>
      <c r="AW47" s="1261" t="str">
        <f>IFERROR(IF(UnitsTbl[[#This Row],[Units Subsidized2]]="","",UnitsTbl[[#This Row],[Subsidy Payment Over  Net Rent2]]*UnitsTbl[[#This Row],[Units Subsidized2]]),"")</f>
        <v/>
      </c>
      <c r="AX47" s="1354" t="str">
        <f>IF(UnitsTbl[[#This Row],['# of Bedrooms]]="","",IF(UnitsTbl[[#This Row],['# of Bedrooms]]=0,2,IF(UnitsTbl[[#This Row],['# of Bedrooms]]=1,3,IF(UnitsTbl[[#This Row],['# of Bedrooms]]=2,4,IF(UnitsTbl[[#This Row],['# of Bedrooms]]=3,5,IF(UnitsTbl[[#This Row],['# of Bedrooms]]=4,6,IF(UnitsTbl[[#This Row],['# of Bedrooms]]&gt;4,6,"")))))))</f>
        <v/>
      </c>
      <c r="AY47" s="470" t="str">
        <f>IF(UnitsTbl[[#This Row],['# of Bedrooms]]="","",IF(UnitsTbl[[#This Row],['# of Bedrooms]]=0,7,IF(UnitsTbl[[#This Row],['# of Bedrooms]]=1,8,IF(UnitsTbl[[#This Row],['# of Bedrooms]]=2,9,IF(UnitsTbl[[#This Row],['# of Bedrooms]]=3,10,IF(UnitsTbl[[#This Row],['# of Bedrooms]]=4,11,IF(UnitsTbl[[#This Row],['# of Bedrooms]]&gt;4,11,"")))))))</f>
        <v/>
      </c>
      <c r="AZ47" s="470" t="str">
        <f>IF(UnitsTbl[[#This Row],['# of Bedrooms]]="","",IF(UnitsTbl[[#This Row],['# of Bedrooms]]=0,2,IF(UnitsTbl[[#This Row],['# of Bedrooms]]=1,3,IF(UnitsTbl[[#This Row],['# of Bedrooms]]=2,4,IF(UnitsTbl[[#This Row],['# of Bedrooms]]=3,5,IF(UnitsTbl[[#This Row],['# of Bedrooms]]=4,6,IF(UnitsTbl[[#This Row],['# of Bedrooms]]=5,7,"")))))))</f>
        <v/>
      </c>
      <c r="BA47" s="1546">
        <f>MIN(SUM(UnitsTbl[[#This Row],[Disability Homelessness ]],UnitsTbl[[#This Row],[Chronic Homelessness]],UnitsTbl[[#This Row],[Homelessness]]),UnitsTbl[[#This Row],[Total Restricted Units]])</f>
        <v>0</v>
      </c>
      <c r="BB47" s="1546">
        <f>(UnitsTbl[[#This Row],[Restricted Income Level]]&lt;=30%)*UnitsTbl[[#This Row],[Total Restricted Units]]</f>
        <v>0</v>
      </c>
      <c r="BC47" s="1546">
        <f t="shared" si="11"/>
        <v>0</v>
      </c>
      <c r="BH47" s="1348" t="s">
        <v>2466</v>
      </c>
      <c r="BI47" s="483">
        <v>180970</v>
      </c>
      <c r="BJ47" s="483">
        <v>183131</v>
      </c>
      <c r="BK47" s="483">
        <v>189757</v>
      </c>
      <c r="BL47" s="483">
        <v>195951</v>
      </c>
      <c r="BM47" s="483">
        <v>201281</v>
      </c>
      <c r="BN47" s="483">
        <v>205970</v>
      </c>
      <c r="BO47" s="483">
        <v>208131</v>
      </c>
      <c r="BP47" s="483">
        <v>214757</v>
      </c>
      <c r="BQ47" s="483">
        <v>220951</v>
      </c>
      <c r="BR47" s="1344">
        <v>226281</v>
      </c>
      <c r="BS47" s="1545"/>
      <c r="BT47" s="1345" t="s">
        <v>2467</v>
      </c>
      <c r="BU47" s="508">
        <v>48650</v>
      </c>
      <c r="BV47" s="508">
        <v>55600</v>
      </c>
      <c r="BW47" s="508">
        <v>62550</v>
      </c>
      <c r="BX47" s="508">
        <v>69500</v>
      </c>
      <c r="BY47" s="508">
        <v>75100</v>
      </c>
      <c r="BZ47" s="508">
        <v>80650</v>
      </c>
      <c r="CA47" s="508">
        <v>86200</v>
      </c>
      <c r="CB47" s="1346">
        <v>91750</v>
      </c>
      <c r="CC47" s="1545"/>
      <c r="CD47" s="1348" t="s">
        <v>2466</v>
      </c>
      <c r="CE47" s="504">
        <v>125970</v>
      </c>
      <c r="CF47" s="504">
        <v>128131</v>
      </c>
      <c r="CG47" s="504">
        <v>134757</v>
      </c>
      <c r="CH47" s="504">
        <v>140951</v>
      </c>
      <c r="CI47" s="504">
        <v>146281</v>
      </c>
      <c r="CJ47" s="504">
        <v>140970</v>
      </c>
      <c r="CK47" s="504">
        <v>143131</v>
      </c>
      <c r="CL47" s="504">
        <v>149757</v>
      </c>
      <c r="CM47" s="504">
        <v>155951</v>
      </c>
      <c r="CN47" s="1347">
        <v>161281</v>
      </c>
      <c r="CP47" s="1545"/>
      <c r="CQ47" s="690" t="str">
        <f>CONCATENATE(County,0.8)</f>
        <v>Amador0.8</v>
      </c>
      <c r="CR47" s="489">
        <f t="shared" si="26"/>
        <v>1092</v>
      </c>
      <c r="CS47" s="489">
        <f t="shared" si="21"/>
        <v>1170</v>
      </c>
      <c r="CT47" s="489">
        <f t="shared" si="22"/>
        <v>1404</v>
      </c>
      <c r="CU47" s="489">
        <f t="shared" si="23"/>
        <v>1621</v>
      </c>
      <c r="CV47" s="489">
        <f t="shared" si="24"/>
        <v>1808</v>
      </c>
      <c r="CW47" s="1356">
        <f t="shared" si="25"/>
        <v>1995</v>
      </c>
      <c r="CX47" s="1545"/>
    </row>
    <row r="48" spans="1:103" ht="18" customHeight="1">
      <c r="A48" s="1228"/>
      <c r="B48" s="611"/>
      <c r="C48" s="469"/>
      <c r="D48" s="615"/>
      <c r="E48" s="1048"/>
      <c r="F48" s="550"/>
      <c r="G48" s="550"/>
      <c r="H48" s="550"/>
      <c r="I48" s="550"/>
      <c r="J48" s="614"/>
      <c r="K48" s="1048"/>
      <c r="L48" s="550"/>
      <c r="M48" s="550"/>
      <c r="N48" s="550"/>
      <c r="O48" s="550"/>
      <c r="P48" s="550"/>
      <c r="Q48" s="550"/>
      <c r="R48" s="550"/>
      <c r="S48" s="550"/>
      <c r="T48" s="614"/>
      <c r="U48" s="1048"/>
      <c r="V48" s="615"/>
      <c r="W48" s="611"/>
      <c r="X48" s="864"/>
      <c r="Y48" s="615"/>
      <c r="Z48" s="1193">
        <f>IF(OR(UnitsTbl[[#This Row],[Restricted Income Level]]="Manager",UnitsTbl[[#This Row],[Restricted Income Level]]="Market",UnitsTbl[[#This Row],[Restricted Income Level]]&gt;60%),0,MIN(SUM(UnitsTbl[[#This Row],[IIG
Assisted]:[VHHP
Assisted]])+UnitsTbl[[#This Row],[Other Restricted]],UnitsTbl[[#This Row],[Total Units]]))</f>
        <v>0</v>
      </c>
      <c r="AA48" s="1626">
        <f>UnitsTbl[[#This Row],[Total Restricted Units]]*25000+IF(UnitsTbl[[#This Row],[Restricted Income Level]]="Manager",UnitsTbl[[#This Row],[Total Units]]*25000,0)</f>
        <v>0</v>
      </c>
      <c r="AB48"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48"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48"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48"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48" s="1629">
        <f>IFERROR(IF(AND(IsMhp,UnitsTbl[[#This Row],[Restricted Income Level]]="Manager"),UnitsTbl[[#This Row],[Total Units]]*IF(AND(UnitsTbl[[#This Row],[Total Units]]&gt;0,Taxcredit=9%,UnitsTbl[[#This Row],[Restricted Income Level]]="Manager"),95000,IF(AND(IsMhp,UnitsTbl[[#This Row],[Total Units]]&gt;0,Taxcredit=9%),VLOOKUP(CONCATENATE(County,C48),LoanLimit9Tbl[],AX48,FALSE),IF(AND(IsMhp,UnitsTbl[[#This Row],[Total Units]]&gt;0,OR(Taxcredit=4%,Taxcredit="None"),UnitsTbl[[#This Row],[Restricted Income Level]]="Manager"),150000,VLOOKUP(CONCATENATE(County,C48),LoanLimitsTbl[],AX48,FALSE)))),(IF($R$4=FALSE,((UnitsTbl[[#This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Restricted]]&gt;0),IsMhp,Taxcredit=9%),VLOOKUP(CONCATENATE(County,C48),LoanLimit9Tbl[],AX48,FALSE),IF(AND(IsMhp,UnitsTbl[[#This Row],[MHP
Assisted]]&gt;0,UnitsTbl[[#This Row],[Restricted Income Level]]="Manager"),150000,VLOOKUP(CONCATENATE(County,C48),LoanLimitsTbl[],AX48,FALSE))))))),0)</f>
        <v>0</v>
      </c>
      <c r="AG48"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Restricted]]&gt;0),IsMhp,Taxcredit=9%),VLOOKUP(CONCATENATE(County,C48),LoanLimit9Tbl[],AY48,FALSE),IF(AND(OR(UnitsTbl[[#This Row],[MHP
Assisted]]&gt;0,UnitsTbl[[#This Row],[Other Restricted]]&gt;0),UnitsTbl[[#This Row],[Restricted Income Level]]="Manager"),175000,VLOOKUP(CONCATENATE(County,C48),LoanLimitsTbl[],AY48,FALSE)))),IF(UnitsTbl[[#This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Restricted]]&gt;0),IsMhp,Taxcredit=9%),VLOOKUP(CONCATENATE(County,C48),LoanLimit9Tbl[],AY48,FALSE),IF(AND(OR(UnitsTbl[[#This Row],[MHP
Assisted]]&gt;0,UnitsTbl[[#This Row],[Other Restricted]]&gt;0),UnitsTbl[[#This Row],[Restricted Income Level]]="Manager"),175000,VLOOKUP(CONCATENATE(County,C48),LoanLimitsTbl[],AY48,FALSE)))))))),"")</f>
        <v>0</v>
      </c>
      <c r="AH48" s="1248"/>
      <c r="AI48"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48" s="751"/>
      <c r="AK48" s="755"/>
      <c r="AL48" s="752" t="str">
        <f>IFERROR(IF(UnitsTbl[[#This Row],[Max Gross Rent]]=0,"",UnitsTbl[[#This Row],[Max Gross Rent]]-UnitsTbl[[#This Row],[Less Utility Allowance Schedule 1]]-UnitsTbl[[#This Row],[Less Utility Allowance Schedule 2]]),"")</f>
        <v/>
      </c>
      <c r="AM48" s="751"/>
      <c r="AN48" s="752" t="str">
        <f>IF(UnitsTbl[[#This Row],[Proposed Net Rent ]]="","",UnitsTbl[[#This Row],[Total Units]]*UnitsTbl[[#This Row],[Proposed Net Rent ]])</f>
        <v/>
      </c>
      <c r="AO48" s="1250" t="str">
        <f>IFERROR(UnitsTbl[[#This Row],[Total Units]]*UnitsTbl[[#This Row],[Maximum Net Rent]],"")</f>
        <v/>
      </c>
      <c r="AP48" s="1253"/>
      <c r="AQ48" s="752" t="str">
        <f>IFERROR(IF(UnitsTbl[[#This Row],[Gross Monthly Contract Rent]]="","",IF($AV$4="Restricted",UnitsTbl[[#This Row],[Gross Monthly Contract Rent]]-UnitsTbl[[#This Row],[Maximum Net Rent]],IF($AV$4="Proposed",UnitsTbl[[#This Row],[Gross Monthly Contract Rent]]-UnitsTbl[[#This Row],[Proposed Net Rent ]],0))),"")</f>
        <v/>
      </c>
      <c r="AR48" s="864"/>
      <c r="AS48" s="753" t="str">
        <f>IFERROR(IF(UnitsTbl[[#This Row],[Units Subsidized]]="","",UnitsTbl[[#This Row],[Subsidy Payment Over  Net Rent]]*UnitsTbl[[#This Row],[Units Subsidized]]),"")</f>
        <v/>
      </c>
      <c r="AT48" s="754"/>
      <c r="AU48" s="752" t="str">
        <f>IFERROR(IF(UnitsTbl[[#This Row],[Gross Monthly Contract Rent2]]="","",IF($AV$4="Restricted",UnitsTbl[[#This Row],[Gross Monthly Contract Rent2]]-UnitsTbl[[#This Row],[Maximum Net Rent]],IF($AV$4="Proposed",UnitsTbl[[#This Row],[Gross Monthly Contract Rent2]]-UnitsTbl[[#This Row],[Proposed Net Rent ]],""))),"")</f>
        <v/>
      </c>
      <c r="AV48" s="864"/>
      <c r="AW48" s="1261" t="str">
        <f>IFERROR(IF(UnitsTbl[[#This Row],[Units Subsidized2]]="","",UnitsTbl[[#This Row],[Subsidy Payment Over  Net Rent2]]*UnitsTbl[[#This Row],[Units Subsidized2]]),"")</f>
        <v/>
      </c>
      <c r="AX48" s="1354" t="str">
        <f>IF(UnitsTbl[[#This Row],['# of Bedrooms]]="","",IF(UnitsTbl[[#This Row],['# of Bedrooms]]=0,2,IF(UnitsTbl[[#This Row],['# of Bedrooms]]=1,3,IF(UnitsTbl[[#This Row],['# of Bedrooms]]=2,4,IF(UnitsTbl[[#This Row],['# of Bedrooms]]=3,5,IF(UnitsTbl[[#This Row],['# of Bedrooms]]=4,6,IF(UnitsTbl[[#This Row],['# of Bedrooms]]&gt;4,6,"")))))))</f>
        <v/>
      </c>
      <c r="AY48" s="470" t="str">
        <f>IF(UnitsTbl[[#This Row],['# of Bedrooms]]="","",IF(UnitsTbl[[#This Row],['# of Bedrooms]]=0,7,IF(UnitsTbl[[#This Row],['# of Bedrooms]]=1,8,IF(UnitsTbl[[#This Row],['# of Bedrooms]]=2,9,IF(UnitsTbl[[#This Row],['# of Bedrooms]]=3,10,IF(UnitsTbl[[#This Row],['# of Bedrooms]]=4,11,IF(UnitsTbl[[#This Row],['# of Bedrooms]]&gt;4,11,"")))))))</f>
        <v/>
      </c>
      <c r="AZ48" s="470" t="str">
        <f>IF(UnitsTbl[[#This Row],['# of Bedrooms]]="","",IF(UnitsTbl[[#This Row],['# of Bedrooms]]=0,2,IF(UnitsTbl[[#This Row],['# of Bedrooms]]=1,3,IF(UnitsTbl[[#This Row],['# of Bedrooms]]=2,4,IF(UnitsTbl[[#This Row],['# of Bedrooms]]=3,5,IF(UnitsTbl[[#This Row],['# of Bedrooms]]=4,6,IF(UnitsTbl[[#This Row],['# of Bedrooms]]=5,7,"")))))))</f>
        <v/>
      </c>
      <c r="BA48" s="1546">
        <f>MIN(SUM(UnitsTbl[[#This Row],[Disability Homelessness ]],UnitsTbl[[#This Row],[Chronic Homelessness]],UnitsTbl[[#This Row],[Homelessness]]),UnitsTbl[[#This Row],[Total Restricted Units]])</f>
        <v>0</v>
      </c>
      <c r="BB48" s="1546">
        <f>(UnitsTbl[[#This Row],[Restricted Income Level]]&lt;=30%)*UnitsTbl[[#This Row],[Total Restricted Units]]</f>
        <v>0</v>
      </c>
      <c r="BC48" s="1546">
        <f t="shared" si="11"/>
        <v>0</v>
      </c>
      <c r="BH48" s="1348" t="s">
        <v>2468</v>
      </c>
      <c r="BI48" s="483">
        <v>191198</v>
      </c>
      <c r="BJ48" s="483">
        <v>194078</v>
      </c>
      <c r="BK48" s="483">
        <v>203009</v>
      </c>
      <c r="BL48" s="483">
        <v>211220</v>
      </c>
      <c r="BM48" s="483">
        <v>218278</v>
      </c>
      <c r="BN48" s="483">
        <v>216198</v>
      </c>
      <c r="BO48" s="483">
        <v>219078</v>
      </c>
      <c r="BP48" s="483">
        <v>228009</v>
      </c>
      <c r="BQ48" s="483">
        <v>236220</v>
      </c>
      <c r="BR48" s="1344">
        <v>243278</v>
      </c>
      <c r="BS48" s="1545"/>
      <c r="BT48" s="1345" t="s">
        <v>2469</v>
      </c>
      <c r="BU48" s="508">
        <v>24850</v>
      </c>
      <c r="BV48" s="508">
        <v>28400</v>
      </c>
      <c r="BW48" s="508">
        <v>31950</v>
      </c>
      <c r="BX48" s="508">
        <v>35500</v>
      </c>
      <c r="BY48" s="508">
        <v>38350</v>
      </c>
      <c r="BZ48" s="508">
        <v>41200</v>
      </c>
      <c r="CA48" s="508">
        <v>44050</v>
      </c>
      <c r="CB48" s="1346">
        <v>46900</v>
      </c>
      <c r="CC48" s="1545"/>
      <c r="CD48" s="1348" t="s">
        <v>2468</v>
      </c>
      <c r="CE48" s="504">
        <v>136198</v>
      </c>
      <c r="CF48" s="504">
        <v>139078</v>
      </c>
      <c r="CG48" s="504">
        <v>148009</v>
      </c>
      <c r="CH48" s="504">
        <v>156220</v>
      </c>
      <c r="CI48" s="504">
        <v>163278</v>
      </c>
      <c r="CJ48" s="504">
        <v>151198</v>
      </c>
      <c r="CK48" s="504">
        <v>154078</v>
      </c>
      <c r="CL48" s="504">
        <v>163009</v>
      </c>
      <c r="CM48" s="504">
        <v>171220</v>
      </c>
      <c r="CN48" s="1347">
        <v>178278</v>
      </c>
      <c r="CP48" s="1545"/>
      <c r="CQ48" s="690" t="str">
        <f>CONCATENATE(County,0.75)</f>
        <v>Amador0.75</v>
      </c>
      <c r="CR48" s="489">
        <f t="shared" si="26"/>
        <v>1023</v>
      </c>
      <c r="CS48" s="489">
        <f t="shared" si="21"/>
        <v>1096</v>
      </c>
      <c r="CT48" s="489">
        <f t="shared" si="22"/>
        <v>1316</v>
      </c>
      <c r="CU48" s="489">
        <f t="shared" si="23"/>
        <v>1519</v>
      </c>
      <c r="CV48" s="489">
        <f t="shared" si="24"/>
        <v>1695</v>
      </c>
      <c r="CW48" s="1356">
        <f t="shared" si="25"/>
        <v>1870</v>
      </c>
      <c r="CX48" s="1545"/>
    </row>
    <row r="49" spans="1:101" ht="18" customHeight="1">
      <c r="A49" s="1228"/>
      <c r="B49" s="611"/>
      <c r="C49" s="469"/>
      <c r="D49" s="615"/>
      <c r="E49" s="1048"/>
      <c r="F49" s="550"/>
      <c r="G49" s="550"/>
      <c r="H49" s="550"/>
      <c r="I49" s="550"/>
      <c r="J49" s="614"/>
      <c r="K49" s="1048"/>
      <c r="L49" s="550"/>
      <c r="M49" s="550"/>
      <c r="N49" s="550"/>
      <c r="O49" s="550"/>
      <c r="P49" s="550"/>
      <c r="Q49" s="550"/>
      <c r="R49" s="550"/>
      <c r="S49" s="550"/>
      <c r="T49" s="614"/>
      <c r="U49" s="1048"/>
      <c r="V49" s="615"/>
      <c r="W49" s="611"/>
      <c r="X49" s="864"/>
      <c r="Y49" s="615"/>
      <c r="Z49" s="1193">
        <f>IF(OR(UnitsTbl[[#This Row],[Restricted Income Level]]="Manager",UnitsTbl[[#This Row],[Restricted Income Level]]="Market",UnitsTbl[[#This Row],[Restricted Income Level]]&gt;60%),0,MIN(SUM(UnitsTbl[[#This Row],[IIG
Assisted]:[VHHP
Assisted]])+UnitsTbl[[#This Row],[Other Restricted]],UnitsTbl[[#This Row],[Total Units]]))</f>
        <v>0</v>
      </c>
      <c r="AA49" s="1626">
        <f>UnitsTbl[[#This Row],[Total Restricted Units]]*25000+IF(UnitsTbl[[#This Row],[Restricted Income Level]]="Manager",UnitsTbl[[#This Row],[Total Units]]*25000,0)</f>
        <v>0</v>
      </c>
      <c r="AB49"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49"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49"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49"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49" s="1629">
        <f>IFERROR(IF(AND(IsMhp,UnitsTbl[[#This Row],[Restricted Income Level]]="Manager"),UnitsTbl[[#This Row],[Total Units]]*IF(AND(UnitsTbl[[#This Row],[Total Units]]&gt;0,Taxcredit=9%,UnitsTbl[[#This Row],[Restricted Income Level]]="Manager"),95000,IF(AND(IsMhp,UnitsTbl[[#This Row],[Total Units]]&gt;0,Taxcredit=9%),VLOOKUP(CONCATENATE(County,C49),LoanLimit9Tbl[],AX49,FALSE),IF(AND(IsMhp,UnitsTbl[[#This Row],[Total Units]]&gt;0,OR(Taxcredit=4%,Taxcredit="None"),UnitsTbl[[#This Row],[Restricted Income Level]]="Manager"),150000,VLOOKUP(CONCATENATE(County,C49),LoanLimitsTbl[],AX49,FALSE)))),(IF($R$4=FALSE,((UnitsTbl[[#This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Restricted]]&gt;0),IsMhp,Taxcredit=9%),VLOOKUP(CONCATENATE(County,C49),LoanLimit9Tbl[],AX49,FALSE),IF(AND(IsMhp,UnitsTbl[[#This Row],[MHP
Assisted]]&gt;0,UnitsTbl[[#This Row],[Restricted Income Level]]="Manager"),150000,VLOOKUP(CONCATENATE(County,C49),LoanLimitsTbl[],AX49,FALSE))))))),0)</f>
        <v>0</v>
      </c>
      <c r="AG49"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Restricted]]&gt;0),IsMhp,Taxcredit=9%),VLOOKUP(CONCATENATE(County,C49),LoanLimit9Tbl[],AY49,FALSE),IF(AND(OR(UnitsTbl[[#This Row],[MHP
Assisted]]&gt;0,UnitsTbl[[#This Row],[Other Restricted]]&gt;0),UnitsTbl[[#This Row],[Restricted Income Level]]="Manager"),175000,VLOOKUP(CONCATENATE(County,C49),LoanLimitsTbl[],AY49,FALSE)))),IF(UnitsTbl[[#This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Restricted]]&gt;0),IsMhp,Taxcredit=9%),VLOOKUP(CONCATENATE(County,C49),LoanLimit9Tbl[],AY49,FALSE),IF(AND(OR(UnitsTbl[[#This Row],[MHP
Assisted]]&gt;0,UnitsTbl[[#This Row],[Other Restricted]]&gt;0),UnitsTbl[[#This Row],[Restricted Income Level]]="Manager"),175000,VLOOKUP(CONCATENATE(County,C49),LoanLimitsTbl[],AY49,FALSE)))))))),"")</f>
        <v>0</v>
      </c>
      <c r="AH49" s="1248"/>
      <c r="AI49"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49" s="751"/>
      <c r="AK49" s="755"/>
      <c r="AL49" s="752" t="str">
        <f>IFERROR(IF(UnitsTbl[[#This Row],[Max Gross Rent]]=0,"",UnitsTbl[[#This Row],[Max Gross Rent]]-UnitsTbl[[#This Row],[Less Utility Allowance Schedule 1]]-UnitsTbl[[#This Row],[Less Utility Allowance Schedule 2]]),"")</f>
        <v/>
      </c>
      <c r="AM49" s="751"/>
      <c r="AN49" s="752" t="str">
        <f>IF(UnitsTbl[[#This Row],[Proposed Net Rent ]]="","",UnitsTbl[[#This Row],[Total Units]]*UnitsTbl[[#This Row],[Proposed Net Rent ]])</f>
        <v/>
      </c>
      <c r="AO49" s="1250" t="str">
        <f>IFERROR(UnitsTbl[[#This Row],[Total Units]]*UnitsTbl[[#This Row],[Maximum Net Rent]],"")</f>
        <v/>
      </c>
      <c r="AP49" s="1253"/>
      <c r="AQ49" s="752" t="str">
        <f>IFERROR(IF(UnitsTbl[[#This Row],[Gross Monthly Contract Rent]]="","",IF($AV$4="Restricted",UnitsTbl[[#This Row],[Gross Monthly Contract Rent]]-UnitsTbl[[#This Row],[Maximum Net Rent]],IF($AV$4="Proposed",UnitsTbl[[#This Row],[Gross Monthly Contract Rent]]-UnitsTbl[[#This Row],[Proposed Net Rent ]],0))),"")</f>
        <v/>
      </c>
      <c r="AR49" s="864"/>
      <c r="AS49" s="753" t="str">
        <f>IFERROR(IF(UnitsTbl[[#This Row],[Units Subsidized]]="","",UnitsTbl[[#This Row],[Subsidy Payment Over  Net Rent]]*UnitsTbl[[#This Row],[Units Subsidized]]),"")</f>
        <v/>
      </c>
      <c r="AT49" s="754"/>
      <c r="AU49" s="752" t="str">
        <f>IFERROR(IF(UnitsTbl[[#This Row],[Gross Monthly Contract Rent2]]="","",IF($AV$4="Restricted",UnitsTbl[[#This Row],[Gross Monthly Contract Rent2]]-UnitsTbl[[#This Row],[Maximum Net Rent]],IF($AV$4="Proposed",UnitsTbl[[#This Row],[Gross Monthly Contract Rent2]]-UnitsTbl[[#This Row],[Proposed Net Rent ]],""))),"")</f>
        <v/>
      </c>
      <c r="AV49" s="864"/>
      <c r="AW49" s="1261" t="str">
        <f>IFERROR(IF(UnitsTbl[[#This Row],[Units Subsidized2]]="","",UnitsTbl[[#This Row],[Subsidy Payment Over  Net Rent2]]*UnitsTbl[[#This Row],[Units Subsidized2]]),"")</f>
        <v/>
      </c>
      <c r="AX49" s="1354" t="str">
        <f>IF(UnitsTbl[[#This Row],['# of Bedrooms]]="","",IF(UnitsTbl[[#This Row],['# of Bedrooms]]=0,2,IF(UnitsTbl[[#This Row],['# of Bedrooms]]=1,3,IF(UnitsTbl[[#This Row],['# of Bedrooms]]=2,4,IF(UnitsTbl[[#This Row],['# of Bedrooms]]=3,5,IF(UnitsTbl[[#This Row],['# of Bedrooms]]=4,6,IF(UnitsTbl[[#This Row],['# of Bedrooms]]&gt;4,6,"")))))))</f>
        <v/>
      </c>
      <c r="AY49" s="470" t="str">
        <f>IF(UnitsTbl[[#This Row],['# of Bedrooms]]="","",IF(UnitsTbl[[#This Row],['# of Bedrooms]]=0,7,IF(UnitsTbl[[#This Row],['# of Bedrooms]]=1,8,IF(UnitsTbl[[#This Row],['# of Bedrooms]]=2,9,IF(UnitsTbl[[#This Row],['# of Bedrooms]]=3,10,IF(UnitsTbl[[#This Row],['# of Bedrooms]]=4,11,IF(UnitsTbl[[#This Row],['# of Bedrooms]]&gt;4,11,"")))))))</f>
        <v/>
      </c>
      <c r="AZ49" s="470" t="str">
        <f>IF(UnitsTbl[[#This Row],['# of Bedrooms]]="","",IF(UnitsTbl[[#This Row],['# of Bedrooms]]=0,2,IF(UnitsTbl[[#This Row],['# of Bedrooms]]=1,3,IF(UnitsTbl[[#This Row],['# of Bedrooms]]=2,4,IF(UnitsTbl[[#This Row],['# of Bedrooms]]=3,5,IF(UnitsTbl[[#This Row],['# of Bedrooms]]=4,6,IF(UnitsTbl[[#This Row],['# of Bedrooms]]=5,7,"")))))))</f>
        <v/>
      </c>
      <c r="BA49" s="1546">
        <f>MIN(SUM(UnitsTbl[[#This Row],[Disability Homelessness ]],UnitsTbl[[#This Row],[Chronic Homelessness]],UnitsTbl[[#This Row],[Homelessness]]),UnitsTbl[[#This Row],[Total Restricted Units]])</f>
        <v>0</v>
      </c>
      <c r="BB49" s="1546">
        <f>(UnitsTbl[[#This Row],[Restricted Income Level]]&lt;=30%)*UnitsTbl[[#This Row],[Total Restricted Units]]</f>
        <v>0</v>
      </c>
      <c r="BC49" s="1546">
        <f t="shared" si="11"/>
        <v>0</v>
      </c>
      <c r="BH49" s="1348" t="s">
        <v>2470</v>
      </c>
      <c r="BI49" s="483">
        <v>201569</v>
      </c>
      <c r="BJ49" s="483">
        <v>205170</v>
      </c>
      <c r="BK49" s="483">
        <v>216262</v>
      </c>
      <c r="BL49" s="483">
        <v>226633</v>
      </c>
      <c r="BM49" s="483">
        <v>235420</v>
      </c>
      <c r="BN49" s="483">
        <v>226569</v>
      </c>
      <c r="BO49" s="483">
        <v>230170</v>
      </c>
      <c r="BP49" s="483">
        <v>241262</v>
      </c>
      <c r="BQ49" s="483">
        <v>251633</v>
      </c>
      <c r="BR49" s="1344">
        <v>260420</v>
      </c>
      <c r="BS49" s="1545"/>
      <c r="BT49" s="1345" t="s">
        <v>2471</v>
      </c>
      <c r="BU49" s="508">
        <v>29600</v>
      </c>
      <c r="BV49" s="508">
        <v>33800</v>
      </c>
      <c r="BW49" s="508">
        <v>38050</v>
      </c>
      <c r="BX49" s="508">
        <v>42250</v>
      </c>
      <c r="BY49" s="508">
        <v>45650</v>
      </c>
      <c r="BZ49" s="508">
        <v>49050</v>
      </c>
      <c r="CA49" s="508">
        <v>52400</v>
      </c>
      <c r="CB49" s="1346">
        <v>55800</v>
      </c>
      <c r="CC49" s="1545"/>
      <c r="CD49" s="1348" t="s">
        <v>2470</v>
      </c>
      <c r="CE49" s="504">
        <v>146569</v>
      </c>
      <c r="CF49" s="504">
        <v>150170</v>
      </c>
      <c r="CG49" s="504">
        <v>161262</v>
      </c>
      <c r="CH49" s="504">
        <v>171633</v>
      </c>
      <c r="CI49" s="504">
        <v>180420</v>
      </c>
      <c r="CJ49" s="504">
        <v>161569</v>
      </c>
      <c r="CK49" s="504">
        <v>165170</v>
      </c>
      <c r="CL49" s="504">
        <v>176262</v>
      </c>
      <c r="CM49" s="504">
        <v>186633</v>
      </c>
      <c r="CN49" s="1347">
        <v>195420</v>
      </c>
      <c r="CP49" s="1545"/>
      <c r="CQ49" s="690" t="str">
        <f>CONCATENATE(County,0.7)</f>
        <v>Amador0.7</v>
      </c>
      <c r="CR49" s="489">
        <f t="shared" si="26"/>
        <v>955</v>
      </c>
      <c r="CS49" s="489">
        <f t="shared" si="21"/>
        <v>1023</v>
      </c>
      <c r="CT49" s="489">
        <f t="shared" si="22"/>
        <v>1228</v>
      </c>
      <c r="CU49" s="489">
        <f t="shared" si="23"/>
        <v>1418</v>
      </c>
      <c r="CV49" s="489">
        <f t="shared" si="24"/>
        <v>1582</v>
      </c>
      <c r="CW49" s="1356">
        <f t="shared" si="25"/>
        <v>1745</v>
      </c>
    </row>
    <row r="50" spans="1:101" ht="18" customHeight="1">
      <c r="A50" s="1228"/>
      <c r="B50" s="611"/>
      <c r="C50" s="469"/>
      <c r="D50" s="615"/>
      <c r="E50" s="1048"/>
      <c r="F50" s="550"/>
      <c r="G50" s="550"/>
      <c r="H50" s="550"/>
      <c r="I50" s="550"/>
      <c r="J50" s="614"/>
      <c r="K50" s="1048"/>
      <c r="L50" s="550"/>
      <c r="M50" s="550"/>
      <c r="N50" s="550"/>
      <c r="O50" s="550"/>
      <c r="P50" s="550"/>
      <c r="Q50" s="550"/>
      <c r="R50" s="550"/>
      <c r="S50" s="550"/>
      <c r="T50" s="614"/>
      <c r="U50" s="1048"/>
      <c r="V50" s="615"/>
      <c r="W50" s="611"/>
      <c r="X50" s="864"/>
      <c r="Y50" s="615"/>
      <c r="Z50" s="1193">
        <f>IF(OR(UnitsTbl[[#This Row],[Restricted Income Level]]="Manager",UnitsTbl[[#This Row],[Restricted Income Level]]="Market",UnitsTbl[[#This Row],[Restricted Income Level]]&gt;60%),0,MIN(SUM(UnitsTbl[[#This Row],[IIG
Assisted]:[VHHP
Assisted]])+UnitsTbl[[#This Row],[Other Restricted]],UnitsTbl[[#This Row],[Total Units]]))</f>
        <v>0</v>
      </c>
      <c r="AA50" s="1626">
        <f>UnitsTbl[[#This Row],[Total Restricted Units]]*25000+IF(UnitsTbl[[#This Row],[Restricted Income Level]]="Manager",UnitsTbl[[#This Row],[Total Units]]*25000,0)</f>
        <v>0</v>
      </c>
      <c r="AB50"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50"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50"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50"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50" s="1629">
        <f>IFERROR(IF(AND(IsMhp,UnitsTbl[[#This Row],[Restricted Income Level]]="Manager"),UnitsTbl[[#This Row],[Total Units]]*IF(AND(UnitsTbl[[#This Row],[Total Units]]&gt;0,Taxcredit=9%,UnitsTbl[[#This Row],[Restricted Income Level]]="Manager"),95000,IF(AND(IsMhp,UnitsTbl[[#This Row],[Total Units]]&gt;0,Taxcredit=9%),VLOOKUP(CONCATENATE(County,C50),LoanLimit9Tbl[],AX50,FALSE),IF(AND(IsMhp,UnitsTbl[[#This Row],[Total Units]]&gt;0,OR(Taxcredit=4%,Taxcredit="None"),UnitsTbl[[#This Row],[Restricted Income Level]]="Manager"),150000,VLOOKUP(CONCATENATE(County,C50),LoanLimitsTbl[],AX50,FALSE)))),(IF($R$4=FALSE,((UnitsTbl[[#This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Restricted]]&gt;0),IsMhp,Taxcredit=9%),VLOOKUP(CONCATENATE(County,C50),LoanLimit9Tbl[],AX50,FALSE),IF(AND(IsMhp,UnitsTbl[[#This Row],[MHP
Assisted]]&gt;0,UnitsTbl[[#This Row],[Restricted Income Level]]="Manager"),150000,VLOOKUP(CONCATENATE(County,C50),LoanLimitsTbl[],AX50,FALSE))))))),0)</f>
        <v>0</v>
      </c>
      <c r="AG50"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Restricted]]&gt;0),IsMhp,Taxcredit=9%),VLOOKUP(CONCATENATE(County,C50),LoanLimit9Tbl[],AY50,FALSE),IF(AND(OR(UnitsTbl[[#This Row],[MHP
Assisted]]&gt;0,UnitsTbl[[#This Row],[Other Restricted]]&gt;0),UnitsTbl[[#This Row],[Restricted Income Level]]="Manager"),175000,VLOOKUP(CONCATENATE(County,C50),LoanLimitsTbl[],AY50,FALSE)))),IF(UnitsTbl[[#This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Restricted]]&gt;0),IsMhp,Taxcredit=9%),VLOOKUP(CONCATENATE(County,C50),LoanLimit9Tbl[],AY50,FALSE),IF(AND(OR(UnitsTbl[[#This Row],[MHP
Assisted]]&gt;0,UnitsTbl[[#This Row],[Other Restricted]]&gt;0),UnitsTbl[[#This Row],[Restricted Income Level]]="Manager"),175000,VLOOKUP(CONCATENATE(County,C50),LoanLimitsTbl[],AY50,FALSE)))))))),"")</f>
        <v>0</v>
      </c>
      <c r="AH50" s="1248"/>
      <c r="AI50"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50" s="751"/>
      <c r="AK50" s="755"/>
      <c r="AL50" s="752" t="str">
        <f>IFERROR(IF(UnitsTbl[[#This Row],[Max Gross Rent]]=0,"",UnitsTbl[[#This Row],[Max Gross Rent]]-UnitsTbl[[#This Row],[Less Utility Allowance Schedule 1]]-UnitsTbl[[#This Row],[Less Utility Allowance Schedule 2]]),"")</f>
        <v/>
      </c>
      <c r="AM50" s="751"/>
      <c r="AN50" s="752" t="str">
        <f>IF(UnitsTbl[[#This Row],[Proposed Net Rent ]]="","",UnitsTbl[[#This Row],[Total Units]]*UnitsTbl[[#This Row],[Proposed Net Rent ]])</f>
        <v/>
      </c>
      <c r="AO50" s="1250" t="str">
        <f>IFERROR(UnitsTbl[[#This Row],[Total Units]]*UnitsTbl[[#This Row],[Maximum Net Rent]],"")</f>
        <v/>
      </c>
      <c r="AP50" s="1253"/>
      <c r="AQ50" s="752" t="str">
        <f>IFERROR(IF(UnitsTbl[[#This Row],[Gross Monthly Contract Rent]]="","",IF($AV$4="Restricted",UnitsTbl[[#This Row],[Gross Monthly Contract Rent]]-UnitsTbl[[#This Row],[Maximum Net Rent]],IF($AV$4="Proposed",UnitsTbl[[#This Row],[Gross Monthly Contract Rent]]-UnitsTbl[[#This Row],[Proposed Net Rent ]],0))),"")</f>
        <v/>
      </c>
      <c r="AR50" s="864"/>
      <c r="AS50" s="753" t="str">
        <f>IFERROR(IF(UnitsTbl[[#This Row],[Units Subsidized]]="","",UnitsTbl[[#This Row],[Subsidy Payment Over  Net Rent]]*UnitsTbl[[#This Row],[Units Subsidized]]),"")</f>
        <v/>
      </c>
      <c r="AT50" s="754"/>
      <c r="AU50" s="752" t="str">
        <f>IFERROR(IF(UnitsTbl[[#This Row],[Gross Monthly Contract Rent2]]="","",IF($AV$4="Restricted",UnitsTbl[[#This Row],[Gross Monthly Contract Rent2]]-UnitsTbl[[#This Row],[Maximum Net Rent]],IF($AV$4="Proposed",UnitsTbl[[#This Row],[Gross Monthly Contract Rent2]]-UnitsTbl[[#This Row],[Proposed Net Rent ]],""))),"")</f>
        <v/>
      </c>
      <c r="AV50" s="864"/>
      <c r="AW50" s="1261" t="str">
        <f>IFERROR(IF(UnitsTbl[[#This Row],[Units Subsidized2]]="","",UnitsTbl[[#This Row],[Subsidy Payment Over  Net Rent2]]*UnitsTbl[[#This Row],[Units Subsidized2]]),"")</f>
        <v/>
      </c>
      <c r="AX50" s="1354" t="str">
        <f>IF(UnitsTbl[[#This Row],['# of Bedrooms]]="","",IF(UnitsTbl[[#This Row],['# of Bedrooms]]=0,2,IF(UnitsTbl[[#This Row],['# of Bedrooms]]=1,3,IF(UnitsTbl[[#This Row],['# of Bedrooms]]=2,4,IF(UnitsTbl[[#This Row],['# of Bedrooms]]=3,5,IF(UnitsTbl[[#This Row],['# of Bedrooms]]=4,6,IF(UnitsTbl[[#This Row],['# of Bedrooms]]&gt;4,6,"")))))))</f>
        <v/>
      </c>
      <c r="AY50" s="470" t="str">
        <f>IF(UnitsTbl[[#This Row],['# of Bedrooms]]="","",IF(UnitsTbl[[#This Row],['# of Bedrooms]]=0,7,IF(UnitsTbl[[#This Row],['# of Bedrooms]]=1,8,IF(UnitsTbl[[#This Row],['# of Bedrooms]]=2,9,IF(UnitsTbl[[#This Row],['# of Bedrooms]]=3,10,IF(UnitsTbl[[#This Row],['# of Bedrooms]]=4,11,IF(UnitsTbl[[#This Row],['# of Bedrooms]]&gt;4,11,"")))))))</f>
        <v/>
      </c>
      <c r="AZ50" s="470" t="str">
        <f>IF(UnitsTbl[[#This Row],['# of Bedrooms]]="","",IF(UnitsTbl[[#This Row],['# of Bedrooms]]=0,2,IF(UnitsTbl[[#This Row],['# of Bedrooms]]=1,3,IF(UnitsTbl[[#This Row],['# of Bedrooms]]=2,4,IF(UnitsTbl[[#This Row],['# of Bedrooms]]=3,5,IF(UnitsTbl[[#This Row],['# of Bedrooms]]=4,6,IF(UnitsTbl[[#This Row],['# of Bedrooms]]=5,7,"")))))))</f>
        <v/>
      </c>
      <c r="BA50" s="1546">
        <f>MIN(SUM(UnitsTbl[[#This Row],[Disability Homelessness ]],UnitsTbl[[#This Row],[Chronic Homelessness]],UnitsTbl[[#This Row],[Homelessness]]),UnitsTbl[[#This Row],[Total Restricted Units]])</f>
        <v>0</v>
      </c>
      <c r="BB50" s="1546">
        <f>(UnitsTbl[[#This Row],[Restricted Income Level]]&lt;=30%)*UnitsTbl[[#This Row],[Total Restricted Units]]</f>
        <v>0</v>
      </c>
      <c r="BC50" s="1546">
        <f t="shared" si="11"/>
        <v>0</v>
      </c>
      <c r="BH50" s="1348" t="s">
        <v>2472</v>
      </c>
      <c r="BI50" s="483">
        <v>211796</v>
      </c>
      <c r="BJ50" s="483">
        <v>216262</v>
      </c>
      <c r="BK50" s="483">
        <v>229514</v>
      </c>
      <c r="BL50" s="483">
        <v>241902</v>
      </c>
      <c r="BM50" s="483">
        <v>252418</v>
      </c>
      <c r="BN50" s="483">
        <v>236796</v>
      </c>
      <c r="BO50" s="483">
        <v>241262</v>
      </c>
      <c r="BP50" s="483">
        <v>254514</v>
      </c>
      <c r="BQ50" s="483">
        <v>266902</v>
      </c>
      <c r="BR50" s="1344">
        <v>277418</v>
      </c>
      <c r="BS50" s="1545"/>
      <c r="BT50" s="1345" t="s">
        <v>2473</v>
      </c>
      <c r="BU50" s="508">
        <v>24400</v>
      </c>
      <c r="BV50" s="508">
        <v>27900</v>
      </c>
      <c r="BW50" s="508">
        <v>31400</v>
      </c>
      <c r="BX50" s="508">
        <v>34850</v>
      </c>
      <c r="BY50" s="508">
        <v>37650</v>
      </c>
      <c r="BZ50" s="508">
        <v>40450</v>
      </c>
      <c r="CA50" s="508">
        <v>43250</v>
      </c>
      <c r="CB50" s="1346">
        <v>46050</v>
      </c>
      <c r="CC50" s="1545"/>
      <c r="CD50" s="1348" t="s">
        <v>2472</v>
      </c>
      <c r="CE50" s="504">
        <v>156796</v>
      </c>
      <c r="CF50" s="504">
        <v>161262</v>
      </c>
      <c r="CG50" s="504">
        <v>174514</v>
      </c>
      <c r="CH50" s="504">
        <v>186902</v>
      </c>
      <c r="CI50" s="504">
        <v>197418</v>
      </c>
      <c r="CJ50" s="504">
        <v>171796</v>
      </c>
      <c r="CK50" s="504">
        <v>176262</v>
      </c>
      <c r="CL50" s="504">
        <v>189514</v>
      </c>
      <c r="CM50" s="504">
        <v>201902</v>
      </c>
      <c r="CN50" s="1347">
        <v>212418</v>
      </c>
      <c r="CP50" s="1545"/>
      <c r="CQ50" s="690" t="str">
        <f>CONCATENATE(County,0.65)</f>
        <v>Amador0.65</v>
      </c>
      <c r="CR50" s="489">
        <f t="shared" si="26"/>
        <v>887</v>
      </c>
      <c r="CS50" s="489">
        <f t="shared" si="21"/>
        <v>950</v>
      </c>
      <c r="CT50" s="489">
        <f t="shared" si="22"/>
        <v>1140</v>
      </c>
      <c r="CU50" s="489">
        <f t="shared" si="23"/>
        <v>1317</v>
      </c>
      <c r="CV50" s="489">
        <f t="shared" si="24"/>
        <v>1469</v>
      </c>
      <c r="CW50" s="1356">
        <f t="shared" si="25"/>
        <v>1620</v>
      </c>
    </row>
    <row r="51" spans="1:101" ht="18" customHeight="1">
      <c r="A51" s="1228"/>
      <c r="B51" s="611"/>
      <c r="C51" s="469"/>
      <c r="D51" s="615"/>
      <c r="E51" s="1048"/>
      <c r="F51" s="550"/>
      <c r="G51" s="550"/>
      <c r="H51" s="550"/>
      <c r="I51" s="550"/>
      <c r="J51" s="614"/>
      <c r="K51" s="1048"/>
      <c r="L51" s="550"/>
      <c r="M51" s="550"/>
      <c r="N51" s="550"/>
      <c r="O51" s="550"/>
      <c r="P51" s="550"/>
      <c r="Q51" s="550"/>
      <c r="R51" s="550"/>
      <c r="S51" s="550"/>
      <c r="T51" s="614"/>
      <c r="U51" s="1048"/>
      <c r="V51" s="615"/>
      <c r="W51" s="611"/>
      <c r="X51" s="864"/>
      <c r="Y51" s="615"/>
      <c r="Z51" s="1193">
        <f>IF(OR(UnitsTbl[[#This Row],[Restricted Income Level]]="Manager",UnitsTbl[[#This Row],[Restricted Income Level]]="Market",UnitsTbl[[#This Row],[Restricted Income Level]]&gt;60%),0,MIN(SUM(UnitsTbl[[#This Row],[IIG
Assisted]:[VHHP
Assisted]])+UnitsTbl[[#This Row],[Other Restricted]],UnitsTbl[[#This Row],[Total Units]]))</f>
        <v>0</v>
      </c>
      <c r="AA51" s="1626">
        <f>UnitsTbl[[#This Row],[Total Restricted Units]]*25000+IF(UnitsTbl[[#This Row],[Restricted Income Level]]="Manager",UnitsTbl[[#This Row],[Total Units]]*25000,0)</f>
        <v>0</v>
      </c>
      <c r="AB51"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51"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51"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51"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51" s="1629">
        <f>IFERROR(IF(AND(IsMhp,UnitsTbl[[#This Row],[Restricted Income Level]]="Manager"),UnitsTbl[[#This Row],[Total Units]]*IF(AND(UnitsTbl[[#This Row],[Total Units]]&gt;0,Taxcredit=9%,UnitsTbl[[#This Row],[Restricted Income Level]]="Manager"),95000,IF(AND(IsMhp,UnitsTbl[[#This Row],[Total Units]]&gt;0,Taxcredit=9%),VLOOKUP(CONCATENATE(County,C51),LoanLimit9Tbl[],AX51,FALSE),IF(AND(IsMhp,UnitsTbl[[#This Row],[Total Units]]&gt;0,OR(Taxcredit=4%,Taxcredit="None"),UnitsTbl[[#This Row],[Restricted Income Level]]="Manager"),150000,VLOOKUP(CONCATENATE(County,C51),LoanLimitsTbl[],AX51,FALSE)))),(IF($R$4=FALSE,((UnitsTbl[[#This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Restricted]]&gt;0),IsMhp,Taxcredit=9%),VLOOKUP(CONCATENATE(County,C51),LoanLimit9Tbl[],AX51,FALSE),IF(AND(IsMhp,UnitsTbl[[#This Row],[MHP
Assisted]]&gt;0,UnitsTbl[[#This Row],[Restricted Income Level]]="Manager"),150000,VLOOKUP(CONCATENATE(County,C51),LoanLimitsTbl[],AX51,FALSE))))))),0)</f>
        <v>0</v>
      </c>
      <c r="AG51"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Restricted]]&gt;0),IsMhp,Taxcredit=9%),VLOOKUP(CONCATENATE(County,C51),LoanLimit9Tbl[],AY51,FALSE),IF(AND(OR(UnitsTbl[[#This Row],[MHP
Assisted]]&gt;0,UnitsTbl[[#This Row],[Other Restricted]]&gt;0),UnitsTbl[[#This Row],[Restricted Income Level]]="Manager"),175000,VLOOKUP(CONCATENATE(County,C51),LoanLimitsTbl[],AY51,FALSE)))),IF(UnitsTbl[[#This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Restricted]]&gt;0),IsMhp,Taxcredit=9%),VLOOKUP(CONCATENATE(County,C51),LoanLimit9Tbl[],AY51,FALSE),IF(AND(OR(UnitsTbl[[#This Row],[MHP
Assisted]]&gt;0,UnitsTbl[[#This Row],[Other Restricted]]&gt;0),UnitsTbl[[#This Row],[Restricted Income Level]]="Manager"),175000,VLOOKUP(CONCATENATE(County,C51),LoanLimitsTbl[],AY51,FALSE)))))))),"")</f>
        <v>0</v>
      </c>
      <c r="AH51" s="1248"/>
      <c r="AI51"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51" s="751"/>
      <c r="AK51" s="755"/>
      <c r="AL51" s="752" t="str">
        <f>IFERROR(IF(UnitsTbl[[#This Row],[Max Gross Rent]]=0,"",UnitsTbl[[#This Row],[Max Gross Rent]]-UnitsTbl[[#This Row],[Less Utility Allowance Schedule 1]]-UnitsTbl[[#This Row],[Less Utility Allowance Schedule 2]]),"")</f>
        <v/>
      </c>
      <c r="AM51" s="751"/>
      <c r="AN51" s="752" t="str">
        <f>IF(UnitsTbl[[#This Row],[Proposed Net Rent ]]="","",UnitsTbl[[#This Row],[Total Units]]*UnitsTbl[[#This Row],[Proposed Net Rent ]])</f>
        <v/>
      </c>
      <c r="AO51" s="1250" t="str">
        <f>IFERROR(UnitsTbl[[#This Row],[Total Units]]*UnitsTbl[[#This Row],[Maximum Net Rent]],"")</f>
        <v/>
      </c>
      <c r="AP51" s="1253"/>
      <c r="AQ51" s="752" t="str">
        <f>IFERROR(IF(UnitsTbl[[#This Row],[Gross Monthly Contract Rent]]="","",IF($AV$4="Restricted",UnitsTbl[[#This Row],[Gross Monthly Contract Rent]]-UnitsTbl[[#This Row],[Maximum Net Rent]],IF($AV$4="Proposed",UnitsTbl[[#This Row],[Gross Monthly Contract Rent]]-UnitsTbl[[#This Row],[Proposed Net Rent ]],0))),"")</f>
        <v/>
      </c>
      <c r="AR51" s="864"/>
      <c r="AS51" s="753" t="str">
        <f>IFERROR(IF(UnitsTbl[[#This Row],[Units Subsidized]]="","",UnitsTbl[[#This Row],[Subsidy Payment Over  Net Rent]]*UnitsTbl[[#This Row],[Units Subsidized]]),"")</f>
        <v/>
      </c>
      <c r="AT51" s="754"/>
      <c r="AU51" s="752" t="str">
        <f>IFERROR(IF(UnitsTbl[[#This Row],[Gross Monthly Contract Rent2]]="","",IF($AV$4="Restricted",UnitsTbl[[#This Row],[Gross Monthly Contract Rent2]]-UnitsTbl[[#This Row],[Maximum Net Rent]],IF($AV$4="Proposed",UnitsTbl[[#This Row],[Gross Monthly Contract Rent2]]-UnitsTbl[[#This Row],[Proposed Net Rent ]],""))),"")</f>
        <v/>
      </c>
      <c r="AV51" s="864"/>
      <c r="AW51" s="1261" t="str">
        <f>IFERROR(IF(UnitsTbl[[#This Row],[Units Subsidized2]]="","",UnitsTbl[[#This Row],[Subsidy Payment Over  Net Rent2]]*UnitsTbl[[#This Row],[Units Subsidized2]]),"")</f>
        <v/>
      </c>
      <c r="AX51" s="1354" t="str">
        <f>IF(UnitsTbl[[#This Row],['# of Bedrooms]]="","",IF(UnitsTbl[[#This Row],['# of Bedrooms]]=0,2,IF(UnitsTbl[[#This Row],['# of Bedrooms]]=1,3,IF(UnitsTbl[[#This Row],['# of Bedrooms]]=2,4,IF(UnitsTbl[[#This Row],['# of Bedrooms]]=3,5,IF(UnitsTbl[[#This Row],['# of Bedrooms]]=4,6,IF(UnitsTbl[[#This Row],['# of Bedrooms]]&gt;4,6,"")))))))</f>
        <v/>
      </c>
      <c r="AY51" s="470" t="str">
        <f>IF(UnitsTbl[[#This Row],['# of Bedrooms]]="","",IF(UnitsTbl[[#This Row],['# of Bedrooms]]=0,7,IF(UnitsTbl[[#This Row],['# of Bedrooms]]=1,8,IF(UnitsTbl[[#This Row],['# of Bedrooms]]=2,9,IF(UnitsTbl[[#This Row],['# of Bedrooms]]=3,10,IF(UnitsTbl[[#This Row],['# of Bedrooms]]=4,11,IF(UnitsTbl[[#This Row],['# of Bedrooms]]&gt;4,11,"")))))))</f>
        <v/>
      </c>
      <c r="AZ51" s="470" t="str">
        <f>IF(UnitsTbl[[#This Row],['# of Bedrooms]]="","",IF(UnitsTbl[[#This Row],['# of Bedrooms]]=0,2,IF(UnitsTbl[[#This Row],['# of Bedrooms]]=1,3,IF(UnitsTbl[[#This Row],['# of Bedrooms]]=2,4,IF(UnitsTbl[[#This Row],['# of Bedrooms]]=3,5,IF(UnitsTbl[[#This Row],['# of Bedrooms]]=4,6,IF(UnitsTbl[[#This Row],['# of Bedrooms]]=5,7,"")))))))</f>
        <v/>
      </c>
      <c r="BA51" s="1546">
        <f>MIN(SUM(UnitsTbl[[#This Row],[Disability Homelessness ]],UnitsTbl[[#This Row],[Chronic Homelessness]],UnitsTbl[[#This Row],[Homelessness]]),UnitsTbl[[#This Row],[Total Restricted Units]])</f>
        <v>0</v>
      </c>
      <c r="BB51" s="1546">
        <f>(UnitsTbl[[#This Row],[Restricted Income Level]]&lt;=30%)*UnitsTbl[[#This Row],[Total Restricted Units]]</f>
        <v>0</v>
      </c>
      <c r="BC51" s="1546">
        <f t="shared" si="11"/>
        <v>0</v>
      </c>
      <c r="BH51" s="1348" t="s">
        <v>2474</v>
      </c>
      <c r="BI51" s="483">
        <v>222168</v>
      </c>
      <c r="BJ51" s="483">
        <v>227209</v>
      </c>
      <c r="BK51" s="483">
        <v>242766</v>
      </c>
      <c r="BL51" s="483">
        <v>257171</v>
      </c>
      <c r="BM51" s="483">
        <v>269559</v>
      </c>
      <c r="BN51" s="483">
        <v>247168</v>
      </c>
      <c r="BO51" s="483">
        <v>252209</v>
      </c>
      <c r="BP51" s="483">
        <v>267766</v>
      </c>
      <c r="BQ51" s="483">
        <v>282171</v>
      </c>
      <c r="BR51" s="1344">
        <v>294559</v>
      </c>
      <c r="BS51" s="1545"/>
      <c r="BT51" s="1345" t="s">
        <v>2475</v>
      </c>
      <c r="BU51" s="508">
        <v>34000</v>
      </c>
      <c r="BV51" s="508">
        <v>38850</v>
      </c>
      <c r="BW51" s="508">
        <v>43700</v>
      </c>
      <c r="BX51" s="508">
        <v>48550</v>
      </c>
      <c r="BY51" s="508">
        <v>52450</v>
      </c>
      <c r="BZ51" s="508">
        <v>56350</v>
      </c>
      <c r="CA51" s="508">
        <v>60250</v>
      </c>
      <c r="CB51" s="1346">
        <v>64100</v>
      </c>
      <c r="CC51" s="1545"/>
      <c r="CD51" s="1348" t="s">
        <v>2474</v>
      </c>
      <c r="CE51" s="504">
        <v>167168</v>
      </c>
      <c r="CF51" s="504">
        <v>172209</v>
      </c>
      <c r="CG51" s="504">
        <v>187766</v>
      </c>
      <c r="CH51" s="504">
        <v>202171</v>
      </c>
      <c r="CI51" s="504">
        <v>214559</v>
      </c>
      <c r="CJ51" s="504">
        <v>182168</v>
      </c>
      <c r="CK51" s="504">
        <v>187209</v>
      </c>
      <c r="CL51" s="504">
        <v>202766</v>
      </c>
      <c r="CM51" s="504">
        <v>217171</v>
      </c>
      <c r="CN51" s="1347">
        <v>229559</v>
      </c>
      <c r="CP51" s="1545"/>
      <c r="CQ51" s="690" t="str">
        <f>CONCATENATE(County,0.6)</f>
        <v>Amador0.6</v>
      </c>
      <c r="CR51" s="489">
        <f t="shared" si="26"/>
        <v>819</v>
      </c>
      <c r="CS51" s="489">
        <f t="shared" si="21"/>
        <v>877</v>
      </c>
      <c r="CT51" s="489">
        <f t="shared" si="22"/>
        <v>1053</v>
      </c>
      <c r="CU51" s="489">
        <f t="shared" si="23"/>
        <v>1215</v>
      </c>
      <c r="CV51" s="489">
        <f t="shared" si="24"/>
        <v>1356</v>
      </c>
      <c r="CW51" s="1356">
        <f t="shared" si="25"/>
        <v>1496</v>
      </c>
    </row>
    <row r="52" spans="1:101" ht="18" customHeight="1">
      <c r="A52" s="1228"/>
      <c r="B52" s="611"/>
      <c r="C52" s="469"/>
      <c r="D52" s="615"/>
      <c r="E52" s="1048"/>
      <c r="F52" s="550"/>
      <c r="G52" s="550"/>
      <c r="H52" s="550"/>
      <c r="I52" s="550"/>
      <c r="J52" s="614"/>
      <c r="K52" s="1048"/>
      <c r="L52" s="550"/>
      <c r="M52" s="550"/>
      <c r="N52" s="550"/>
      <c r="O52" s="550"/>
      <c r="P52" s="550"/>
      <c r="Q52" s="550"/>
      <c r="R52" s="550"/>
      <c r="S52" s="550"/>
      <c r="T52" s="614"/>
      <c r="U52" s="1048"/>
      <c r="V52" s="615"/>
      <c r="W52" s="611"/>
      <c r="X52" s="864"/>
      <c r="Y52" s="615"/>
      <c r="Z52" s="1193">
        <f>IF(OR(UnitsTbl[[#This Row],[Restricted Income Level]]="Manager",UnitsTbl[[#This Row],[Restricted Income Level]]="Market",UnitsTbl[[#This Row],[Restricted Income Level]]&gt;60%),0,MIN(SUM(UnitsTbl[[#This Row],[IIG
Assisted]:[VHHP
Assisted]])+UnitsTbl[[#This Row],[Other Restricted]],UnitsTbl[[#This Row],[Total Units]]))</f>
        <v>0</v>
      </c>
      <c r="AA52" s="1626">
        <f>UnitsTbl[[#This Row],[Total Restricted Units]]*25000+IF(UnitsTbl[[#This Row],[Restricted Income Level]]="Manager",UnitsTbl[[#This Row],[Total Units]]*25000,0)</f>
        <v>0</v>
      </c>
      <c r="AB52"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52"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52"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52"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52" s="1629">
        <f>IFERROR(IF(AND(IsMhp,UnitsTbl[[#This Row],[Restricted Income Level]]="Manager"),UnitsTbl[[#This Row],[Total Units]]*IF(AND(UnitsTbl[[#This Row],[Total Units]]&gt;0,Taxcredit=9%,UnitsTbl[[#This Row],[Restricted Income Level]]="Manager"),95000,IF(AND(IsMhp,UnitsTbl[[#This Row],[Total Units]]&gt;0,Taxcredit=9%),VLOOKUP(CONCATENATE(County,C52),LoanLimit9Tbl[],AX52,FALSE),IF(AND(IsMhp,UnitsTbl[[#This Row],[Total Units]]&gt;0,OR(Taxcredit=4%,Taxcredit="None"),UnitsTbl[[#This Row],[Restricted Income Level]]="Manager"),150000,VLOOKUP(CONCATENATE(County,C52),LoanLimitsTbl[],AX52,FALSE)))),(IF($R$4=FALSE,((UnitsTbl[[#This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Restricted]]&gt;0),IsMhp,Taxcredit=9%),VLOOKUP(CONCATENATE(County,C52),LoanLimit9Tbl[],AX52,FALSE),IF(AND(IsMhp,UnitsTbl[[#This Row],[MHP
Assisted]]&gt;0,UnitsTbl[[#This Row],[Restricted Income Level]]="Manager"),150000,VLOOKUP(CONCATENATE(County,C52),LoanLimitsTbl[],AX52,FALSE))))))),0)</f>
        <v>0</v>
      </c>
      <c r="AG52"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Restricted]]&gt;0),IsMhp,Taxcredit=9%),VLOOKUP(CONCATENATE(County,C52),LoanLimit9Tbl[],AY52,FALSE),IF(AND(OR(UnitsTbl[[#This Row],[MHP
Assisted]]&gt;0,UnitsTbl[[#This Row],[Other Restricted]]&gt;0),UnitsTbl[[#This Row],[Restricted Income Level]]="Manager"),175000,VLOOKUP(CONCATENATE(County,C52),LoanLimitsTbl[],AY52,FALSE)))),IF(UnitsTbl[[#This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Restricted]]&gt;0),IsMhp,Taxcredit=9%),VLOOKUP(CONCATENATE(County,C52),LoanLimit9Tbl[],AY52,FALSE),IF(AND(OR(UnitsTbl[[#This Row],[MHP
Assisted]]&gt;0,UnitsTbl[[#This Row],[Other Restricted]]&gt;0),UnitsTbl[[#This Row],[Restricted Income Level]]="Manager"),175000,VLOOKUP(CONCATENATE(County,C52),LoanLimitsTbl[],AY52,FALSE)))))))),"")</f>
        <v>0</v>
      </c>
      <c r="AH52" s="1248"/>
      <c r="AI52"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52" s="751"/>
      <c r="AK52" s="755"/>
      <c r="AL52" s="752" t="str">
        <f>IFERROR(IF(UnitsTbl[[#This Row],[Max Gross Rent]]=0,"",UnitsTbl[[#This Row],[Max Gross Rent]]-UnitsTbl[[#This Row],[Less Utility Allowance Schedule 1]]-UnitsTbl[[#This Row],[Less Utility Allowance Schedule 2]]),"")</f>
        <v/>
      </c>
      <c r="AM52" s="751"/>
      <c r="AN52" s="752" t="str">
        <f>IF(UnitsTbl[[#This Row],[Proposed Net Rent ]]="","",UnitsTbl[[#This Row],[Total Units]]*UnitsTbl[[#This Row],[Proposed Net Rent ]])</f>
        <v/>
      </c>
      <c r="AO52" s="1250" t="str">
        <f>IFERROR(UnitsTbl[[#This Row],[Total Units]]*UnitsTbl[[#This Row],[Maximum Net Rent]],"")</f>
        <v/>
      </c>
      <c r="AP52" s="1253"/>
      <c r="AQ52" s="752" t="str">
        <f>IFERROR(IF(UnitsTbl[[#This Row],[Gross Monthly Contract Rent]]="","",IF($AV$4="Restricted",UnitsTbl[[#This Row],[Gross Monthly Contract Rent]]-UnitsTbl[[#This Row],[Maximum Net Rent]],IF($AV$4="Proposed",UnitsTbl[[#This Row],[Gross Monthly Contract Rent]]-UnitsTbl[[#This Row],[Proposed Net Rent ]],0))),"")</f>
        <v/>
      </c>
      <c r="AR52" s="864"/>
      <c r="AS52" s="753" t="str">
        <f>IFERROR(IF(UnitsTbl[[#This Row],[Units Subsidized]]="","",UnitsTbl[[#This Row],[Subsidy Payment Over  Net Rent]]*UnitsTbl[[#This Row],[Units Subsidized]]),"")</f>
        <v/>
      </c>
      <c r="AT52" s="754"/>
      <c r="AU52" s="752" t="str">
        <f>IFERROR(IF(UnitsTbl[[#This Row],[Gross Monthly Contract Rent2]]="","",IF($AV$4="Restricted",UnitsTbl[[#This Row],[Gross Monthly Contract Rent2]]-UnitsTbl[[#This Row],[Maximum Net Rent]],IF($AV$4="Proposed",UnitsTbl[[#This Row],[Gross Monthly Contract Rent2]]-UnitsTbl[[#This Row],[Proposed Net Rent ]],""))),"")</f>
        <v/>
      </c>
      <c r="AV52" s="864"/>
      <c r="AW52" s="1261" t="str">
        <f>IFERROR(IF(UnitsTbl[[#This Row],[Units Subsidized2]]="","",UnitsTbl[[#This Row],[Subsidy Payment Over  Net Rent2]]*UnitsTbl[[#This Row],[Units Subsidized2]]),"")</f>
        <v/>
      </c>
      <c r="AX52" s="1354" t="str">
        <f>IF(UnitsTbl[[#This Row],['# of Bedrooms]]="","",IF(UnitsTbl[[#This Row],['# of Bedrooms]]=0,2,IF(UnitsTbl[[#This Row],['# of Bedrooms]]=1,3,IF(UnitsTbl[[#This Row],['# of Bedrooms]]=2,4,IF(UnitsTbl[[#This Row],['# of Bedrooms]]=3,5,IF(UnitsTbl[[#This Row],['# of Bedrooms]]=4,6,IF(UnitsTbl[[#This Row],['# of Bedrooms]]&gt;4,6,"")))))))</f>
        <v/>
      </c>
      <c r="AY52" s="470" t="str">
        <f>IF(UnitsTbl[[#This Row],['# of Bedrooms]]="","",IF(UnitsTbl[[#This Row],['# of Bedrooms]]=0,7,IF(UnitsTbl[[#This Row],['# of Bedrooms]]=1,8,IF(UnitsTbl[[#This Row],['# of Bedrooms]]=2,9,IF(UnitsTbl[[#This Row],['# of Bedrooms]]=3,10,IF(UnitsTbl[[#This Row],['# of Bedrooms]]=4,11,IF(UnitsTbl[[#This Row],['# of Bedrooms]]&gt;4,11,"")))))))</f>
        <v/>
      </c>
      <c r="AZ52" s="470" t="str">
        <f>IF(UnitsTbl[[#This Row],['# of Bedrooms]]="","",IF(UnitsTbl[[#This Row],['# of Bedrooms]]=0,2,IF(UnitsTbl[[#This Row],['# of Bedrooms]]=1,3,IF(UnitsTbl[[#This Row],['# of Bedrooms]]=2,4,IF(UnitsTbl[[#This Row],['# of Bedrooms]]=3,5,IF(UnitsTbl[[#This Row],['# of Bedrooms]]=4,6,IF(UnitsTbl[[#This Row],['# of Bedrooms]]=5,7,"")))))))</f>
        <v/>
      </c>
      <c r="BA52" s="1546">
        <f>MIN(SUM(UnitsTbl[[#This Row],[Disability Homelessness ]],UnitsTbl[[#This Row],[Chronic Homelessness]],UnitsTbl[[#This Row],[Homelessness]]),UnitsTbl[[#This Row],[Total Restricted Units]])</f>
        <v>0</v>
      </c>
      <c r="BB52" s="1546">
        <f>(UnitsTbl[[#This Row],[Restricted Income Level]]&lt;=30%)*UnitsTbl[[#This Row],[Total Restricted Units]]</f>
        <v>0</v>
      </c>
      <c r="BC52" s="1546">
        <f t="shared" ref="BC52:BC59" si="27">MAX(BA52,BB52)</f>
        <v>0</v>
      </c>
      <c r="BH52" s="1348" t="s">
        <v>2476</v>
      </c>
      <c r="BI52" s="483">
        <v>232395</v>
      </c>
      <c r="BJ52" s="483">
        <v>238301</v>
      </c>
      <c r="BK52" s="483">
        <v>256019</v>
      </c>
      <c r="BL52" s="483">
        <v>272440</v>
      </c>
      <c r="BM52" s="483">
        <v>286557</v>
      </c>
      <c r="BN52" s="483">
        <v>257395</v>
      </c>
      <c r="BO52" s="483">
        <v>263301</v>
      </c>
      <c r="BP52" s="483">
        <v>281019</v>
      </c>
      <c r="BQ52" s="483">
        <v>297440</v>
      </c>
      <c r="BR52" s="1344">
        <v>311557</v>
      </c>
      <c r="BS52" s="1545"/>
      <c r="BT52" s="1345" t="s">
        <v>2477</v>
      </c>
      <c r="BU52" s="508">
        <v>40750</v>
      </c>
      <c r="BV52" s="508">
        <v>46550</v>
      </c>
      <c r="BW52" s="508">
        <v>52350</v>
      </c>
      <c r="BX52" s="508">
        <v>58150</v>
      </c>
      <c r="BY52" s="508">
        <v>62850</v>
      </c>
      <c r="BZ52" s="508">
        <v>67500</v>
      </c>
      <c r="CA52" s="508">
        <v>72150</v>
      </c>
      <c r="CB52" s="1346">
        <v>76800</v>
      </c>
      <c r="CC52" s="1545"/>
      <c r="CD52" s="1348" t="s">
        <v>2476</v>
      </c>
      <c r="CE52" s="504">
        <v>177395</v>
      </c>
      <c r="CF52" s="504">
        <v>183301</v>
      </c>
      <c r="CG52" s="504">
        <v>201019</v>
      </c>
      <c r="CH52" s="504">
        <v>217440</v>
      </c>
      <c r="CI52" s="504">
        <v>231557</v>
      </c>
      <c r="CJ52" s="504">
        <v>192395</v>
      </c>
      <c r="CK52" s="504">
        <v>198301</v>
      </c>
      <c r="CL52" s="504">
        <v>216019</v>
      </c>
      <c r="CM52" s="504">
        <v>232440</v>
      </c>
      <c r="CN52" s="1347">
        <v>246557</v>
      </c>
      <c r="CP52" s="1545"/>
      <c r="CQ52" s="690" t="str">
        <f>CONCATENATE(County,0.55)</f>
        <v>Amador0.55</v>
      </c>
      <c r="CR52" s="489">
        <f t="shared" si="26"/>
        <v>750</v>
      </c>
      <c r="CS52" s="489">
        <f t="shared" si="21"/>
        <v>804</v>
      </c>
      <c r="CT52" s="489">
        <f t="shared" si="22"/>
        <v>965</v>
      </c>
      <c r="CU52" s="489">
        <f t="shared" si="23"/>
        <v>1114</v>
      </c>
      <c r="CV52" s="489">
        <f t="shared" si="24"/>
        <v>1243</v>
      </c>
      <c r="CW52" s="1356">
        <f t="shared" si="25"/>
        <v>1371</v>
      </c>
    </row>
    <row r="53" spans="1:101" ht="18" customHeight="1">
      <c r="A53" s="1228"/>
      <c r="B53" s="611"/>
      <c r="C53" s="469"/>
      <c r="D53" s="615"/>
      <c r="E53" s="1048"/>
      <c r="F53" s="550"/>
      <c r="G53" s="550"/>
      <c r="H53" s="550"/>
      <c r="I53" s="550"/>
      <c r="J53" s="614"/>
      <c r="K53" s="1048"/>
      <c r="L53" s="550"/>
      <c r="M53" s="550"/>
      <c r="N53" s="550"/>
      <c r="O53" s="550"/>
      <c r="P53" s="550"/>
      <c r="Q53" s="550"/>
      <c r="R53" s="550"/>
      <c r="S53" s="550"/>
      <c r="T53" s="614"/>
      <c r="U53" s="1048"/>
      <c r="V53" s="615"/>
      <c r="W53" s="611"/>
      <c r="X53" s="864"/>
      <c r="Y53" s="615"/>
      <c r="Z53" s="1193">
        <f>IF(OR(UnitsTbl[[#This Row],[Restricted Income Level]]="Manager",UnitsTbl[[#This Row],[Restricted Income Level]]="Market",UnitsTbl[[#This Row],[Restricted Income Level]]&gt;60%),0,MIN(SUM(UnitsTbl[[#This Row],[IIG
Assisted]:[VHHP
Assisted]])+UnitsTbl[[#This Row],[Other Restricted]],UnitsTbl[[#This Row],[Total Units]]))</f>
        <v>0</v>
      </c>
      <c r="AA53" s="1626">
        <f>UnitsTbl[[#This Row],[Total Restricted Units]]*25000+IF(UnitsTbl[[#This Row],[Restricted Income Level]]="Manager",UnitsTbl[[#This Row],[Total Units]]*25000,0)</f>
        <v>0</v>
      </c>
      <c r="AB53"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53"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53"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53"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53" s="1629">
        <f>IFERROR(IF(AND(IsMhp,UnitsTbl[[#This Row],[Restricted Income Level]]="Manager"),UnitsTbl[[#This Row],[Total Units]]*IF(AND(UnitsTbl[[#This Row],[Total Units]]&gt;0,Taxcredit=9%,UnitsTbl[[#This Row],[Restricted Income Level]]="Manager"),95000,IF(AND(IsMhp,UnitsTbl[[#This Row],[Total Units]]&gt;0,Taxcredit=9%),VLOOKUP(CONCATENATE(County,C53),LoanLimit9Tbl[],AX53,FALSE),IF(AND(IsMhp,UnitsTbl[[#This Row],[Total Units]]&gt;0,OR(Taxcredit=4%,Taxcredit="None"),UnitsTbl[[#This Row],[Restricted Income Level]]="Manager"),150000,VLOOKUP(CONCATENATE(County,C53),LoanLimitsTbl[],AX53,FALSE)))),(IF($R$4=FALSE,((UnitsTbl[[#This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Restricted]]&gt;0),IsMhp,Taxcredit=9%),VLOOKUP(CONCATENATE(County,C53),LoanLimit9Tbl[],AX53,FALSE),IF(AND(IsMhp,UnitsTbl[[#This Row],[MHP
Assisted]]&gt;0,UnitsTbl[[#This Row],[Restricted Income Level]]="Manager"),150000,VLOOKUP(CONCATENATE(County,C53),LoanLimitsTbl[],AX53,FALSE))))))),0)</f>
        <v>0</v>
      </c>
      <c r="AG53"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Restricted]]&gt;0),IsMhp,Taxcredit=9%),VLOOKUP(CONCATENATE(County,C53),LoanLimit9Tbl[],AY53,FALSE),IF(AND(OR(UnitsTbl[[#This Row],[MHP
Assisted]]&gt;0,UnitsTbl[[#This Row],[Other Restricted]]&gt;0),UnitsTbl[[#This Row],[Restricted Income Level]]="Manager"),175000,VLOOKUP(CONCATENATE(County,C53),LoanLimitsTbl[],AY53,FALSE)))),IF(UnitsTbl[[#This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Restricted]]&gt;0),IsMhp,Taxcredit=9%),VLOOKUP(CONCATENATE(County,C53),LoanLimit9Tbl[],AY53,FALSE),IF(AND(OR(UnitsTbl[[#This Row],[MHP
Assisted]]&gt;0,UnitsTbl[[#This Row],[Other Restricted]]&gt;0),UnitsTbl[[#This Row],[Restricted Income Level]]="Manager"),175000,VLOOKUP(CONCATENATE(County,C53),LoanLimitsTbl[],AY53,FALSE)))))))),"")</f>
        <v>0</v>
      </c>
      <c r="AH53" s="1248"/>
      <c r="AI53"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53" s="751"/>
      <c r="AK53" s="755"/>
      <c r="AL53" s="752" t="str">
        <f>IFERROR(IF(UnitsTbl[[#This Row],[Max Gross Rent]]=0,"",UnitsTbl[[#This Row],[Max Gross Rent]]-UnitsTbl[[#This Row],[Less Utility Allowance Schedule 1]]-UnitsTbl[[#This Row],[Less Utility Allowance Schedule 2]]),"")</f>
        <v/>
      </c>
      <c r="AM53" s="751"/>
      <c r="AN53" s="752" t="str">
        <f>IF(UnitsTbl[[#This Row],[Proposed Net Rent ]]="","",UnitsTbl[[#This Row],[Total Units]]*UnitsTbl[[#This Row],[Proposed Net Rent ]])</f>
        <v/>
      </c>
      <c r="AO53" s="1250" t="str">
        <f>IFERROR(UnitsTbl[[#This Row],[Total Units]]*UnitsTbl[[#This Row],[Maximum Net Rent]],"")</f>
        <v/>
      </c>
      <c r="AP53" s="1253"/>
      <c r="AQ53" s="752" t="str">
        <f>IFERROR(IF(UnitsTbl[[#This Row],[Gross Monthly Contract Rent]]="","",IF($AV$4="Restricted",UnitsTbl[[#This Row],[Gross Monthly Contract Rent]]-UnitsTbl[[#This Row],[Maximum Net Rent]],IF($AV$4="Proposed",UnitsTbl[[#This Row],[Gross Monthly Contract Rent]]-UnitsTbl[[#This Row],[Proposed Net Rent ]],0))),"")</f>
        <v/>
      </c>
      <c r="AR53" s="864"/>
      <c r="AS53" s="753" t="str">
        <f>IFERROR(IF(UnitsTbl[[#This Row],[Units Subsidized]]="","",UnitsTbl[[#This Row],[Subsidy Payment Over  Net Rent]]*UnitsTbl[[#This Row],[Units Subsidized]]),"")</f>
        <v/>
      </c>
      <c r="AT53" s="754"/>
      <c r="AU53" s="752" t="str">
        <f>IFERROR(IF(UnitsTbl[[#This Row],[Gross Monthly Contract Rent2]]="","",IF($AV$4="Restricted",UnitsTbl[[#This Row],[Gross Monthly Contract Rent2]]-UnitsTbl[[#This Row],[Maximum Net Rent]],IF($AV$4="Proposed",UnitsTbl[[#This Row],[Gross Monthly Contract Rent2]]-UnitsTbl[[#This Row],[Proposed Net Rent ]],""))),"")</f>
        <v/>
      </c>
      <c r="AV53" s="864"/>
      <c r="AW53" s="1261" t="str">
        <f>IFERROR(IF(UnitsTbl[[#This Row],[Units Subsidized2]]="","",UnitsTbl[[#This Row],[Subsidy Payment Over  Net Rent2]]*UnitsTbl[[#This Row],[Units Subsidized2]]),"")</f>
        <v/>
      </c>
      <c r="AX53" s="1354" t="str">
        <f>IF(UnitsTbl[[#This Row],['# of Bedrooms]]="","",IF(UnitsTbl[[#This Row],['# of Bedrooms]]=0,2,IF(UnitsTbl[[#This Row],['# of Bedrooms]]=1,3,IF(UnitsTbl[[#This Row],['# of Bedrooms]]=2,4,IF(UnitsTbl[[#This Row],['# of Bedrooms]]=3,5,IF(UnitsTbl[[#This Row],['# of Bedrooms]]=4,6,IF(UnitsTbl[[#This Row],['# of Bedrooms]]&gt;4,6,"")))))))</f>
        <v/>
      </c>
      <c r="AY53" s="470" t="str">
        <f>IF(UnitsTbl[[#This Row],['# of Bedrooms]]="","",IF(UnitsTbl[[#This Row],['# of Bedrooms]]=0,7,IF(UnitsTbl[[#This Row],['# of Bedrooms]]=1,8,IF(UnitsTbl[[#This Row],['# of Bedrooms]]=2,9,IF(UnitsTbl[[#This Row],['# of Bedrooms]]=3,10,IF(UnitsTbl[[#This Row],['# of Bedrooms]]=4,11,IF(UnitsTbl[[#This Row],['# of Bedrooms]]&gt;4,11,"")))))))</f>
        <v/>
      </c>
      <c r="AZ53" s="470" t="str">
        <f>IF(UnitsTbl[[#This Row],['# of Bedrooms]]="","",IF(UnitsTbl[[#This Row],['# of Bedrooms]]=0,2,IF(UnitsTbl[[#This Row],['# of Bedrooms]]=1,3,IF(UnitsTbl[[#This Row],['# of Bedrooms]]=2,4,IF(UnitsTbl[[#This Row],['# of Bedrooms]]=3,5,IF(UnitsTbl[[#This Row],['# of Bedrooms]]=4,6,IF(UnitsTbl[[#This Row],['# of Bedrooms]]=5,7,"")))))))</f>
        <v/>
      </c>
      <c r="BA53" s="1546">
        <f>MIN(SUM(UnitsTbl[[#This Row],[Disability Homelessness ]],UnitsTbl[[#This Row],[Chronic Homelessness]],UnitsTbl[[#This Row],[Homelessness]]),UnitsTbl[[#This Row],[Total Restricted Units]])</f>
        <v>0</v>
      </c>
      <c r="BB53" s="1546">
        <f>(UnitsTbl[[#This Row],[Restricted Income Level]]&lt;=30%)*UnitsTbl[[#This Row],[Total Restricted Units]]</f>
        <v>0</v>
      </c>
      <c r="BC53" s="1546">
        <f t="shared" si="27"/>
        <v>0</v>
      </c>
      <c r="BH53" s="1348" t="s">
        <v>2478</v>
      </c>
      <c r="BI53" s="483">
        <v>242766</v>
      </c>
      <c r="BJ53" s="483">
        <v>249393</v>
      </c>
      <c r="BK53" s="483">
        <v>269271</v>
      </c>
      <c r="BL53" s="483">
        <v>287853</v>
      </c>
      <c r="BM53" s="483">
        <v>303698</v>
      </c>
      <c r="BN53" s="483">
        <v>267766</v>
      </c>
      <c r="BO53" s="483">
        <v>274393</v>
      </c>
      <c r="BP53" s="483">
        <v>294271</v>
      </c>
      <c r="BQ53" s="483">
        <v>312853</v>
      </c>
      <c r="BR53" s="1344">
        <v>328698</v>
      </c>
      <c r="BS53" s="1545"/>
      <c r="BT53" s="1345" t="s">
        <v>2479</v>
      </c>
      <c r="BU53" s="508">
        <v>25000</v>
      </c>
      <c r="BV53" s="508">
        <v>28550</v>
      </c>
      <c r="BW53" s="508">
        <v>32100</v>
      </c>
      <c r="BX53" s="508">
        <v>35650</v>
      </c>
      <c r="BY53" s="508">
        <v>38550</v>
      </c>
      <c r="BZ53" s="508">
        <v>41400</v>
      </c>
      <c r="CA53" s="508">
        <v>44250</v>
      </c>
      <c r="CB53" s="1346">
        <v>47100</v>
      </c>
      <c r="CC53" s="1545"/>
      <c r="CD53" s="1348" t="s">
        <v>2478</v>
      </c>
      <c r="CE53" s="504">
        <v>187766</v>
      </c>
      <c r="CF53" s="504">
        <v>194393</v>
      </c>
      <c r="CG53" s="504">
        <v>214271</v>
      </c>
      <c r="CH53" s="504">
        <v>232853</v>
      </c>
      <c r="CI53" s="504">
        <v>248698</v>
      </c>
      <c r="CJ53" s="504">
        <v>202766</v>
      </c>
      <c r="CK53" s="504">
        <v>209393</v>
      </c>
      <c r="CL53" s="504">
        <v>229271</v>
      </c>
      <c r="CM53" s="504">
        <v>247853</v>
      </c>
      <c r="CN53" s="1347">
        <v>263698</v>
      </c>
      <c r="CP53" s="1545"/>
      <c r="CQ53" s="690" t="str">
        <f>CONCATENATE(County,0.5)</f>
        <v>Amador0.5</v>
      </c>
      <c r="CR53" s="489">
        <f t="shared" si="26"/>
        <v>682</v>
      </c>
      <c r="CS53" s="489">
        <f t="shared" si="21"/>
        <v>731</v>
      </c>
      <c r="CT53" s="489">
        <f t="shared" si="22"/>
        <v>877</v>
      </c>
      <c r="CU53" s="489">
        <f t="shared" si="23"/>
        <v>1013</v>
      </c>
      <c r="CV53" s="489">
        <f t="shared" si="24"/>
        <v>1130</v>
      </c>
      <c r="CW53" s="1356">
        <f t="shared" si="25"/>
        <v>1246</v>
      </c>
    </row>
    <row r="54" spans="1:101" ht="18" customHeight="1">
      <c r="A54" s="1228"/>
      <c r="B54" s="611"/>
      <c r="C54" s="469"/>
      <c r="D54" s="615"/>
      <c r="E54" s="1048"/>
      <c r="F54" s="550"/>
      <c r="G54" s="550"/>
      <c r="H54" s="550"/>
      <c r="I54" s="550"/>
      <c r="J54" s="614"/>
      <c r="K54" s="1048"/>
      <c r="L54" s="550"/>
      <c r="M54" s="550"/>
      <c r="N54" s="550"/>
      <c r="O54" s="550"/>
      <c r="P54" s="550"/>
      <c r="Q54" s="550"/>
      <c r="R54" s="550"/>
      <c r="S54" s="550"/>
      <c r="T54" s="614"/>
      <c r="U54" s="1048"/>
      <c r="V54" s="615"/>
      <c r="W54" s="611"/>
      <c r="X54" s="864"/>
      <c r="Y54" s="615"/>
      <c r="Z54" s="1193">
        <f>IF(OR(UnitsTbl[[#This Row],[Restricted Income Level]]="Manager",UnitsTbl[[#This Row],[Restricted Income Level]]="Market",UnitsTbl[[#This Row],[Restricted Income Level]]&gt;60%),0,MIN(SUM(UnitsTbl[[#This Row],[IIG
Assisted]:[VHHP
Assisted]])+UnitsTbl[[#This Row],[Other Restricted]],UnitsTbl[[#This Row],[Total Units]]))</f>
        <v>0</v>
      </c>
      <c r="AA54" s="1626">
        <f>UnitsTbl[[#This Row],[Total Restricted Units]]*25000+IF(UnitsTbl[[#This Row],[Restricted Income Level]]="Manager",UnitsTbl[[#This Row],[Total Units]]*25000,0)</f>
        <v>0</v>
      </c>
      <c r="AB54"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54"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54"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54"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54" s="1629">
        <f>IFERROR(IF(AND(IsMhp,UnitsTbl[[#This Row],[Restricted Income Level]]="Manager"),UnitsTbl[[#This Row],[Total Units]]*IF(AND(UnitsTbl[[#This Row],[Total Units]]&gt;0,Taxcredit=9%,UnitsTbl[[#This Row],[Restricted Income Level]]="Manager"),95000,IF(AND(IsMhp,UnitsTbl[[#This Row],[Total Units]]&gt;0,Taxcredit=9%),VLOOKUP(CONCATENATE(County,C54),LoanLimit9Tbl[],AX54,FALSE),IF(AND(IsMhp,UnitsTbl[[#This Row],[Total Units]]&gt;0,OR(Taxcredit=4%,Taxcredit="None"),UnitsTbl[[#This Row],[Restricted Income Level]]="Manager"),150000,VLOOKUP(CONCATENATE(County,C54),LoanLimitsTbl[],AX54,FALSE)))),(IF($R$4=FALSE,((UnitsTbl[[#This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Restricted]]&gt;0),IsMhp,Taxcredit=9%),VLOOKUP(CONCATENATE(County,C54),LoanLimit9Tbl[],AX54,FALSE),IF(AND(IsMhp,UnitsTbl[[#This Row],[MHP
Assisted]]&gt;0,UnitsTbl[[#This Row],[Restricted Income Level]]="Manager"),150000,VLOOKUP(CONCATENATE(County,C54),LoanLimitsTbl[],AX54,FALSE))))))),0)</f>
        <v>0</v>
      </c>
      <c r="AG54"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Restricted]]&gt;0),IsMhp,Taxcredit=9%),VLOOKUP(CONCATENATE(County,C54),LoanLimit9Tbl[],AY54,FALSE),IF(AND(OR(UnitsTbl[[#This Row],[MHP
Assisted]]&gt;0,UnitsTbl[[#This Row],[Other Restricted]]&gt;0),UnitsTbl[[#This Row],[Restricted Income Level]]="Manager"),175000,VLOOKUP(CONCATENATE(County,C54),LoanLimitsTbl[],AY54,FALSE)))),IF(UnitsTbl[[#This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Restricted]]&gt;0),IsMhp,Taxcredit=9%),VLOOKUP(CONCATENATE(County,C54),LoanLimit9Tbl[],AY54,FALSE),IF(AND(OR(UnitsTbl[[#This Row],[MHP
Assisted]]&gt;0,UnitsTbl[[#This Row],[Other Restricted]]&gt;0),UnitsTbl[[#This Row],[Restricted Income Level]]="Manager"),175000,VLOOKUP(CONCATENATE(County,C54),LoanLimitsTbl[],AY54,FALSE)))))))),"")</f>
        <v>0</v>
      </c>
      <c r="AH54" s="1248"/>
      <c r="AI54"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54" s="751"/>
      <c r="AK54" s="755"/>
      <c r="AL54" s="752" t="str">
        <f>IFERROR(IF(UnitsTbl[[#This Row],[Max Gross Rent]]=0,"",UnitsTbl[[#This Row],[Max Gross Rent]]-UnitsTbl[[#This Row],[Less Utility Allowance Schedule 1]]-UnitsTbl[[#This Row],[Less Utility Allowance Schedule 2]]),"")</f>
        <v/>
      </c>
      <c r="AM54" s="751"/>
      <c r="AN54" s="752" t="str">
        <f>IF(UnitsTbl[[#This Row],[Proposed Net Rent ]]="","",UnitsTbl[[#This Row],[Total Units]]*UnitsTbl[[#This Row],[Proposed Net Rent ]])</f>
        <v/>
      </c>
      <c r="AO54" s="1250" t="str">
        <f>IFERROR(UnitsTbl[[#This Row],[Total Units]]*UnitsTbl[[#This Row],[Maximum Net Rent]],"")</f>
        <v/>
      </c>
      <c r="AP54" s="1253"/>
      <c r="AQ54" s="752" t="str">
        <f>IFERROR(IF(UnitsTbl[[#This Row],[Gross Monthly Contract Rent]]="","",IF($AV$4="Restricted",UnitsTbl[[#This Row],[Gross Monthly Contract Rent]]-UnitsTbl[[#This Row],[Maximum Net Rent]],IF($AV$4="Proposed",UnitsTbl[[#This Row],[Gross Monthly Contract Rent]]-UnitsTbl[[#This Row],[Proposed Net Rent ]],0))),"")</f>
        <v/>
      </c>
      <c r="AR54" s="864"/>
      <c r="AS54" s="753" t="str">
        <f>IFERROR(IF(UnitsTbl[[#This Row],[Units Subsidized]]="","",UnitsTbl[[#This Row],[Subsidy Payment Over  Net Rent]]*UnitsTbl[[#This Row],[Units Subsidized]]),"")</f>
        <v/>
      </c>
      <c r="AT54" s="754"/>
      <c r="AU54" s="752" t="str">
        <f>IFERROR(IF(UnitsTbl[[#This Row],[Gross Monthly Contract Rent2]]="","",IF($AV$4="Restricted",UnitsTbl[[#This Row],[Gross Monthly Contract Rent2]]-UnitsTbl[[#This Row],[Maximum Net Rent]],IF($AV$4="Proposed",UnitsTbl[[#This Row],[Gross Monthly Contract Rent2]]-UnitsTbl[[#This Row],[Proposed Net Rent ]],""))),"")</f>
        <v/>
      </c>
      <c r="AV54" s="864"/>
      <c r="AW54" s="1261" t="str">
        <f>IFERROR(IF(UnitsTbl[[#This Row],[Units Subsidized2]]="","",UnitsTbl[[#This Row],[Subsidy Payment Over  Net Rent2]]*UnitsTbl[[#This Row],[Units Subsidized2]]),"")</f>
        <v/>
      </c>
      <c r="AX54" s="1354" t="str">
        <f>IF(UnitsTbl[[#This Row],['# of Bedrooms]]="","",IF(UnitsTbl[[#This Row],['# of Bedrooms]]=0,2,IF(UnitsTbl[[#This Row],['# of Bedrooms]]=1,3,IF(UnitsTbl[[#This Row],['# of Bedrooms]]=2,4,IF(UnitsTbl[[#This Row],['# of Bedrooms]]=3,5,IF(UnitsTbl[[#This Row],['# of Bedrooms]]=4,6,IF(UnitsTbl[[#This Row],['# of Bedrooms]]&gt;4,6,"")))))))</f>
        <v/>
      </c>
      <c r="AY54" s="470" t="str">
        <f>IF(UnitsTbl[[#This Row],['# of Bedrooms]]="","",IF(UnitsTbl[[#This Row],['# of Bedrooms]]=0,7,IF(UnitsTbl[[#This Row],['# of Bedrooms]]=1,8,IF(UnitsTbl[[#This Row],['# of Bedrooms]]=2,9,IF(UnitsTbl[[#This Row],['# of Bedrooms]]=3,10,IF(UnitsTbl[[#This Row],['# of Bedrooms]]=4,11,IF(UnitsTbl[[#This Row],['# of Bedrooms]]&gt;4,11,"")))))))</f>
        <v/>
      </c>
      <c r="AZ54" s="470" t="str">
        <f>IF(UnitsTbl[[#This Row],['# of Bedrooms]]="","",IF(UnitsTbl[[#This Row],['# of Bedrooms]]=0,2,IF(UnitsTbl[[#This Row],['# of Bedrooms]]=1,3,IF(UnitsTbl[[#This Row],['# of Bedrooms]]=2,4,IF(UnitsTbl[[#This Row],['# of Bedrooms]]=3,5,IF(UnitsTbl[[#This Row],['# of Bedrooms]]=4,6,IF(UnitsTbl[[#This Row],['# of Bedrooms]]=5,7,"")))))))</f>
        <v/>
      </c>
      <c r="BA54" s="1546">
        <f>MIN(SUM(UnitsTbl[[#This Row],[Disability Homelessness ]],UnitsTbl[[#This Row],[Chronic Homelessness]],UnitsTbl[[#This Row],[Homelessness]]),UnitsTbl[[#This Row],[Total Restricted Units]])</f>
        <v>0</v>
      </c>
      <c r="BB54" s="1546">
        <f>(UnitsTbl[[#This Row],[Restricted Income Level]]&lt;=30%)*UnitsTbl[[#This Row],[Total Restricted Units]]</f>
        <v>0</v>
      </c>
      <c r="BC54" s="1546">
        <f t="shared" si="27"/>
        <v>0</v>
      </c>
      <c r="BH54" s="1343" t="s">
        <v>2480</v>
      </c>
      <c r="BI54" s="483">
        <v>150000</v>
      </c>
      <c r="BJ54" s="483">
        <v>150000</v>
      </c>
      <c r="BK54" s="483">
        <v>150000</v>
      </c>
      <c r="BL54" s="483">
        <v>150000</v>
      </c>
      <c r="BM54" s="483">
        <v>150000</v>
      </c>
      <c r="BN54" s="483">
        <v>175000</v>
      </c>
      <c r="BO54" s="483">
        <v>175000</v>
      </c>
      <c r="BP54" s="483">
        <v>175000</v>
      </c>
      <c r="BQ54" s="483">
        <v>175000</v>
      </c>
      <c r="BR54" s="1344">
        <v>175000</v>
      </c>
      <c r="BS54" s="1545"/>
      <c r="BT54" s="1345" t="s">
        <v>2481</v>
      </c>
      <c r="BU54" s="508">
        <v>24400</v>
      </c>
      <c r="BV54" s="508">
        <v>27900</v>
      </c>
      <c r="BW54" s="508">
        <v>31400</v>
      </c>
      <c r="BX54" s="508">
        <v>34850</v>
      </c>
      <c r="BY54" s="508">
        <v>37650</v>
      </c>
      <c r="BZ54" s="508">
        <v>40450</v>
      </c>
      <c r="CA54" s="508">
        <v>43250</v>
      </c>
      <c r="CB54" s="1346">
        <v>46050</v>
      </c>
      <c r="CC54" s="1545"/>
      <c r="CD54" s="1343" t="s">
        <v>2480</v>
      </c>
      <c r="CE54" s="504">
        <v>95000</v>
      </c>
      <c r="CF54" s="504">
        <v>95000</v>
      </c>
      <c r="CG54" s="504">
        <v>95000</v>
      </c>
      <c r="CH54" s="504">
        <v>95000</v>
      </c>
      <c r="CI54" s="504">
        <v>95000</v>
      </c>
      <c r="CJ54" s="504">
        <v>110000</v>
      </c>
      <c r="CK54" s="504">
        <v>110000</v>
      </c>
      <c r="CL54" s="504">
        <v>110000</v>
      </c>
      <c r="CM54" s="504">
        <v>110000</v>
      </c>
      <c r="CN54" s="1347">
        <v>110000</v>
      </c>
      <c r="CP54" s="1545"/>
      <c r="CQ54" s="690" t="str">
        <f>CONCATENATE(County,0.45)</f>
        <v>Amador0.45</v>
      </c>
      <c r="CR54" s="489">
        <f t="shared" si="26"/>
        <v>614</v>
      </c>
      <c r="CS54" s="489">
        <f t="shared" si="21"/>
        <v>658</v>
      </c>
      <c r="CT54" s="489">
        <f t="shared" si="22"/>
        <v>789</v>
      </c>
      <c r="CU54" s="489">
        <f t="shared" si="23"/>
        <v>911</v>
      </c>
      <c r="CV54" s="489">
        <f t="shared" si="24"/>
        <v>1017</v>
      </c>
      <c r="CW54" s="1356">
        <f t="shared" si="25"/>
        <v>1122</v>
      </c>
    </row>
    <row r="55" spans="1:101" ht="18" customHeight="1">
      <c r="A55" s="1228"/>
      <c r="B55" s="611"/>
      <c r="C55" s="469"/>
      <c r="D55" s="615"/>
      <c r="E55" s="1048"/>
      <c r="F55" s="550"/>
      <c r="G55" s="550"/>
      <c r="H55" s="550"/>
      <c r="I55" s="550"/>
      <c r="J55" s="614"/>
      <c r="K55" s="1048"/>
      <c r="L55" s="550"/>
      <c r="M55" s="550"/>
      <c r="N55" s="550"/>
      <c r="O55" s="550"/>
      <c r="P55" s="550"/>
      <c r="Q55" s="550"/>
      <c r="R55" s="550"/>
      <c r="S55" s="550"/>
      <c r="T55" s="614"/>
      <c r="U55" s="1048"/>
      <c r="V55" s="615"/>
      <c r="W55" s="611"/>
      <c r="X55" s="864"/>
      <c r="Y55" s="615"/>
      <c r="Z55" s="1193">
        <f>IF(OR(UnitsTbl[[#This Row],[Restricted Income Level]]="Manager",UnitsTbl[[#This Row],[Restricted Income Level]]="Market",UnitsTbl[[#This Row],[Restricted Income Level]]&gt;60%),0,MIN(SUM(UnitsTbl[[#This Row],[IIG
Assisted]:[VHHP
Assisted]])+UnitsTbl[[#This Row],[Other Restricted]],UnitsTbl[[#This Row],[Total Units]]))</f>
        <v>0</v>
      </c>
      <c r="AA55" s="1626">
        <f>UnitsTbl[[#This Row],[Total Restricted Units]]*25000+IF(UnitsTbl[[#This Row],[Restricted Income Level]]="Manager",UnitsTbl[[#This Row],[Total Units]]*25000,0)</f>
        <v>0</v>
      </c>
      <c r="AB55"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55"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55"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55"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55" s="1629">
        <f>IFERROR(IF(AND(IsMhp,UnitsTbl[[#This Row],[Restricted Income Level]]="Manager"),UnitsTbl[[#This Row],[Total Units]]*IF(AND(UnitsTbl[[#This Row],[Total Units]]&gt;0,Taxcredit=9%,UnitsTbl[[#This Row],[Restricted Income Level]]="Manager"),95000,IF(AND(IsMhp,UnitsTbl[[#This Row],[Total Units]]&gt;0,Taxcredit=9%),VLOOKUP(CONCATENATE(County,C55),LoanLimit9Tbl[],AX55,FALSE),IF(AND(IsMhp,UnitsTbl[[#This Row],[Total Units]]&gt;0,OR(Taxcredit=4%,Taxcredit="None"),UnitsTbl[[#This Row],[Restricted Income Level]]="Manager"),150000,VLOOKUP(CONCATENATE(County,C55),LoanLimitsTbl[],AX55,FALSE)))),(IF($R$4=FALSE,((UnitsTbl[[#This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Restricted]]&gt;0),IsMhp,Taxcredit=9%),VLOOKUP(CONCATENATE(County,C55),LoanLimit9Tbl[],AX55,FALSE),IF(AND(IsMhp,UnitsTbl[[#This Row],[MHP
Assisted]]&gt;0,UnitsTbl[[#This Row],[Restricted Income Level]]="Manager"),150000,VLOOKUP(CONCATENATE(County,C55),LoanLimitsTbl[],AX55,FALSE))))))),0)</f>
        <v>0</v>
      </c>
      <c r="AG55"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Restricted]]&gt;0),IsMhp,Taxcredit=9%),VLOOKUP(CONCATENATE(County,C55),LoanLimit9Tbl[],AY55,FALSE),IF(AND(OR(UnitsTbl[[#This Row],[MHP
Assisted]]&gt;0,UnitsTbl[[#This Row],[Other Restricted]]&gt;0),UnitsTbl[[#This Row],[Restricted Income Level]]="Manager"),175000,VLOOKUP(CONCATENATE(County,C55),LoanLimitsTbl[],AY55,FALSE)))),IF(UnitsTbl[[#This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Restricted]]&gt;0),IsMhp,Taxcredit=9%),VLOOKUP(CONCATENATE(County,C55),LoanLimit9Tbl[],AY55,FALSE),IF(AND(OR(UnitsTbl[[#This Row],[MHP
Assisted]]&gt;0,UnitsTbl[[#This Row],[Other Restricted]]&gt;0),UnitsTbl[[#This Row],[Restricted Income Level]]="Manager"),175000,VLOOKUP(CONCATENATE(County,C55),LoanLimitsTbl[],AY55,FALSE)))))))),"")</f>
        <v>0</v>
      </c>
      <c r="AH55" s="1248"/>
      <c r="AI55"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55" s="751"/>
      <c r="AK55" s="755"/>
      <c r="AL55" s="752" t="str">
        <f>IFERROR(IF(UnitsTbl[[#This Row],[Max Gross Rent]]=0,"",UnitsTbl[[#This Row],[Max Gross Rent]]-UnitsTbl[[#This Row],[Less Utility Allowance Schedule 1]]-UnitsTbl[[#This Row],[Less Utility Allowance Schedule 2]]),"")</f>
        <v/>
      </c>
      <c r="AM55" s="751"/>
      <c r="AN55" s="752" t="str">
        <f>IF(UnitsTbl[[#This Row],[Proposed Net Rent ]]="","",UnitsTbl[[#This Row],[Total Units]]*UnitsTbl[[#This Row],[Proposed Net Rent ]])</f>
        <v/>
      </c>
      <c r="AO55" s="1250" t="str">
        <f>IFERROR(UnitsTbl[[#This Row],[Total Units]]*UnitsTbl[[#This Row],[Maximum Net Rent]],"")</f>
        <v/>
      </c>
      <c r="AP55" s="1253"/>
      <c r="AQ55" s="752" t="str">
        <f>IFERROR(IF(UnitsTbl[[#This Row],[Gross Monthly Contract Rent]]="","",IF($AV$4="Restricted",UnitsTbl[[#This Row],[Gross Monthly Contract Rent]]-UnitsTbl[[#This Row],[Maximum Net Rent]],IF($AV$4="Proposed",UnitsTbl[[#This Row],[Gross Monthly Contract Rent]]-UnitsTbl[[#This Row],[Proposed Net Rent ]],0))),"")</f>
        <v/>
      </c>
      <c r="AR55" s="864"/>
      <c r="AS55" s="753" t="str">
        <f>IFERROR(IF(UnitsTbl[[#This Row],[Units Subsidized]]="","",UnitsTbl[[#This Row],[Subsidy Payment Over  Net Rent]]*UnitsTbl[[#This Row],[Units Subsidized]]),"")</f>
        <v/>
      </c>
      <c r="AT55" s="754"/>
      <c r="AU55" s="752" t="str">
        <f>IFERROR(IF(UnitsTbl[[#This Row],[Gross Monthly Contract Rent2]]="","",IF($AV$4="Restricted",UnitsTbl[[#This Row],[Gross Monthly Contract Rent2]]-UnitsTbl[[#This Row],[Maximum Net Rent]],IF($AV$4="Proposed",UnitsTbl[[#This Row],[Gross Monthly Contract Rent2]]-UnitsTbl[[#This Row],[Proposed Net Rent ]],""))),"")</f>
        <v/>
      </c>
      <c r="AV55" s="864"/>
      <c r="AW55" s="1261" t="str">
        <f>IFERROR(IF(UnitsTbl[[#This Row],[Units Subsidized2]]="","",UnitsTbl[[#This Row],[Subsidy Payment Over  Net Rent2]]*UnitsTbl[[#This Row],[Units Subsidized2]]),"")</f>
        <v/>
      </c>
      <c r="AX55" s="1354" t="str">
        <f>IF(UnitsTbl[[#This Row],['# of Bedrooms]]="","",IF(UnitsTbl[[#This Row],['# of Bedrooms]]=0,2,IF(UnitsTbl[[#This Row],['# of Bedrooms]]=1,3,IF(UnitsTbl[[#This Row],['# of Bedrooms]]=2,4,IF(UnitsTbl[[#This Row],['# of Bedrooms]]=3,5,IF(UnitsTbl[[#This Row],['# of Bedrooms]]=4,6,IF(UnitsTbl[[#This Row],['# of Bedrooms]]&gt;4,6,"")))))))</f>
        <v/>
      </c>
      <c r="AY55" s="470" t="str">
        <f>IF(UnitsTbl[[#This Row],['# of Bedrooms]]="","",IF(UnitsTbl[[#This Row],['# of Bedrooms]]=0,7,IF(UnitsTbl[[#This Row],['# of Bedrooms]]=1,8,IF(UnitsTbl[[#This Row],['# of Bedrooms]]=2,9,IF(UnitsTbl[[#This Row],['# of Bedrooms]]=3,10,IF(UnitsTbl[[#This Row],['# of Bedrooms]]=4,11,IF(UnitsTbl[[#This Row],['# of Bedrooms]]&gt;4,11,"")))))))</f>
        <v/>
      </c>
      <c r="AZ55" s="470" t="str">
        <f>IF(UnitsTbl[[#This Row],['# of Bedrooms]]="","",IF(UnitsTbl[[#This Row],['# of Bedrooms]]=0,2,IF(UnitsTbl[[#This Row],['# of Bedrooms]]=1,3,IF(UnitsTbl[[#This Row],['# of Bedrooms]]=2,4,IF(UnitsTbl[[#This Row],['# of Bedrooms]]=3,5,IF(UnitsTbl[[#This Row],['# of Bedrooms]]=4,6,IF(UnitsTbl[[#This Row],['# of Bedrooms]]=5,7,"")))))))</f>
        <v/>
      </c>
      <c r="BA55" s="1546">
        <f>MIN(SUM(UnitsTbl[[#This Row],[Disability Homelessness ]],UnitsTbl[[#This Row],[Chronic Homelessness]],UnitsTbl[[#This Row],[Homelessness]]),UnitsTbl[[#This Row],[Total Restricted Units]])</f>
        <v>0</v>
      </c>
      <c r="BB55" s="1546">
        <f>(UnitsTbl[[#This Row],[Restricted Income Level]]&lt;=30%)*UnitsTbl[[#This Row],[Total Restricted Units]]</f>
        <v>0</v>
      </c>
      <c r="BC55" s="1546">
        <f t="shared" si="27"/>
        <v>0</v>
      </c>
      <c r="BH55" s="1348" t="s">
        <v>2482</v>
      </c>
      <c r="BI55" s="483">
        <v>158787</v>
      </c>
      <c r="BJ55" s="483">
        <v>159363</v>
      </c>
      <c r="BK55" s="483">
        <v>161380</v>
      </c>
      <c r="BL55" s="483">
        <v>163108</v>
      </c>
      <c r="BM55" s="483">
        <v>164549</v>
      </c>
      <c r="BN55" s="483">
        <v>183787</v>
      </c>
      <c r="BO55" s="483">
        <v>184363</v>
      </c>
      <c r="BP55" s="483">
        <v>186380</v>
      </c>
      <c r="BQ55" s="483">
        <v>188108</v>
      </c>
      <c r="BR55" s="1344">
        <v>189549</v>
      </c>
      <c r="BS55" s="1545"/>
      <c r="BT55" s="1345" t="s">
        <v>2483</v>
      </c>
      <c r="BU55" s="508">
        <v>24400</v>
      </c>
      <c r="BV55" s="508">
        <v>27900</v>
      </c>
      <c r="BW55" s="508">
        <v>31400</v>
      </c>
      <c r="BX55" s="508">
        <v>34850</v>
      </c>
      <c r="BY55" s="508">
        <v>37650</v>
      </c>
      <c r="BZ55" s="508">
        <v>40450</v>
      </c>
      <c r="CA55" s="508">
        <v>43250</v>
      </c>
      <c r="CB55" s="1346">
        <v>46050</v>
      </c>
      <c r="CC55" s="1545"/>
      <c r="CD55" s="1348" t="s">
        <v>2482</v>
      </c>
      <c r="CE55" s="504">
        <v>103787</v>
      </c>
      <c r="CF55" s="504">
        <v>104363</v>
      </c>
      <c r="CG55" s="504">
        <v>106380</v>
      </c>
      <c r="CH55" s="504">
        <v>108108</v>
      </c>
      <c r="CI55" s="504">
        <v>109549</v>
      </c>
      <c r="CJ55" s="504">
        <v>118787</v>
      </c>
      <c r="CK55" s="504">
        <v>119363</v>
      </c>
      <c r="CL55" s="504">
        <v>121380</v>
      </c>
      <c r="CM55" s="504">
        <v>123108</v>
      </c>
      <c r="CN55" s="1347">
        <v>124549</v>
      </c>
      <c r="CP55" s="1545"/>
      <c r="CQ55" s="690" t="str">
        <f>CONCATENATE(County,0.4)</f>
        <v>Amador0.4</v>
      </c>
      <c r="CR55" s="489">
        <f t="shared" si="26"/>
        <v>546</v>
      </c>
      <c r="CS55" s="489">
        <f t="shared" si="21"/>
        <v>585</v>
      </c>
      <c r="CT55" s="489">
        <f t="shared" si="22"/>
        <v>702</v>
      </c>
      <c r="CU55" s="489">
        <f t="shared" si="23"/>
        <v>810</v>
      </c>
      <c r="CV55" s="489">
        <f t="shared" si="24"/>
        <v>904</v>
      </c>
      <c r="CW55" s="1356">
        <f t="shared" si="25"/>
        <v>997</v>
      </c>
    </row>
    <row r="56" spans="1:101" ht="18" customHeight="1">
      <c r="A56" s="1228"/>
      <c r="B56" s="611"/>
      <c r="C56" s="469"/>
      <c r="D56" s="615"/>
      <c r="E56" s="1048"/>
      <c r="F56" s="550"/>
      <c r="G56" s="550"/>
      <c r="H56" s="550"/>
      <c r="I56" s="550"/>
      <c r="J56" s="614"/>
      <c r="K56" s="1048"/>
      <c r="L56" s="550"/>
      <c r="M56" s="550"/>
      <c r="N56" s="550"/>
      <c r="O56" s="550"/>
      <c r="P56" s="550"/>
      <c r="Q56" s="550"/>
      <c r="R56" s="550"/>
      <c r="S56" s="550"/>
      <c r="T56" s="614"/>
      <c r="U56" s="1048"/>
      <c r="V56" s="615"/>
      <c r="W56" s="611"/>
      <c r="X56" s="864"/>
      <c r="Y56" s="615"/>
      <c r="Z56" s="1193">
        <f>IF(OR(UnitsTbl[[#This Row],[Restricted Income Level]]="Manager",UnitsTbl[[#This Row],[Restricted Income Level]]="Market",UnitsTbl[[#This Row],[Restricted Income Level]]&gt;60%),0,MIN(SUM(UnitsTbl[[#This Row],[IIG
Assisted]:[VHHP
Assisted]])+UnitsTbl[[#This Row],[Other Restricted]],UnitsTbl[[#This Row],[Total Units]]))</f>
        <v>0</v>
      </c>
      <c r="AA56" s="1626">
        <f>UnitsTbl[[#This Row],[Total Restricted Units]]*25000+IF(UnitsTbl[[#This Row],[Restricted Income Level]]="Manager",UnitsTbl[[#This Row],[Total Units]]*25000,0)</f>
        <v>0</v>
      </c>
      <c r="AB56"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56"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56"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56"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56" s="1629">
        <f>IFERROR(IF(AND(IsMhp,UnitsTbl[[#This Row],[Restricted Income Level]]="Manager"),UnitsTbl[[#This Row],[Total Units]]*IF(AND(UnitsTbl[[#This Row],[Total Units]]&gt;0,Taxcredit=9%,UnitsTbl[[#This Row],[Restricted Income Level]]="Manager"),95000,IF(AND(IsMhp,UnitsTbl[[#This Row],[Total Units]]&gt;0,Taxcredit=9%),VLOOKUP(CONCATENATE(County,C56),LoanLimit9Tbl[],AX56,FALSE),IF(AND(IsMhp,UnitsTbl[[#This Row],[Total Units]]&gt;0,OR(Taxcredit=4%,Taxcredit="None"),UnitsTbl[[#This Row],[Restricted Income Level]]="Manager"),150000,VLOOKUP(CONCATENATE(County,C56),LoanLimitsTbl[],AX56,FALSE)))),(IF($R$4=FALSE,((UnitsTbl[[#This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Restricted]]&gt;0),IsMhp,Taxcredit=9%),VLOOKUP(CONCATENATE(County,C56),LoanLimit9Tbl[],AX56,FALSE),IF(AND(IsMhp,UnitsTbl[[#This Row],[MHP
Assisted]]&gt;0,UnitsTbl[[#This Row],[Restricted Income Level]]="Manager"),150000,VLOOKUP(CONCATENATE(County,C56),LoanLimitsTbl[],AX56,FALSE))))))),0)</f>
        <v>0</v>
      </c>
      <c r="AG56"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Restricted]]&gt;0),IsMhp,Taxcredit=9%),VLOOKUP(CONCATENATE(County,C56),LoanLimit9Tbl[],AY56,FALSE),IF(AND(OR(UnitsTbl[[#This Row],[MHP
Assisted]]&gt;0,UnitsTbl[[#This Row],[Other Restricted]]&gt;0),UnitsTbl[[#This Row],[Restricted Income Level]]="Manager"),175000,VLOOKUP(CONCATENATE(County,C56),LoanLimitsTbl[],AY56,FALSE)))),IF(UnitsTbl[[#This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Restricted]]&gt;0),IsMhp,Taxcredit=9%),VLOOKUP(CONCATENATE(County,C56),LoanLimit9Tbl[],AY56,FALSE),IF(AND(OR(UnitsTbl[[#This Row],[MHP
Assisted]]&gt;0,UnitsTbl[[#This Row],[Other Restricted]]&gt;0),UnitsTbl[[#This Row],[Restricted Income Level]]="Manager"),175000,VLOOKUP(CONCATENATE(County,C56),LoanLimitsTbl[],AY56,FALSE)))))))),"")</f>
        <v>0</v>
      </c>
      <c r="AH56" s="1248"/>
      <c r="AI56"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56" s="751"/>
      <c r="AK56" s="755"/>
      <c r="AL56" s="752" t="str">
        <f>IFERROR(IF(UnitsTbl[[#This Row],[Max Gross Rent]]=0,"",UnitsTbl[[#This Row],[Max Gross Rent]]-UnitsTbl[[#This Row],[Less Utility Allowance Schedule 1]]-UnitsTbl[[#This Row],[Less Utility Allowance Schedule 2]]),"")</f>
        <v/>
      </c>
      <c r="AM56" s="751"/>
      <c r="AN56" s="752" t="str">
        <f>IF(UnitsTbl[[#This Row],[Proposed Net Rent ]]="","",UnitsTbl[[#This Row],[Total Units]]*UnitsTbl[[#This Row],[Proposed Net Rent ]])</f>
        <v/>
      </c>
      <c r="AO56" s="1250" t="str">
        <f>IFERROR(UnitsTbl[[#This Row],[Total Units]]*UnitsTbl[[#This Row],[Maximum Net Rent]],"")</f>
        <v/>
      </c>
      <c r="AP56" s="1253"/>
      <c r="AQ56" s="752" t="str">
        <f>IFERROR(IF(UnitsTbl[[#This Row],[Gross Monthly Contract Rent]]="","",IF($AV$4="Restricted",UnitsTbl[[#This Row],[Gross Monthly Contract Rent]]-UnitsTbl[[#This Row],[Maximum Net Rent]],IF($AV$4="Proposed",UnitsTbl[[#This Row],[Gross Monthly Contract Rent]]-UnitsTbl[[#This Row],[Proposed Net Rent ]],0))),"")</f>
        <v/>
      </c>
      <c r="AR56" s="864"/>
      <c r="AS56" s="753" t="str">
        <f>IFERROR(IF(UnitsTbl[[#This Row],[Units Subsidized]]="","",UnitsTbl[[#This Row],[Subsidy Payment Over  Net Rent]]*UnitsTbl[[#This Row],[Units Subsidized]]),"")</f>
        <v/>
      </c>
      <c r="AT56" s="754"/>
      <c r="AU56" s="752" t="str">
        <f>IFERROR(IF(UnitsTbl[[#This Row],[Gross Monthly Contract Rent2]]="","",IF($AV$4="Restricted",UnitsTbl[[#This Row],[Gross Monthly Contract Rent2]]-UnitsTbl[[#This Row],[Maximum Net Rent]],IF($AV$4="Proposed",UnitsTbl[[#This Row],[Gross Monthly Contract Rent2]]-UnitsTbl[[#This Row],[Proposed Net Rent ]],""))),"")</f>
        <v/>
      </c>
      <c r="AV56" s="864"/>
      <c r="AW56" s="1261" t="str">
        <f>IFERROR(IF(UnitsTbl[[#This Row],[Units Subsidized2]]="","",UnitsTbl[[#This Row],[Subsidy Payment Over  Net Rent2]]*UnitsTbl[[#This Row],[Units Subsidized2]]),"")</f>
        <v/>
      </c>
      <c r="AX56" s="1354" t="str">
        <f>IF(UnitsTbl[[#This Row],['# of Bedrooms]]="","",IF(UnitsTbl[[#This Row],['# of Bedrooms]]=0,2,IF(UnitsTbl[[#This Row],['# of Bedrooms]]=1,3,IF(UnitsTbl[[#This Row],['# of Bedrooms]]=2,4,IF(UnitsTbl[[#This Row],['# of Bedrooms]]=3,5,IF(UnitsTbl[[#This Row],['# of Bedrooms]]=4,6,IF(UnitsTbl[[#This Row],['# of Bedrooms]]&gt;4,6,"")))))))</f>
        <v/>
      </c>
      <c r="AY56" s="470" t="str">
        <f>IF(UnitsTbl[[#This Row],['# of Bedrooms]]="","",IF(UnitsTbl[[#This Row],['# of Bedrooms]]=0,7,IF(UnitsTbl[[#This Row],['# of Bedrooms]]=1,8,IF(UnitsTbl[[#This Row],['# of Bedrooms]]=2,9,IF(UnitsTbl[[#This Row],['# of Bedrooms]]=3,10,IF(UnitsTbl[[#This Row],['# of Bedrooms]]=4,11,IF(UnitsTbl[[#This Row],['# of Bedrooms]]&gt;4,11,"")))))))</f>
        <v/>
      </c>
      <c r="AZ56" s="470" t="str">
        <f>IF(UnitsTbl[[#This Row],['# of Bedrooms]]="","",IF(UnitsTbl[[#This Row],['# of Bedrooms]]=0,2,IF(UnitsTbl[[#This Row],['# of Bedrooms]]=1,3,IF(UnitsTbl[[#This Row],['# of Bedrooms]]=2,4,IF(UnitsTbl[[#This Row],['# of Bedrooms]]=3,5,IF(UnitsTbl[[#This Row],['# of Bedrooms]]=4,6,IF(UnitsTbl[[#This Row],['# of Bedrooms]]=5,7,"")))))))</f>
        <v/>
      </c>
      <c r="BA56" s="1546">
        <f>MIN(SUM(UnitsTbl[[#This Row],[Disability Homelessness ]],UnitsTbl[[#This Row],[Chronic Homelessness]],UnitsTbl[[#This Row],[Homelessness]]),UnitsTbl[[#This Row],[Total Restricted Units]])</f>
        <v>0</v>
      </c>
      <c r="BB56" s="1546">
        <f>(UnitsTbl[[#This Row],[Restricted Income Level]]&lt;=30%)*UnitsTbl[[#This Row],[Total Restricted Units]]</f>
        <v>0</v>
      </c>
      <c r="BC56" s="1546">
        <f t="shared" si="27"/>
        <v>0</v>
      </c>
      <c r="BH56" s="1348" t="s">
        <v>2484</v>
      </c>
      <c r="BI56" s="483">
        <v>167574</v>
      </c>
      <c r="BJ56" s="483">
        <v>168870</v>
      </c>
      <c r="BK56" s="483">
        <v>172615</v>
      </c>
      <c r="BL56" s="483">
        <v>176073</v>
      </c>
      <c r="BM56" s="483">
        <v>179098</v>
      </c>
      <c r="BN56" s="483">
        <v>192574</v>
      </c>
      <c r="BO56" s="483">
        <v>193870</v>
      </c>
      <c r="BP56" s="483">
        <v>197615</v>
      </c>
      <c r="BQ56" s="483">
        <v>201073</v>
      </c>
      <c r="BR56" s="1344">
        <v>204098</v>
      </c>
      <c r="BS56" s="1545"/>
      <c r="BT56" s="1345" t="s">
        <v>2485</v>
      </c>
      <c r="BU56" s="508">
        <v>24400</v>
      </c>
      <c r="BV56" s="508">
        <v>27900</v>
      </c>
      <c r="BW56" s="508">
        <v>31400</v>
      </c>
      <c r="BX56" s="508">
        <v>34850</v>
      </c>
      <c r="BY56" s="508">
        <v>37650</v>
      </c>
      <c r="BZ56" s="508">
        <v>40450</v>
      </c>
      <c r="CA56" s="508">
        <v>43250</v>
      </c>
      <c r="CB56" s="1346">
        <v>46050</v>
      </c>
      <c r="CC56" s="1545"/>
      <c r="CD56" s="1348" t="s">
        <v>2484</v>
      </c>
      <c r="CE56" s="504">
        <v>112574</v>
      </c>
      <c r="CF56" s="504">
        <v>113870</v>
      </c>
      <c r="CG56" s="504">
        <v>117615</v>
      </c>
      <c r="CH56" s="504">
        <v>121073</v>
      </c>
      <c r="CI56" s="504">
        <v>124098</v>
      </c>
      <c r="CJ56" s="504">
        <v>127574</v>
      </c>
      <c r="CK56" s="504">
        <v>128870</v>
      </c>
      <c r="CL56" s="504">
        <v>132615</v>
      </c>
      <c r="CM56" s="504">
        <v>136073</v>
      </c>
      <c r="CN56" s="1347">
        <v>139098</v>
      </c>
      <c r="CP56" s="1545"/>
      <c r="CQ56" s="690" t="str">
        <f>CONCATENATE(County,0.35)</f>
        <v>Amador0.35</v>
      </c>
      <c r="CR56" s="489">
        <f t="shared" si="26"/>
        <v>477</v>
      </c>
      <c r="CS56" s="489">
        <f t="shared" si="21"/>
        <v>511</v>
      </c>
      <c r="CT56" s="489">
        <f t="shared" si="22"/>
        <v>614</v>
      </c>
      <c r="CU56" s="489">
        <f t="shared" si="23"/>
        <v>709</v>
      </c>
      <c r="CV56" s="489">
        <f t="shared" si="24"/>
        <v>791</v>
      </c>
      <c r="CW56" s="1356">
        <f t="shared" si="25"/>
        <v>872</v>
      </c>
    </row>
    <row r="57" spans="1:101" ht="18" customHeight="1">
      <c r="A57" s="1228"/>
      <c r="B57" s="611"/>
      <c r="C57" s="469"/>
      <c r="D57" s="615"/>
      <c r="E57" s="1048"/>
      <c r="F57" s="550"/>
      <c r="G57" s="550"/>
      <c r="H57" s="550"/>
      <c r="I57" s="550"/>
      <c r="J57" s="614"/>
      <c r="K57" s="1048"/>
      <c r="L57" s="550"/>
      <c r="M57" s="550"/>
      <c r="N57" s="550"/>
      <c r="O57" s="550"/>
      <c r="P57" s="550"/>
      <c r="Q57" s="550"/>
      <c r="R57" s="550"/>
      <c r="S57" s="550"/>
      <c r="T57" s="614"/>
      <c r="U57" s="1048"/>
      <c r="V57" s="615"/>
      <c r="W57" s="611"/>
      <c r="X57" s="864"/>
      <c r="Y57" s="615"/>
      <c r="Z57" s="1193">
        <f>IF(OR(UnitsTbl[[#This Row],[Restricted Income Level]]="Manager",UnitsTbl[[#This Row],[Restricted Income Level]]="Market",UnitsTbl[[#This Row],[Restricted Income Level]]&gt;60%),0,MIN(SUM(UnitsTbl[[#This Row],[IIG
Assisted]:[VHHP
Assisted]])+UnitsTbl[[#This Row],[Other Restricted]],UnitsTbl[[#This Row],[Total Units]]))</f>
        <v>0</v>
      </c>
      <c r="AA57" s="1626">
        <f>UnitsTbl[[#This Row],[Total Restricted Units]]*25000+IF(UnitsTbl[[#This Row],[Restricted Income Level]]="Manager",UnitsTbl[[#This Row],[Total Units]]*25000,0)</f>
        <v>0</v>
      </c>
      <c r="AB57"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57"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57"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57"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57" s="1629">
        <f>IFERROR(IF(AND(IsMhp,UnitsTbl[[#This Row],[Restricted Income Level]]="Manager"),UnitsTbl[[#This Row],[Total Units]]*IF(AND(UnitsTbl[[#This Row],[Total Units]]&gt;0,Taxcredit=9%,UnitsTbl[[#This Row],[Restricted Income Level]]="Manager"),95000,IF(AND(IsMhp,UnitsTbl[[#This Row],[Total Units]]&gt;0,Taxcredit=9%),VLOOKUP(CONCATENATE(County,C57),LoanLimit9Tbl[],AX57,FALSE),IF(AND(IsMhp,UnitsTbl[[#This Row],[Total Units]]&gt;0,OR(Taxcredit=4%,Taxcredit="None"),UnitsTbl[[#This Row],[Restricted Income Level]]="Manager"),150000,VLOOKUP(CONCATENATE(County,C57),LoanLimitsTbl[],AX57,FALSE)))),(IF($R$4=FALSE,((UnitsTbl[[#This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Restricted]]&gt;0),IsMhp,Taxcredit=9%),VLOOKUP(CONCATENATE(County,C57),LoanLimit9Tbl[],AX57,FALSE),IF(AND(IsMhp,UnitsTbl[[#This Row],[MHP
Assisted]]&gt;0,UnitsTbl[[#This Row],[Restricted Income Level]]="Manager"),150000,VLOOKUP(CONCATENATE(County,C57),LoanLimitsTbl[],AX57,FALSE))))))),0)</f>
        <v>0</v>
      </c>
      <c r="AG57"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Restricted]]&gt;0),IsMhp,Taxcredit=9%),VLOOKUP(CONCATENATE(County,C57),LoanLimit9Tbl[],AY57,FALSE),IF(AND(OR(UnitsTbl[[#This Row],[MHP
Assisted]]&gt;0,UnitsTbl[[#This Row],[Other Restricted]]&gt;0),UnitsTbl[[#This Row],[Restricted Income Level]]="Manager"),175000,VLOOKUP(CONCATENATE(County,C57),LoanLimitsTbl[],AY57,FALSE)))),IF(UnitsTbl[[#This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Restricted]]&gt;0),IsMhp,Taxcredit=9%),VLOOKUP(CONCATENATE(County,C57),LoanLimit9Tbl[],AY57,FALSE),IF(AND(OR(UnitsTbl[[#This Row],[MHP
Assisted]]&gt;0,UnitsTbl[[#This Row],[Other Restricted]]&gt;0),UnitsTbl[[#This Row],[Restricted Income Level]]="Manager"),175000,VLOOKUP(CONCATENATE(County,C57),LoanLimitsTbl[],AY57,FALSE)))))))),"")</f>
        <v>0</v>
      </c>
      <c r="AH57" s="1248"/>
      <c r="AI57"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57" s="751"/>
      <c r="AK57" s="755"/>
      <c r="AL57" s="752" t="str">
        <f>IFERROR(IF(UnitsTbl[[#This Row],[Max Gross Rent]]=0,"",UnitsTbl[[#This Row],[Max Gross Rent]]-UnitsTbl[[#This Row],[Less Utility Allowance Schedule 1]]-UnitsTbl[[#This Row],[Less Utility Allowance Schedule 2]]),"")</f>
        <v/>
      </c>
      <c r="AM57" s="751"/>
      <c r="AN57" s="752" t="str">
        <f>IF(UnitsTbl[[#This Row],[Proposed Net Rent ]]="","",UnitsTbl[[#This Row],[Total Units]]*UnitsTbl[[#This Row],[Proposed Net Rent ]])</f>
        <v/>
      </c>
      <c r="AO57" s="1250" t="str">
        <f>IFERROR(UnitsTbl[[#This Row],[Total Units]]*UnitsTbl[[#This Row],[Maximum Net Rent]],"")</f>
        <v/>
      </c>
      <c r="AP57" s="1253"/>
      <c r="AQ57" s="752" t="str">
        <f>IFERROR(IF(UnitsTbl[[#This Row],[Gross Monthly Contract Rent]]="","",IF($AV$4="Restricted",UnitsTbl[[#This Row],[Gross Monthly Contract Rent]]-UnitsTbl[[#This Row],[Maximum Net Rent]],IF($AV$4="Proposed",UnitsTbl[[#This Row],[Gross Monthly Contract Rent]]-UnitsTbl[[#This Row],[Proposed Net Rent ]],0))),"")</f>
        <v/>
      </c>
      <c r="AR57" s="864"/>
      <c r="AS57" s="753" t="str">
        <f>IFERROR(IF(UnitsTbl[[#This Row],[Units Subsidized]]="","",UnitsTbl[[#This Row],[Subsidy Payment Over  Net Rent]]*UnitsTbl[[#This Row],[Units Subsidized]]),"")</f>
        <v/>
      </c>
      <c r="AT57" s="754"/>
      <c r="AU57" s="752" t="str">
        <f>IFERROR(IF(UnitsTbl[[#This Row],[Gross Monthly Contract Rent2]]="","",IF($AV$4="Restricted",UnitsTbl[[#This Row],[Gross Monthly Contract Rent2]]-UnitsTbl[[#This Row],[Maximum Net Rent]],IF($AV$4="Proposed",UnitsTbl[[#This Row],[Gross Monthly Contract Rent2]]-UnitsTbl[[#This Row],[Proposed Net Rent ]],""))),"")</f>
        <v/>
      </c>
      <c r="AV57" s="864"/>
      <c r="AW57" s="1261" t="str">
        <f>IFERROR(IF(UnitsTbl[[#This Row],[Units Subsidized2]]="","",UnitsTbl[[#This Row],[Subsidy Payment Over  Net Rent2]]*UnitsTbl[[#This Row],[Units Subsidized2]]),"")</f>
        <v/>
      </c>
      <c r="AX57" s="1354" t="str">
        <f>IF(UnitsTbl[[#This Row],['# of Bedrooms]]="","",IF(UnitsTbl[[#This Row],['# of Bedrooms]]=0,2,IF(UnitsTbl[[#This Row],['# of Bedrooms]]=1,3,IF(UnitsTbl[[#This Row],['# of Bedrooms]]=2,4,IF(UnitsTbl[[#This Row],['# of Bedrooms]]=3,5,IF(UnitsTbl[[#This Row],['# of Bedrooms]]=4,6,IF(UnitsTbl[[#This Row],['# of Bedrooms]]&gt;4,6,"")))))))</f>
        <v/>
      </c>
      <c r="AY57" s="470" t="str">
        <f>IF(UnitsTbl[[#This Row],['# of Bedrooms]]="","",IF(UnitsTbl[[#This Row],['# of Bedrooms]]=0,7,IF(UnitsTbl[[#This Row],['# of Bedrooms]]=1,8,IF(UnitsTbl[[#This Row],['# of Bedrooms]]=2,9,IF(UnitsTbl[[#This Row],['# of Bedrooms]]=3,10,IF(UnitsTbl[[#This Row],['# of Bedrooms]]=4,11,IF(UnitsTbl[[#This Row],['# of Bedrooms]]&gt;4,11,"")))))))</f>
        <v/>
      </c>
      <c r="AZ57" s="470" t="str">
        <f>IF(UnitsTbl[[#This Row],['# of Bedrooms]]="","",IF(UnitsTbl[[#This Row],['# of Bedrooms]]=0,2,IF(UnitsTbl[[#This Row],['# of Bedrooms]]=1,3,IF(UnitsTbl[[#This Row],['# of Bedrooms]]=2,4,IF(UnitsTbl[[#This Row],['# of Bedrooms]]=3,5,IF(UnitsTbl[[#This Row],['# of Bedrooms]]=4,6,IF(UnitsTbl[[#This Row],['# of Bedrooms]]=5,7,"")))))))</f>
        <v/>
      </c>
      <c r="BA57" s="1546">
        <f>MIN(SUM(UnitsTbl[[#This Row],[Disability Homelessness ]],UnitsTbl[[#This Row],[Chronic Homelessness]],UnitsTbl[[#This Row],[Homelessness]]),UnitsTbl[[#This Row],[Total Restricted Units]])</f>
        <v>0</v>
      </c>
      <c r="BB57" s="1546">
        <f>(UnitsTbl[[#This Row],[Restricted Income Level]]&lt;=30%)*UnitsTbl[[#This Row],[Total Restricted Units]]</f>
        <v>0</v>
      </c>
      <c r="BC57" s="1546">
        <f t="shared" si="27"/>
        <v>0</v>
      </c>
      <c r="BH57" s="1348" t="s">
        <v>2486</v>
      </c>
      <c r="BI57" s="483">
        <v>176361</v>
      </c>
      <c r="BJ57" s="483">
        <v>178233</v>
      </c>
      <c r="BK57" s="483">
        <v>183995</v>
      </c>
      <c r="BL57" s="483">
        <v>189181</v>
      </c>
      <c r="BM57" s="483">
        <v>193646</v>
      </c>
      <c r="BN57" s="483">
        <v>201361</v>
      </c>
      <c r="BO57" s="483">
        <v>203233</v>
      </c>
      <c r="BP57" s="483">
        <v>208995</v>
      </c>
      <c r="BQ57" s="483">
        <v>214181</v>
      </c>
      <c r="BR57" s="1344">
        <v>218646</v>
      </c>
      <c r="BS57" s="1545"/>
      <c r="BT57" s="1345" t="s">
        <v>2487</v>
      </c>
      <c r="BU57" s="508">
        <v>24400</v>
      </c>
      <c r="BV57" s="508">
        <v>27900</v>
      </c>
      <c r="BW57" s="508">
        <v>31400</v>
      </c>
      <c r="BX57" s="508">
        <v>34850</v>
      </c>
      <c r="BY57" s="508">
        <v>37650</v>
      </c>
      <c r="BZ57" s="508">
        <v>40450</v>
      </c>
      <c r="CA57" s="508">
        <v>43250</v>
      </c>
      <c r="CB57" s="1346">
        <v>46050</v>
      </c>
      <c r="CC57" s="1545"/>
      <c r="CD57" s="1348" t="s">
        <v>2486</v>
      </c>
      <c r="CE57" s="504">
        <v>121361</v>
      </c>
      <c r="CF57" s="504">
        <v>123233</v>
      </c>
      <c r="CG57" s="504">
        <v>128995</v>
      </c>
      <c r="CH57" s="504">
        <v>134181</v>
      </c>
      <c r="CI57" s="504">
        <v>138646</v>
      </c>
      <c r="CJ57" s="504">
        <v>136361</v>
      </c>
      <c r="CK57" s="504">
        <v>138233</v>
      </c>
      <c r="CL57" s="504">
        <v>143995</v>
      </c>
      <c r="CM57" s="504">
        <v>149181</v>
      </c>
      <c r="CN57" s="1347">
        <v>153646</v>
      </c>
      <c r="CP57" s="1545"/>
      <c r="CQ57" s="690" t="str">
        <f>CONCATENATE(County,0.3)</f>
        <v>Amador0.3</v>
      </c>
      <c r="CR57" s="489">
        <f t="shared" si="26"/>
        <v>409</v>
      </c>
      <c r="CS57" s="489">
        <f t="shared" si="21"/>
        <v>438</v>
      </c>
      <c r="CT57" s="489">
        <f t="shared" si="22"/>
        <v>526</v>
      </c>
      <c r="CU57" s="489">
        <f t="shared" si="23"/>
        <v>607</v>
      </c>
      <c r="CV57" s="489">
        <f t="shared" si="24"/>
        <v>678</v>
      </c>
      <c r="CW57" s="1356">
        <f t="shared" si="25"/>
        <v>748</v>
      </c>
    </row>
    <row r="58" spans="1:101" ht="18" customHeight="1">
      <c r="A58" s="1228"/>
      <c r="B58" s="611"/>
      <c r="C58" s="469"/>
      <c r="D58" s="615"/>
      <c r="E58" s="1048"/>
      <c r="F58" s="550"/>
      <c r="G58" s="550"/>
      <c r="H58" s="550"/>
      <c r="I58" s="550"/>
      <c r="J58" s="614"/>
      <c r="K58" s="1048"/>
      <c r="L58" s="550"/>
      <c r="M58" s="550"/>
      <c r="N58" s="550"/>
      <c r="O58" s="550"/>
      <c r="P58" s="550"/>
      <c r="Q58" s="550"/>
      <c r="R58" s="550"/>
      <c r="S58" s="550"/>
      <c r="T58" s="614"/>
      <c r="U58" s="1048"/>
      <c r="V58" s="615"/>
      <c r="W58" s="611"/>
      <c r="X58" s="864"/>
      <c r="Y58" s="615"/>
      <c r="Z58" s="1193">
        <f>IF(OR(UnitsTbl[[#This Row],[Restricted Income Level]]="Manager",UnitsTbl[[#This Row],[Restricted Income Level]]="Market",UnitsTbl[[#This Row],[Restricted Income Level]]&gt;60%),0,MIN(SUM(UnitsTbl[[#This Row],[IIG
Assisted]:[VHHP
Assisted]])+UnitsTbl[[#This Row],[Other Restricted]],UnitsTbl[[#This Row],[Total Units]]))</f>
        <v>0</v>
      </c>
      <c r="AA58" s="1626">
        <f>UnitsTbl[[#This Row],[Total Restricted Units]]*25000+IF(UnitsTbl[[#This Row],[Restricted Income Level]]="Manager",UnitsTbl[[#This Row],[Total Units]]*25000,0)</f>
        <v>0</v>
      </c>
      <c r="AB58" s="1626">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58" s="1627">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58" s="1626"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58" s="1628">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58" s="1629">
        <f>IFERROR(IF(AND(IsMhp,UnitsTbl[[#This Row],[Restricted Income Level]]="Manager"),UnitsTbl[[#This Row],[Total Units]]*IF(AND(UnitsTbl[[#This Row],[Total Units]]&gt;0,Taxcredit=9%,UnitsTbl[[#This Row],[Restricted Income Level]]="Manager"),95000,IF(AND(IsMhp,UnitsTbl[[#This Row],[Total Units]]&gt;0,Taxcredit=9%),VLOOKUP(CONCATENATE(County,C58),LoanLimit9Tbl[],AX58,FALSE),IF(AND(IsMhp,UnitsTbl[[#This Row],[Total Units]]&gt;0,OR(Taxcredit=4%,Taxcredit="None"),UnitsTbl[[#This Row],[Restricted Income Level]]="Manager"),150000,VLOOKUP(CONCATENATE(County,C58),LoanLimitsTbl[],AX58,FALSE)))),(IF($R$4=FALSE,((UnitsTbl[[#This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Restricted]]&gt;0),IsMhp,Taxcredit=9%),VLOOKUP(CONCATENATE(County,C58),LoanLimit9Tbl[],AX58,FALSE),IF(AND(IsMhp,UnitsTbl[[#This Row],[MHP
Assisted]]&gt;0,UnitsTbl[[#This Row],[Restricted Income Level]]="Manager"),150000,VLOOKUP(CONCATENATE(County,C58),LoanLimitsTbl[],AX58,FALSE))))))),0)</f>
        <v>0</v>
      </c>
      <c r="AG58" s="1630"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Restricted]]&gt;0),IsMhp,Taxcredit=9%),VLOOKUP(CONCATENATE(County,C58),LoanLimit9Tbl[],AY58,FALSE),IF(AND(OR(UnitsTbl[[#This Row],[MHP
Assisted]]&gt;0,UnitsTbl[[#This Row],[Other Restricted]]&gt;0),UnitsTbl[[#This Row],[Restricted Income Level]]="Manager"),175000,VLOOKUP(CONCATENATE(County,C58),LoanLimitsTbl[],AY58,FALSE)))),IF(UnitsTbl[[#This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Restricted]]&gt;0),IsMhp,Taxcredit=9%),VLOOKUP(CONCATENATE(County,C58),LoanLimit9Tbl[],AY58,FALSE),IF(AND(OR(UnitsTbl[[#This Row],[MHP
Assisted]]&gt;0,UnitsTbl[[#This Row],[Other Restricted]]&gt;0),UnitsTbl[[#This Row],[Restricted Income Level]]="Manager"),175000,VLOOKUP(CONCATENATE(County,C58),LoanLimitsTbl[],AY58,FALSE)))))))),"")</f>
        <v>0</v>
      </c>
      <c r="AH58" s="1248"/>
      <c r="AI58" s="750"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58" s="751"/>
      <c r="AK58" s="755"/>
      <c r="AL58" s="752" t="str">
        <f>IFERROR(IF(UnitsTbl[[#This Row],[Max Gross Rent]]=0,"",UnitsTbl[[#This Row],[Max Gross Rent]]-UnitsTbl[[#This Row],[Less Utility Allowance Schedule 1]]-UnitsTbl[[#This Row],[Less Utility Allowance Schedule 2]]),"")</f>
        <v/>
      </c>
      <c r="AM58" s="751"/>
      <c r="AN58" s="752" t="str">
        <f>IF(UnitsTbl[[#This Row],[Proposed Net Rent ]]="","",UnitsTbl[[#This Row],[Total Units]]*UnitsTbl[[#This Row],[Proposed Net Rent ]])</f>
        <v/>
      </c>
      <c r="AO58" s="1250" t="str">
        <f>IFERROR(UnitsTbl[[#This Row],[Total Units]]*UnitsTbl[[#This Row],[Maximum Net Rent]],"")</f>
        <v/>
      </c>
      <c r="AP58" s="1253"/>
      <c r="AQ58" s="752" t="str">
        <f>IFERROR(IF(UnitsTbl[[#This Row],[Gross Monthly Contract Rent]]="","",IF($AV$4="Restricted",UnitsTbl[[#This Row],[Gross Monthly Contract Rent]]-UnitsTbl[[#This Row],[Maximum Net Rent]],IF($AV$4="Proposed",UnitsTbl[[#This Row],[Gross Monthly Contract Rent]]-UnitsTbl[[#This Row],[Proposed Net Rent ]],0))),"")</f>
        <v/>
      </c>
      <c r="AR58" s="864"/>
      <c r="AS58" s="753" t="str">
        <f>IFERROR(IF(UnitsTbl[[#This Row],[Units Subsidized]]="","",UnitsTbl[[#This Row],[Subsidy Payment Over  Net Rent]]*UnitsTbl[[#This Row],[Units Subsidized]]),"")</f>
        <v/>
      </c>
      <c r="AT58" s="754"/>
      <c r="AU58" s="752" t="str">
        <f>IFERROR(IF(UnitsTbl[[#This Row],[Gross Monthly Contract Rent2]]="","",IF($AV$4="Restricted",UnitsTbl[[#This Row],[Gross Monthly Contract Rent2]]-UnitsTbl[[#This Row],[Maximum Net Rent]],IF($AV$4="Proposed",UnitsTbl[[#This Row],[Gross Monthly Contract Rent2]]-UnitsTbl[[#This Row],[Proposed Net Rent ]],""))),"")</f>
        <v/>
      </c>
      <c r="AV58" s="864"/>
      <c r="AW58" s="1261" t="str">
        <f>IFERROR(IF(UnitsTbl[[#This Row],[Units Subsidized2]]="","",UnitsTbl[[#This Row],[Subsidy Payment Over  Net Rent2]]*UnitsTbl[[#This Row],[Units Subsidized2]]),"")</f>
        <v/>
      </c>
      <c r="AX58" s="1354" t="str">
        <f>IF(UnitsTbl[[#This Row],['# of Bedrooms]]="","",IF(UnitsTbl[[#This Row],['# of Bedrooms]]=0,2,IF(UnitsTbl[[#This Row],['# of Bedrooms]]=1,3,IF(UnitsTbl[[#This Row],['# of Bedrooms]]=2,4,IF(UnitsTbl[[#This Row],['# of Bedrooms]]=3,5,IF(UnitsTbl[[#This Row],['# of Bedrooms]]=4,6,IF(UnitsTbl[[#This Row],['# of Bedrooms]]&gt;4,6,"")))))))</f>
        <v/>
      </c>
      <c r="AY58" s="470" t="str">
        <f>IF(UnitsTbl[[#This Row],['# of Bedrooms]]="","",IF(UnitsTbl[[#This Row],['# of Bedrooms]]=0,7,IF(UnitsTbl[[#This Row],['# of Bedrooms]]=1,8,IF(UnitsTbl[[#This Row],['# of Bedrooms]]=2,9,IF(UnitsTbl[[#This Row],['# of Bedrooms]]=3,10,IF(UnitsTbl[[#This Row],['# of Bedrooms]]=4,11,IF(UnitsTbl[[#This Row],['# of Bedrooms]]&gt;4,11,"")))))))</f>
        <v/>
      </c>
      <c r="AZ58" s="470" t="str">
        <f>IF(UnitsTbl[[#This Row],['# of Bedrooms]]="","",IF(UnitsTbl[[#This Row],['# of Bedrooms]]=0,2,IF(UnitsTbl[[#This Row],['# of Bedrooms]]=1,3,IF(UnitsTbl[[#This Row],['# of Bedrooms]]=2,4,IF(UnitsTbl[[#This Row],['# of Bedrooms]]=3,5,IF(UnitsTbl[[#This Row],['# of Bedrooms]]=4,6,IF(UnitsTbl[[#This Row],['# of Bedrooms]]=5,7,"")))))))</f>
        <v/>
      </c>
      <c r="BA58" s="1546">
        <f>MIN(SUM(UnitsTbl[[#This Row],[Disability Homelessness ]],UnitsTbl[[#This Row],[Chronic Homelessness]],UnitsTbl[[#This Row],[Homelessness]]),UnitsTbl[[#This Row],[Total Restricted Units]])</f>
        <v>0</v>
      </c>
      <c r="BB58" s="1546">
        <f>(UnitsTbl[[#This Row],[Restricted Income Level]]&lt;=30%)*UnitsTbl[[#This Row],[Total Restricted Units]]</f>
        <v>0</v>
      </c>
      <c r="BC58" s="1546">
        <f t="shared" si="27"/>
        <v>0</v>
      </c>
      <c r="BH58" s="1348" t="s">
        <v>2488</v>
      </c>
      <c r="BI58" s="483">
        <v>185148</v>
      </c>
      <c r="BJ58" s="483">
        <v>187596</v>
      </c>
      <c r="BK58" s="483">
        <v>195231</v>
      </c>
      <c r="BL58" s="483">
        <v>202145</v>
      </c>
      <c r="BM58" s="483">
        <v>208195</v>
      </c>
      <c r="BN58" s="483">
        <v>210148</v>
      </c>
      <c r="BO58" s="483">
        <v>212596</v>
      </c>
      <c r="BP58" s="483">
        <v>220231</v>
      </c>
      <c r="BQ58" s="483">
        <v>227145</v>
      </c>
      <c r="BR58" s="1344">
        <v>233195</v>
      </c>
      <c r="BS58" s="1545"/>
      <c r="BT58" s="1345" t="s">
        <v>2489</v>
      </c>
      <c r="BU58" s="508">
        <v>26050</v>
      </c>
      <c r="BV58" s="508">
        <v>29800</v>
      </c>
      <c r="BW58" s="508">
        <v>33500</v>
      </c>
      <c r="BX58" s="508">
        <v>37200</v>
      </c>
      <c r="BY58" s="508">
        <v>40200</v>
      </c>
      <c r="BZ58" s="508">
        <v>43200</v>
      </c>
      <c r="CA58" s="508">
        <v>46150</v>
      </c>
      <c r="CB58" s="1346">
        <v>49150</v>
      </c>
      <c r="CC58" s="1545"/>
      <c r="CD58" s="1348" t="s">
        <v>2488</v>
      </c>
      <c r="CE58" s="504">
        <v>130148</v>
      </c>
      <c r="CF58" s="504">
        <v>132596</v>
      </c>
      <c r="CG58" s="504">
        <v>140231</v>
      </c>
      <c r="CH58" s="504">
        <v>147145</v>
      </c>
      <c r="CI58" s="504">
        <v>153195</v>
      </c>
      <c r="CJ58" s="504">
        <v>145148</v>
      </c>
      <c r="CK58" s="504">
        <v>147596</v>
      </c>
      <c r="CL58" s="504">
        <v>155231</v>
      </c>
      <c r="CM58" s="504">
        <v>162145</v>
      </c>
      <c r="CN58" s="1347">
        <v>168195</v>
      </c>
      <c r="CP58" s="1545"/>
      <c r="CQ58" s="690" t="str">
        <f>CONCATENATE(County,0.25)</f>
        <v>Amador0.25</v>
      </c>
      <c r="CR58" s="489">
        <f t="shared" si="26"/>
        <v>341</v>
      </c>
      <c r="CS58" s="489">
        <f t="shared" si="21"/>
        <v>365</v>
      </c>
      <c r="CT58" s="489">
        <f t="shared" si="22"/>
        <v>438</v>
      </c>
      <c r="CU58" s="489">
        <f t="shared" si="23"/>
        <v>506</v>
      </c>
      <c r="CV58" s="489">
        <f t="shared" si="24"/>
        <v>565</v>
      </c>
      <c r="CW58" s="1356">
        <f t="shared" si="25"/>
        <v>623</v>
      </c>
    </row>
    <row r="59" spans="1:101" ht="18" customHeight="1" thickBot="1">
      <c r="A59" s="1228"/>
      <c r="B59" s="1225"/>
      <c r="C59" s="1221"/>
      <c r="D59" s="1222"/>
      <c r="E59" s="1223"/>
      <c r="F59" s="1224"/>
      <c r="G59" s="1224"/>
      <c r="H59" s="1224"/>
      <c r="I59" s="1224"/>
      <c r="J59" s="1222"/>
      <c r="K59" s="1223"/>
      <c r="L59" s="1224"/>
      <c r="M59" s="1224"/>
      <c r="N59" s="1224"/>
      <c r="O59" s="1224"/>
      <c r="P59" s="1224"/>
      <c r="Q59" s="1224"/>
      <c r="R59" s="1224"/>
      <c r="S59" s="1224"/>
      <c r="T59" s="1222"/>
      <c r="U59" s="1223"/>
      <c r="V59" s="1222"/>
      <c r="W59" s="1225"/>
      <c r="X59" s="1224"/>
      <c r="Y59" s="1222"/>
      <c r="Z59" s="1233">
        <f>IF(OR(UnitsTbl[[#This Row],[Restricted Income Level]]="Manager",UnitsTbl[[#This Row],[Restricted Income Level]]="Market",UnitsTbl[[#This Row],[Restricted Income Level]]&gt;60%),0,MIN(SUM(UnitsTbl[[#This Row],[IIG
Assisted]:[VHHP
Assisted]])+UnitsTbl[[#This Row],[Other Restricted]],UnitsTbl[[#This Row],[Total Units]]))</f>
        <v>0</v>
      </c>
      <c r="AA59" s="1631">
        <f>UnitsTbl[[#This Row],[Total Restricted Units]]*25000+IF(UnitsTbl[[#This Row],[Restricted Income Level]]="Manager",UnitsTbl[[#This Row],[Total Units]]*25000,0)</f>
        <v>0</v>
      </c>
      <c r="AB59" s="1631">
        <f>IFERROR(IF(AND(IsIig,UnitsTbl[[#This Row],[Restricted Income Level]]="Manager"),UnitsTbl[[#This Row],[Total Units]]*VLOOKUP("Manager",IIGgrantTbl[],UnitsTbl[[#This Row],[VLOOKUP Base]],FALSE),IF(AND(IsIig,UnitsTbl[[#This Row],[Restricted Income Level]]&lt;= 60%,UnitsTbl[[#This Row],[Restricted Income Level]]&gt;50%),VLOOKUP("&lt;= 60% AMI to &gt;50% AMI",IIGgrantTbl[],UnitsTbl[[#This Row],[VLOOKUP Base]],FALSE)*UnitsTbl[[#This Row],[IIG
Assisted]],IF(AND(IsIig,UnitsTbl[[#This Row],[Restricted Income Level]]&lt;= 50%,UnitsTbl[[#This Row],[Restricted Income Level]]&gt;40%),VLOOKUP("&lt;= 50% AMI to &gt;40% AMI",IIGgrantTbl[],UnitsTbl[[#This Row],[VLOOKUP Base]],FALSE)*UnitsTbl[[#This Row],[IIG
Assisted]],IF(AND(IsIig,UnitsTbl[[#This Row],[Restricted Income Level]]&lt;= 40%,UnitsTbl[[#This Row],[Restricted Income Level]]&gt;30%),VLOOKUP("&lt;= 40% AMI to &gt;30% AMI",IIGgrantTbl[],UnitsTbl[[#This Row],[VLOOKUP Base]],FALSE)*UnitsTbl[[#This Row],[IIG
Assisted]],IF(AND(IsIig,UnitsTbl[[#This Row],[Restricted Income Level]]&lt;= 40%),VLOOKUP("&lt;= 30% AMI",IIGgrantTbl[],UnitsTbl[[#This Row],[VLOOKUP Base]],FALSE)*UnitsTbl[[#This Row],[IIG
Assisted]]))))),0)</f>
        <v>0</v>
      </c>
      <c r="AC59" s="1632">
        <f>IFERROR(IF(AND(IsSerna,UnitsTbl[[#This Row],[Restricted Income Level]]="Manager"),UnitsTbl[[#This Row],[Total Units]]*IF(AND(Taxcredit=9%,UnitsTbl[[#This Row],[Restricted Income Level]]="Manager"),95000,IF(AND(UnitsTbl[[#This Row],[Restricted Income Level]]="Manager",$X$1=FALSE),UnitsTbl[[#This Row],[Total Units]]*IF(OR(AND(Taxcredit=4%,Taxcredit="None"),UnitsTbl[[#This Row],[Restricted Income Level]]="Manager"),150000))),IF(AND(Taxcredit=9%),UnitsTbl[[#This Row],[FWHG
Assisted]]*VLOOKUP(CONCATENATE(County,UnitsTbl[[#This Row],[Restricted Income Level]]),LoanLimit9Tbl[],UnitsTbl[[#This Row],[VLOOKUP Base]],FALSE),IF(AND(OR(Taxcredit=4%,Taxcredit="None"),$X$1=TRUE),0,UnitsTbl[[#This Row],[FWHG
Assisted]]*VLOOKUP(CONCATENATE(County,UnitsTbl[[#This Row],[Restricted Income Level]]),LoanLimitsTbl[],UnitsTbl[[#This Row],[VLOOKUP Base]],FALSE)))),0)</f>
        <v>0</v>
      </c>
      <c r="AD59" s="1633" t="b">
        <f>IFERROR(IF(AND(IsVhhp,UnitsTbl[[#This Row],[Restricted Income Level]]="Manager",UnitsTbl[[#This Row],[Total Units]]&gt;0,$X$1=TRUE),IF(AND(OR(Taxcredit=4%,Taxcredit="None"),IsVhhp,UnitsTbl[[#This Row],[Restricted Income Level]]="Manager"),175000,IF(AND(OR(Taxcredit=4%,Taxcredit="None"),IsVhhp,$X$1=TRUE),UnitsTbl[[#This Row],[FWHG
Assisted]]*VLOOKUP(CONCATENATE(County,UnitsTbl[[#This Row],[Restricted Income Level]]),LoanLimitsTbl[],UnitsTbl[[#This Row],[VLOOKUP Base2]],FALSE),0))),0)</f>
        <v>0</v>
      </c>
      <c r="AE59" s="1634">
        <f>IFERROR(IF(AND(IsVhhp,UnitsTbl[[#This Row],[Restricted Income Level]]="Manager"),UnitsTbl[[#This Row],[Total Units]]*IF(AND(Taxcredit=9%,UnitsTbl[[#This Row],[Restricted Income Level]]="Manager"),95000,IF(AND(IsVhhp,UnitsTbl[[#This Row],[Restricted Income Level]]="Manager"),UnitsTbl[[#This Row],[Total Units]]*IF(OR(AND(Taxcredit=4%,Taxcredit="None"),UnitsTbl[[#This Row],[Restricted Income Level]]="Manager"),175000))),IF(Taxcredit=9%,UnitsTbl[[#This Row],[VHHP
Assisted]]*VLOOKUP(CONCATENATE(County,UnitsTbl[[#This Row],[Restricted Income Level]]),LoanLimit9Tbl[],UnitsTbl[[#This Row],[VLOOKUP Base]],FALSE),IF(OR(Taxcredit=4%,Taxcredit="None"),UnitsTbl[[#This Row],[VHHP
Assisted]]*VLOOKUP(CONCATENATE(County,UnitsTbl[[#This Row],[Restricted Income Level]]),LoanLimitsTbl[],UnitsTbl[[#This Row],[VLOOKUP Base2]],FALSE),0))),0)</f>
        <v>0</v>
      </c>
      <c r="AF59" s="1635">
        <f>IFERROR(IF(AND(IsMhp,UnitsTbl[[#This Row],[Restricted Income Level]]="Manager"),UnitsTbl[[#This Row],[Total Units]]*IF(AND(UnitsTbl[[#This Row],[Total Units]]&gt;0,Taxcredit=9%,UnitsTbl[[#This Row],[Restricted Income Level]]="Manager"),95000,IF(AND(IsMhp,UnitsTbl[[#This Row],[Total Units]]&gt;0,Taxcredit=9%),VLOOKUP(CONCATENATE(County,C59),LoanLimit9Tbl[],AX59,FALSE),IF(AND(IsMhp,UnitsTbl[[#This Row],[Total Units]]&gt;0,OR(Taxcredit=4%,Taxcredit="None"),UnitsTbl[[#This Row],[Restricted Income Level]]="Manager"),150000,VLOOKUP(CONCATENATE(County,C59),LoanLimitsTbl[],AX59,FALSE)))),(IF($R$4=FALSE,((UnitsTbl[[#This Row],[MHP
Assisted]])+(UnitsTbl[[#This Row],[Other Restricted]]))*IF(AND(IsMhp,UnitsTbl[[#This Row],[MHP
Assisted]]&gt;0,Taxcredit=9%,UnitsTbl[[#This Row],[Restricted Income Level]]="Manager"),95000,IF(AND(OR(UnitsTbl[[#This Row],[MHP
Assisted]]&gt;0,UnitsTbl[[#This Row],[Other Restricted]]&gt;0),IsMhp,Taxcredit=9%),VLOOKUP(CONCATENATE(County,C59),LoanLimit9Tbl[],AX59,FALSE),IF(AND(IsMhp,UnitsTbl[[#This Row],[MHP
Assisted]]&gt;0,UnitsTbl[[#This Row],[Restricted Income Level]]="Manager"),150000,VLOOKUP(CONCATENATE(County,C59),LoanLimitsTbl[],AX59,FALSE))))))),0)</f>
        <v>0</v>
      </c>
      <c r="AG59" s="1636" t="b">
        <f>IFERROR(IF(IsMhp,IF(AND(Taxcredit="None",$R$4=TRUE),SUM(UnitsTbl[[#This Row],[MHP
Assisted]]+UnitsTbl[[#This Row],[Other Restricted]])*IF(AND(OR(UnitsTbl[[#This Row],[MHP
Assisted]]&gt;0,UnitsTbl[[#This Row],[Other Restricted]]&gt;0),Taxcredit=9%,UnitsTbl[[#This Row],[Restricted Income Level]]="Manager"),110000,IF(AND(OR(UnitsTbl[[#This Row],[MHP
Assisted]]&gt;0,UnitsTbl[[#This Row],[Other Restricted]]&gt;0),IsMhp,Taxcredit=9%),VLOOKUP(CONCATENATE(County,C59),LoanLimit9Tbl[],AY59,FALSE),IF(AND(OR(UnitsTbl[[#This Row],[MHP
Assisted]]&gt;0,UnitsTbl[[#This Row],[Other Restricted]]&gt;0),UnitsTbl[[#This Row],[Restricted Income Level]]="Manager"),175000,VLOOKUP(CONCATENATE(County,C59),LoanLimitsTbl[],AY59,FALSE)))),IF(UnitsTbl[[#This Row],[Restricted Income Level]]="Manager","",IF($R$4=TRUE,SUM(UnitsTbl[[#This Row],[MHP
Assisted]],UnitsTbl[[#This Row],[Other Restricted]])*IF(AND(OR(UnitsTbl[[#This Row],[MHP
Assisted]]&gt;0,UnitsTbl[[#This Row],[Other Restricted]]&gt;0),IsMhp,Taxcredit=9%,UnitsTbl[[#This Row],[Restricted Income Level]]="Manager"),110000,IF(AND(OR(UnitsTbl[[#This Row],[MHP
Assisted]]&gt;0,UnitsTbl[[#This Row],[Other Restricted]]&gt;0),IsMhp,Taxcredit=9%),VLOOKUP(CONCATENATE(County,C59),LoanLimit9Tbl[],AY59,FALSE),IF(AND(OR(UnitsTbl[[#This Row],[MHP
Assisted]]&gt;0,UnitsTbl[[#This Row],[Other Restricted]]&gt;0),UnitsTbl[[#This Row],[Restricted Income Level]]="Manager"),175000,VLOOKUP(CONCATENATE(County,C59),LoanLimitsTbl[],AY59,FALSE)))))))),"")</f>
        <v>0</v>
      </c>
      <c r="AH59" s="1237"/>
      <c r="AI59" s="1238" t="str">
        <f>IFERROR(IF(OR(UnitsTbl[[#This Row],[Restricted Income Level]]="Market",UnitsTbl[[#This Row],[Restricted Income Level]]="Manager"),"",IF(UnitsTbl[[#This Row],[Rent Limit Calculation Formula]]="CalHFA",VLOOKUP(CONCATENATE('Max Loan and Grant Amounts'!$V$5,UnitsTbl[[#This Row],[Restricted Income Level]]),CalHFArent[],UnitsTbl[VLOOKUP Rents, Other Rents],FALSE),IF(UnitsTbl[[#This Row],[Rent Limit Calculation Formula]]="TCAC",VLOOKUP(CONCATENATE('Max Loan and Grant Amounts'!$V$5,UnitsTbl[[#This Row],[Restricted Income Level]]),TCACrentTbl[],UnitsTbl[VLOOKUP Rents, Other Rents],FALSE),IF(UnitsTbl[[#This Row],[Rent Limit Calculation Formula]]="Other",VLOOKUP(CONCATENATE('Max Loan and Grant Amounts'!$V$5,UnitsTbl[[#This Row],[Restricted Income Level]]),OtherRentLimitTbl[],UnitsTbl[VLOOKUP Rents, Other Rents],FALSE),"")))),"")</f>
        <v/>
      </c>
      <c r="AJ59" s="1239"/>
      <c r="AK59" s="1240"/>
      <c r="AL59" s="1241" t="str">
        <f>IFERROR(IF(UnitsTbl[[#This Row],[Max Gross Rent]]=0,"",UnitsTbl[[#This Row],[Max Gross Rent]]-UnitsTbl[[#This Row],[Less Utility Allowance Schedule 1]]-UnitsTbl[[#This Row],[Less Utility Allowance Schedule 2]]),"")</f>
        <v/>
      </c>
      <c r="AM59" s="1239"/>
      <c r="AN59" s="1241" t="str">
        <f>IF(UnitsTbl[[#This Row],[Proposed Net Rent ]]="","",UnitsTbl[[#This Row],[Total Units]]*UnitsTbl[[#This Row],[Proposed Net Rent ]])</f>
        <v/>
      </c>
      <c r="AO59" s="1251" t="str">
        <f>IFERROR(UnitsTbl[[#This Row],[Total Units]]*UnitsTbl[[#This Row],[Maximum Net Rent]],"")</f>
        <v/>
      </c>
      <c r="AP59" s="1254"/>
      <c r="AQ59" s="1255" t="str">
        <f>IFERROR(IF(UnitsTbl[[#This Row],[Gross Monthly Contract Rent]]="","",IF($AV$4="Restricted",UnitsTbl[[#This Row],[Gross Monthly Contract Rent]]-UnitsTbl[[#This Row],[Maximum Net Rent]],IF($AV$4="Proposed",UnitsTbl[[#This Row],[Gross Monthly Contract Rent]]-UnitsTbl[[#This Row],[Proposed Net Rent ]],0))),"")</f>
        <v/>
      </c>
      <c r="AR59" s="1256"/>
      <c r="AS59" s="1257" t="str">
        <f>IFERROR(IF(UnitsTbl[[#This Row],[Units Subsidized]]="","",UnitsTbl[[#This Row],[Subsidy Payment Over  Net Rent]]*UnitsTbl[[#This Row],[Units Subsidized]]),"")</f>
        <v/>
      </c>
      <c r="AT59" s="1258"/>
      <c r="AU59" s="1255" t="str">
        <f>IFERROR(IF(UnitsTbl[[#This Row],[Gross Monthly Contract Rent2]]="","",IF($AV$4="Restricted",UnitsTbl[[#This Row],[Gross Monthly Contract Rent2]]-UnitsTbl[[#This Row],[Maximum Net Rent]],IF($AV$4="Proposed",UnitsTbl[[#This Row],[Gross Monthly Contract Rent2]]-UnitsTbl[[#This Row],[Proposed Net Rent ]],""))),"")</f>
        <v/>
      </c>
      <c r="AV59" s="1256"/>
      <c r="AW59" s="1262" t="str">
        <f>IFERROR(IF(UnitsTbl[[#This Row],[Units Subsidized2]]="","",UnitsTbl[[#This Row],[Subsidy Payment Over  Net Rent2]]*UnitsTbl[[#This Row],[Units Subsidized2]]),"")</f>
        <v/>
      </c>
      <c r="AX59" s="1354" t="str">
        <f>IF(UnitsTbl[[#This Row],['# of Bedrooms]]="","",IF(UnitsTbl[[#This Row],['# of Bedrooms]]=0,2,IF(UnitsTbl[[#This Row],['# of Bedrooms]]=1,3,IF(UnitsTbl[[#This Row],['# of Bedrooms]]=2,4,IF(UnitsTbl[[#This Row],['# of Bedrooms]]=3,5,IF(UnitsTbl[[#This Row],['# of Bedrooms]]=4,6,IF(UnitsTbl[[#This Row],['# of Bedrooms]]&gt;4,6,"")))))))</f>
        <v/>
      </c>
      <c r="AY59" s="470" t="str">
        <f>IF(UnitsTbl[[#This Row],['# of Bedrooms]]="","",IF(UnitsTbl[[#This Row],['# of Bedrooms]]=0,7,IF(UnitsTbl[[#This Row],['# of Bedrooms]]=1,8,IF(UnitsTbl[[#This Row],['# of Bedrooms]]=2,9,IF(UnitsTbl[[#This Row],['# of Bedrooms]]=3,10,IF(UnitsTbl[[#This Row],['# of Bedrooms]]=4,11,IF(UnitsTbl[[#This Row],['# of Bedrooms]]&gt;4,11,"")))))))</f>
        <v/>
      </c>
      <c r="AZ59" s="470" t="str">
        <f>IF(UnitsTbl[[#This Row],['# of Bedrooms]]="","",IF(UnitsTbl[[#This Row],['# of Bedrooms]]=0,2,IF(UnitsTbl[[#This Row],['# of Bedrooms]]=1,3,IF(UnitsTbl[[#This Row],['# of Bedrooms]]=2,4,IF(UnitsTbl[[#This Row],['# of Bedrooms]]=3,5,IF(UnitsTbl[[#This Row],['# of Bedrooms]]=4,6,IF(UnitsTbl[[#This Row],['# of Bedrooms]]=5,7,"")))))))</f>
        <v/>
      </c>
      <c r="BA59" s="1546">
        <f>MIN(SUM(UnitsTbl[[#This Row],[Disability Homelessness ]],UnitsTbl[[#This Row],[Chronic Homelessness]],UnitsTbl[[#This Row],[Homelessness]]),UnitsTbl[[#This Row],[Total Restricted Units]])</f>
        <v>0</v>
      </c>
      <c r="BB59" s="1546">
        <f>(UnitsTbl[[#This Row],[Restricted Income Level]]&lt;=30%)*UnitsTbl[[#This Row],[Total Restricted Units]]</f>
        <v>0</v>
      </c>
      <c r="BC59" s="1546">
        <f t="shared" si="27"/>
        <v>0</v>
      </c>
      <c r="BH59" s="1348" t="s">
        <v>2490</v>
      </c>
      <c r="BI59" s="483">
        <v>193934</v>
      </c>
      <c r="BJ59" s="483">
        <v>197103</v>
      </c>
      <c r="BK59" s="483">
        <v>206611</v>
      </c>
      <c r="BL59" s="483">
        <v>215253</v>
      </c>
      <c r="BM59" s="483">
        <v>222888</v>
      </c>
      <c r="BN59" s="483">
        <v>218934</v>
      </c>
      <c r="BO59" s="483">
        <v>222103</v>
      </c>
      <c r="BP59" s="483">
        <v>231611</v>
      </c>
      <c r="BQ59" s="483">
        <v>240253</v>
      </c>
      <c r="BR59" s="1344">
        <v>247888</v>
      </c>
      <c r="BS59" s="1545"/>
      <c r="BT59" s="1345" t="s">
        <v>2491</v>
      </c>
      <c r="BU59" s="508">
        <v>39250</v>
      </c>
      <c r="BV59" s="508">
        <v>44850</v>
      </c>
      <c r="BW59" s="508">
        <v>50450</v>
      </c>
      <c r="BX59" s="508">
        <v>56050</v>
      </c>
      <c r="BY59" s="508">
        <v>60550</v>
      </c>
      <c r="BZ59" s="508">
        <v>65050</v>
      </c>
      <c r="CA59" s="508">
        <v>69550</v>
      </c>
      <c r="CB59" s="1346">
        <v>74000</v>
      </c>
      <c r="CC59" s="1545"/>
      <c r="CD59" s="1348" t="s">
        <v>2490</v>
      </c>
      <c r="CE59" s="504">
        <v>138934</v>
      </c>
      <c r="CF59" s="504">
        <v>142103</v>
      </c>
      <c r="CG59" s="504">
        <v>151611</v>
      </c>
      <c r="CH59" s="504">
        <v>160253</v>
      </c>
      <c r="CI59" s="504">
        <v>167888</v>
      </c>
      <c r="CJ59" s="504">
        <v>153934</v>
      </c>
      <c r="CK59" s="504">
        <v>157103</v>
      </c>
      <c r="CL59" s="504">
        <v>166611</v>
      </c>
      <c r="CM59" s="504">
        <v>175253</v>
      </c>
      <c r="CN59" s="1347">
        <v>182888</v>
      </c>
      <c r="CP59" s="1545"/>
      <c r="CQ59" s="690" t="str">
        <f>CONCATENATE(County,0.2)</f>
        <v>Amador0.2</v>
      </c>
      <c r="CR59" s="489">
        <f t="shared" si="26"/>
        <v>273</v>
      </c>
      <c r="CS59" s="489">
        <f t="shared" si="21"/>
        <v>292</v>
      </c>
      <c r="CT59" s="489">
        <f t="shared" si="22"/>
        <v>351</v>
      </c>
      <c r="CU59" s="489">
        <f t="shared" si="23"/>
        <v>405</v>
      </c>
      <c r="CV59" s="489">
        <f t="shared" si="24"/>
        <v>452</v>
      </c>
      <c r="CW59" s="1356">
        <f t="shared" si="25"/>
        <v>498</v>
      </c>
    </row>
    <row r="60" spans="1:101" ht="18" customHeight="1" thickTop="1">
      <c r="B60" s="1545"/>
      <c r="C60" s="1545"/>
      <c r="D60" s="1545"/>
      <c r="E60" s="1545"/>
      <c r="F60" s="1545"/>
      <c r="G60" s="1545"/>
      <c r="H60" s="1545"/>
      <c r="I60" s="1545"/>
      <c r="J60" s="1545"/>
      <c r="K60" s="1545"/>
      <c r="L60" s="1545"/>
      <c r="M60" s="1545"/>
      <c r="N60" s="1545"/>
      <c r="O60" s="1545"/>
      <c r="P60" s="1545"/>
      <c r="Q60" s="1545"/>
      <c r="R60" s="1545"/>
      <c r="S60" s="1545"/>
      <c r="T60" s="1545"/>
      <c r="U60" s="1545"/>
      <c r="V60" s="1545"/>
      <c r="W60" s="1545"/>
      <c r="X60" s="1545"/>
      <c r="Y60" s="1545"/>
      <c r="Z60" s="1545"/>
      <c r="AA60" s="1545"/>
      <c r="AB60" s="1545"/>
      <c r="AC60" s="1545"/>
      <c r="AD60" s="1545"/>
      <c r="AE60" s="1545"/>
      <c r="AF60" s="1545"/>
      <c r="AG60" s="1545"/>
      <c r="AH60" s="2815" t="s">
        <v>2492</v>
      </c>
      <c r="AI60" s="2816"/>
      <c r="AJ60" s="2816"/>
      <c r="AK60" s="2816"/>
      <c r="AL60" s="2816"/>
      <c r="AM60" s="2816"/>
      <c r="AN60" s="2817"/>
      <c r="AO60" s="885"/>
      <c r="AP60" s="2819" t="s">
        <v>2493</v>
      </c>
      <c r="AQ60" s="2820"/>
      <c r="AR60" s="2820"/>
      <c r="AS60" s="2820"/>
      <c r="AT60" s="2820"/>
      <c r="AU60" s="2820"/>
      <c r="AV60" s="2820"/>
      <c r="AW60" s="2821"/>
      <c r="AX60" s="1545"/>
      <c r="AY60" s="1545"/>
      <c r="AZ60" s="1545"/>
      <c r="BH60" s="1348" t="s">
        <v>2494</v>
      </c>
      <c r="BI60" s="483">
        <v>202721</v>
      </c>
      <c r="BJ60" s="483">
        <v>206467</v>
      </c>
      <c r="BK60" s="483">
        <v>217846</v>
      </c>
      <c r="BL60" s="483">
        <v>228362</v>
      </c>
      <c r="BM60" s="483">
        <v>237437</v>
      </c>
      <c r="BN60" s="483">
        <v>227721</v>
      </c>
      <c r="BO60" s="483">
        <v>231467</v>
      </c>
      <c r="BP60" s="483">
        <v>242846</v>
      </c>
      <c r="BQ60" s="483">
        <v>253362</v>
      </c>
      <c r="BR60" s="1344">
        <v>262437</v>
      </c>
      <c r="BS60" s="1545"/>
      <c r="BT60" s="1345" t="s">
        <v>2495</v>
      </c>
      <c r="BU60" s="508">
        <v>31050</v>
      </c>
      <c r="BV60" s="508">
        <v>35450</v>
      </c>
      <c r="BW60" s="508">
        <v>39900</v>
      </c>
      <c r="BX60" s="508">
        <v>44300</v>
      </c>
      <c r="BY60" s="508">
        <v>47850</v>
      </c>
      <c r="BZ60" s="508">
        <v>51400</v>
      </c>
      <c r="CA60" s="508">
        <v>54950</v>
      </c>
      <c r="CB60" s="1346">
        <v>58500</v>
      </c>
      <c r="CC60" s="1545"/>
      <c r="CD60" s="1348" t="s">
        <v>2494</v>
      </c>
      <c r="CE60" s="504">
        <v>147721</v>
      </c>
      <c r="CF60" s="504">
        <v>151467</v>
      </c>
      <c r="CG60" s="504">
        <v>162846</v>
      </c>
      <c r="CH60" s="504">
        <v>173362</v>
      </c>
      <c r="CI60" s="504">
        <v>182437</v>
      </c>
      <c r="CJ60" s="504">
        <v>162721</v>
      </c>
      <c r="CK60" s="504">
        <v>166467</v>
      </c>
      <c r="CL60" s="504">
        <v>177846</v>
      </c>
      <c r="CM60" s="504">
        <v>188362</v>
      </c>
      <c r="CN60" s="1347">
        <v>197437</v>
      </c>
      <c r="CP60" s="1545"/>
      <c r="CQ60" s="690" t="str">
        <f>CONCATENATE(County,0.15)</f>
        <v>Amador0.15</v>
      </c>
      <c r="CR60" s="491">
        <f t="shared" si="26"/>
        <v>204</v>
      </c>
      <c r="CS60" s="491">
        <f t="shared" si="21"/>
        <v>219</v>
      </c>
      <c r="CT60" s="491">
        <f t="shared" si="22"/>
        <v>263</v>
      </c>
      <c r="CU60" s="491">
        <f t="shared" si="23"/>
        <v>303</v>
      </c>
      <c r="CV60" s="491">
        <f t="shared" si="24"/>
        <v>339</v>
      </c>
      <c r="CW60" s="492">
        <f t="shared" si="25"/>
        <v>374</v>
      </c>
    </row>
    <row r="61" spans="1:101" ht="18" customHeight="1">
      <c r="B61" s="1545"/>
      <c r="C61" s="1545"/>
      <c r="D61" s="1545"/>
      <c r="E61" s="1545"/>
      <c r="F61" s="1545"/>
      <c r="G61" s="1545"/>
      <c r="H61" s="1545"/>
      <c r="I61" s="1545"/>
      <c r="J61" s="1545"/>
      <c r="K61" s="1545"/>
      <c r="L61" s="1545"/>
      <c r="M61" s="1545"/>
      <c r="N61" s="1545"/>
      <c r="O61" s="1545"/>
      <c r="P61" s="1545"/>
      <c r="Q61" s="1545"/>
      <c r="R61" s="1545"/>
      <c r="S61" s="1545"/>
      <c r="T61" s="1545"/>
      <c r="U61" s="1545"/>
      <c r="V61" s="1545"/>
      <c r="W61" s="1545"/>
      <c r="X61" s="1545"/>
      <c r="Y61" s="1545"/>
      <c r="Z61" s="1545"/>
      <c r="AA61" s="1545"/>
      <c r="AB61" s="1545"/>
      <c r="AC61" s="1545"/>
      <c r="AD61" s="1545"/>
      <c r="AE61" s="1545"/>
      <c r="AF61" s="1545"/>
      <c r="AG61" s="1545"/>
      <c r="AH61" s="2828" t="s">
        <v>2496</v>
      </c>
      <c r="AI61" s="2829"/>
      <c r="AJ61" s="2829"/>
      <c r="AK61" s="2829"/>
      <c r="AL61" s="2829"/>
      <c r="AM61" s="2829"/>
      <c r="AN61" s="2726"/>
      <c r="AO61" s="527"/>
      <c r="AP61" s="2813" t="s">
        <v>2497</v>
      </c>
      <c r="AQ61" s="2814"/>
      <c r="AR61" s="2810"/>
      <c r="AS61" s="2810"/>
      <c r="AT61" s="2810"/>
      <c r="AU61" s="2810"/>
      <c r="AV61" s="2810"/>
      <c r="AW61" s="2811"/>
      <c r="AX61" s="1545"/>
      <c r="AY61" s="1545"/>
      <c r="AZ61" s="1545"/>
      <c r="BH61" s="1348" t="s">
        <v>2498</v>
      </c>
      <c r="BI61" s="483">
        <v>211508</v>
      </c>
      <c r="BJ61" s="483">
        <v>215974</v>
      </c>
      <c r="BK61" s="483">
        <v>229226</v>
      </c>
      <c r="BL61" s="483">
        <v>241326</v>
      </c>
      <c r="BM61" s="483">
        <v>251985</v>
      </c>
      <c r="BN61" s="483">
        <v>236508</v>
      </c>
      <c r="BO61" s="483">
        <v>240974</v>
      </c>
      <c r="BP61" s="483">
        <v>254226</v>
      </c>
      <c r="BQ61" s="483">
        <v>266326</v>
      </c>
      <c r="BR61" s="1344">
        <v>276985</v>
      </c>
      <c r="BS61" s="1545"/>
      <c r="BT61" s="509" t="s">
        <v>2499</v>
      </c>
      <c r="BU61" s="510">
        <v>24400</v>
      </c>
      <c r="BV61" s="510">
        <v>27900</v>
      </c>
      <c r="BW61" s="510">
        <v>31400</v>
      </c>
      <c r="BX61" s="510">
        <v>34850</v>
      </c>
      <c r="BY61" s="510">
        <v>37650</v>
      </c>
      <c r="BZ61" s="510">
        <v>40450</v>
      </c>
      <c r="CA61" s="510">
        <v>43250</v>
      </c>
      <c r="CB61" s="511">
        <v>46050</v>
      </c>
      <c r="CC61" s="1545"/>
      <c r="CD61" s="1348" t="s">
        <v>2498</v>
      </c>
      <c r="CE61" s="504">
        <v>156508</v>
      </c>
      <c r="CF61" s="504">
        <v>160974</v>
      </c>
      <c r="CG61" s="504">
        <v>174226</v>
      </c>
      <c r="CH61" s="504">
        <v>186326</v>
      </c>
      <c r="CI61" s="504">
        <v>196985</v>
      </c>
      <c r="CJ61" s="504">
        <v>171508</v>
      </c>
      <c r="CK61" s="504">
        <v>175974</v>
      </c>
      <c r="CL61" s="504">
        <v>189226</v>
      </c>
      <c r="CM61" s="504">
        <v>201326</v>
      </c>
      <c r="CN61" s="1347">
        <v>211985</v>
      </c>
      <c r="CP61" s="1545"/>
      <c r="CQ61" s="1545"/>
      <c r="CR61" s="1545"/>
      <c r="CS61" s="1545"/>
      <c r="CT61" s="1545"/>
      <c r="CU61" s="1545"/>
      <c r="CV61" s="1545"/>
      <c r="CW61" s="1545"/>
    </row>
    <row r="62" spans="1:101" ht="18" customHeight="1">
      <c r="B62" s="1545"/>
      <c r="C62" s="1545"/>
      <c r="D62" s="1545"/>
      <c r="E62" s="1545"/>
      <c r="F62" s="1545"/>
      <c r="G62" s="1545"/>
      <c r="H62" s="1545"/>
      <c r="I62" s="1545"/>
      <c r="J62" s="1545"/>
      <c r="K62" s="1545"/>
      <c r="L62" s="1545"/>
      <c r="M62" s="1545"/>
      <c r="N62" s="1545"/>
      <c r="O62" s="1545"/>
      <c r="P62" s="1545"/>
      <c r="Q62" s="1545"/>
      <c r="R62" s="1545"/>
      <c r="S62" s="1545"/>
      <c r="T62" s="1545"/>
      <c r="U62" s="1545"/>
      <c r="V62" s="1545"/>
      <c r="W62" s="1545"/>
      <c r="X62" s="1545"/>
      <c r="Y62" s="1545"/>
      <c r="Z62" s="1545"/>
      <c r="AA62" s="1545"/>
      <c r="AB62" s="1545"/>
      <c r="AC62" s="1545"/>
      <c r="AD62" s="1545"/>
      <c r="AE62" s="1545"/>
      <c r="AF62" s="1545"/>
      <c r="AG62" s="1545"/>
      <c r="AH62" s="2830"/>
      <c r="AI62" s="2831"/>
      <c r="AJ62" s="2831"/>
      <c r="AK62" s="2831"/>
      <c r="AL62" s="2831"/>
      <c r="AM62" s="2831"/>
      <c r="AN62" s="2728"/>
      <c r="AO62" s="527"/>
      <c r="AP62" s="2787" t="s">
        <v>2500</v>
      </c>
      <c r="AQ62" s="2788"/>
      <c r="AR62" s="2782"/>
      <c r="AS62" s="2782"/>
      <c r="AT62" s="2782"/>
      <c r="AU62" s="2782"/>
      <c r="AV62" s="2782"/>
      <c r="AW62" s="2783"/>
      <c r="AX62" s="1545"/>
      <c r="AY62" s="1545"/>
      <c r="AZ62" s="1545"/>
      <c r="BH62" s="1348" t="s">
        <v>2501</v>
      </c>
      <c r="BI62" s="483">
        <v>220295</v>
      </c>
      <c r="BJ62" s="483">
        <v>225337</v>
      </c>
      <c r="BK62" s="483">
        <v>240462</v>
      </c>
      <c r="BL62" s="483">
        <v>254434</v>
      </c>
      <c r="BM62" s="483">
        <v>266534</v>
      </c>
      <c r="BN62" s="483">
        <v>245295</v>
      </c>
      <c r="BO62" s="483">
        <v>250337</v>
      </c>
      <c r="BP62" s="483">
        <v>265462</v>
      </c>
      <c r="BQ62" s="483">
        <v>279434</v>
      </c>
      <c r="BR62" s="1344">
        <v>291534</v>
      </c>
      <c r="BS62" s="1545"/>
      <c r="BU62" s="1545"/>
      <c r="BV62" s="1545"/>
      <c r="BW62" s="1545"/>
      <c r="BX62" s="1545"/>
      <c r="BY62" s="1545"/>
      <c r="BZ62" s="1545"/>
      <c r="CA62" s="1545"/>
      <c r="CB62" s="1545"/>
      <c r="CC62" s="1545"/>
      <c r="CD62" s="1348" t="s">
        <v>2501</v>
      </c>
      <c r="CE62" s="504">
        <v>165295</v>
      </c>
      <c r="CF62" s="504">
        <v>170337</v>
      </c>
      <c r="CG62" s="504">
        <v>185462</v>
      </c>
      <c r="CH62" s="504">
        <v>199434</v>
      </c>
      <c r="CI62" s="504">
        <v>211534</v>
      </c>
      <c r="CJ62" s="504">
        <v>180295</v>
      </c>
      <c r="CK62" s="504">
        <v>185337</v>
      </c>
      <c r="CL62" s="504">
        <v>200462</v>
      </c>
      <c r="CM62" s="504">
        <v>214434</v>
      </c>
      <c r="CN62" s="1347">
        <v>226534</v>
      </c>
      <c r="CP62" s="1545"/>
      <c r="CQ62" s="1545"/>
      <c r="CR62" s="1545"/>
      <c r="CS62" s="1545"/>
      <c r="CT62" s="1545"/>
      <c r="CU62" s="1545"/>
      <c r="CV62" s="1545"/>
      <c r="CW62" s="1545"/>
    </row>
    <row r="63" spans="1:101" ht="18" customHeight="1">
      <c r="B63" s="1545"/>
      <c r="C63" s="1545"/>
      <c r="D63" s="1545"/>
      <c r="E63" s="1545"/>
      <c r="F63" s="1545"/>
      <c r="G63" s="1545"/>
      <c r="H63" s="1545"/>
      <c r="I63" s="1545"/>
      <c r="J63" s="1545"/>
      <c r="K63" s="1545"/>
      <c r="L63" s="1545"/>
      <c r="M63" s="1545"/>
      <c r="N63" s="1545"/>
      <c r="O63" s="1545"/>
      <c r="P63" s="1545"/>
      <c r="Q63" s="1545"/>
      <c r="R63" s="1545"/>
      <c r="S63" s="1545"/>
      <c r="T63" s="1545"/>
      <c r="U63" s="1545"/>
      <c r="V63" s="1545"/>
      <c r="W63" s="1545"/>
      <c r="X63" s="1545"/>
      <c r="Y63" s="1545"/>
      <c r="Z63" s="1545"/>
      <c r="AA63" s="1545"/>
      <c r="AB63" s="1545"/>
      <c r="AC63" s="1545"/>
      <c r="AD63" s="1545"/>
      <c r="AE63" s="1545"/>
      <c r="AF63" s="1545"/>
      <c r="AG63" s="1545"/>
      <c r="AH63" s="2832"/>
      <c r="AI63" s="2833"/>
      <c r="AJ63" s="2833"/>
      <c r="AK63" s="2833"/>
      <c r="AL63" s="2833"/>
      <c r="AM63" s="2833"/>
      <c r="AN63" s="2834"/>
      <c r="AO63" s="527"/>
      <c r="AP63" s="2787"/>
      <c r="AQ63" s="2788"/>
      <c r="AR63" s="2782"/>
      <c r="AS63" s="2782"/>
      <c r="AT63" s="2782"/>
      <c r="AU63" s="2782"/>
      <c r="AV63" s="2782"/>
      <c r="AW63" s="2783"/>
      <c r="AX63" s="1545"/>
      <c r="AY63" s="1545"/>
      <c r="AZ63" s="1545"/>
      <c r="BH63" s="1348" t="s">
        <v>2502</v>
      </c>
      <c r="BI63" s="483">
        <v>229082</v>
      </c>
      <c r="BJ63" s="483">
        <v>234700</v>
      </c>
      <c r="BK63" s="483">
        <v>251841</v>
      </c>
      <c r="BL63" s="483">
        <v>267543</v>
      </c>
      <c r="BM63" s="483">
        <v>281083</v>
      </c>
      <c r="BN63" s="483">
        <v>254082</v>
      </c>
      <c r="BO63" s="483">
        <v>259700</v>
      </c>
      <c r="BP63" s="483">
        <v>276841</v>
      </c>
      <c r="BQ63" s="483">
        <v>292543</v>
      </c>
      <c r="BR63" s="1344">
        <v>306083</v>
      </c>
      <c r="BS63" s="1545"/>
      <c r="BT63" s="2835" t="s">
        <v>2503</v>
      </c>
      <c r="BU63" s="2836"/>
      <c r="BV63" s="2836"/>
      <c r="BW63" s="1161"/>
      <c r="BX63" s="1663">
        <v>1.1000000000000001</v>
      </c>
      <c r="BY63" s="1663">
        <v>1</v>
      </c>
      <c r="BZ63" s="1663">
        <v>0.9</v>
      </c>
      <c r="CA63" s="1663">
        <v>0.8</v>
      </c>
      <c r="CB63" s="1663">
        <v>0.7</v>
      </c>
      <c r="CC63" s="1545"/>
      <c r="CD63" s="1348" t="s">
        <v>2502</v>
      </c>
      <c r="CE63" s="504">
        <v>174082</v>
      </c>
      <c r="CF63" s="504">
        <v>179700</v>
      </c>
      <c r="CG63" s="504">
        <v>196841</v>
      </c>
      <c r="CH63" s="504">
        <v>212543</v>
      </c>
      <c r="CI63" s="504">
        <v>226083</v>
      </c>
      <c r="CJ63" s="504">
        <v>189082</v>
      </c>
      <c r="CK63" s="504">
        <v>194700</v>
      </c>
      <c r="CL63" s="504">
        <v>211841</v>
      </c>
      <c r="CM63" s="504">
        <v>227543</v>
      </c>
      <c r="CN63" s="1347">
        <v>241083</v>
      </c>
      <c r="CP63" s="1545"/>
      <c r="CQ63" s="1545"/>
      <c r="CR63" s="1545"/>
      <c r="CS63" s="1545"/>
      <c r="CT63" s="1545"/>
      <c r="CU63" s="1545"/>
      <c r="CV63" s="1545"/>
      <c r="CW63" s="1545"/>
    </row>
    <row r="64" spans="1:101" ht="26.25" customHeight="1">
      <c r="B64" s="1545"/>
      <c r="C64" s="1545"/>
      <c r="D64" s="1545"/>
      <c r="E64" s="1545"/>
      <c r="F64" s="1545"/>
      <c r="G64" s="1545"/>
      <c r="H64" s="1545"/>
      <c r="I64" s="1545"/>
      <c r="J64" s="1545"/>
      <c r="K64" s="1545"/>
      <c r="L64" s="1545"/>
      <c r="M64" s="1545"/>
      <c r="N64" s="1545"/>
      <c r="O64" s="1545"/>
      <c r="P64" s="1545"/>
      <c r="Q64" s="1545"/>
      <c r="R64" s="1545"/>
      <c r="S64" s="1545"/>
      <c r="T64" s="1545"/>
      <c r="U64" s="1545"/>
      <c r="V64" s="1545"/>
      <c r="W64" s="1545"/>
      <c r="X64" s="1545"/>
      <c r="Y64" s="1545"/>
      <c r="Z64" s="1545"/>
      <c r="AA64" s="1545"/>
      <c r="AB64" s="1545"/>
      <c r="AC64" s="1545"/>
      <c r="AD64" s="1545"/>
      <c r="AE64" s="1545"/>
      <c r="AF64" s="1545"/>
      <c r="AG64" s="2868" t="s">
        <v>2504</v>
      </c>
      <c r="AH64" s="2869"/>
      <c r="AI64" s="2792" t="s">
        <v>2505</v>
      </c>
      <c r="AJ64" s="2792"/>
      <c r="AK64" s="2792"/>
      <c r="AL64" s="2792"/>
      <c r="AM64" s="2792"/>
      <c r="AN64" s="2792"/>
      <c r="AO64" s="527"/>
      <c r="AP64" s="2787" t="s">
        <v>2506</v>
      </c>
      <c r="AQ64" s="2788"/>
      <c r="AR64" s="2786"/>
      <c r="AS64" s="2786"/>
      <c r="AT64" s="2786"/>
      <c r="AU64" s="2786"/>
      <c r="AV64" s="2786"/>
      <c r="AW64" s="2793"/>
      <c r="AX64" s="1545"/>
      <c r="AY64" s="1545"/>
      <c r="AZ64" s="1545"/>
      <c r="BH64" s="1343" t="s">
        <v>2507</v>
      </c>
      <c r="BI64" s="483">
        <v>150000</v>
      </c>
      <c r="BJ64" s="483">
        <v>150000</v>
      </c>
      <c r="BK64" s="483">
        <v>150000</v>
      </c>
      <c r="BL64" s="483">
        <v>150000</v>
      </c>
      <c r="BM64" s="483">
        <v>150000</v>
      </c>
      <c r="BN64" s="483">
        <v>175000</v>
      </c>
      <c r="BO64" s="483">
        <v>175000</v>
      </c>
      <c r="BP64" s="483">
        <v>175000</v>
      </c>
      <c r="BQ64" s="483">
        <v>175000</v>
      </c>
      <c r="BR64" s="1344">
        <v>175000</v>
      </c>
      <c r="BS64" s="1545"/>
      <c r="BT64" s="1162" t="s">
        <v>2508</v>
      </c>
      <c r="BU64" s="471" t="s">
        <v>903</v>
      </c>
      <c r="BV64" s="471" t="s">
        <v>2509</v>
      </c>
      <c r="BW64" s="723" t="s">
        <v>2510</v>
      </c>
      <c r="BX64" s="1625" t="s">
        <v>4138</v>
      </c>
      <c r="BY64" s="723" t="s">
        <v>3831</v>
      </c>
      <c r="BZ64" s="723" t="s">
        <v>4139</v>
      </c>
      <c r="CA64" s="723" t="s">
        <v>4140</v>
      </c>
      <c r="CB64" s="723" t="s">
        <v>4141</v>
      </c>
      <c r="CC64" s="1545"/>
      <c r="CD64" s="1343" t="s">
        <v>2507</v>
      </c>
      <c r="CE64" s="504">
        <v>95000</v>
      </c>
      <c r="CF64" s="504">
        <v>95000</v>
      </c>
      <c r="CG64" s="504">
        <v>95000</v>
      </c>
      <c r="CH64" s="504">
        <v>95000</v>
      </c>
      <c r="CI64" s="504">
        <v>95000</v>
      </c>
      <c r="CJ64" s="504">
        <v>110000</v>
      </c>
      <c r="CK64" s="504">
        <v>110000</v>
      </c>
      <c r="CL64" s="504">
        <v>110000</v>
      </c>
      <c r="CM64" s="504">
        <v>110000</v>
      </c>
      <c r="CN64" s="1347">
        <v>110000</v>
      </c>
      <c r="CP64" s="1545"/>
      <c r="CQ64" s="1545"/>
      <c r="CR64" s="1545"/>
      <c r="CS64" s="1545"/>
      <c r="CT64" s="1545"/>
      <c r="CU64" s="1545"/>
      <c r="CV64" s="1545"/>
      <c r="CW64" s="1545"/>
    </row>
    <row r="65" spans="2:92" ht="36" customHeight="1">
      <c r="B65" s="1545"/>
      <c r="C65" s="1545"/>
      <c r="D65" s="1545"/>
      <c r="E65" s="1545"/>
      <c r="F65" s="1545"/>
      <c r="G65" s="1545"/>
      <c r="H65" s="1545"/>
      <c r="I65" s="1545"/>
      <c r="J65" s="1545"/>
      <c r="K65" s="1545"/>
      <c r="L65" s="1545"/>
      <c r="M65" s="1545"/>
      <c r="N65" s="1545"/>
      <c r="O65" s="1545"/>
      <c r="P65" s="1545"/>
      <c r="Q65" s="1545"/>
      <c r="R65" s="1545"/>
      <c r="S65" s="1545"/>
      <c r="T65" s="1545"/>
      <c r="U65" s="1545"/>
      <c r="V65" s="1545"/>
      <c r="W65" s="1545"/>
      <c r="X65" s="1545"/>
      <c r="Y65" s="1545"/>
      <c r="Z65" s="1545"/>
      <c r="AA65" s="1545"/>
      <c r="AB65" s="1545"/>
      <c r="AC65" s="1545"/>
      <c r="AD65" s="1545"/>
      <c r="AE65" s="1545"/>
      <c r="AF65" s="1545"/>
      <c r="AG65" s="1545"/>
      <c r="AH65" s="528" t="s">
        <v>2315</v>
      </c>
      <c r="AI65" s="1550" t="s">
        <v>2511</v>
      </c>
      <c r="AJ65" s="1550" t="s">
        <v>2512</v>
      </c>
      <c r="AK65" s="1550" t="s">
        <v>2513</v>
      </c>
      <c r="AL65" s="1550" t="s">
        <v>2514</v>
      </c>
      <c r="AM65" s="1550" t="s">
        <v>2515</v>
      </c>
      <c r="AN65" s="886" t="s">
        <v>2516</v>
      </c>
      <c r="AO65" s="527"/>
      <c r="AP65" s="2787"/>
      <c r="AQ65" s="2788"/>
      <c r="AR65" s="2786"/>
      <c r="AS65" s="2786"/>
      <c r="AT65" s="2786"/>
      <c r="AU65" s="2786"/>
      <c r="AV65" s="2786"/>
      <c r="AW65" s="2793"/>
      <c r="AX65" s="1545"/>
      <c r="AY65" s="1545"/>
      <c r="AZ65" s="1545"/>
      <c r="BH65" s="1348" t="s">
        <v>2517</v>
      </c>
      <c r="BI65" s="483">
        <v>167286</v>
      </c>
      <c r="BJ65" s="483">
        <v>168582</v>
      </c>
      <c r="BK65" s="483">
        <v>172183</v>
      </c>
      <c r="BL65" s="483">
        <v>175640</v>
      </c>
      <c r="BM65" s="483">
        <v>178665</v>
      </c>
      <c r="BN65" s="483">
        <v>192286</v>
      </c>
      <c r="BO65" s="483">
        <v>193582</v>
      </c>
      <c r="BP65" s="483">
        <v>197183</v>
      </c>
      <c r="BQ65" s="483">
        <v>200640</v>
      </c>
      <c r="BR65" s="1344">
        <v>203665</v>
      </c>
      <c r="BS65" s="1545"/>
      <c r="BT65" s="1163">
        <v>0.15</v>
      </c>
      <c r="BU65" s="471">
        <f>SUMIF(UnitsTbl[Restricted Income Level],BT65,UnitsTbl[Total Restricted Units])</f>
        <v>0</v>
      </c>
      <c r="BV65" s="1164">
        <f>IFERROR(BU65/$BU$85,0)</f>
        <v>0</v>
      </c>
      <c r="BW65" s="1664">
        <f>BT65*SUM(BX65:CB65)</f>
        <v>3.3</v>
      </c>
      <c r="BX65" s="1624">
        <f>SUMIFS(UnitsTbl[Total Units],UnitsTbl[Restricted Income Level],15%,UnitsTbl['# of Bedrooms],0)</f>
        <v>0</v>
      </c>
      <c r="BY65" s="1624">
        <f>SUMIFS(UnitsTbl[Total Units],UnitsTbl[Restricted Income Level],15%,UnitsTbl['# of Bedrooms],1)</f>
        <v>0</v>
      </c>
      <c r="BZ65" s="1624">
        <f>SUMIFS(UnitsTbl[Total Units],UnitsTbl[Restricted Income Level],15%,UnitsTbl['# of Bedrooms],2)</f>
        <v>22</v>
      </c>
      <c r="CA65" s="1624">
        <f>SUMIFS(UnitsTbl[Total Units],UnitsTbl[Restricted Income Level],15%,UnitsTbl['# of Bedrooms],3)</f>
        <v>0</v>
      </c>
      <c r="CB65" s="1624">
        <f>SUMIFS(UnitsTbl[Total Units],UnitsTbl[Restricted Income Level],15%,UnitsTbl['# of Bedrooms],4)+SUMIFS(UnitsTbl[Total Units],UnitsTbl[Restricted Income Level],15%,UnitsTbl['# of Bedrooms],5)+SUMIFS(UnitsTbl[Total Units],UnitsTbl[Restricted Income Level],15%,UnitsTbl['# of Bedrooms],6)+SUMIFS(UnitsTbl[Total Units],UnitsTbl[Restricted Income Level],15%,UnitsTbl['# of Bedrooms],7)+SUMIFS(UnitsTbl[Total Units],UnitsTbl[Restricted Income Level],15%,UnitsTbl['# of Bedrooms],8)+SUMIFS(UnitsTbl[Total Units],UnitsTbl[Restricted Income Level],15%,UnitsTbl['# of Bedrooms],9)</f>
        <v>0</v>
      </c>
      <c r="CC65" s="1545"/>
      <c r="CD65" s="1348" t="s">
        <v>2517</v>
      </c>
      <c r="CE65" s="504">
        <v>112286</v>
      </c>
      <c r="CF65" s="504">
        <v>113582</v>
      </c>
      <c r="CG65" s="504">
        <v>117183</v>
      </c>
      <c r="CH65" s="504">
        <v>120640</v>
      </c>
      <c r="CI65" s="504">
        <v>123665</v>
      </c>
      <c r="CJ65" s="504">
        <v>127286</v>
      </c>
      <c r="CK65" s="504">
        <v>128582</v>
      </c>
      <c r="CL65" s="504">
        <v>132183</v>
      </c>
      <c r="CM65" s="504">
        <v>135640</v>
      </c>
      <c r="CN65" s="1347">
        <v>138665</v>
      </c>
    </row>
    <row r="66" spans="2:92" ht="18" customHeight="1">
      <c r="B66" s="1545"/>
      <c r="C66" s="1545"/>
      <c r="D66" s="1545"/>
      <c r="E66" s="1545"/>
      <c r="F66" s="1545"/>
      <c r="G66" s="1545"/>
      <c r="H66" s="1545"/>
      <c r="I66" s="1545"/>
      <c r="J66" s="1545"/>
      <c r="K66" s="1545"/>
      <c r="L66" s="1545"/>
      <c r="M66" s="1545"/>
      <c r="N66" s="1545"/>
      <c r="O66" s="1545"/>
      <c r="P66" s="1545"/>
      <c r="Q66" s="1545"/>
      <c r="R66" s="1545"/>
      <c r="S66" s="1545"/>
      <c r="T66" s="1545"/>
      <c r="U66" s="1545"/>
      <c r="V66" s="1545"/>
      <c r="W66" s="1545"/>
      <c r="X66" s="1545"/>
      <c r="Y66" s="1545"/>
      <c r="Z66" s="1545"/>
      <c r="AA66" s="1545"/>
      <c r="AB66" s="1545"/>
      <c r="AC66" s="1545"/>
      <c r="AD66" s="1545"/>
      <c r="AE66" s="1545"/>
      <c r="AF66" s="1545"/>
      <c r="AG66" s="1545"/>
      <c r="AH66" s="546" t="str">
        <f>CONCATENATE('Max Loan and Grant Amounts'!$V$5,1.2)</f>
        <v>Amador1.2</v>
      </c>
      <c r="AI66" s="498"/>
      <c r="AJ66" s="498"/>
      <c r="AK66" s="498"/>
      <c r="AL66" s="498"/>
      <c r="AM66" s="498"/>
      <c r="AN66" s="887"/>
      <c r="AO66" s="527"/>
      <c r="AP66" s="2787" t="s">
        <v>2518</v>
      </c>
      <c r="AQ66" s="2788"/>
      <c r="AR66" s="2779"/>
      <c r="AS66" s="2779"/>
      <c r="AT66" s="2779"/>
      <c r="AU66" s="2779"/>
      <c r="AV66" s="2779"/>
      <c r="AW66" s="2794"/>
      <c r="AX66" s="1545"/>
      <c r="AY66" s="1545"/>
      <c r="AZ66" s="1545"/>
      <c r="BH66" s="1348" t="s">
        <v>2519</v>
      </c>
      <c r="BI66" s="483">
        <v>184571</v>
      </c>
      <c r="BJ66" s="483">
        <v>187020</v>
      </c>
      <c r="BK66" s="483">
        <v>194367</v>
      </c>
      <c r="BL66" s="483">
        <v>201281</v>
      </c>
      <c r="BM66" s="483">
        <v>207331</v>
      </c>
      <c r="BN66" s="483">
        <v>209571</v>
      </c>
      <c r="BO66" s="483">
        <v>212020</v>
      </c>
      <c r="BP66" s="483">
        <v>219367</v>
      </c>
      <c r="BQ66" s="483">
        <v>226281</v>
      </c>
      <c r="BR66" s="1344">
        <v>232331</v>
      </c>
      <c r="BS66" s="1545"/>
      <c r="BT66" s="1163">
        <f>BT65+0.05</f>
        <v>0.2</v>
      </c>
      <c r="BU66" s="471">
        <f>SUMIF(UnitsTbl[Restricted Income Level],BT66,UnitsTbl[Total Restricted Units])</f>
        <v>0</v>
      </c>
      <c r="BV66" s="1164">
        <f>IFERROR(BU66/$BU$85,0)</f>
        <v>0</v>
      </c>
      <c r="BW66" s="1660">
        <f t="shared" ref="BW66:BW81" si="28">BT66*BU66</f>
        <v>0</v>
      </c>
      <c r="BX66" s="1624">
        <f>SUMIFS(UnitsTbl[Total Units],UnitsTbl[Restricted Income Level],20%,UnitsTbl['# of Bedrooms],0)</f>
        <v>0</v>
      </c>
      <c r="BY66" s="1624">
        <f>SUMIFS(UnitsTbl[Total Units],UnitsTbl[Restricted Income Level],20%,UnitsTbl['# of Bedrooms],1)</f>
        <v>0</v>
      </c>
      <c r="BZ66" s="1624">
        <f>SUMIFS(UnitsTbl[Total Units],UnitsTbl[Restricted Income Level],20%,UnitsTbl['# of Bedrooms],2)</f>
        <v>0</v>
      </c>
      <c r="CA66" s="1624">
        <f>SUMIFS(UnitsTbl[Total Units],UnitsTbl[Restricted Income Level],20%,UnitsTbl['# of Bedrooms],3)</f>
        <v>0</v>
      </c>
      <c r="CB66" s="1624">
        <f>SUMIFS(UnitsTbl[Total Units],UnitsTbl[Restricted Income Level],20%,UnitsTbl['# of Bedrooms],4)+SUMIFS(UnitsTbl[Total Units],UnitsTbl[Restricted Income Level],20%,UnitsTbl['# of Bedrooms],5)+SUMIFS(UnitsTbl[Total Units],UnitsTbl[Restricted Income Level],20%,UnitsTbl['# of Bedrooms],6)+SUMIFS(UnitsTbl[Total Units],UnitsTbl[Restricted Income Level],20%,UnitsTbl['# of Bedrooms],7)+SUMIFS(UnitsTbl[Total Units],UnitsTbl[Restricted Income Level],20%,UnitsTbl['# of Bedrooms],8)+SUMIFS(UnitsTbl[Total Units],UnitsTbl[Restricted Income Level],20%,UnitsTbl['# of Bedrooms],9)</f>
        <v>0</v>
      </c>
      <c r="CC66" s="1545"/>
      <c r="CD66" s="1348" t="s">
        <v>2519</v>
      </c>
      <c r="CE66" s="504">
        <v>129571</v>
      </c>
      <c r="CF66" s="504">
        <v>132020</v>
      </c>
      <c r="CG66" s="504">
        <v>139367</v>
      </c>
      <c r="CH66" s="504">
        <v>146281</v>
      </c>
      <c r="CI66" s="504">
        <v>152331</v>
      </c>
      <c r="CJ66" s="504">
        <v>144571</v>
      </c>
      <c r="CK66" s="504">
        <v>147020</v>
      </c>
      <c r="CL66" s="504">
        <v>154367</v>
      </c>
      <c r="CM66" s="504">
        <v>161281</v>
      </c>
      <c r="CN66" s="1347">
        <v>167331</v>
      </c>
    </row>
    <row r="67" spans="2:92" ht="18" customHeight="1">
      <c r="B67" s="1545"/>
      <c r="C67" s="1545"/>
      <c r="D67" s="1545"/>
      <c r="E67" s="1545"/>
      <c r="F67" s="1545"/>
      <c r="G67" s="1545"/>
      <c r="H67" s="1545"/>
      <c r="I67" s="1545"/>
      <c r="J67" s="1545"/>
      <c r="K67" s="1545"/>
      <c r="L67" s="1545"/>
      <c r="M67" s="1545"/>
      <c r="N67" s="1545"/>
      <c r="O67" s="1545"/>
      <c r="P67" s="1545"/>
      <c r="Q67" s="1545"/>
      <c r="R67" s="1545"/>
      <c r="S67" s="1545"/>
      <c r="T67" s="1545"/>
      <c r="U67" s="1545"/>
      <c r="V67" s="1545"/>
      <c r="W67" s="1545"/>
      <c r="X67" s="1545"/>
      <c r="Y67" s="1545"/>
      <c r="Z67" s="1545"/>
      <c r="AA67" s="1545"/>
      <c r="AB67" s="1545"/>
      <c r="AC67" s="1545"/>
      <c r="AD67" s="1545"/>
      <c r="AE67" s="1545"/>
      <c r="AF67" s="1545"/>
      <c r="AG67" s="1545"/>
      <c r="AH67" s="546" t="str">
        <f>CONCATENATE('Max Loan and Grant Amounts'!$V$5,1.1)</f>
        <v>Amador1.1</v>
      </c>
      <c r="AI67" s="498"/>
      <c r="AJ67" s="498"/>
      <c r="AK67" s="498"/>
      <c r="AL67" s="498"/>
      <c r="AM67" s="498"/>
      <c r="AN67" s="887"/>
      <c r="AO67" s="527"/>
      <c r="AP67" s="2787"/>
      <c r="AQ67" s="2788"/>
      <c r="AR67" s="2779"/>
      <c r="AS67" s="2779"/>
      <c r="AT67" s="2779"/>
      <c r="AU67" s="2779"/>
      <c r="AV67" s="2779"/>
      <c r="AW67" s="2794"/>
      <c r="AX67" s="1545"/>
      <c r="AY67" s="1545"/>
      <c r="AZ67" s="1545"/>
      <c r="BH67" s="1348" t="s">
        <v>2520</v>
      </c>
      <c r="BI67" s="483">
        <v>201857</v>
      </c>
      <c r="BJ67" s="483">
        <v>205602</v>
      </c>
      <c r="BK67" s="483">
        <v>216550</v>
      </c>
      <c r="BL67" s="483">
        <v>226921</v>
      </c>
      <c r="BM67" s="483">
        <v>235996</v>
      </c>
      <c r="BN67" s="483">
        <v>226857</v>
      </c>
      <c r="BO67" s="483">
        <v>230602</v>
      </c>
      <c r="BP67" s="483">
        <v>241550</v>
      </c>
      <c r="BQ67" s="483">
        <v>251921</v>
      </c>
      <c r="BR67" s="1344">
        <v>260996</v>
      </c>
      <c r="BS67" s="1545"/>
      <c r="BT67" s="1163">
        <f t="shared" ref="BT67:BT80" si="29">BT66+0.05</f>
        <v>0.25</v>
      </c>
      <c r="BU67" s="471">
        <f>SUMIF(UnitsTbl[Restricted Income Level],BT67,UnitsTbl[Total Restricted Units])</f>
        <v>0</v>
      </c>
      <c r="BV67" s="1164">
        <f t="shared" ref="BV67:BV83" si="30">IFERROR(BU67/$BU$85,0)</f>
        <v>0</v>
      </c>
      <c r="BW67" s="1660">
        <f t="shared" si="28"/>
        <v>0</v>
      </c>
      <c r="BX67" s="1624">
        <f>SUMIFS(UnitsTbl[Total Units],UnitsTbl[Restricted Income Level],25%,UnitsTbl['# of Bedrooms],0)</f>
        <v>0</v>
      </c>
      <c r="BY67" s="1624">
        <f>SUMIFS(UnitsTbl[Total Units],UnitsTbl[Restricted Income Level],25%,UnitsTbl['# of Bedrooms],1)</f>
        <v>0</v>
      </c>
      <c r="BZ67" s="1624">
        <f>SUMIFS(UnitsTbl[Total Units],UnitsTbl[Restricted Income Level],25%,UnitsTbl['# of Bedrooms],2)</f>
        <v>0</v>
      </c>
      <c r="CA67" s="1624">
        <f>SUMIFS(UnitsTbl[Total Units],UnitsTbl[Restricted Income Level],25%,UnitsTbl['# of Bedrooms],3)</f>
        <v>0</v>
      </c>
      <c r="CB67" s="1624">
        <f>SUMIFS(UnitsTbl[Total Units],UnitsTbl[Restricted Income Level],25%,UnitsTbl['# of Bedrooms],4)+SUMIFS(UnitsTbl[Total Units],UnitsTbl[Restricted Income Level],25%,UnitsTbl['# of Bedrooms],5)+SUMIFS(UnitsTbl[Total Units],UnitsTbl[Restricted Income Level],25%,UnitsTbl['# of Bedrooms],6)+SUMIFS(UnitsTbl[Total Units],UnitsTbl[Restricted Income Level],25%,UnitsTbl['# of Bedrooms],7)+SUMIFS(UnitsTbl[Total Units],UnitsTbl[Restricted Income Level],25%,UnitsTbl['# of Bedrooms],8)+SUMIFS(UnitsTbl[Total Units],UnitsTbl[Restricted Income Level],25%,UnitsTbl['# of Bedrooms],9)</f>
        <v>0</v>
      </c>
      <c r="CC67" s="1545"/>
      <c r="CD67" s="1348" t="s">
        <v>2520</v>
      </c>
      <c r="CE67" s="504">
        <v>146857</v>
      </c>
      <c r="CF67" s="504">
        <v>150602</v>
      </c>
      <c r="CG67" s="504">
        <v>161550</v>
      </c>
      <c r="CH67" s="504">
        <v>171921</v>
      </c>
      <c r="CI67" s="504">
        <v>180996</v>
      </c>
      <c r="CJ67" s="504">
        <v>161857</v>
      </c>
      <c r="CK67" s="504">
        <v>165602</v>
      </c>
      <c r="CL67" s="504">
        <v>176550</v>
      </c>
      <c r="CM67" s="504">
        <v>186921</v>
      </c>
      <c r="CN67" s="1347">
        <v>195996</v>
      </c>
    </row>
    <row r="68" spans="2:92" ht="18" customHeight="1">
      <c r="B68" s="1545"/>
      <c r="C68" s="1545"/>
      <c r="D68" s="1545"/>
      <c r="E68" s="1545"/>
      <c r="F68" s="1545"/>
      <c r="G68" s="1545"/>
      <c r="H68" s="1545"/>
      <c r="I68" s="1545"/>
      <c r="J68" s="1545"/>
      <c r="K68" s="1545"/>
      <c r="L68" s="1545"/>
      <c r="M68" s="1545"/>
      <c r="N68" s="1545"/>
      <c r="O68" s="1545"/>
      <c r="P68" s="1545"/>
      <c r="Q68" s="1545"/>
      <c r="R68" s="1545"/>
      <c r="S68" s="1545"/>
      <c r="T68" s="1545"/>
      <c r="U68" s="1545"/>
      <c r="V68" s="1545"/>
      <c r="W68" s="1545"/>
      <c r="X68" s="1545"/>
      <c r="Y68" s="1545"/>
      <c r="Z68" s="1545"/>
      <c r="AA68" s="1545"/>
      <c r="AB68" s="1545"/>
      <c r="AC68" s="1545"/>
      <c r="AD68" s="1545"/>
      <c r="AE68" s="1545"/>
      <c r="AF68" s="1545"/>
      <c r="AG68" s="1545"/>
      <c r="AH68" s="546" t="str">
        <f>CONCATENATE('Max Loan and Grant Amounts'!$V$5,1)</f>
        <v>Amador1</v>
      </c>
      <c r="AI68" s="498"/>
      <c r="AJ68" s="498"/>
      <c r="AK68" s="498"/>
      <c r="AL68" s="498"/>
      <c r="AM68" s="498"/>
      <c r="AN68" s="887"/>
      <c r="AO68" s="527"/>
      <c r="AP68" s="2787"/>
      <c r="AQ68" s="2788"/>
      <c r="AR68" s="2779"/>
      <c r="AS68" s="2779"/>
      <c r="AT68" s="2779"/>
      <c r="AU68" s="2779"/>
      <c r="AV68" s="2779"/>
      <c r="AW68" s="2794"/>
      <c r="AX68" s="1545"/>
      <c r="AY68" s="1545"/>
      <c r="AZ68" s="1545"/>
      <c r="BH68" s="1348" t="s">
        <v>2521</v>
      </c>
      <c r="BI68" s="483">
        <v>218999</v>
      </c>
      <c r="BJ68" s="483">
        <v>224040</v>
      </c>
      <c r="BK68" s="483">
        <v>238733</v>
      </c>
      <c r="BL68" s="483">
        <v>252562</v>
      </c>
      <c r="BM68" s="483">
        <v>264518</v>
      </c>
      <c r="BN68" s="483">
        <v>243999</v>
      </c>
      <c r="BO68" s="483">
        <v>249040</v>
      </c>
      <c r="BP68" s="483">
        <v>263733</v>
      </c>
      <c r="BQ68" s="483">
        <v>277562</v>
      </c>
      <c r="BR68" s="1344">
        <v>289518</v>
      </c>
      <c r="BS68" s="1545"/>
      <c r="BT68" s="1163">
        <f t="shared" si="29"/>
        <v>0.3</v>
      </c>
      <c r="BU68" s="471">
        <f>SUMIF(UnitsTbl[Restricted Income Level],BT68,UnitsTbl[Total Restricted Units])</f>
        <v>0</v>
      </c>
      <c r="BV68" s="1164">
        <f t="shared" si="30"/>
        <v>0</v>
      </c>
      <c r="BW68" s="1660">
        <f t="shared" si="28"/>
        <v>0</v>
      </c>
      <c r="BX68" s="1624">
        <f>SUMIFS(UnitsTbl[Total Units],UnitsTbl[Restricted Income Level],30%,UnitsTbl['# of Bedrooms],0)</f>
        <v>0</v>
      </c>
      <c r="BY68" s="1624">
        <f>SUMIFS(UnitsTbl[Total Units],UnitsTbl[Restricted Income Level],30%,UnitsTbl['# of Bedrooms],1)</f>
        <v>0</v>
      </c>
      <c r="BZ68" s="1624">
        <f>SUMIFS(UnitsTbl[Total Units],UnitsTbl[Restricted Income Level],30%,UnitsTbl['# of Bedrooms],2)</f>
        <v>0</v>
      </c>
      <c r="CA68" s="1624">
        <f>SUMIFS(UnitsTbl[Total Units],UnitsTbl[Restricted Income Level],30%,UnitsTbl['# of Bedrooms],3)</f>
        <v>12</v>
      </c>
      <c r="CB68" s="1624">
        <f>SUMIFS(UnitsTbl[Total Units],UnitsTbl[Restricted Income Level],30%,UnitsTbl['# of Bedrooms],4)+SUMIFS(UnitsTbl[Total Units],UnitsTbl[Restricted Income Level],30%,UnitsTbl['# of Bedrooms],5)+SUMIFS(UnitsTbl[Total Units],UnitsTbl[Restricted Income Level],30%,UnitsTbl['# of Bedrooms],6)+SUMIFS(UnitsTbl[Total Units],UnitsTbl[Restricted Income Level],30%,UnitsTbl['# of Bedrooms],7)+SUMIFS(UnitsTbl[Total Units],UnitsTbl[Restricted Income Level],30%,UnitsTbl['# of Bedrooms],8)+SUMIFS(UnitsTbl[Total Units],UnitsTbl[Restricted Income Level],30%,UnitsTbl['# of Bedrooms],9)</f>
        <v>36</v>
      </c>
      <c r="CC68" s="1545"/>
      <c r="CD68" s="1348" t="s">
        <v>2521</v>
      </c>
      <c r="CE68" s="504">
        <v>163999</v>
      </c>
      <c r="CF68" s="504">
        <v>169040</v>
      </c>
      <c r="CG68" s="504">
        <v>183733</v>
      </c>
      <c r="CH68" s="504">
        <v>197562</v>
      </c>
      <c r="CI68" s="504">
        <v>209518</v>
      </c>
      <c r="CJ68" s="504">
        <v>178999</v>
      </c>
      <c r="CK68" s="504">
        <v>184040</v>
      </c>
      <c r="CL68" s="504">
        <v>198733</v>
      </c>
      <c r="CM68" s="504">
        <v>212562</v>
      </c>
      <c r="CN68" s="1347">
        <v>224518</v>
      </c>
    </row>
    <row r="69" spans="2:92" ht="18" customHeight="1">
      <c r="B69" s="1545"/>
      <c r="C69" s="1545"/>
      <c r="D69" s="1545"/>
      <c r="E69" s="1545"/>
      <c r="F69" s="1545"/>
      <c r="G69" s="1545"/>
      <c r="H69" s="1545"/>
      <c r="I69" s="1545"/>
      <c r="J69" s="1545"/>
      <c r="K69" s="1545"/>
      <c r="L69" s="1545"/>
      <c r="M69" s="1545"/>
      <c r="N69" s="1545"/>
      <c r="O69" s="1545"/>
      <c r="P69" s="1545"/>
      <c r="Q69" s="1545"/>
      <c r="R69" s="1545"/>
      <c r="S69" s="1545"/>
      <c r="T69" s="1545"/>
      <c r="U69" s="1545"/>
      <c r="V69" s="1545"/>
      <c r="W69" s="1545"/>
      <c r="X69" s="1545"/>
      <c r="Y69" s="1545"/>
      <c r="Z69" s="1545"/>
      <c r="AA69" s="1545"/>
      <c r="AB69" s="1545"/>
      <c r="AC69" s="1545"/>
      <c r="AD69" s="1545"/>
      <c r="AE69" s="1545"/>
      <c r="AF69" s="1545"/>
      <c r="AG69" s="1545"/>
      <c r="AH69" s="546" t="str">
        <f>CONCATENATE('Max Loan and Grant Amounts'!$V$5,0.95)</f>
        <v>Amador0.95</v>
      </c>
      <c r="AI69" s="498"/>
      <c r="AJ69" s="498"/>
      <c r="AK69" s="498"/>
      <c r="AL69" s="498"/>
      <c r="AM69" s="498"/>
      <c r="AN69" s="887"/>
      <c r="AO69" s="527"/>
      <c r="AP69" s="2789" t="s">
        <v>2522</v>
      </c>
      <c r="AQ69" s="2790"/>
      <c r="AR69" s="2779"/>
      <c r="AS69" s="2779"/>
      <c r="AT69" s="2779"/>
      <c r="AU69" s="2779"/>
      <c r="AV69" s="2779"/>
      <c r="AW69" s="2794"/>
      <c r="AX69" s="1545"/>
      <c r="AY69" s="1545"/>
      <c r="AZ69" s="1545"/>
      <c r="BH69" s="1348" t="s">
        <v>2523</v>
      </c>
      <c r="BI69" s="483">
        <v>236284</v>
      </c>
      <c r="BJ69" s="483">
        <v>242478</v>
      </c>
      <c r="BK69" s="483">
        <v>261060</v>
      </c>
      <c r="BL69" s="483">
        <v>278346</v>
      </c>
      <c r="BM69" s="483">
        <v>293183</v>
      </c>
      <c r="BN69" s="483">
        <v>261284</v>
      </c>
      <c r="BO69" s="483">
        <v>267478</v>
      </c>
      <c r="BP69" s="483">
        <v>286060</v>
      </c>
      <c r="BQ69" s="483">
        <v>303346</v>
      </c>
      <c r="BR69" s="1344">
        <v>318183</v>
      </c>
      <c r="BS69" s="1545"/>
      <c r="BT69" s="1163">
        <f t="shared" si="29"/>
        <v>0.35</v>
      </c>
      <c r="BU69" s="471">
        <f>SUMIF(UnitsTbl[Restricted Income Level],BT69,UnitsTbl[Total Restricted Units])</f>
        <v>0</v>
      </c>
      <c r="BV69" s="1164">
        <f t="shared" si="30"/>
        <v>0</v>
      </c>
      <c r="BW69" s="1660">
        <f t="shared" si="28"/>
        <v>0</v>
      </c>
      <c r="BX69" s="1624">
        <f>SUMIFS(UnitsTbl[Total Units],UnitsTbl[Restricted Income Level],35%,UnitsTbl['# of Bedrooms],0)</f>
        <v>0</v>
      </c>
      <c r="BY69" s="1624">
        <f>SUMIFS(UnitsTbl[Total Units],UnitsTbl[Restricted Income Level],35%,UnitsTbl['# of Bedrooms],1)</f>
        <v>0</v>
      </c>
      <c r="BZ69" s="1624">
        <f>SUMIFS(UnitsTbl[Total Units],UnitsTbl[Restricted Income Level],35%,UnitsTbl['# of Bedrooms],2)</f>
        <v>0</v>
      </c>
      <c r="CA69" s="1624">
        <f>SUMIFS(UnitsTbl[Total Units],UnitsTbl[Restricted Income Level],35%,UnitsTbl['# of Bedrooms],3)</f>
        <v>0</v>
      </c>
      <c r="CB69" s="1624">
        <f>SUMIFS(UnitsTbl[Total Units],UnitsTbl[Restricted Income Level],35%,UnitsTbl['# of Bedrooms],4)+SUMIFS(UnitsTbl[Total Units],UnitsTbl[Restricted Income Level],35%,UnitsTbl['# of Bedrooms],5)+SUMIFS(UnitsTbl[Total Units],UnitsTbl[Restricted Income Level],35%,UnitsTbl['# of Bedrooms],6)+SUMIFS(UnitsTbl[Total Units],UnitsTbl[Restricted Income Level],35%,UnitsTbl['# of Bedrooms],7)+SUMIFS(UnitsTbl[Total Units],UnitsTbl[Restricted Income Level],35%,UnitsTbl['# of Bedrooms],8)+SUMIFS(UnitsTbl[Total Units],UnitsTbl[Restricted Income Level],35%,UnitsTbl['# of Bedrooms],9)</f>
        <v>0</v>
      </c>
      <c r="CC69" s="1545"/>
      <c r="CD69" s="1348" t="s">
        <v>2523</v>
      </c>
      <c r="CE69" s="504">
        <v>181284</v>
      </c>
      <c r="CF69" s="504">
        <v>187478</v>
      </c>
      <c r="CG69" s="504">
        <v>206060</v>
      </c>
      <c r="CH69" s="504">
        <v>223346</v>
      </c>
      <c r="CI69" s="504">
        <v>238183</v>
      </c>
      <c r="CJ69" s="504">
        <v>196284</v>
      </c>
      <c r="CK69" s="504">
        <v>202478</v>
      </c>
      <c r="CL69" s="504">
        <v>221060</v>
      </c>
      <c r="CM69" s="504">
        <v>238346</v>
      </c>
      <c r="CN69" s="1347">
        <v>253183</v>
      </c>
    </row>
    <row r="70" spans="2:92" ht="18" customHeight="1">
      <c r="B70" s="1545"/>
      <c r="C70" s="1545"/>
      <c r="D70" s="1545"/>
      <c r="E70" s="1545"/>
      <c r="F70" s="1545"/>
      <c r="G70" s="1545"/>
      <c r="H70" s="1545"/>
      <c r="I70" s="1545"/>
      <c r="J70" s="1545"/>
      <c r="K70" s="1545"/>
      <c r="L70" s="1545"/>
      <c r="M70" s="1545"/>
      <c r="N70" s="1545"/>
      <c r="O70" s="1545"/>
      <c r="P70" s="1545"/>
      <c r="Q70" s="1545"/>
      <c r="R70" s="1545"/>
      <c r="S70" s="1545"/>
      <c r="T70" s="1545"/>
      <c r="U70" s="1545"/>
      <c r="V70" s="1545"/>
      <c r="W70" s="1545"/>
      <c r="X70" s="1545"/>
      <c r="Y70" s="1545"/>
      <c r="Z70" s="1545"/>
      <c r="AA70" s="1545"/>
      <c r="AB70" s="1545"/>
      <c r="AC70" s="1545"/>
      <c r="AD70" s="1545"/>
      <c r="AE70" s="1545"/>
      <c r="AF70" s="1545"/>
      <c r="AG70" s="1545"/>
      <c r="AH70" s="546" t="str">
        <f>CONCATENATE('Max Loan and Grant Amounts'!$V$5,0.9)</f>
        <v>Amador0.9</v>
      </c>
      <c r="AI70" s="498"/>
      <c r="AJ70" s="498"/>
      <c r="AK70" s="498"/>
      <c r="AL70" s="498"/>
      <c r="AM70" s="498"/>
      <c r="AN70" s="887"/>
      <c r="AO70" s="527"/>
      <c r="AP70" s="2791" t="s">
        <v>2524</v>
      </c>
      <c r="AQ70" s="2792"/>
      <c r="AR70" s="2795"/>
      <c r="AS70" s="2795"/>
      <c r="AT70" s="2795"/>
      <c r="AU70" s="2795"/>
      <c r="AV70" s="2795"/>
      <c r="AW70" s="2796"/>
      <c r="AX70" s="1545"/>
      <c r="AY70" s="1545"/>
      <c r="AZ70" s="1545"/>
      <c r="BH70" s="1348" t="s">
        <v>2525</v>
      </c>
      <c r="BI70" s="483">
        <v>253570</v>
      </c>
      <c r="BJ70" s="483">
        <v>261060</v>
      </c>
      <c r="BK70" s="483">
        <v>283244</v>
      </c>
      <c r="BL70" s="483">
        <v>303987</v>
      </c>
      <c r="BM70" s="483">
        <v>321848</v>
      </c>
      <c r="BN70" s="483">
        <v>278570</v>
      </c>
      <c r="BO70" s="483">
        <v>286060</v>
      </c>
      <c r="BP70" s="483">
        <v>308244</v>
      </c>
      <c r="BQ70" s="483">
        <v>328987</v>
      </c>
      <c r="BR70" s="1344">
        <v>346848</v>
      </c>
      <c r="BS70" s="1545"/>
      <c r="BT70" s="1163">
        <f t="shared" si="29"/>
        <v>0.39999999999999997</v>
      </c>
      <c r="BU70" s="471">
        <f>SUMIF(UnitsTbl[Restricted Income Level],BT70,UnitsTbl[Total Restricted Units])</f>
        <v>0</v>
      </c>
      <c r="BV70" s="1164">
        <f t="shared" si="30"/>
        <v>0</v>
      </c>
      <c r="BW70" s="1660">
        <f t="shared" si="28"/>
        <v>0</v>
      </c>
      <c r="BX70" s="1624">
        <f>SUMIFS(UnitsTbl[Total Units],UnitsTbl[Restricted Income Level],40%,UnitsTbl['# of Bedrooms],0)</f>
        <v>0</v>
      </c>
      <c r="BY70" s="1624">
        <f>SUMIFS(UnitsTbl[Total Units],UnitsTbl[Restricted Income Level],40%,UnitsTbl['# of Bedrooms],1)</f>
        <v>0</v>
      </c>
      <c r="BZ70" s="1624">
        <f>SUMIFS(UnitsTbl[Total Units],UnitsTbl[Restricted Income Level],40%,UnitsTbl['# of Bedrooms],2)</f>
        <v>0</v>
      </c>
      <c r="CA70" s="1624">
        <f>SUMIFS(UnitsTbl[Total Units],UnitsTbl[Restricted Income Level],40%,UnitsTbl['# of Bedrooms],3)</f>
        <v>0</v>
      </c>
      <c r="CB70" s="1624">
        <f>SUMIFS(UnitsTbl[Total Units],UnitsTbl[Restricted Income Level],40%,UnitsTbl['# of Bedrooms],4)+SUMIFS(UnitsTbl[Total Units],UnitsTbl[Restricted Income Level],40%,UnitsTbl['# of Bedrooms],5)+SUMIFS(UnitsTbl[Total Units],UnitsTbl[Restricted Income Level],40%,UnitsTbl['# of Bedrooms],6)+SUMIFS(UnitsTbl[Total Units],UnitsTbl[Restricted Income Level],40%,UnitsTbl['# of Bedrooms],7)+SUMIFS(UnitsTbl[Total Units],UnitsTbl[Restricted Income Level],40%,UnitsTbl['# of Bedrooms],8)+SUMIFS(UnitsTbl[Total Units],UnitsTbl[Restricted Income Level],40%,UnitsTbl['# of Bedrooms],9)</f>
        <v>0</v>
      </c>
      <c r="CC70" s="1545"/>
      <c r="CD70" s="1348" t="s">
        <v>2525</v>
      </c>
      <c r="CE70" s="504">
        <v>198570</v>
      </c>
      <c r="CF70" s="504">
        <v>206060</v>
      </c>
      <c r="CG70" s="504">
        <v>228244</v>
      </c>
      <c r="CH70" s="504">
        <v>248987</v>
      </c>
      <c r="CI70" s="504">
        <v>266848</v>
      </c>
      <c r="CJ70" s="504">
        <v>213570</v>
      </c>
      <c r="CK70" s="504">
        <v>221060</v>
      </c>
      <c r="CL70" s="504">
        <v>243244</v>
      </c>
      <c r="CM70" s="504">
        <v>263987</v>
      </c>
      <c r="CN70" s="1347">
        <v>281848</v>
      </c>
    </row>
    <row r="71" spans="2:92" ht="18" customHeight="1">
      <c r="B71" s="1545"/>
      <c r="C71" s="1545"/>
      <c r="D71" s="1545"/>
      <c r="E71" s="1545"/>
      <c r="F71" s="1545"/>
      <c r="G71" s="1545"/>
      <c r="H71" s="1545"/>
      <c r="I71" s="1545"/>
      <c r="J71" s="1545"/>
      <c r="K71" s="1545"/>
      <c r="L71" s="1545"/>
      <c r="M71" s="1545"/>
      <c r="N71" s="1545"/>
      <c r="O71" s="1545"/>
      <c r="P71" s="1545"/>
      <c r="Q71" s="1545"/>
      <c r="R71" s="1545"/>
      <c r="S71" s="1545"/>
      <c r="T71" s="1545"/>
      <c r="U71" s="1545"/>
      <c r="V71" s="1545"/>
      <c r="W71" s="1545"/>
      <c r="X71" s="1545"/>
      <c r="Y71" s="1545"/>
      <c r="Z71" s="1545"/>
      <c r="AA71" s="1545"/>
      <c r="AB71" s="1545"/>
      <c r="AC71" s="1545"/>
      <c r="AD71" s="1545"/>
      <c r="AE71" s="1545"/>
      <c r="AF71" s="1545"/>
      <c r="AG71" s="1545"/>
      <c r="AH71" s="546" t="str">
        <f>CONCATENATE('Max Loan and Grant Amounts'!$V$5,0.85)</f>
        <v>Amador0.85</v>
      </c>
      <c r="AI71" s="498"/>
      <c r="AJ71" s="498"/>
      <c r="AK71" s="498"/>
      <c r="AL71" s="498"/>
      <c r="AM71" s="498"/>
      <c r="AN71" s="887"/>
      <c r="AO71" s="527"/>
      <c r="AP71" s="2787" t="s">
        <v>2526</v>
      </c>
      <c r="AQ71" s="2788"/>
      <c r="AR71" s="2780"/>
      <c r="AS71" s="2780"/>
      <c r="AT71" s="2780"/>
      <c r="AU71" s="2780"/>
      <c r="AV71" s="2780"/>
      <c r="AW71" s="2781"/>
      <c r="AX71" s="1545"/>
      <c r="AY71" s="1545"/>
      <c r="AZ71" s="1545"/>
      <c r="BH71" s="1348" t="s">
        <v>2527</v>
      </c>
      <c r="BI71" s="483">
        <v>270856</v>
      </c>
      <c r="BJ71" s="483">
        <v>279499</v>
      </c>
      <c r="BK71" s="483">
        <v>305427</v>
      </c>
      <c r="BL71" s="483">
        <v>329627</v>
      </c>
      <c r="BM71" s="483">
        <v>350514</v>
      </c>
      <c r="BN71" s="483">
        <v>295856</v>
      </c>
      <c r="BO71" s="483">
        <v>304499</v>
      </c>
      <c r="BP71" s="483">
        <v>330427</v>
      </c>
      <c r="BQ71" s="483">
        <v>354627</v>
      </c>
      <c r="BR71" s="1344">
        <v>375514</v>
      </c>
      <c r="BS71" s="1545"/>
      <c r="BT71" s="1163">
        <f t="shared" si="29"/>
        <v>0.44999999999999996</v>
      </c>
      <c r="BU71" s="471">
        <f>SUMIF(UnitsTbl[Restricted Income Level],BT71,UnitsTbl[Total Restricted Units])</f>
        <v>0</v>
      </c>
      <c r="BV71" s="1164">
        <f t="shared" si="30"/>
        <v>0</v>
      </c>
      <c r="BW71" s="1660">
        <f t="shared" si="28"/>
        <v>0</v>
      </c>
      <c r="BX71" s="1624">
        <f>SUMIFS(UnitsTbl[Total Units],UnitsTbl[Restricted Income Level],45%,UnitsTbl['# of Bedrooms],0)</f>
        <v>0</v>
      </c>
      <c r="BY71" s="1624">
        <f>SUMIFS(UnitsTbl[Total Units],UnitsTbl[Restricted Income Level],45%,UnitsTbl['# of Bedrooms],1)</f>
        <v>0</v>
      </c>
      <c r="BZ71" s="1624">
        <f>SUMIFS(UnitsTbl[Total Units],UnitsTbl[Restricted Income Level],45%,UnitsTbl['# of Bedrooms],2)</f>
        <v>0</v>
      </c>
      <c r="CA71" s="1624">
        <f>SUMIFS(UnitsTbl[Total Units],UnitsTbl[Restricted Income Level],45%,UnitsTbl['# of Bedrooms],3)</f>
        <v>0</v>
      </c>
      <c r="CB71" s="1624">
        <f>SUMIFS(UnitsTbl[Total Units],UnitsTbl[Restricted Income Level],45%,UnitsTbl['# of Bedrooms],4)+SUMIFS(UnitsTbl[Total Units],UnitsTbl[Restricted Income Level],45%,UnitsTbl['# of Bedrooms],5)+SUMIFS(UnitsTbl[Total Units],UnitsTbl[Restricted Income Level],45%,UnitsTbl['# of Bedrooms],6)+SUMIFS(UnitsTbl[Total Units],UnitsTbl[Restricted Income Level],45%,UnitsTbl['# of Bedrooms],7)+SUMIFS(UnitsTbl[Total Units],UnitsTbl[Restricted Income Level],45%,UnitsTbl['# of Bedrooms],8)+SUMIFS(UnitsTbl[Total Units],UnitsTbl[Restricted Income Level],45%,UnitsTbl['# of Bedrooms],9)</f>
        <v>0</v>
      </c>
      <c r="CC71" s="1545"/>
      <c r="CD71" s="1348" t="s">
        <v>2527</v>
      </c>
      <c r="CE71" s="504">
        <v>215856</v>
      </c>
      <c r="CF71" s="504">
        <v>224499</v>
      </c>
      <c r="CG71" s="504">
        <v>250427</v>
      </c>
      <c r="CH71" s="504">
        <v>274627</v>
      </c>
      <c r="CI71" s="504">
        <v>295514</v>
      </c>
      <c r="CJ71" s="504">
        <v>230856</v>
      </c>
      <c r="CK71" s="504">
        <v>239499</v>
      </c>
      <c r="CL71" s="504">
        <v>265427</v>
      </c>
      <c r="CM71" s="504">
        <v>289627</v>
      </c>
      <c r="CN71" s="1347">
        <v>310514</v>
      </c>
    </row>
    <row r="72" spans="2:92" ht="18" customHeight="1">
      <c r="B72" s="1545"/>
      <c r="C72" s="1545"/>
      <c r="D72" s="1545"/>
      <c r="E72" s="1545"/>
      <c r="F72" s="1545"/>
      <c r="G72" s="1545"/>
      <c r="H72" s="1545"/>
      <c r="I72" s="1545"/>
      <c r="J72" s="1545"/>
      <c r="K72" s="1545"/>
      <c r="L72" s="1545"/>
      <c r="M72" s="1545"/>
      <c r="N72" s="1545"/>
      <c r="O72" s="1545"/>
      <c r="P72" s="1545"/>
      <c r="Q72" s="1545"/>
      <c r="R72" s="1545"/>
      <c r="S72" s="1545"/>
      <c r="T72" s="1545"/>
      <c r="U72" s="1545"/>
      <c r="V72" s="1545"/>
      <c r="W72" s="1545"/>
      <c r="X72" s="1545"/>
      <c r="Y72" s="1545"/>
      <c r="Z72" s="1545"/>
      <c r="AA72" s="1545"/>
      <c r="AB72" s="1545"/>
      <c r="AC72" s="1545"/>
      <c r="AD72" s="1545"/>
      <c r="AE72" s="1545"/>
      <c r="AF72" s="1545"/>
      <c r="AG72" s="1545"/>
      <c r="AH72" s="546" t="str">
        <f>CONCATENATE('Max Loan and Grant Amounts'!$V$5,0.8)</f>
        <v>Amador0.8</v>
      </c>
      <c r="AI72" s="498"/>
      <c r="AJ72" s="498"/>
      <c r="AK72" s="498"/>
      <c r="AL72" s="498"/>
      <c r="AM72" s="498"/>
      <c r="AN72" s="887"/>
      <c r="AO72" s="527"/>
      <c r="AP72" s="2787"/>
      <c r="AQ72" s="2788"/>
      <c r="AR72" s="2780"/>
      <c r="AS72" s="2780"/>
      <c r="AT72" s="2780"/>
      <c r="AU72" s="2780"/>
      <c r="AV72" s="2780"/>
      <c r="AW72" s="2781"/>
      <c r="AX72" s="1545"/>
      <c r="AY72" s="1545"/>
      <c r="AZ72" s="1545"/>
      <c r="BH72" s="1348" t="s">
        <v>2528</v>
      </c>
      <c r="BI72" s="483">
        <v>288141</v>
      </c>
      <c r="BJ72" s="483">
        <v>298081</v>
      </c>
      <c r="BK72" s="483">
        <v>327610</v>
      </c>
      <c r="BL72" s="483">
        <v>355267</v>
      </c>
      <c r="BM72" s="483">
        <v>379035</v>
      </c>
      <c r="BN72" s="483">
        <v>313141</v>
      </c>
      <c r="BO72" s="483">
        <v>323081</v>
      </c>
      <c r="BP72" s="483">
        <v>352610</v>
      </c>
      <c r="BQ72" s="483">
        <v>380267</v>
      </c>
      <c r="BR72" s="1344">
        <v>404035</v>
      </c>
      <c r="BS72" s="1545"/>
      <c r="BT72" s="1163">
        <f t="shared" si="29"/>
        <v>0.49999999999999994</v>
      </c>
      <c r="BU72" s="471">
        <f>SUMIF(UnitsTbl[Restricted Income Level],BT72,UnitsTbl[Total Restricted Units])</f>
        <v>0</v>
      </c>
      <c r="BV72" s="1164">
        <f t="shared" si="30"/>
        <v>0</v>
      </c>
      <c r="BW72" s="1660">
        <f t="shared" si="28"/>
        <v>0</v>
      </c>
      <c r="BX72" s="1624">
        <f>SUMIFS(UnitsTbl[Total Units],UnitsTbl[Restricted Income Level],50%,UnitsTbl['# of Bedrooms],0)</f>
        <v>0</v>
      </c>
      <c r="BY72" s="1624">
        <f>SUMIFS(UnitsTbl[Total Units],UnitsTbl[Restricted Income Level],50%,UnitsTbl['# of Bedrooms],1)</f>
        <v>0</v>
      </c>
      <c r="BZ72" s="1624">
        <f>SUMIFS(UnitsTbl[Total Units],UnitsTbl[Restricted Income Level],50%,UnitsTbl['# of Bedrooms],2)</f>
        <v>0</v>
      </c>
      <c r="CA72" s="1624">
        <f>SUMIFS(UnitsTbl[Total Units],UnitsTbl[Restricted Income Level],50%,UnitsTbl['# of Bedrooms],3)</f>
        <v>0</v>
      </c>
      <c r="CB72" s="1624">
        <f>SUMIFS(UnitsTbl[Total Units],UnitsTbl[Restricted Income Level],50%,UnitsTbl['# of Bedrooms],4)+SUMIFS(UnitsTbl[Total Units],UnitsTbl[Restricted Income Level],50%,UnitsTbl['# of Bedrooms],5)+SUMIFS(UnitsTbl[Total Units],UnitsTbl[Restricted Income Level],50%,UnitsTbl['# of Bedrooms],6)+SUMIFS(UnitsTbl[Total Units],UnitsTbl[Restricted Income Level],50%,UnitsTbl['# of Bedrooms],7)+SUMIFS(UnitsTbl[Total Units],UnitsTbl[Restricted Income Level],50%,UnitsTbl['# of Bedrooms],8)+SUMIFS(UnitsTbl[Total Units],UnitsTbl[Restricted Income Level],50%,UnitsTbl['# of Bedrooms],9)</f>
        <v>0</v>
      </c>
      <c r="CC72" s="1545"/>
      <c r="CD72" s="1348" t="s">
        <v>2528</v>
      </c>
      <c r="CE72" s="504">
        <v>233141</v>
      </c>
      <c r="CF72" s="504">
        <v>243081</v>
      </c>
      <c r="CG72" s="504">
        <v>272610</v>
      </c>
      <c r="CH72" s="504">
        <v>300267</v>
      </c>
      <c r="CI72" s="504">
        <v>324035</v>
      </c>
      <c r="CJ72" s="504">
        <v>248141</v>
      </c>
      <c r="CK72" s="504">
        <v>258081</v>
      </c>
      <c r="CL72" s="504">
        <v>287610</v>
      </c>
      <c r="CM72" s="504">
        <v>315267</v>
      </c>
      <c r="CN72" s="1347">
        <v>339035</v>
      </c>
    </row>
    <row r="73" spans="2:92" ht="18" customHeight="1">
      <c r="B73" s="1545"/>
      <c r="C73" s="1545"/>
      <c r="D73" s="1545"/>
      <c r="E73" s="1545"/>
      <c r="F73" s="1545"/>
      <c r="G73" s="1545"/>
      <c r="H73" s="1545"/>
      <c r="I73" s="1545"/>
      <c r="J73" s="1545"/>
      <c r="K73" s="1545"/>
      <c r="L73" s="1545"/>
      <c r="M73" s="1545"/>
      <c r="N73" s="1545"/>
      <c r="O73" s="1545"/>
      <c r="P73" s="1545"/>
      <c r="Q73" s="1545"/>
      <c r="R73" s="1545"/>
      <c r="S73" s="1545"/>
      <c r="T73" s="1545"/>
      <c r="U73" s="1545"/>
      <c r="V73" s="1545"/>
      <c r="W73" s="1545"/>
      <c r="X73" s="1545"/>
      <c r="Y73" s="1545"/>
      <c r="Z73" s="1545"/>
      <c r="AA73" s="1545"/>
      <c r="AB73" s="1545"/>
      <c r="AC73" s="1545"/>
      <c r="AD73" s="1545"/>
      <c r="AE73" s="1545"/>
      <c r="AF73" s="1545"/>
      <c r="AG73" s="1545"/>
      <c r="AH73" s="546" t="str">
        <f>CONCATENATE('Max Loan and Grant Amounts'!$V$5,0.75)</f>
        <v>Amador0.75</v>
      </c>
      <c r="AI73" s="498"/>
      <c r="AJ73" s="498"/>
      <c r="AK73" s="498"/>
      <c r="AL73" s="498"/>
      <c r="AM73" s="498"/>
      <c r="AN73" s="887"/>
      <c r="AO73" s="527"/>
      <c r="AP73" s="2787"/>
      <c r="AQ73" s="2788"/>
      <c r="AR73" s="2780"/>
      <c r="AS73" s="2780"/>
      <c r="AT73" s="2780"/>
      <c r="AU73" s="2780"/>
      <c r="AV73" s="2780"/>
      <c r="AW73" s="2781"/>
      <c r="AX73" s="1545"/>
      <c r="AY73" s="1545"/>
      <c r="AZ73" s="1545"/>
      <c r="BH73" s="1348" t="s">
        <v>2529</v>
      </c>
      <c r="BI73" s="483">
        <v>305427</v>
      </c>
      <c r="BJ73" s="483">
        <v>316519</v>
      </c>
      <c r="BK73" s="483">
        <v>349794</v>
      </c>
      <c r="BL73" s="483">
        <v>380908</v>
      </c>
      <c r="BM73" s="483">
        <v>407701</v>
      </c>
      <c r="BN73" s="483">
        <v>330427</v>
      </c>
      <c r="BO73" s="483">
        <v>341519</v>
      </c>
      <c r="BP73" s="483">
        <v>374794</v>
      </c>
      <c r="BQ73" s="483">
        <v>405908</v>
      </c>
      <c r="BR73" s="1344">
        <v>432701</v>
      </c>
      <c r="BS73" s="1545"/>
      <c r="BT73" s="1163">
        <f t="shared" si="29"/>
        <v>0.54999999999999993</v>
      </c>
      <c r="BU73" s="471">
        <f>SUMIF(UnitsTbl[Restricted Income Level],BT73,UnitsTbl[Total Restricted Units])</f>
        <v>0</v>
      </c>
      <c r="BV73" s="1164">
        <f t="shared" si="30"/>
        <v>0</v>
      </c>
      <c r="BW73" s="1660">
        <f t="shared" si="28"/>
        <v>0</v>
      </c>
      <c r="BX73" s="1624">
        <f>SUMIFS(UnitsTbl[Total Units],UnitsTbl[Restricted Income Level],55%,UnitsTbl['# of Bedrooms],0)</f>
        <v>0</v>
      </c>
      <c r="BY73" s="1624">
        <f>SUMIFS(UnitsTbl[Total Units],UnitsTbl[Restricted Income Level],55%,UnitsTbl['# of Bedrooms],1)</f>
        <v>0</v>
      </c>
      <c r="BZ73" s="1624">
        <f>SUMIFS(UnitsTbl[Total Units],UnitsTbl[Restricted Income Level],55%,UnitsTbl['# of Bedrooms],2)</f>
        <v>0</v>
      </c>
      <c r="CA73" s="1624">
        <f>SUMIFS(UnitsTbl[Total Units],UnitsTbl[Restricted Income Level],55%,UnitsTbl['# of Bedrooms],3)</f>
        <v>0</v>
      </c>
      <c r="CB73" s="1624">
        <f>SUMIFS(UnitsTbl[Total Units],UnitsTbl[Restricted Income Level],55%,UnitsTbl['# of Bedrooms],4)+SUMIFS(UnitsTbl[Total Units],UnitsTbl[Restricted Income Level],55%,UnitsTbl['# of Bedrooms],5)+SUMIFS(UnitsTbl[Total Units],UnitsTbl[Restricted Income Level],55%,UnitsTbl['# of Bedrooms],6)+SUMIFS(UnitsTbl[Total Units],UnitsTbl[Restricted Income Level],55%,UnitsTbl['# of Bedrooms],7)+SUMIFS(UnitsTbl[Total Units],UnitsTbl[Restricted Income Level],55%,UnitsTbl['# of Bedrooms],8)+SUMIFS(UnitsTbl[Total Units],UnitsTbl[Restricted Income Level],55%,UnitsTbl['# of Bedrooms],9)</f>
        <v>0</v>
      </c>
      <c r="CC73" s="1545"/>
      <c r="CD73" s="1348" t="s">
        <v>2529</v>
      </c>
      <c r="CE73" s="504">
        <v>250427</v>
      </c>
      <c r="CF73" s="504">
        <v>261519</v>
      </c>
      <c r="CG73" s="504">
        <v>294794</v>
      </c>
      <c r="CH73" s="504">
        <v>325908</v>
      </c>
      <c r="CI73" s="504">
        <v>352701</v>
      </c>
      <c r="CJ73" s="504">
        <v>265427</v>
      </c>
      <c r="CK73" s="504">
        <v>276519</v>
      </c>
      <c r="CL73" s="504">
        <v>309794</v>
      </c>
      <c r="CM73" s="504">
        <v>340908</v>
      </c>
      <c r="CN73" s="1347">
        <v>367701</v>
      </c>
    </row>
    <row r="74" spans="2:92" ht="18" customHeight="1">
      <c r="B74" s="1545"/>
      <c r="C74" s="1545"/>
      <c r="D74" s="1545"/>
      <c r="E74" s="1545"/>
      <c r="F74" s="1545"/>
      <c r="G74" s="1545"/>
      <c r="H74" s="1545"/>
      <c r="I74" s="1545"/>
      <c r="J74" s="1545"/>
      <c r="K74" s="1545"/>
      <c r="L74" s="1545"/>
      <c r="M74" s="1545"/>
      <c r="N74" s="1545"/>
      <c r="O74" s="1545"/>
      <c r="P74" s="1545"/>
      <c r="Q74" s="1545"/>
      <c r="R74" s="1545"/>
      <c r="S74" s="1545"/>
      <c r="T74" s="1545"/>
      <c r="U74" s="1545"/>
      <c r="V74" s="1545"/>
      <c r="W74" s="1545"/>
      <c r="X74" s="1545"/>
      <c r="Y74" s="1545"/>
      <c r="Z74" s="1545"/>
      <c r="AA74" s="1545"/>
      <c r="AB74" s="1545"/>
      <c r="AC74" s="1545"/>
      <c r="AD74" s="1545"/>
      <c r="AE74" s="1545"/>
      <c r="AF74" s="1545"/>
      <c r="AG74" s="1545"/>
      <c r="AH74" s="546" t="str">
        <f>CONCATENATE('Max Loan and Grant Amounts'!$V$5,0.7)</f>
        <v>Amador0.7</v>
      </c>
      <c r="AI74" s="498"/>
      <c r="AJ74" s="498"/>
      <c r="AK74" s="498"/>
      <c r="AL74" s="498"/>
      <c r="AM74" s="498"/>
      <c r="AN74" s="887"/>
      <c r="AO74" s="527"/>
      <c r="AP74" s="2787" t="s">
        <v>2530</v>
      </c>
      <c r="AQ74" s="2788"/>
      <c r="AR74" s="2782"/>
      <c r="AS74" s="2782"/>
      <c r="AT74" s="2782"/>
      <c r="AU74" s="2782"/>
      <c r="AV74" s="2782"/>
      <c r="AW74" s="2783"/>
      <c r="AX74" s="1545"/>
      <c r="AY74" s="1545"/>
      <c r="AZ74" s="1545"/>
      <c r="BH74" s="1343" t="s">
        <v>2531</v>
      </c>
      <c r="BI74" s="483">
        <v>150000</v>
      </c>
      <c r="BJ74" s="483">
        <v>150000</v>
      </c>
      <c r="BK74" s="483">
        <v>150000</v>
      </c>
      <c r="BL74" s="483">
        <v>150000</v>
      </c>
      <c r="BM74" s="483">
        <v>150000</v>
      </c>
      <c r="BN74" s="483">
        <v>175000</v>
      </c>
      <c r="BO74" s="483">
        <v>175000</v>
      </c>
      <c r="BP74" s="483">
        <v>175000</v>
      </c>
      <c r="BQ74" s="483">
        <v>175000</v>
      </c>
      <c r="BR74" s="1344">
        <v>175000</v>
      </c>
      <c r="BS74" s="1545"/>
      <c r="BT74" s="1163">
        <f t="shared" si="29"/>
        <v>0.6</v>
      </c>
      <c r="BU74" s="471">
        <f>SUMIF(UnitsTbl[Restricted Income Level],BT74,UnitsTbl[Total Restricted Units])</f>
        <v>0</v>
      </c>
      <c r="BV74" s="1164">
        <f t="shared" si="30"/>
        <v>0</v>
      </c>
      <c r="BW74" s="1660">
        <f t="shared" si="28"/>
        <v>0</v>
      </c>
      <c r="BX74" s="1624">
        <f>SUMIFS(UnitsTbl[Total Units],UnitsTbl[Restricted Income Level],60%,UnitsTbl['# of Bedrooms],0)+SUMIFS(UnitsTbl[Total Units],UnitsTbl[Restricted Income Level],"Manager",UnitsTbl['# of Bedrooms],0)</f>
        <v>1</v>
      </c>
      <c r="BY74" s="1624">
        <f>SUMIFS(UnitsTbl[Total Units],UnitsTbl[Restricted Income Level],60%,UnitsTbl['# of Bedrooms],1)</f>
        <v>0</v>
      </c>
      <c r="BZ74" s="1624">
        <f>SUMIFS(UnitsTbl[Total Units],UnitsTbl[Restricted Income Level],60%,UnitsTbl['# of Bedrooms],2)</f>
        <v>0</v>
      </c>
      <c r="CA74" s="1624">
        <f>SUMIFS(UnitsTbl[Total Units],UnitsTbl[Restricted Income Level],60%,UnitsTbl['# of Bedrooms],3)</f>
        <v>0</v>
      </c>
      <c r="CB74" s="1624">
        <f>SUMIFS(UnitsTbl[Total Units],UnitsTbl[Restricted Income Level],60%,UnitsTbl['# of Bedrooms],4)+SUMIFS(UnitsTbl[Total Units],UnitsTbl[Restricted Income Level],60%,UnitsTbl['# of Bedrooms],5)+SUMIFS(UnitsTbl[Total Units],UnitsTbl[Restricted Income Level],60%,UnitsTbl['# of Bedrooms],6)+SUMIFS(UnitsTbl[Total Units],UnitsTbl[Restricted Income Level],60%,UnitsTbl['# of Bedrooms],7)+SUMIFS(UnitsTbl[Total Units],UnitsTbl[Restricted Income Level],60%,UnitsTbl['# of Bedrooms],8)+SUMIFS(UnitsTbl[Total Units],UnitsTbl[Restricted Income Level],60%,UnitsTbl['# of Bedrooms],9)</f>
        <v>0</v>
      </c>
      <c r="CC74" s="1545"/>
      <c r="CD74" s="1343" t="s">
        <v>2531</v>
      </c>
      <c r="CE74" s="504">
        <v>95000</v>
      </c>
      <c r="CF74" s="504">
        <v>95000</v>
      </c>
      <c r="CG74" s="504">
        <v>95000</v>
      </c>
      <c r="CH74" s="504">
        <v>95000</v>
      </c>
      <c r="CI74" s="504">
        <v>95000</v>
      </c>
      <c r="CJ74" s="504">
        <v>110000</v>
      </c>
      <c r="CK74" s="504">
        <v>110000</v>
      </c>
      <c r="CL74" s="504">
        <v>110000</v>
      </c>
      <c r="CM74" s="504">
        <v>110000</v>
      </c>
      <c r="CN74" s="1347">
        <v>110000</v>
      </c>
    </row>
    <row r="75" spans="2:92" ht="18" customHeight="1">
      <c r="B75" s="1545"/>
      <c r="C75" s="1545"/>
      <c r="D75" s="1545"/>
      <c r="E75" s="1545"/>
      <c r="F75" s="1545"/>
      <c r="G75" s="1545"/>
      <c r="H75" s="1545"/>
      <c r="I75" s="1545"/>
      <c r="J75" s="1545"/>
      <c r="K75" s="1545"/>
      <c r="L75" s="1545"/>
      <c r="M75" s="1545"/>
      <c r="N75" s="1545"/>
      <c r="O75" s="1545"/>
      <c r="P75" s="1545"/>
      <c r="Q75" s="1545"/>
      <c r="R75" s="1545"/>
      <c r="S75" s="1545"/>
      <c r="T75" s="1545"/>
      <c r="U75" s="1545"/>
      <c r="V75" s="1545"/>
      <c r="W75" s="1545"/>
      <c r="X75" s="1545"/>
      <c r="Y75" s="1545"/>
      <c r="Z75" s="1545"/>
      <c r="AA75" s="1545"/>
      <c r="AB75" s="1545"/>
      <c r="AC75" s="1545"/>
      <c r="AD75" s="1545"/>
      <c r="AE75" s="1545"/>
      <c r="AF75" s="1545"/>
      <c r="AG75" s="1545"/>
      <c r="AH75" s="546" t="str">
        <f>CONCATENATE('Max Loan and Grant Amounts'!$V$5,0.65)</f>
        <v>Amador0.65</v>
      </c>
      <c r="AI75" s="498"/>
      <c r="AJ75" s="498"/>
      <c r="AK75" s="498"/>
      <c r="AL75" s="498"/>
      <c r="AM75" s="498"/>
      <c r="AN75" s="887"/>
      <c r="AO75" s="527"/>
      <c r="AP75" s="2787"/>
      <c r="AQ75" s="2788"/>
      <c r="AR75" s="2782"/>
      <c r="AS75" s="2782"/>
      <c r="AT75" s="2782"/>
      <c r="AU75" s="2782"/>
      <c r="AV75" s="2782"/>
      <c r="AW75" s="2783"/>
      <c r="AX75" s="1545"/>
      <c r="AY75" s="1545"/>
      <c r="AZ75" s="1545"/>
      <c r="BH75" s="1348" t="s">
        <v>2532</v>
      </c>
      <c r="BI75" s="483">
        <v>158787</v>
      </c>
      <c r="BJ75" s="483">
        <v>159363</v>
      </c>
      <c r="BK75" s="483">
        <v>161380</v>
      </c>
      <c r="BL75" s="483">
        <v>163108</v>
      </c>
      <c r="BM75" s="483">
        <v>164549</v>
      </c>
      <c r="BN75" s="483">
        <v>183787</v>
      </c>
      <c r="BO75" s="483">
        <v>184363</v>
      </c>
      <c r="BP75" s="483">
        <v>186380</v>
      </c>
      <c r="BQ75" s="483">
        <v>188108</v>
      </c>
      <c r="BR75" s="1344">
        <v>189549</v>
      </c>
      <c r="BS75" s="1545"/>
      <c r="BT75" s="1163">
        <f t="shared" si="29"/>
        <v>0.65</v>
      </c>
      <c r="BU75" s="471">
        <f>SUMIF(UnitsTbl[Restricted Income Level],BT75,UnitsTbl[Total Restricted Units])</f>
        <v>0</v>
      </c>
      <c r="BV75" s="1164">
        <f t="shared" si="30"/>
        <v>0</v>
      </c>
      <c r="BW75" s="1660">
        <f t="shared" si="28"/>
        <v>0</v>
      </c>
      <c r="BX75" s="1624">
        <f>SUMIFS(UnitsTbl[Total Units],UnitsTbl[Restricted Income Level],65%,UnitsTbl['# of Bedrooms],0)</f>
        <v>0</v>
      </c>
      <c r="BY75" s="1624">
        <f>SUMIFS(UnitsTbl[Total Units],UnitsTbl[Restricted Income Level],65%,UnitsTbl['# of Bedrooms],1)</f>
        <v>0</v>
      </c>
      <c r="BZ75" s="1624">
        <f>SUMIFS(UnitsTbl[Total Units],UnitsTbl[Restricted Income Level],65%,UnitsTbl['# of Bedrooms],2)</f>
        <v>0</v>
      </c>
      <c r="CA75" s="1624">
        <f>SUMIFS(UnitsTbl[Total Units],UnitsTbl[Restricted Income Level],65%,UnitsTbl['# of Bedrooms],3)</f>
        <v>0</v>
      </c>
      <c r="CB75" s="1624">
        <f>SUMIFS(UnitsTbl[Total Units],UnitsTbl[Restricted Income Level],65%,UnitsTbl['# of Bedrooms],4)+SUMIFS(UnitsTbl[Total Units],UnitsTbl[Restricted Income Level],65%,UnitsTbl['# of Bedrooms],5)+SUMIFS(UnitsTbl[Total Units],UnitsTbl[Restricted Income Level],65%,UnitsTbl['# of Bedrooms],6)+SUMIFS(UnitsTbl[Total Units],UnitsTbl[Restricted Income Level],65%,UnitsTbl['# of Bedrooms],7)+SUMIFS(UnitsTbl[Total Units],UnitsTbl[Restricted Income Level],65%,UnitsTbl['# of Bedrooms],8)+SUMIFS(UnitsTbl[Total Units],UnitsTbl[Restricted Income Level],65%,UnitsTbl['# of Bedrooms],9)</f>
        <v>0</v>
      </c>
      <c r="CC75" s="1545"/>
      <c r="CD75" s="1348" t="s">
        <v>2532</v>
      </c>
      <c r="CE75" s="504">
        <v>103787</v>
      </c>
      <c r="CF75" s="504">
        <v>104363</v>
      </c>
      <c r="CG75" s="504">
        <v>106380</v>
      </c>
      <c r="CH75" s="504">
        <v>108108</v>
      </c>
      <c r="CI75" s="504">
        <v>109549</v>
      </c>
      <c r="CJ75" s="504">
        <v>118787</v>
      </c>
      <c r="CK75" s="504">
        <v>119363</v>
      </c>
      <c r="CL75" s="504">
        <v>121380</v>
      </c>
      <c r="CM75" s="504">
        <v>123108</v>
      </c>
      <c r="CN75" s="1347">
        <v>124549</v>
      </c>
    </row>
    <row r="76" spans="2:92" ht="18" customHeight="1" thickBot="1">
      <c r="B76" s="1545"/>
      <c r="C76" s="1545"/>
      <c r="D76" s="1545"/>
      <c r="E76" s="1545"/>
      <c r="F76" s="1545"/>
      <c r="G76" s="1545"/>
      <c r="H76" s="1545"/>
      <c r="I76" s="1545"/>
      <c r="J76" s="1545"/>
      <c r="K76" s="1545"/>
      <c r="L76" s="1545"/>
      <c r="M76" s="1545"/>
      <c r="N76" s="1545"/>
      <c r="O76" s="1545"/>
      <c r="P76" s="1545"/>
      <c r="Q76" s="1545"/>
      <c r="R76" s="1545"/>
      <c r="S76" s="1545"/>
      <c r="T76" s="1545"/>
      <c r="U76" s="1545"/>
      <c r="V76" s="1545"/>
      <c r="W76" s="1545"/>
      <c r="X76" s="1545"/>
      <c r="Y76" s="1545"/>
      <c r="Z76" s="1545"/>
      <c r="AA76" s="1545"/>
      <c r="AB76" s="1545"/>
      <c r="AC76" s="1545"/>
      <c r="AD76" s="1545"/>
      <c r="AE76" s="1545"/>
      <c r="AF76" s="1545"/>
      <c r="AG76" s="1545"/>
      <c r="AH76" s="546" t="str">
        <f>CONCATENATE('Max Loan and Grant Amounts'!$V$5,0.6)</f>
        <v>Amador0.6</v>
      </c>
      <c r="AI76" s="498"/>
      <c r="AJ76" s="498"/>
      <c r="AK76" s="498"/>
      <c r="AL76" s="498"/>
      <c r="AM76" s="498"/>
      <c r="AN76" s="887"/>
      <c r="AO76" s="527"/>
      <c r="AP76" s="2797"/>
      <c r="AQ76" s="2798"/>
      <c r="AR76" s="2784"/>
      <c r="AS76" s="2784"/>
      <c r="AT76" s="2784"/>
      <c r="AU76" s="2784"/>
      <c r="AV76" s="2784"/>
      <c r="AW76" s="2785"/>
      <c r="AX76" s="1545"/>
      <c r="AY76" s="1545"/>
      <c r="AZ76" s="1545"/>
      <c r="BH76" s="1348" t="s">
        <v>2533</v>
      </c>
      <c r="BI76" s="483">
        <v>167574</v>
      </c>
      <c r="BJ76" s="483">
        <v>168870</v>
      </c>
      <c r="BK76" s="483">
        <v>172615</v>
      </c>
      <c r="BL76" s="483">
        <v>176073</v>
      </c>
      <c r="BM76" s="483">
        <v>179098</v>
      </c>
      <c r="BN76" s="483">
        <v>192574</v>
      </c>
      <c r="BO76" s="483">
        <v>193870</v>
      </c>
      <c r="BP76" s="483">
        <v>197615</v>
      </c>
      <c r="BQ76" s="483">
        <v>201073</v>
      </c>
      <c r="BR76" s="1344">
        <v>204098</v>
      </c>
      <c r="BS76" s="1545"/>
      <c r="BT76" s="1163">
        <f t="shared" si="29"/>
        <v>0.70000000000000007</v>
      </c>
      <c r="BU76" s="471">
        <f>SUMIF(UnitsTbl[Restricted Income Level],BT76,UnitsTbl[Total Restricted Units])</f>
        <v>0</v>
      </c>
      <c r="BV76" s="1164">
        <f t="shared" si="30"/>
        <v>0</v>
      </c>
      <c r="BW76" s="1660">
        <f t="shared" si="28"/>
        <v>0</v>
      </c>
      <c r="BX76" s="1624">
        <f>SUMIFS(UnitsTbl[Total Units],UnitsTbl[Restricted Income Level],70%,UnitsTbl['# of Bedrooms],0)</f>
        <v>0</v>
      </c>
      <c r="BY76" s="1624">
        <f>SUMIFS(UnitsTbl[Total Units],UnitsTbl[Restricted Income Level],70%,UnitsTbl['# of Bedrooms],1)</f>
        <v>0</v>
      </c>
      <c r="BZ76" s="1624">
        <f>SUMIFS(UnitsTbl[Total Units],UnitsTbl[Restricted Income Level],70%,UnitsTbl['# of Bedrooms],2)</f>
        <v>0</v>
      </c>
      <c r="CA76" s="1624">
        <f>SUMIFS(UnitsTbl[Total Units],UnitsTbl[Restricted Income Level],70%,UnitsTbl['# of Bedrooms],3)</f>
        <v>0</v>
      </c>
      <c r="CB76" s="1624">
        <f>SUMIFS(UnitsTbl[Total Units],UnitsTbl[Restricted Income Level],70%,UnitsTbl['# of Bedrooms],4)+SUMIFS(UnitsTbl[Total Units],UnitsTbl[Restricted Income Level],70%,UnitsTbl['# of Bedrooms],5)+SUMIFS(UnitsTbl[Total Units],UnitsTbl[Restricted Income Level],70%,UnitsTbl['# of Bedrooms],6)+SUMIFS(UnitsTbl[Total Units],UnitsTbl[Restricted Income Level],70%,UnitsTbl['# of Bedrooms],7)+SUMIFS(UnitsTbl[Total Units],UnitsTbl[Restricted Income Level],70%,UnitsTbl['# of Bedrooms],8)+SUMIFS(UnitsTbl[Total Units],UnitsTbl[Restricted Income Level],70%,UnitsTbl['# of Bedrooms],9)</f>
        <v>0</v>
      </c>
      <c r="CC76" s="1545"/>
      <c r="CD76" s="1348" t="s">
        <v>2533</v>
      </c>
      <c r="CE76" s="504">
        <v>112574</v>
      </c>
      <c r="CF76" s="504">
        <v>113870</v>
      </c>
      <c r="CG76" s="504">
        <v>117615</v>
      </c>
      <c r="CH76" s="504">
        <v>121073</v>
      </c>
      <c r="CI76" s="504">
        <v>124098</v>
      </c>
      <c r="CJ76" s="504">
        <v>127574</v>
      </c>
      <c r="CK76" s="504">
        <v>128870</v>
      </c>
      <c r="CL76" s="504">
        <v>132615</v>
      </c>
      <c r="CM76" s="504">
        <v>136073</v>
      </c>
      <c r="CN76" s="1347">
        <v>139098</v>
      </c>
    </row>
    <row r="77" spans="2:92" ht="18" customHeight="1">
      <c r="B77" s="1545"/>
      <c r="C77" s="1545"/>
      <c r="D77" s="1545"/>
      <c r="E77" s="1545"/>
      <c r="F77" s="1545"/>
      <c r="G77" s="1545"/>
      <c r="H77" s="1545"/>
      <c r="I77" s="1545"/>
      <c r="J77" s="1545"/>
      <c r="K77" s="1545"/>
      <c r="L77" s="1545"/>
      <c r="M77" s="1545"/>
      <c r="N77" s="1545"/>
      <c r="O77" s="1545"/>
      <c r="P77" s="1545"/>
      <c r="Q77" s="1545"/>
      <c r="R77" s="1545"/>
      <c r="S77" s="1545"/>
      <c r="T77" s="1545"/>
      <c r="U77" s="1545"/>
      <c r="V77" s="1545"/>
      <c r="W77" s="1545"/>
      <c r="X77" s="1545"/>
      <c r="Y77" s="1545"/>
      <c r="Z77" s="1545"/>
      <c r="AA77" s="1545"/>
      <c r="AB77" s="1545"/>
      <c r="AC77" s="1545"/>
      <c r="AD77" s="1545"/>
      <c r="AE77" s="1545"/>
      <c r="AF77" s="1545"/>
      <c r="AG77" s="1545"/>
      <c r="AH77" s="546" t="str">
        <f>CONCATENATE('Max Loan and Grant Amounts'!$V$5,0.55)</f>
        <v>Amador0.55</v>
      </c>
      <c r="AI77" s="498"/>
      <c r="AJ77" s="498"/>
      <c r="AK77" s="498"/>
      <c r="AL77" s="498"/>
      <c r="AM77" s="498"/>
      <c r="AN77" s="887"/>
      <c r="AO77" s="527"/>
      <c r="AP77" s="1545"/>
      <c r="AQ77" s="1545"/>
      <c r="AR77" s="1545"/>
      <c r="AS77" s="1545"/>
      <c r="AT77" s="1545"/>
      <c r="AU77" s="1545"/>
      <c r="AV77" s="1545"/>
      <c r="AW77" s="1545"/>
      <c r="AX77" s="1545"/>
      <c r="AY77" s="1545"/>
      <c r="AZ77" s="1545"/>
      <c r="BH77" s="1348" t="s">
        <v>2534</v>
      </c>
      <c r="BI77" s="483">
        <v>176361</v>
      </c>
      <c r="BJ77" s="483">
        <v>178233</v>
      </c>
      <c r="BK77" s="483">
        <v>183995</v>
      </c>
      <c r="BL77" s="483">
        <v>189181</v>
      </c>
      <c r="BM77" s="483">
        <v>193646</v>
      </c>
      <c r="BN77" s="483">
        <v>201361</v>
      </c>
      <c r="BO77" s="483">
        <v>203233</v>
      </c>
      <c r="BP77" s="483">
        <v>208995</v>
      </c>
      <c r="BQ77" s="483">
        <v>214181</v>
      </c>
      <c r="BR77" s="1344">
        <v>218646</v>
      </c>
      <c r="BS77" s="1545"/>
      <c r="BT77" s="1163">
        <f t="shared" si="29"/>
        <v>0.75000000000000011</v>
      </c>
      <c r="BU77" s="471">
        <f>SUMIF(UnitsTbl[Restricted Income Level],BT77,UnitsTbl[Total Restricted Units])</f>
        <v>0</v>
      </c>
      <c r="BV77" s="1164">
        <f t="shared" si="30"/>
        <v>0</v>
      </c>
      <c r="BW77" s="1660">
        <f t="shared" si="28"/>
        <v>0</v>
      </c>
      <c r="BX77" s="1624">
        <f>SUMIFS(UnitsTbl[Total Units],UnitsTbl[Restricted Income Level],75%,UnitsTbl['# of Bedrooms],0)</f>
        <v>0</v>
      </c>
      <c r="BY77" s="1624">
        <f>SUMIFS(UnitsTbl[Total Units],UnitsTbl[Restricted Income Level],75%,UnitsTbl['# of Bedrooms],1)</f>
        <v>0</v>
      </c>
      <c r="BZ77" s="1624">
        <f>SUMIFS(UnitsTbl[Total Units],UnitsTbl[Restricted Income Level],75%,UnitsTbl['# of Bedrooms],2)</f>
        <v>0</v>
      </c>
      <c r="CA77" s="1624">
        <f>SUMIFS(UnitsTbl[Total Units],UnitsTbl[Restricted Income Level],75%,UnitsTbl['# of Bedrooms],3)</f>
        <v>0</v>
      </c>
      <c r="CB77" s="1624">
        <f>SUMIFS(UnitsTbl[Total Units],UnitsTbl[Restricted Income Level],75%,UnitsTbl['# of Bedrooms],4)+SUMIFS(UnitsTbl[Total Units],UnitsTbl[Restricted Income Level],75%,UnitsTbl['# of Bedrooms],5)+SUMIFS(UnitsTbl[Total Units],UnitsTbl[Restricted Income Level],75%,UnitsTbl['# of Bedrooms],6)+SUMIFS(UnitsTbl[Total Units],UnitsTbl[Restricted Income Level],75%,UnitsTbl['# of Bedrooms],7)+SUMIFS(UnitsTbl[Total Units],UnitsTbl[Restricted Income Level],75%,UnitsTbl['# of Bedrooms],8)+SUMIFS(UnitsTbl[Total Units],UnitsTbl[Restricted Income Level],75%,UnitsTbl['# of Bedrooms],9)</f>
        <v>0</v>
      </c>
      <c r="CC77" s="1545"/>
      <c r="CD77" s="1348" t="s">
        <v>2534</v>
      </c>
      <c r="CE77" s="504">
        <v>121361</v>
      </c>
      <c r="CF77" s="504">
        <v>123233</v>
      </c>
      <c r="CG77" s="504">
        <v>128995</v>
      </c>
      <c r="CH77" s="504">
        <v>134181</v>
      </c>
      <c r="CI77" s="504">
        <v>138646</v>
      </c>
      <c r="CJ77" s="504">
        <v>136361</v>
      </c>
      <c r="CK77" s="504">
        <v>138233</v>
      </c>
      <c r="CL77" s="504">
        <v>143995</v>
      </c>
      <c r="CM77" s="504">
        <v>149181</v>
      </c>
      <c r="CN77" s="1347">
        <v>153646</v>
      </c>
    </row>
    <row r="78" spans="2:92" ht="18" customHeight="1">
      <c r="B78" s="1545"/>
      <c r="C78" s="1545"/>
      <c r="D78" s="1545"/>
      <c r="E78" s="1545"/>
      <c r="F78" s="1545"/>
      <c r="G78" s="1545"/>
      <c r="H78" s="1545"/>
      <c r="I78" s="1545"/>
      <c r="J78" s="1545"/>
      <c r="K78" s="1545"/>
      <c r="L78" s="1545"/>
      <c r="M78" s="1545"/>
      <c r="N78" s="1545"/>
      <c r="O78" s="1545"/>
      <c r="P78" s="1545"/>
      <c r="Q78" s="1545"/>
      <c r="R78" s="1545"/>
      <c r="S78" s="1545"/>
      <c r="T78" s="1545"/>
      <c r="U78" s="1545"/>
      <c r="V78" s="1545"/>
      <c r="W78" s="1545"/>
      <c r="X78" s="1545"/>
      <c r="Y78" s="1545"/>
      <c r="Z78" s="1545"/>
      <c r="AA78" s="1545"/>
      <c r="AB78" s="1545"/>
      <c r="AC78" s="1545"/>
      <c r="AD78" s="1545"/>
      <c r="AE78" s="1545"/>
      <c r="AF78" s="1545"/>
      <c r="AG78" s="1545"/>
      <c r="AH78" s="546" t="str">
        <f>CONCATENATE('Max Loan and Grant Amounts'!$V$5,0.5)</f>
        <v>Amador0.5</v>
      </c>
      <c r="AI78" s="498"/>
      <c r="AJ78" s="498"/>
      <c r="AK78" s="498"/>
      <c r="AL78" s="498"/>
      <c r="AM78" s="498"/>
      <c r="AN78" s="887"/>
      <c r="AO78" s="527"/>
      <c r="AP78" s="1545"/>
      <c r="AQ78" s="1545"/>
      <c r="AR78" s="1545"/>
      <c r="AS78" s="1545"/>
      <c r="AT78" s="1545"/>
      <c r="AU78" s="1545"/>
      <c r="AV78" s="1545"/>
      <c r="AW78" s="1545"/>
      <c r="AX78" s="1545"/>
      <c r="AY78" s="1545"/>
      <c r="AZ78" s="1545"/>
      <c r="BH78" s="1348" t="s">
        <v>2535</v>
      </c>
      <c r="BI78" s="483">
        <v>185148</v>
      </c>
      <c r="BJ78" s="483">
        <v>187596</v>
      </c>
      <c r="BK78" s="483">
        <v>195231</v>
      </c>
      <c r="BL78" s="483">
        <v>202145</v>
      </c>
      <c r="BM78" s="483">
        <v>208195</v>
      </c>
      <c r="BN78" s="483">
        <v>210148</v>
      </c>
      <c r="BO78" s="483">
        <v>212596</v>
      </c>
      <c r="BP78" s="483">
        <v>220231</v>
      </c>
      <c r="BQ78" s="483">
        <v>227145</v>
      </c>
      <c r="BR78" s="1344">
        <v>233195</v>
      </c>
      <c r="BS78" s="1545"/>
      <c r="BT78" s="1163">
        <f t="shared" si="29"/>
        <v>0.80000000000000016</v>
      </c>
      <c r="BU78" s="471">
        <f>SUMIF(UnitsTbl[Restricted Income Level],BT78,UnitsTbl[Total Restricted Units])</f>
        <v>0</v>
      </c>
      <c r="BV78" s="1164">
        <f t="shared" si="30"/>
        <v>0</v>
      </c>
      <c r="BW78" s="1660">
        <f t="shared" si="28"/>
        <v>0</v>
      </c>
      <c r="BX78" s="1624">
        <f>SUMIFS(UnitsTbl[Total Units],UnitsTbl[Restricted Income Level],80%,UnitsTbl['# of Bedrooms],0)</f>
        <v>0</v>
      </c>
      <c r="BY78" s="1624">
        <f>SUMIFS(UnitsTbl[Total Units],UnitsTbl[Restricted Income Level],80%,UnitsTbl['# of Bedrooms],1)</f>
        <v>0</v>
      </c>
      <c r="BZ78" s="1624">
        <f>SUMIFS(UnitsTbl[Total Units],UnitsTbl[Restricted Income Level],80%,UnitsTbl['# of Bedrooms],2)</f>
        <v>0</v>
      </c>
      <c r="CA78" s="1624">
        <f>SUMIFS(UnitsTbl[Total Units],UnitsTbl[Restricted Income Level],80%,UnitsTbl['# of Bedrooms],3)</f>
        <v>0</v>
      </c>
      <c r="CB78" s="1624">
        <f>SUMIFS(UnitsTbl[Total Units],UnitsTbl[Restricted Income Level],80%,UnitsTbl['# of Bedrooms],4)+SUMIFS(UnitsTbl[Total Units],UnitsTbl[Restricted Income Level],80%,UnitsTbl['# of Bedrooms],5)+SUMIFS(UnitsTbl[Total Units],UnitsTbl[Restricted Income Level],80%,UnitsTbl['# of Bedrooms],6)+SUMIFS(UnitsTbl[Total Units],UnitsTbl[Restricted Income Level],80%,UnitsTbl['# of Bedrooms],7)+SUMIFS(UnitsTbl[Total Units],UnitsTbl[Restricted Income Level],80%,UnitsTbl['# of Bedrooms],8)+SUMIFS(UnitsTbl[Total Units],UnitsTbl[Restricted Income Level],80%,UnitsTbl['# of Bedrooms],9)</f>
        <v>0</v>
      </c>
      <c r="CC78" s="1545"/>
      <c r="CD78" s="1348" t="s">
        <v>2535</v>
      </c>
      <c r="CE78" s="504">
        <v>130148</v>
      </c>
      <c r="CF78" s="504">
        <v>132596</v>
      </c>
      <c r="CG78" s="504">
        <v>140231</v>
      </c>
      <c r="CH78" s="504">
        <v>147145</v>
      </c>
      <c r="CI78" s="504">
        <v>153195</v>
      </c>
      <c r="CJ78" s="504">
        <v>145148</v>
      </c>
      <c r="CK78" s="504">
        <v>147596</v>
      </c>
      <c r="CL78" s="504">
        <v>155231</v>
      </c>
      <c r="CM78" s="504">
        <v>162145</v>
      </c>
      <c r="CN78" s="1347">
        <v>168195</v>
      </c>
    </row>
    <row r="79" spans="2:92" ht="18" customHeight="1">
      <c r="B79" s="1545"/>
      <c r="C79" s="1545"/>
      <c r="D79" s="1545"/>
      <c r="E79" s="1545"/>
      <c r="F79" s="1545"/>
      <c r="G79" s="1545"/>
      <c r="H79" s="1545"/>
      <c r="I79" s="1545"/>
      <c r="J79" s="1545"/>
      <c r="K79" s="1545"/>
      <c r="L79" s="1545"/>
      <c r="M79" s="1545"/>
      <c r="N79" s="1545"/>
      <c r="O79" s="1545"/>
      <c r="P79" s="1545"/>
      <c r="Q79" s="1545"/>
      <c r="R79" s="1545"/>
      <c r="S79" s="1545"/>
      <c r="T79" s="1545"/>
      <c r="U79" s="1545"/>
      <c r="V79" s="1545"/>
      <c r="W79" s="1545"/>
      <c r="X79" s="1545"/>
      <c r="Y79" s="1545"/>
      <c r="Z79" s="1545"/>
      <c r="AA79" s="1545"/>
      <c r="AB79" s="1545"/>
      <c r="AC79" s="1545"/>
      <c r="AD79" s="1545"/>
      <c r="AE79" s="1545"/>
      <c r="AF79" s="1545"/>
      <c r="AG79" s="1545"/>
      <c r="AH79" s="546" t="str">
        <f>CONCATENATE('Max Loan and Grant Amounts'!$V$5,0.45)</f>
        <v>Amador0.45</v>
      </c>
      <c r="AI79" s="498"/>
      <c r="AJ79" s="498"/>
      <c r="AK79" s="498"/>
      <c r="AL79" s="498"/>
      <c r="AM79" s="498"/>
      <c r="AN79" s="887"/>
      <c r="AO79" s="527"/>
      <c r="AP79" s="1545"/>
      <c r="AQ79" s="1545"/>
      <c r="AR79" s="1545"/>
      <c r="AS79" s="1545"/>
      <c r="AT79" s="1545"/>
      <c r="AU79" s="1545"/>
      <c r="AV79" s="1545"/>
      <c r="AW79" s="1545"/>
      <c r="AX79" s="1545"/>
      <c r="AY79" s="1545"/>
      <c r="AZ79" s="1545"/>
      <c r="BH79" s="1348" t="s">
        <v>2536</v>
      </c>
      <c r="BI79" s="483">
        <v>193934</v>
      </c>
      <c r="BJ79" s="483">
        <v>197103</v>
      </c>
      <c r="BK79" s="483">
        <v>206611</v>
      </c>
      <c r="BL79" s="483">
        <v>215253</v>
      </c>
      <c r="BM79" s="483">
        <v>222888</v>
      </c>
      <c r="BN79" s="483">
        <v>218934</v>
      </c>
      <c r="BO79" s="483">
        <v>222103</v>
      </c>
      <c r="BP79" s="483">
        <v>231611</v>
      </c>
      <c r="BQ79" s="483">
        <v>240253</v>
      </c>
      <c r="BR79" s="1344">
        <v>247888</v>
      </c>
      <c r="BS79" s="1545"/>
      <c r="BT79" s="1163">
        <f t="shared" si="29"/>
        <v>0.8500000000000002</v>
      </c>
      <c r="BU79" s="471">
        <f>SUMIF(UnitsTbl[Restricted Income Level],BT79,UnitsTbl[Total Restricted Units])</f>
        <v>0</v>
      </c>
      <c r="BV79" s="1164">
        <f t="shared" si="30"/>
        <v>0</v>
      </c>
      <c r="BW79" s="1660">
        <f t="shared" si="28"/>
        <v>0</v>
      </c>
      <c r="BX79" s="1624">
        <f>SUMIFS(UnitsTbl[Total Units],UnitsTbl[Restricted Income Level],85%,UnitsTbl['# of Bedrooms],0)</f>
        <v>0</v>
      </c>
      <c r="BY79" s="1624">
        <f>SUMIFS(UnitsTbl[Total Units],UnitsTbl[Restricted Income Level],85%,UnitsTbl['# of Bedrooms],1)</f>
        <v>0</v>
      </c>
      <c r="BZ79" s="1624">
        <f>SUMIFS(UnitsTbl[Total Units],UnitsTbl[Restricted Income Level],85%,UnitsTbl['# of Bedrooms],2)</f>
        <v>0</v>
      </c>
      <c r="CA79" s="1624">
        <f>SUMIFS(UnitsTbl[Total Units],UnitsTbl[Restricted Income Level],85%,UnitsTbl['# of Bedrooms],3)</f>
        <v>0</v>
      </c>
      <c r="CB79" s="1624">
        <f>SUMIFS(UnitsTbl[Total Units],UnitsTbl[Restricted Income Level],85%,UnitsTbl['# of Bedrooms],4)+SUMIFS(UnitsTbl[Total Units],UnitsTbl[Restricted Income Level],85%,UnitsTbl['# of Bedrooms],5)+SUMIFS(UnitsTbl[Total Units],UnitsTbl[Restricted Income Level],85%,UnitsTbl['# of Bedrooms],6)+SUMIFS(UnitsTbl[Total Units],UnitsTbl[Restricted Income Level],85%,UnitsTbl['# of Bedrooms],7)+SUMIFS(UnitsTbl[Total Units],UnitsTbl[Restricted Income Level],85%,UnitsTbl['# of Bedrooms],8)+SUMIFS(UnitsTbl[Total Units],UnitsTbl[Restricted Income Level],85%,UnitsTbl['# of Bedrooms],9)</f>
        <v>0</v>
      </c>
      <c r="CC79" s="1545"/>
      <c r="CD79" s="1348" t="s">
        <v>2536</v>
      </c>
      <c r="CE79" s="504">
        <v>138934</v>
      </c>
      <c r="CF79" s="504">
        <v>142103</v>
      </c>
      <c r="CG79" s="504">
        <v>151611</v>
      </c>
      <c r="CH79" s="504">
        <v>160253</v>
      </c>
      <c r="CI79" s="504">
        <v>167888</v>
      </c>
      <c r="CJ79" s="504">
        <v>153934</v>
      </c>
      <c r="CK79" s="504">
        <v>157103</v>
      </c>
      <c r="CL79" s="504">
        <v>166611</v>
      </c>
      <c r="CM79" s="504">
        <v>175253</v>
      </c>
      <c r="CN79" s="1347">
        <v>182888</v>
      </c>
    </row>
    <row r="80" spans="2:92" ht="18" customHeight="1">
      <c r="B80" s="1545"/>
      <c r="C80" s="1545"/>
      <c r="D80" s="1545"/>
      <c r="E80" s="1545"/>
      <c r="F80" s="1545"/>
      <c r="G80" s="1545"/>
      <c r="H80" s="1545"/>
      <c r="I80" s="1545"/>
      <c r="J80" s="1545"/>
      <c r="K80" s="1545"/>
      <c r="L80" s="1545"/>
      <c r="M80" s="1545"/>
      <c r="N80" s="1545"/>
      <c r="O80" s="1545"/>
      <c r="P80" s="1545"/>
      <c r="Q80" s="1545"/>
      <c r="R80" s="1545"/>
      <c r="S80" s="1545"/>
      <c r="T80" s="1545"/>
      <c r="U80" s="1545"/>
      <c r="V80" s="1545"/>
      <c r="W80" s="1545"/>
      <c r="X80" s="1545"/>
      <c r="Y80" s="1545"/>
      <c r="Z80" s="1545"/>
      <c r="AA80" s="1545"/>
      <c r="AB80" s="1545"/>
      <c r="AC80" s="1545"/>
      <c r="AD80" s="1545"/>
      <c r="AE80" s="1545"/>
      <c r="AF80" s="1545"/>
      <c r="AG80" s="1545"/>
      <c r="AH80" s="546" t="str">
        <f>CONCATENATE('Max Loan and Grant Amounts'!$V$5,0.4)</f>
        <v>Amador0.4</v>
      </c>
      <c r="AI80" s="498"/>
      <c r="AJ80" s="498"/>
      <c r="AK80" s="498"/>
      <c r="AL80" s="498"/>
      <c r="AM80" s="498"/>
      <c r="AN80" s="887"/>
      <c r="AO80" s="527"/>
      <c r="AP80" s="1545"/>
      <c r="AQ80" s="1545"/>
      <c r="AR80" s="1545"/>
      <c r="AS80" s="1545"/>
      <c r="AT80" s="1545"/>
      <c r="AU80" s="1545"/>
      <c r="AV80" s="1545"/>
      <c r="AW80" s="1545"/>
      <c r="AX80" s="1545"/>
      <c r="AY80" s="1545"/>
      <c r="AZ80" s="1545"/>
      <c r="BH80" s="1348" t="s">
        <v>2537</v>
      </c>
      <c r="BI80" s="483">
        <v>202721</v>
      </c>
      <c r="BJ80" s="483">
        <v>206467</v>
      </c>
      <c r="BK80" s="483">
        <v>217846</v>
      </c>
      <c r="BL80" s="483">
        <v>228362</v>
      </c>
      <c r="BM80" s="483">
        <v>237437</v>
      </c>
      <c r="BN80" s="483">
        <v>227721</v>
      </c>
      <c r="BO80" s="483">
        <v>231467</v>
      </c>
      <c r="BP80" s="483">
        <v>242846</v>
      </c>
      <c r="BQ80" s="483">
        <v>253362</v>
      </c>
      <c r="BR80" s="1344">
        <v>262437</v>
      </c>
      <c r="BS80" s="1545"/>
      <c r="BT80" s="1163">
        <f t="shared" si="29"/>
        <v>0.90000000000000024</v>
      </c>
      <c r="BU80" s="471">
        <f>SUMIF(UnitsTbl[Restricted Income Level],BT80,UnitsTbl[Total Restricted Units])</f>
        <v>0</v>
      </c>
      <c r="BV80" s="1164">
        <f t="shared" si="30"/>
        <v>0</v>
      </c>
      <c r="BW80" s="1660">
        <f t="shared" si="28"/>
        <v>0</v>
      </c>
      <c r="BX80" s="1624">
        <f>SUMIFS(UnitsTbl[Total Units],UnitsTbl[Restricted Income Level],90%,UnitsTbl['# of Bedrooms],0)</f>
        <v>0</v>
      </c>
      <c r="BY80" s="1624">
        <f>SUMIFS(UnitsTbl[Total Units],UnitsTbl[Restricted Income Level],90%,UnitsTbl['# of Bedrooms],1)</f>
        <v>0</v>
      </c>
      <c r="BZ80" s="1624">
        <f>SUMIFS(UnitsTbl[Total Units],UnitsTbl[Restricted Income Level],90%,UnitsTbl['# of Bedrooms],2)</f>
        <v>0</v>
      </c>
      <c r="CA80" s="1624">
        <f>SUMIFS(UnitsTbl[Total Units],UnitsTbl[Restricted Income Level],90%,UnitsTbl['# of Bedrooms],3)</f>
        <v>0</v>
      </c>
      <c r="CB80" s="1624">
        <f>SUMIFS(UnitsTbl[Total Units],UnitsTbl[Restricted Income Level],90%,UnitsTbl['# of Bedrooms],4)+SUMIFS(UnitsTbl[Total Units],UnitsTbl[Restricted Income Level],90%,UnitsTbl['# of Bedrooms],5)+SUMIFS(UnitsTbl[Total Units],UnitsTbl[Restricted Income Level],90%,UnitsTbl['# of Bedrooms],6)+SUMIFS(UnitsTbl[Total Units],UnitsTbl[Restricted Income Level],90%,UnitsTbl['# of Bedrooms],7)+SUMIFS(UnitsTbl[Total Units],UnitsTbl[Restricted Income Level],90%,UnitsTbl['# of Bedrooms],8)+SUMIFS(UnitsTbl[Total Units],UnitsTbl[Restricted Income Level],90%,UnitsTbl['# of Bedrooms],9)</f>
        <v>0</v>
      </c>
      <c r="CC80" s="1545"/>
      <c r="CD80" s="1348" t="s">
        <v>2537</v>
      </c>
      <c r="CE80" s="504">
        <v>147721</v>
      </c>
      <c r="CF80" s="504">
        <v>151467</v>
      </c>
      <c r="CG80" s="504">
        <v>162846</v>
      </c>
      <c r="CH80" s="504">
        <v>173362</v>
      </c>
      <c r="CI80" s="504">
        <v>182437</v>
      </c>
      <c r="CJ80" s="504">
        <v>162721</v>
      </c>
      <c r="CK80" s="504">
        <v>166467</v>
      </c>
      <c r="CL80" s="504">
        <v>177846</v>
      </c>
      <c r="CM80" s="504">
        <v>188362</v>
      </c>
      <c r="CN80" s="1347">
        <v>197437</v>
      </c>
    </row>
    <row r="81" spans="2:92" ht="18" customHeight="1">
      <c r="B81" s="1545"/>
      <c r="C81" s="1545"/>
      <c r="D81" s="1545"/>
      <c r="E81" s="1545"/>
      <c r="F81" s="1545"/>
      <c r="G81" s="1545"/>
      <c r="H81" s="1545"/>
      <c r="I81" s="1545"/>
      <c r="J81" s="1545"/>
      <c r="K81" s="1545"/>
      <c r="L81" s="1545"/>
      <c r="M81" s="1545"/>
      <c r="N81" s="1545"/>
      <c r="O81" s="1545"/>
      <c r="P81" s="1545"/>
      <c r="Q81" s="1545"/>
      <c r="R81" s="1545"/>
      <c r="S81" s="1545"/>
      <c r="T81" s="1545"/>
      <c r="U81" s="1545"/>
      <c r="V81" s="1545"/>
      <c r="W81" s="1545"/>
      <c r="X81" s="1545"/>
      <c r="Y81" s="1545"/>
      <c r="Z81" s="1545"/>
      <c r="AA81" s="1545"/>
      <c r="AB81" s="1545"/>
      <c r="AC81" s="1545"/>
      <c r="AD81" s="1545"/>
      <c r="AE81" s="1545"/>
      <c r="AF81" s="1545"/>
      <c r="AG81" s="1545"/>
      <c r="AH81" s="546" t="str">
        <f>CONCATENATE('Max Loan and Grant Amounts'!$V$5,0.35)</f>
        <v>Amador0.35</v>
      </c>
      <c r="AI81" s="498"/>
      <c r="AJ81" s="498"/>
      <c r="AK81" s="498"/>
      <c r="AL81" s="498"/>
      <c r="AM81" s="498"/>
      <c r="AN81" s="887"/>
      <c r="AO81" s="527"/>
      <c r="AP81" s="1545"/>
      <c r="AQ81" s="1545"/>
      <c r="AR81" s="1545"/>
      <c r="AS81" s="1545"/>
      <c r="AT81" s="1545"/>
      <c r="AU81" s="1545"/>
      <c r="AV81" s="1545"/>
      <c r="AW81" s="1545"/>
      <c r="AX81" s="1545"/>
      <c r="AY81" s="1545"/>
      <c r="AZ81" s="1545"/>
      <c r="BH81" s="1348" t="s">
        <v>2538</v>
      </c>
      <c r="BI81" s="483">
        <v>211508</v>
      </c>
      <c r="BJ81" s="483">
        <v>215974</v>
      </c>
      <c r="BK81" s="483">
        <v>229226</v>
      </c>
      <c r="BL81" s="483">
        <v>241326</v>
      </c>
      <c r="BM81" s="483">
        <v>251985</v>
      </c>
      <c r="BN81" s="483">
        <v>236508</v>
      </c>
      <c r="BO81" s="483">
        <v>240974</v>
      </c>
      <c r="BP81" s="483">
        <v>254226</v>
      </c>
      <c r="BQ81" s="483">
        <v>266326</v>
      </c>
      <c r="BR81" s="1344">
        <v>276985</v>
      </c>
      <c r="BS81" s="1545"/>
      <c r="BT81" s="1163">
        <f>BT80+0.05</f>
        <v>0.95000000000000029</v>
      </c>
      <c r="BU81" s="471">
        <f>SUMIF(UnitsTbl[Restricted Income Level],BT81,UnitsTbl[Total Restricted Units])</f>
        <v>0</v>
      </c>
      <c r="BV81" s="1164">
        <f t="shared" si="30"/>
        <v>0</v>
      </c>
      <c r="BW81" s="1660">
        <f t="shared" si="28"/>
        <v>0</v>
      </c>
      <c r="BX81" s="1624">
        <f>SUMIFS(UnitsTbl[Total Units],UnitsTbl[Restricted Income Level],95%,UnitsTbl['# of Bedrooms],0)</f>
        <v>0</v>
      </c>
      <c r="BY81" s="1624">
        <f>SUMIFS(UnitsTbl[Total Units],UnitsTbl[Restricted Income Level],95%,UnitsTbl['# of Bedrooms],1)</f>
        <v>0</v>
      </c>
      <c r="BZ81" s="1624">
        <f>SUMIFS(UnitsTbl[Total Units],UnitsTbl[Restricted Income Level],95%,UnitsTbl['# of Bedrooms],2)</f>
        <v>0</v>
      </c>
      <c r="CA81" s="1624">
        <f>SUMIFS(UnitsTbl[Total Units],UnitsTbl[Restricted Income Level],95%,UnitsTbl['# of Bedrooms],3)</f>
        <v>0</v>
      </c>
      <c r="CB81" s="1624">
        <f>SUMIFS(UnitsTbl[Total Units],UnitsTbl[Restricted Income Level],95%,UnitsTbl['# of Bedrooms],4)+SUMIFS(UnitsTbl[Total Units],UnitsTbl[Restricted Income Level],95%,UnitsTbl['# of Bedrooms],5)+SUMIFS(UnitsTbl[Total Units],UnitsTbl[Restricted Income Level],95%,UnitsTbl['# of Bedrooms],6)+SUMIFS(UnitsTbl[Total Units],UnitsTbl[Restricted Income Level],95%,UnitsTbl['# of Bedrooms],7)+SUMIFS(UnitsTbl[Total Units],UnitsTbl[Restricted Income Level],95%,UnitsTbl['# of Bedrooms],8)+SUMIFS(UnitsTbl[Total Units],UnitsTbl[Restricted Income Level],95%,UnitsTbl['# of Bedrooms],9)</f>
        <v>0</v>
      </c>
      <c r="CC81" s="1545"/>
      <c r="CD81" s="1348" t="s">
        <v>2538</v>
      </c>
      <c r="CE81" s="504">
        <v>156508</v>
      </c>
      <c r="CF81" s="504">
        <v>160974</v>
      </c>
      <c r="CG81" s="504">
        <v>174226</v>
      </c>
      <c r="CH81" s="504">
        <v>186326</v>
      </c>
      <c r="CI81" s="504">
        <v>196985</v>
      </c>
      <c r="CJ81" s="504">
        <v>171508</v>
      </c>
      <c r="CK81" s="504">
        <v>175974</v>
      </c>
      <c r="CL81" s="504">
        <v>189226</v>
      </c>
      <c r="CM81" s="504">
        <v>201326</v>
      </c>
      <c r="CN81" s="1347">
        <v>211985</v>
      </c>
    </row>
    <row r="82" spans="2:92" ht="18" customHeight="1">
      <c r="B82" s="1545"/>
      <c r="C82" s="1545"/>
      <c r="D82" s="1545"/>
      <c r="E82" s="1545"/>
      <c r="F82" s="1545"/>
      <c r="G82" s="1545"/>
      <c r="H82" s="1545"/>
      <c r="I82" s="1545"/>
      <c r="J82" s="1545"/>
      <c r="K82" s="1545"/>
      <c r="L82" s="1545"/>
      <c r="M82" s="1545"/>
      <c r="N82" s="1545"/>
      <c r="O82" s="1545"/>
      <c r="P82" s="1545"/>
      <c r="Q82" s="1545"/>
      <c r="R82" s="1545"/>
      <c r="S82" s="1545"/>
      <c r="T82" s="1545"/>
      <c r="U82" s="1545"/>
      <c r="V82" s="1545"/>
      <c r="W82" s="1545"/>
      <c r="X82" s="1545"/>
      <c r="Y82" s="1545"/>
      <c r="Z82" s="1545"/>
      <c r="AA82" s="1545"/>
      <c r="AB82" s="1545"/>
      <c r="AC82" s="1545"/>
      <c r="AD82" s="1545"/>
      <c r="AE82" s="1545"/>
      <c r="AF82" s="1545"/>
      <c r="AG82" s="1545"/>
      <c r="AH82" s="546" t="str">
        <f>CONCATENATE('Max Loan and Grant Amounts'!$V$5,0.3)</f>
        <v>Amador0.3</v>
      </c>
      <c r="AI82" s="498"/>
      <c r="AJ82" s="498"/>
      <c r="AK82" s="498"/>
      <c r="AL82" s="498"/>
      <c r="AM82" s="498"/>
      <c r="AN82" s="887"/>
      <c r="AO82" s="527"/>
      <c r="AP82" s="1545"/>
      <c r="AQ82" s="1545"/>
      <c r="AR82" s="1545"/>
      <c r="AS82" s="1545"/>
      <c r="AT82" s="1545"/>
      <c r="AU82" s="1545"/>
      <c r="AV82" s="1545"/>
      <c r="AW82" s="1545"/>
      <c r="AX82" s="1545"/>
      <c r="AY82" s="1545"/>
      <c r="AZ82" s="1545"/>
      <c r="BH82" s="1348" t="s">
        <v>2539</v>
      </c>
      <c r="BI82" s="483">
        <v>220295</v>
      </c>
      <c r="BJ82" s="483">
        <v>225337</v>
      </c>
      <c r="BK82" s="483">
        <v>240462</v>
      </c>
      <c r="BL82" s="483">
        <v>254434</v>
      </c>
      <c r="BM82" s="483">
        <v>266534</v>
      </c>
      <c r="BN82" s="483">
        <v>245295</v>
      </c>
      <c r="BO82" s="483">
        <v>250337</v>
      </c>
      <c r="BP82" s="483">
        <v>265462</v>
      </c>
      <c r="BQ82" s="483">
        <v>279434</v>
      </c>
      <c r="BR82" s="1344">
        <v>291534</v>
      </c>
      <c r="BS82" s="1545"/>
      <c r="BT82" s="1163" t="s">
        <v>2540</v>
      </c>
      <c r="BU82" s="471">
        <f>SUMIF(UnitsTbl[Restricted Income Level],BT82,UnitsTbl[Total Restricted Units])</f>
        <v>0</v>
      </c>
      <c r="BV82" s="1164">
        <f t="shared" si="30"/>
        <v>0</v>
      </c>
      <c r="BW82" s="1661"/>
      <c r="BX82" s="1624"/>
      <c r="BY82" s="1624"/>
      <c r="BZ82" s="1624"/>
      <c r="CA82" s="1624"/>
      <c r="CB82" s="1624"/>
      <c r="CC82" s="1545"/>
      <c r="CD82" s="1348" t="s">
        <v>2539</v>
      </c>
      <c r="CE82" s="504">
        <v>165295</v>
      </c>
      <c r="CF82" s="504">
        <v>170337</v>
      </c>
      <c r="CG82" s="504">
        <v>185462</v>
      </c>
      <c r="CH82" s="504">
        <v>199434</v>
      </c>
      <c r="CI82" s="504">
        <v>211534</v>
      </c>
      <c r="CJ82" s="504">
        <v>180295</v>
      </c>
      <c r="CK82" s="504">
        <v>185337</v>
      </c>
      <c r="CL82" s="504">
        <v>200462</v>
      </c>
      <c r="CM82" s="504">
        <v>214434</v>
      </c>
      <c r="CN82" s="1347">
        <v>226534</v>
      </c>
    </row>
    <row r="83" spans="2:92" ht="18" customHeight="1">
      <c r="B83" s="1545"/>
      <c r="C83" s="1545"/>
      <c r="D83" s="1545"/>
      <c r="E83" s="1545"/>
      <c r="F83" s="1545"/>
      <c r="G83" s="1545"/>
      <c r="H83" s="1545"/>
      <c r="I83" s="1545"/>
      <c r="J83" s="1545"/>
      <c r="K83" s="1545"/>
      <c r="L83" s="1545"/>
      <c r="M83" s="1545"/>
      <c r="N83" s="1545"/>
      <c r="O83" s="1545"/>
      <c r="P83" s="1545"/>
      <c r="Q83" s="1545"/>
      <c r="R83" s="1545"/>
      <c r="S83" s="1545"/>
      <c r="T83" s="1545"/>
      <c r="U83" s="1545"/>
      <c r="V83" s="1545"/>
      <c r="W83" s="1545"/>
      <c r="X83" s="1545"/>
      <c r="Y83" s="1545"/>
      <c r="Z83" s="1545"/>
      <c r="AA83" s="1545"/>
      <c r="AB83" s="1545"/>
      <c r="AC83" s="1545"/>
      <c r="AD83" s="1545"/>
      <c r="AE83" s="1545"/>
      <c r="AF83" s="1545"/>
      <c r="AG83" s="1545"/>
      <c r="AH83" s="546" t="str">
        <f>CONCATENATE('Max Loan and Grant Amounts'!$V$5,0.25)</f>
        <v>Amador0.25</v>
      </c>
      <c r="AI83" s="498"/>
      <c r="AJ83" s="498"/>
      <c r="AK83" s="498"/>
      <c r="AL83" s="498"/>
      <c r="AM83" s="498"/>
      <c r="AN83" s="887"/>
      <c r="AO83" s="527"/>
      <c r="AP83" s="1545"/>
      <c r="AQ83" s="1545"/>
      <c r="AR83" s="1545"/>
      <c r="AS83" s="1545"/>
      <c r="AT83" s="1545"/>
      <c r="AU83" s="1545"/>
      <c r="AV83" s="1545"/>
      <c r="AW83" s="1545"/>
      <c r="AX83" s="1545"/>
      <c r="AY83" s="1545"/>
      <c r="AZ83" s="1545"/>
      <c r="BH83" s="1348" t="s">
        <v>2541</v>
      </c>
      <c r="BI83" s="483">
        <v>229082</v>
      </c>
      <c r="BJ83" s="483">
        <v>234700</v>
      </c>
      <c r="BK83" s="483">
        <v>251841</v>
      </c>
      <c r="BL83" s="483">
        <v>267543</v>
      </c>
      <c r="BM83" s="483">
        <v>281083</v>
      </c>
      <c r="BN83" s="483">
        <v>254082</v>
      </c>
      <c r="BO83" s="483">
        <v>259700</v>
      </c>
      <c r="BP83" s="483">
        <v>276841</v>
      </c>
      <c r="BQ83" s="483">
        <v>292543</v>
      </c>
      <c r="BR83" s="1344">
        <v>306083</v>
      </c>
      <c r="BS83" s="1545"/>
      <c r="BT83" s="1163" t="s">
        <v>2542</v>
      </c>
      <c r="BU83" s="471">
        <f>SUMIF(UnitsTbl[Restricted Income Level],BT83,UnitsTbl[Total Restricted Units])</f>
        <v>0</v>
      </c>
      <c r="BV83" s="1164">
        <f t="shared" si="30"/>
        <v>0</v>
      </c>
      <c r="BW83" s="1662"/>
      <c r="BX83" s="1624">
        <f>SUMIFS(UnitsTbl[Total Units],UnitsTbl[Restricted Income Level],"Market",UnitsTbl['# of Bedrooms],0)</f>
        <v>0</v>
      </c>
      <c r="BY83" s="1624">
        <f>SUMIFS(UnitsTbl[Total Units],UnitsTbl[Restricted Income Level],"Market",UnitsTbl['# of Bedrooms],1)</f>
        <v>0</v>
      </c>
      <c r="BZ83" s="1624">
        <f>SUMIFS(UnitsTbl[Total Units],UnitsTbl[Restricted Income Level],"Market",UnitsTbl['# of Bedrooms],2)</f>
        <v>0</v>
      </c>
      <c r="CA83" s="1624">
        <f>SUMIFS(UnitsTbl[Total Units],UnitsTbl[Restricted Income Level],"Market",UnitsTbl['# of Bedrooms],3)</f>
        <v>0</v>
      </c>
      <c r="CB83" s="1624">
        <f>SUMIFS(UnitsTbl[Total Units],UnitsTbl[Restricted Income Level],"Market",UnitsTbl['# of Bedrooms],4)+SUMIFS(UnitsTbl[Total Units],UnitsTbl[Restricted Income Level],"Market",UnitsTbl['# of Bedrooms],5)+SUMIFS(UnitsTbl[Total Units],UnitsTbl[Restricted Income Level],"Market",UnitsTbl['# of Bedrooms],6)+SUMIFS(UnitsTbl[Total Units],UnitsTbl[Restricted Income Level],"Market",UnitsTbl['# of Bedrooms],7)+SUMIFS(UnitsTbl[Total Units],UnitsTbl[Restricted Income Level],"Market",UnitsTbl['# of Bedrooms],8)+SUMIFS(UnitsTbl[Total Units],UnitsTbl[Restricted Income Level],"Market",UnitsTbl['# of Bedrooms],9)</f>
        <v>5</v>
      </c>
      <c r="CC83" s="1545"/>
      <c r="CD83" s="1348" t="s">
        <v>2541</v>
      </c>
      <c r="CE83" s="504">
        <v>174082</v>
      </c>
      <c r="CF83" s="504">
        <v>179700</v>
      </c>
      <c r="CG83" s="504">
        <v>196841</v>
      </c>
      <c r="CH83" s="504">
        <v>212543</v>
      </c>
      <c r="CI83" s="504">
        <v>226083</v>
      </c>
      <c r="CJ83" s="504">
        <v>189082</v>
      </c>
      <c r="CK83" s="504">
        <v>194700</v>
      </c>
      <c r="CL83" s="504">
        <v>211841</v>
      </c>
      <c r="CM83" s="504">
        <v>227543</v>
      </c>
      <c r="CN83" s="1347">
        <v>241083</v>
      </c>
    </row>
    <row r="84" spans="2:92" ht="18" customHeight="1">
      <c r="B84" s="1545"/>
      <c r="C84" s="1545"/>
      <c r="D84" s="1545"/>
      <c r="E84" s="1545"/>
      <c r="F84" s="1545"/>
      <c r="G84" s="1545"/>
      <c r="H84" s="1545"/>
      <c r="I84" s="1545"/>
      <c r="J84" s="1545"/>
      <c r="K84" s="1545"/>
      <c r="L84" s="1545"/>
      <c r="M84" s="1545"/>
      <c r="N84" s="1545"/>
      <c r="O84" s="1545"/>
      <c r="P84" s="1545"/>
      <c r="Q84" s="1545"/>
      <c r="R84" s="1545"/>
      <c r="S84" s="1545"/>
      <c r="T84" s="1545"/>
      <c r="U84" s="1545"/>
      <c r="V84" s="1545"/>
      <c r="W84" s="1545"/>
      <c r="X84" s="1545"/>
      <c r="Y84" s="1545"/>
      <c r="Z84" s="1545"/>
      <c r="AA84" s="1545"/>
      <c r="AB84" s="1545"/>
      <c r="AC84" s="1545"/>
      <c r="AD84" s="1545"/>
      <c r="AE84" s="1545"/>
      <c r="AF84" s="1545"/>
      <c r="AG84" s="1545"/>
      <c r="AH84" s="546" t="str">
        <f>CONCATENATE('Max Loan and Grant Amounts'!$V$5,0.2)</f>
        <v>Amador0.2</v>
      </c>
      <c r="AI84" s="498"/>
      <c r="AJ84" s="498"/>
      <c r="AK84" s="498"/>
      <c r="AL84" s="498"/>
      <c r="AM84" s="498"/>
      <c r="AN84" s="887"/>
      <c r="AO84" s="527"/>
      <c r="AP84" s="1545"/>
      <c r="AQ84" s="1545"/>
      <c r="AR84" s="1545"/>
      <c r="AS84" s="1545"/>
      <c r="AT84" s="1545"/>
      <c r="AU84" s="1545"/>
      <c r="AV84" s="1545"/>
      <c r="AW84" s="1545"/>
      <c r="AX84" s="1545"/>
      <c r="AY84" s="1545"/>
      <c r="AZ84" s="1545"/>
      <c r="BH84" s="1343" t="s">
        <v>2543</v>
      </c>
      <c r="BI84" s="483">
        <v>150000</v>
      </c>
      <c r="BJ84" s="483">
        <v>150000</v>
      </c>
      <c r="BK84" s="483">
        <v>150000</v>
      </c>
      <c r="BL84" s="483">
        <v>150000</v>
      </c>
      <c r="BM84" s="483">
        <v>150000</v>
      </c>
      <c r="BN84" s="483">
        <v>175000</v>
      </c>
      <c r="BO84" s="483">
        <v>175000</v>
      </c>
      <c r="BP84" s="483">
        <v>175000</v>
      </c>
      <c r="BQ84" s="483">
        <v>175000</v>
      </c>
      <c r="BR84" s="1344">
        <v>175000</v>
      </c>
      <c r="BS84" s="1545"/>
      <c r="BT84" s="1162"/>
      <c r="BU84" s="471"/>
      <c r="BV84" s="471"/>
      <c r="BW84" s="739"/>
      <c r="BY84" s="1545"/>
      <c r="BZ84" s="1545"/>
      <c r="CA84" s="1545"/>
      <c r="CB84" s="1545"/>
      <c r="CC84" s="1545"/>
      <c r="CD84" s="1343" t="s">
        <v>2543</v>
      </c>
      <c r="CE84" s="504">
        <v>95000</v>
      </c>
      <c r="CF84" s="504">
        <v>95000</v>
      </c>
      <c r="CG84" s="504">
        <v>95000</v>
      </c>
      <c r="CH84" s="504">
        <v>95000</v>
      </c>
      <c r="CI84" s="504">
        <v>95000</v>
      </c>
      <c r="CJ84" s="504">
        <v>110000</v>
      </c>
      <c r="CK84" s="504">
        <v>110000</v>
      </c>
      <c r="CL84" s="504">
        <v>110000</v>
      </c>
      <c r="CM84" s="504">
        <v>110000</v>
      </c>
      <c r="CN84" s="1347">
        <v>110000</v>
      </c>
    </row>
    <row r="85" spans="2:92" ht="29.25" customHeight="1">
      <c r="B85" s="1545"/>
      <c r="C85" s="1545"/>
      <c r="D85" s="1545"/>
      <c r="E85" s="1545"/>
      <c r="F85" s="1545"/>
      <c r="G85" s="1545"/>
      <c r="H85" s="1545"/>
      <c r="I85" s="1545"/>
      <c r="J85" s="1545"/>
      <c r="K85" s="1545"/>
      <c r="L85" s="1545"/>
      <c r="M85" s="1545"/>
      <c r="N85" s="1545"/>
      <c r="O85" s="1545"/>
      <c r="P85" s="1545"/>
      <c r="Q85" s="1545"/>
      <c r="R85" s="1545"/>
      <c r="S85" s="1545"/>
      <c r="T85" s="1545"/>
      <c r="U85" s="1545"/>
      <c r="V85" s="1545"/>
      <c r="W85" s="1545"/>
      <c r="X85" s="1545"/>
      <c r="Y85" s="1545"/>
      <c r="Z85" s="1545"/>
      <c r="AA85" s="1545"/>
      <c r="AB85" s="1545"/>
      <c r="AC85" s="1545"/>
      <c r="AD85" s="1545"/>
      <c r="AE85" s="1545"/>
      <c r="AF85" s="1545"/>
      <c r="AG85" s="1545"/>
      <c r="AH85" s="547" t="str">
        <f>CONCATENATE('Max Loan and Grant Amounts'!$V$5,0.15)</f>
        <v>Amador0.15</v>
      </c>
      <c r="AI85" s="501"/>
      <c r="AJ85" s="501"/>
      <c r="AK85" s="501"/>
      <c r="AL85" s="501"/>
      <c r="AM85" s="501"/>
      <c r="AN85" s="502"/>
      <c r="AO85" s="527"/>
      <c r="AP85" s="1545"/>
      <c r="AQ85" s="1545"/>
      <c r="AR85" s="1545"/>
      <c r="AS85" s="1545"/>
      <c r="AT85" s="1545"/>
      <c r="AU85" s="1545"/>
      <c r="AV85" s="1545"/>
      <c r="AW85" s="1545"/>
      <c r="AX85" s="1545"/>
      <c r="AY85" s="1545"/>
      <c r="AZ85" s="1545"/>
      <c r="BH85" s="1348" t="s">
        <v>2544</v>
      </c>
      <c r="BI85" s="483">
        <v>161380</v>
      </c>
      <c r="BJ85" s="483">
        <v>162244</v>
      </c>
      <c r="BK85" s="483">
        <v>164693</v>
      </c>
      <c r="BL85" s="483">
        <v>166998</v>
      </c>
      <c r="BM85" s="483">
        <v>168870</v>
      </c>
      <c r="BN85" s="483">
        <v>186380</v>
      </c>
      <c r="BO85" s="483">
        <v>187244</v>
      </c>
      <c r="BP85" s="483">
        <v>189693</v>
      </c>
      <c r="BQ85" s="483">
        <v>191998</v>
      </c>
      <c r="BR85" s="1344">
        <v>193870</v>
      </c>
      <c r="BS85" s="1545"/>
      <c r="BT85" s="1165" t="s">
        <v>2545</v>
      </c>
      <c r="BU85" s="1166">
        <f>SUM(BU65:BU81)</f>
        <v>0</v>
      </c>
      <c r="BV85" s="1167">
        <f>SUM(BV65:BV83)</f>
        <v>0</v>
      </c>
      <c r="BW85" s="738">
        <f>SUM(BW65:BW81)</f>
        <v>3.3</v>
      </c>
      <c r="BY85" s="737"/>
      <c r="BZ85" s="1545"/>
      <c r="CA85" s="1545"/>
      <c r="CB85" s="1545"/>
      <c r="CC85" s="1545"/>
      <c r="CD85" s="1348" t="s">
        <v>2544</v>
      </c>
      <c r="CE85" s="504">
        <v>106380</v>
      </c>
      <c r="CF85" s="504">
        <v>107244</v>
      </c>
      <c r="CG85" s="504">
        <v>109693</v>
      </c>
      <c r="CH85" s="504">
        <v>111998</v>
      </c>
      <c r="CI85" s="504">
        <v>113870</v>
      </c>
      <c r="CJ85" s="504">
        <v>121380</v>
      </c>
      <c r="CK85" s="504">
        <v>122244</v>
      </c>
      <c r="CL85" s="504">
        <v>124693</v>
      </c>
      <c r="CM85" s="504">
        <v>126998</v>
      </c>
      <c r="CN85" s="1347">
        <v>128870</v>
      </c>
    </row>
    <row r="86" spans="2:92" ht="18" customHeight="1">
      <c r="B86" s="1545"/>
      <c r="C86" s="1545"/>
      <c r="D86" s="1545"/>
      <c r="E86" s="1545"/>
      <c r="F86" s="1545"/>
      <c r="G86" s="1545"/>
      <c r="H86" s="1545"/>
      <c r="I86" s="1545"/>
      <c r="J86" s="1545"/>
      <c r="K86" s="1545"/>
      <c r="L86" s="1545"/>
      <c r="M86" s="1545"/>
      <c r="N86" s="1545"/>
      <c r="O86" s="1545"/>
      <c r="P86" s="1545"/>
      <c r="Q86" s="1545"/>
      <c r="R86" s="1545"/>
      <c r="S86" s="1545"/>
      <c r="T86" s="1545"/>
      <c r="U86" s="1545"/>
      <c r="V86" s="1545"/>
      <c r="W86" s="1545"/>
      <c r="X86" s="1545"/>
      <c r="Y86" s="1545"/>
      <c r="Z86" s="1545"/>
      <c r="AA86" s="1545"/>
      <c r="AB86" s="1545"/>
      <c r="AC86" s="1545"/>
      <c r="AD86" s="1545"/>
      <c r="AE86" s="1545"/>
      <c r="AF86" s="1545"/>
      <c r="AG86" s="1545"/>
      <c r="AH86" s="2769" t="s">
        <v>2546</v>
      </c>
      <c r="AI86" s="2770"/>
      <c r="AJ86" s="2773"/>
      <c r="AK86" s="2774"/>
      <c r="AL86" s="2774"/>
      <c r="AM86" s="2774"/>
      <c r="AN86" s="2775"/>
      <c r="AO86" s="529"/>
      <c r="AP86" s="1545"/>
      <c r="AQ86" s="1545"/>
      <c r="AR86" s="1545"/>
      <c r="AS86" s="1545"/>
      <c r="AT86" s="1545"/>
      <c r="AU86" s="1545"/>
      <c r="AV86" s="1545"/>
      <c r="AW86" s="1545"/>
      <c r="AX86" s="1545"/>
      <c r="AY86" s="1545"/>
      <c r="AZ86" s="1545"/>
      <c r="BH86" s="1348" t="s">
        <v>2547</v>
      </c>
      <c r="BI86" s="483">
        <v>172904</v>
      </c>
      <c r="BJ86" s="483">
        <v>174488</v>
      </c>
      <c r="BK86" s="483">
        <v>179386</v>
      </c>
      <c r="BL86" s="483">
        <v>183851</v>
      </c>
      <c r="BM86" s="483">
        <v>187884</v>
      </c>
      <c r="BN86" s="483">
        <v>197904</v>
      </c>
      <c r="BO86" s="483">
        <v>199488</v>
      </c>
      <c r="BP86" s="483">
        <v>204386</v>
      </c>
      <c r="BQ86" s="483">
        <v>208851</v>
      </c>
      <c r="BR86" s="1344">
        <v>212884</v>
      </c>
      <c r="BS86" s="1545"/>
      <c r="BU86" s="1545"/>
      <c r="BV86" s="1545"/>
      <c r="BW86" s="1545"/>
      <c r="BX86" s="1545"/>
      <c r="BY86" s="1545"/>
      <c r="BZ86" s="1545"/>
      <c r="CA86" s="1545"/>
      <c r="CB86" s="1545"/>
      <c r="CC86" s="1545"/>
      <c r="CD86" s="1348" t="s">
        <v>2547</v>
      </c>
      <c r="CE86" s="504">
        <v>117904</v>
      </c>
      <c r="CF86" s="504">
        <v>119488</v>
      </c>
      <c r="CG86" s="504">
        <v>124386</v>
      </c>
      <c r="CH86" s="504">
        <v>128851</v>
      </c>
      <c r="CI86" s="504">
        <v>132884</v>
      </c>
      <c r="CJ86" s="504">
        <v>132904</v>
      </c>
      <c r="CK86" s="504">
        <v>134488</v>
      </c>
      <c r="CL86" s="504">
        <v>139386</v>
      </c>
      <c r="CM86" s="504">
        <v>143851</v>
      </c>
      <c r="CN86" s="1347">
        <v>147884</v>
      </c>
    </row>
    <row r="87" spans="2:92" ht="18" customHeight="1">
      <c r="B87" s="1545"/>
      <c r="C87" s="1545"/>
      <c r="D87" s="1545"/>
      <c r="E87" s="1545"/>
      <c r="F87" s="1545"/>
      <c r="G87" s="1545"/>
      <c r="H87" s="1545"/>
      <c r="I87" s="1545"/>
      <c r="J87" s="1545"/>
      <c r="K87" s="1545"/>
      <c r="L87" s="1545"/>
      <c r="M87" s="1545"/>
      <c r="N87" s="1545"/>
      <c r="O87" s="1545"/>
      <c r="P87" s="1545"/>
      <c r="Q87" s="1545"/>
      <c r="R87" s="1545"/>
      <c r="S87" s="1545"/>
      <c r="T87" s="1545"/>
      <c r="U87" s="1545"/>
      <c r="V87" s="1545"/>
      <c r="W87" s="1545"/>
      <c r="X87" s="1545"/>
      <c r="Y87" s="1545"/>
      <c r="Z87" s="1545"/>
      <c r="AA87" s="1545"/>
      <c r="AB87" s="1545"/>
      <c r="AC87" s="1545"/>
      <c r="AD87" s="1545"/>
      <c r="AE87" s="1545"/>
      <c r="AF87" s="1545"/>
      <c r="AG87" s="1545"/>
      <c r="AH87" s="2771"/>
      <c r="AI87" s="2772"/>
      <c r="AJ87" s="2776"/>
      <c r="AK87" s="2777"/>
      <c r="AL87" s="2777"/>
      <c r="AM87" s="2777"/>
      <c r="AN87" s="2778"/>
      <c r="AO87" s="529"/>
      <c r="AP87" s="1545"/>
      <c r="AQ87" s="1545"/>
      <c r="AR87" s="1545"/>
      <c r="AS87" s="1545"/>
      <c r="AT87" s="1545"/>
      <c r="AU87" s="1545"/>
      <c r="AV87" s="1545"/>
      <c r="AW87" s="1545"/>
      <c r="AX87" s="1545"/>
      <c r="AY87" s="1545"/>
      <c r="AZ87" s="1545"/>
      <c r="BH87" s="1348" t="s">
        <v>2548</v>
      </c>
      <c r="BI87" s="483">
        <v>184283</v>
      </c>
      <c r="BJ87" s="483">
        <v>186732</v>
      </c>
      <c r="BK87" s="483">
        <v>194078</v>
      </c>
      <c r="BL87" s="483">
        <v>200849</v>
      </c>
      <c r="BM87" s="483">
        <v>206755</v>
      </c>
      <c r="BN87" s="483">
        <v>209283</v>
      </c>
      <c r="BO87" s="483">
        <v>211732</v>
      </c>
      <c r="BP87" s="483">
        <v>219078</v>
      </c>
      <c r="BQ87" s="483">
        <v>225849</v>
      </c>
      <c r="BR87" s="1344">
        <v>231755</v>
      </c>
      <c r="BS87" s="1545"/>
      <c r="BU87" s="1545"/>
      <c r="BV87" s="1545"/>
      <c r="BW87" s="1545"/>
      <c r="BX87" s="1545"/>
      <c r="BY87" s="1545"/>
      <c r="BZ87" s="2753" t="s">
        <v>2549</v>
      </c>
      <c r="CA87" s="2753"/>
      <c r="CB87" s="1545"/>
      <c r="CC87" s="1545"/>
      <c r="CD87" s="1348" t="s">
        <v>2548</v>
      </c>
      <c r="CE87" s="504">
        <v>129283</v>
      </c>
      <c r="CF87" s="504">
        <v>131732</v>
      </c>
      <c r="CG87" s="504">
        <v>139078</v>
      </c>
      <c r="CH87" s="504">
        <v>145849</v>
      </c>
      <c r="CI87" s="504">
        <v>151755</v>
      </c>
      <c r="CJ87" s="504">
        <v>144283</v>
      </c>
      <c r="CK87" s="504">
        <v>146732</v>
      </c>
      <c r="CL87" s="504">
        <v>154078</v>
      </c>
      <c r="CM87" s="504">
        <v>160849</v>
      </c>
      <c r="CN87" s="1347">
        <v>166755</v>
      </c>
    </row>
    <row r="88" spans="2:92" ht="18" customHeight="1">
      <c r="B88" s="1545"/>
      <c r="C88" s="1545"/>
      <c r="D88" s="1545"/>
      <c r="E88" s="1545"/>
      <c r="F88" s="1545"/>
      <c r="G88" s="1545"/>
      <c r="H88" s="1545"/>
      <c r="I88" s="1545"/>
      <c r="J88" s="1545"/>
      <c r="K88" s="1545"/>
      <c r="L88" s="1545"/>
      <c r="M88" s="1545"/>
      <c r="N88" s="1545"/>
      <c r="O88" s="1545"/>
      <c r="P88" s="1545"/>
      <c r="Q88" s="1545"/>
      <c r="R88" s="1545"/>
      <c r="S88" s="1545"/>
      <c r="T88" s="1545"/>
      <c r="U88" s="1545"/>
      <c r="V88" s="1545"/>
      <c r="W88" s="1545"/>
      <c r="X88" s="1545"/>
      <c r="Y88" s="1545"/>
      <c r="Z88" s="1545"/>
      <c r="AA88" s="1545"/>
      <c r="AB88" s="1545"/>
      <c r="AC88" s="1545"/>
      <c r="AD88" s="1545"/>
      <c r="AE88" s="1545"/>
      <c r="AF88" s="1545"/>
      <c r="AG88" s="1545"/>
      <c r="AH88" s="2863" t="s">
        <v>2550</v>
      </c>
      <c r="AI88" s="2864"/>
      <c r="AJ88" s="2864"/>
      <c r="AK88" s="2864"/>
      <c r="AL88" s="2864"/>
      <c r="AM88" s="2864"/>
      <c r="AN88" s="2865"/>
      <c r="AO88" s="529"/>
      <c r="AP88" s="1545"/>
      <c r="AQ88" s="1545"/>
      <c r="AR88" s="1545"/>
      <c r="AS88" s="1545"/>
      <c r="AT88" s="1545"/>
      <c r="AU88" s="1545"/>
      <c r="AV88" s="1545"/>
      <c r="AW88" s="1545"/>
      <c r="AX88" s="1545"/>
      <c r="AY88" s="1545"/>
      <c r="AZ88" s="1545"/>
      <c r="BH88" s="1348" t="s">
        <v>2551</v>
      </c>
      <c r="BI88" s="483">
        <v>195663</v>
      </c>
      <c r="BJ88" s="483">
        <v>198976</v>
      </c>
      <c r="BK88" s="483">
        <v>208771</v>
      </c>
      <c r="BL88" s="483">
        <v>217846</v>
      </c>
      <c r="BM88" s="483">
        <v>225625</v>
      </c>
      <c r="BN88" s="483">
        <v>220663</v>
      </c>
      <c r="BO88" s="483">
        <v>223976</v>
      </c>
      <c r="BP88" s="483">
        <v>233771</v>
      </c>
      <c r="BQ88" s="483">
        <v>242846</v>
      </c>
      <c r="BR88" s="1344">
        <v>250625</v>
      </c>
      <c r="BS88" s="1545"/>
      <c r="BU88" s="1545"/>
      <c r="BV88" s="1545"/>
      <c r="BW88" s="1545"/>
      <c r="BX88" s="1545"/>
      <c r="BY88" s="1545"/>
      <c r="BZ88" s="2753" t="s">
        <v>2552</v>
      </c>
      <c r="CA88" s="2753"/>
      <c r="CB88" s="1545"/>
      <c r="CC88" s="1545"/>
      <c r="CD88" s="1348" t="s">
        <v>2551</v>
      </c>
      <c r="CE88" s="504">
        <v>140663</v>
      </c>
      <c r="CF88" s="504">
        <v>143976</v>
      </c>
      <c r="CG88" s="504">
        <v>153771</v>
      </c>
      <c r="CH88" s="504">
        <v>162846</v>
      </c>
      <c r="CI88" s="504">
        <v>170625</v>
      </c>
      <c r="CJ88" s="504">
        <v>155663</v>
      </c>
      <c r="CK88" s="504">
        <v>158976</v>
      </c>
      <c r="CL88" s="504">
        <v>168771</v>
      </c>
      <c r="CM88" s="504">
        <v>177846</v>
      </c>
      <c r="CN88" s="1347">
        <v>185625</v>
      </c>
    </row>
    <row r="89" spans="2:92" ht="18" customHeight="1">
      <c r="B89" s="1545"/>
      <c r="C89" s="1545"/>
      <c r="D89" s="1545"/>
      <c r="E89" s="1545"/>
      <c r="F89" s="1545"/>
      <c r="G89" s="1545"/>
      <c r="H89" s="1545"/>
      <c r="I89" s="1545"/>
      <c r="J89" s="1545"/>
      <c r="K89" s="1545"/>
      <c r="L89" s="1545"/>
      <c r="M89" s="1545"/>
      <c r="N89" s="1545"/>
      <c r="O89" s="1545"/>
      <c r="P89" s="1545"/>
      <c r="Q89" s="1545"/>
      <c r="R89" s="1545"/>
      <c r="S89" s="1545"/>
      <c r="T89" s="1545"/>
      <c r="U89" s="1545"/>
      <c r="V89" s="1545"/>
      <c r="W89" s="1545"/>
      <c r="X89" s="1545"/>
      <c r="Y89" s="1545"/>
      <c r="Z89" s="1545"/>
      <c r="AA89" s="1545"/>
      <c r="AB89" s="1545"/>
      <c r="AC89" s="1545"/>
      <c r="AD89" s="1545"/>
      <c r="AE89" s="1545"/>
      <c r="AF89" s="1545"/>
      <c r="AG89" s="1545"/>
      <c r="AH89" s="530"/>
      <c r="AI89" s="2861" t="s">
        <v>2553</v>
      </c>
      <c r="AJ89" s="2861" t="s">
        <v>903</v>
      </c>
      <c r="AK89" s="2862" t="s">
        <v>2554</v>
      </c>
      <c r="AL89" s="2862" t="s">
        <v>2555</v>
      </c>
      <c r="AM89" s="2862"/>
      <c r="AN89" s="551"/>
      <c r="AO89" s="529"/>
      <c r="AP89" s="1545"/>
      <c r="AQ89" s="1545"/>
      <c r="AR89" s="1545"/>
      <c r="AS89" s="1545"/>
      <c r="AT89" s="1545"/>
      <c r="AU89" s="1545"/>
      <c r="AV89" s="1545"/>
      <c r="AW89" s="1545"/>
      <c r="AX89" s="1545"/>
      <c r="AY89" s="1545"/>
      <c r="AZ89" s="1545"/>
      <c r="BH89" s="1348" t="s">
        <v>2556</v>
      </c>
      <c r="BI89" s="483">
        <v>207187</v>
      </c>
      <c r="BJ89" s="483">
        <v>211220</v>
      </c>
      <c r="BK89" s="483">
        <v>223464</v>
      </c>
      <c r="BL89" s="483">
        <v>234844</v>
      </c>
      <c r="BM89" s="483">
        <v>244639</v>
      </c>
      <c r="BN89" s="483">
        <v>232187</v>
      </c>
      <c r="BO89" s="483">
        <v>236220</v>
      </c>
      <c r="BP89" s="483">
        <v>248464</v>
      </c>
      <c r="BQ89" s="483">
        <v>259844</v>
      </c>
      <c r="BR89" s="1344">
        <v>269639</v>
      </c>
      <c r="BS89" s="1545"/>
      <c r="BT89" s="2753" t="s">
        <v>2557</v>
      </c>
      <c r="BU89" s="2753"/>
      <c r="BV89" s="2753"/>
      <c r="BW89" s="2753"/>
      <c r="BX89" s="2753"/>
      <c r="BY89" s="2753"/>
      <c r="BZ89" s="553">
        <v>1</v>
      </c>
      <c r="CA89" s="554">
        <v>0</v>
      </c>
      <c r="CB89" s="1545"/>
      <c r="CC89" s="1545"/>
      <c r="CD89" s="1348" t="s">
        <v>2556</v>
      </c>
      <c r="CE89" s="504">
        <v>152187</v>
      </c>
      <c r="CF89" s="504">
        <v>156220</v>
      </c>
      <c r="CG89" s="504">
        <v>168464</v>
      </c>
      <c r="CH89" s="504">
        <v>179844</v>
      </c>
      <c r="CI89" s="504">
        <v>189639</v>
      </c>
      <c r="CJ89" s="504">
        <v>167187</v>
      </c>
      <c r="CK89" s="504">
        <v>171220</v>
      </c>
      <c r="CL89" s="504">
        <v>183464</v>
      </c>
      <c r="CM89" s="504">
        <v>194844</v>
      </c>
      <c r="CN89" s="1347">
        <v>204639</v>
      </c>
    </row>
    <row r="90" spans="2:92" ht="18" customHeight="1">
      <c r="B90" s="1545"/>
      <c r="C90" s="1545"/>
      <c r="D90" s="1545"/>
      <c r="E90" s="1545"/>
      <c r="F90" s="1545"/>
      <c r="G90" s="1545"/>
      <c r="H90" s="1545"/>
      <c r="I90" s="1545"/>
      <c r="J90" s="1545"/>
      <c r="K90" s="1545"/>
      <c r="L90" s="1545"/>
      <c r="M90" s="1545"/>
      <c r="N90" s="1545"/>
      <c r="O90" s="1545"/>
      <c r="P90" s="1545"/>
      <c r="Q90" s="1545"/>
      <c r="R90" s="1545"/>
      <c r="S90" s="1545"/>
      <c r="T90" s="1545"/>
      <c r="U90" s="1545"/>
      <c r="V90" s="1545"/>
      <c r="W90" s="1545"/>
      <c r="X90" s="1545"/>
      <c r="Y90" s="1545"/>
      <c r="Z90" s="1545"/>
      <c r="AA90" s="1545"/>
      <c r="AB90" s="1545"/>
      <c r="AC90" s="1545"/>
      <c r="AD90" s="1545"/>
      <c r="AE90" s="1545"/>
      <c r="AF90" s="1545"/>
      <c r="AG90" s="1545"/>
      <c r="AH90" s="531"/>
      <c r="AI90" s="2861"/>
      <c r="AJ90" s="2861"/>
      <c r="AK90" s="2862"/>
      <c r="AL90" s="2862"/>
      <c r="AM90" s="2862"/>
      <c r="AN90" s="888"/>
      <c r="AO90" s="529"/>
      <c r="AP90" s="1545"/>
      <c r="AQ90" s="1545"/>
      <c r="AR90" s="1545"/>
      <c r="AS90" s="1545"/>
      <c r="AT90" s="1545"/>
      <c r="AU90" s="1545"/>
      <c r="AV90" s="1545"/>
      <c r="AW90" s="1545"/>
      <c r="AX90" s="1545"/>
      <c r="AY90" s="1545"/>
      <c r="AZ90" s="1545"/>
      <c r="BH90" s="1348" t="s">
        <v>2558</v>
      </c>
      <c r="BI90" s="483">
        <v>218567</v>
      </c>
      <c r="BJ90" s="483">
        <v>223464</v>
      </c>
      <c r="BK90" s="483">
        <v>238157</v>
      </c>
      <c r="BL90" s="483">
        <v>251841</v>
      </c>
      <c r="BM90" s="483">
        <v>263509</v>
      </c>
      <c r="BN90" s="483">
        <v>243567</v>
      </c>
      <c r="BO90" s="483">
        <v>248464</v>
      </c>
      <c r="BP90" s="483">
        <v>263157</v>
      </c>
      <c r="BQ90" s="483">
        <v>276841</v>
      </c>
      <c r="BR90" s="1344">
        <v>288509</v>
      </c>
      <c r="BS90" s="1545"/>
      <c r="BT90" s="473" t="s">
        <v>2559</v>
      </c>
      <c r="BU90" s="473" t="s">
        <v>2560</v>
      </c>
      <c r="BV90" s="473" t="s">
        <v>2561</v>
      </c>
      <c r="BW90" s="473" t="s">
        <v>2562</v>
      </c>
      <c r="BX90" s="473" t="s">
        <v>2563</v>
      </c>
      <c r="BY90" s="473" t="s">
        <v>2564</v>
      </c>
      <c r="BZ90" s="553">
        <v>1.04</v>
      </c>
      <c r="CA90" s="554">
        <v>30</v>
      </c>
      <c r="CB90" s="1545"/>
      <c r="CC90" s="1545"/>
      <c r="CD90" s="1348" t="s">
        <v>2558</v>
      </c>
      <c r="CE90" s="504">
        <v>163567</v>
      </c>
      <c r="CF90" s="504">
        <v>168464</v>
      </c>
      <c r="CG90" s="504">
        <v>183157</v>
      </c>
      <c r="CH90" s="504">
        <v>196841</v>
      </c>
      <c r="CI90" s="504">
        <v>208509</v>
      </c>
      <c r="CJ90" s="504">
        <v>178567</v>
      </c>
      <c r="CK90" s="504">
        <v>183464</v>
      </c>
      <c r="CL90" s="504">
        <v>198157</v>
      </c>
      <c r="CM90" s="504">
        <v>211841</v>
      </c>
      <c r="CN90" s="1347">
        <v>223509</v>
      </c>
    </row>
    <row r="91" spans="2:92" ht="18" customHeight="1">
      <c r="B91" s="1545"/>
      <c r="C91" s="1545"/>
      <c r="D91" s="1545"/>
      <c r="E91" s="1545"/>
      <c r="F91" s="1545"/>
      <c r="G91" s="1545"/>
      <c r="H91" s="1545"/>
      <c r="I91" s="1545"/>
      <c r="J91" s="1545"/>
      <c r="K91" s="1545"/>
      <c r="L91" s="1545"/>
      <c r="M91" s="1545"/>
      <c r="N91" s="1545"/>
      <c r="O91" s="1545"/>
      <c r="P91" s="1545"/>
      <c r="Q91" s="1545"/>
      <c r="R91" s="1545"/>
      <c r="S91" s="1545"/>
      <c r="T91" s="1545"/>
      <c r="U91" s="1545"/>
      <c r="V91" s="1545"/>
      <c r="W91" s="1545"/>
      <c r="X91" s="1545"/>
      <c r="Y91" s="1545"/>
      <c r="Z91" s="1545"/>
      <c r="AA91" s="1545"/>
      <c r="AB91" s="1545"/>
      <c r="AC91" s="1545"/>
      <c r="AD91" s="1545"/>
      <c r="AE91" s="1545"/>
      <c r="AF91" s="1545"/>
      <c r="AG91" s="1545"/>
      <c r="AH91" s="548" t="s">
        <v>2565</v>
      </c>
      <c r="AI91" s="499"/>
      <c r="AJ91" s="500"/>
      <c r="AK91" s="498"/>
      <c r="AL91" s="2859">
        <f>AJ91*AK91</f>
        <v>0</v>
      </c>
      <c r="AM91" s="2859"/>
      <c r="AN91" s="888"/>
      <c r="AO91" s="529"/>
      <c r="AP91" s="1545"/>
      <c r="AQ91" s="1545"/>
      <c r="AR91" s="1545"/>
      <c r="AS91" s="1545"/>
      <c r="AT91" s="1545"/>
      <c r="AU91" s="1545"/>
      <c r="AV91" s="1545"/>
      <c r="AW91" s="1545"/>
      <c r="AX91" s="1545"/>
      <c r="AY91" s="1545"/>
      <c r="AZ91" s="1545"/>
      <c r="BH91" s="1348" t="s">
        <v>2566</v>
      </c>
      <c r="BI91" s="483">
        <v>230090</v>
      </c>
      <c r="BJ91" s="483">
        <v>235708</v>
      </c>
      <c r="BK91" s="483">
        <v>252850</v>
      </c>
      <c r="BL91" s="483">
        <v>268695</v>
      </c>
      <c r="BM91" s="483">
        <v>282524</v>
      </c>
      <c r="BN91" s="483">
        <v>255090</v>
      </c>
      <c r="BO91" s="483">
        <v>260708</v>
      </c>
      <c r="BP91" s="483">
        <v>277850</v>
      </c>
      <c r="BQ91" s="483">
        <v>293695</v>
      </c>
      <c r="BR91" s="1344">
        <v>307524</v>
      </c>
      <c r="BS91" s="1545"/>
      <c r="BT91" s="473" t="s">
        <v>2540</v>
      </c>
      <c r="BU91" s="486">
        <v>24700</v>
      </c>
      <c r="BV91" s="486">
        <v>28400</v>
      </c>
      <c r="BW91" s="486">
        <v>33000</v>
      </c>
      <c r="BX91" s="486">
        <v>40800</v>
      </c>
      <c r="BY91" s="486">
        <v>44500</v>
      </c>
      <c r="BZ91" s="553">
        <v>1.08</v>
      </c>
      <c r="CA91" s="554">
        <v>35</v>
      </c>
      <c r="CB91" s="1545"/>
      <c r="CC91" s="1545"/>
      <c r="CD91" s="1348" t="s">
        <v>2566</v>
      </c>
      <c r="CE91" s="504">
        <v>175090</v>
      </c>
      <c r="CF91" s="504">
        <v>180708</v>
      </c>
      <c r="CG91" s="504">
        <v>197850</v>
      </c>
      <c r="CH91" s="504">
        <v>213695</v>
      </c>
      <c r="CI91" s="504">
        <v>227524</v>
      </c>
      <c r="CJ91" s="504">
        <v>190090</v>
      </c>
      <c r="CK91" s="504">
        <v>195708</v>
      </c>
      <c r="CL91" s="504">
        <v>212850</v>
      </c>
      <c r="CM91" s="504">
        <v>228695</v>
      </c>
      <c r="CN91" s="1347">
        <v>242524</v>
      </c>
    </row>
    <row r="92" spans="2:92" ht="18" customHeight="1">
      <c r="B92" s="1545"/>
      <c r="C92" s="1545"/>
      <c r="D92" s="1545"/>
      <c r="E92" s="1545"/>
      <c r="F92" s="1545"/>
      <c r="G92" s="1545"/>
      <c r="H92" s="1545"/>
      <c r="I92" s="1545"/>
      <c r="J92" s="1545"/>
      <c r="K92" s="1545"/>
      <c r="L92" s="1545"/>
      <c r="M92" s="1545"/>
      <c r="N92" s="1545"/>
      <c r="O92" s="1545"/>
      <c r="P92" s="1545"/>
      <c r="Q92" s="1545"/>
      <c r="R92" s="1545"/>
      <c r="S92" s="1545"/>
      <c r="T92" s="1545"/>
      <c r="U92" s="1545"/>
      <c r="V92" s="1545"/>
      <c r="W92" s="1545"/>
      <c r="X92" s="1545"/>
      <c r="Y92" s="1545"/>
      <c r="Z92" s="1545"/>
      <c r="AA92" s="1545"/>
      <c r="AB92" s="1545"/>
      <c r="AC92" s="1545"/>
      <c r="AD92" s="1545"/>
      <c r="AE92" s="1545"/>
      <c r="AF92" s="1545"/>
      <c r="AG92" s="1545"/>
      <c r="AH92" s="548" t="s">
        <v>2565</v>
      </c>
      <c r="AI92" s="500"/>
      <c r="AJ92" s="500"/>
      <c r="AK92" s="498"/>
      <c r="AL92" s="2859">
        <f t="shared" ref="AL92:AL102" si="31">AJ92*AK92</f>
        <v>0</v>
      </c>
      <c r="AM92" s="2859"/>
      <c r="AN92" s="888"/>
      <c r="AO92" s="529"/>
      <c r="AP92" s="1545"/>
      <c r="AQ92" s="1545"/>
      <c r="AR92" s="1545"/>
      <c r="AS92" s="1545"/>
      <c r="AT92" s="1545"/>
      <c r="AU92" s="1545"/>
      <c r="AV92" s="1545"/>
      <c r="AW92" s="1545"/>
      <c r="AX92" s="1545"/>
      <c r="AY92" s="1545"/>
      <c r="AZ92" s="1545"/>
      <c r="BH92" s="1348" t="s">
        <v>2567</v>
      </c>
      <c r="BI92" s="483">
        <v>241470</v>
      </c>
      <c r="BJ92" s="483">
        <v>247952</v>
      </c>
      <c r="BK92" s="483">
        <v>267543</v>
      </c>
      <c r="BL92" s="483">
        <v>285693</v>
      </c>
      <c r="BM92" s="483">
        <v>301394</v>
      </c>
      <c r="BN92" s="483">
        <v>266470</v>
      </c>
      <c r="BO92" s="483">
        <v>272952</v>
      </c>
      <c r="BP92" s="483">
        <v>292543</v>
      </c>
      <c r="BQ92" s="483">
        <v>310693</v>
      </c>
      <c r="BR92" s="1344">
        <v>326394</v>
      </c>
      <c r="BS92" s="1545"/>
      <c r="BT92" s="473" t="s">
        <v>2568</v>
      </c>
      <c r="BU92" s="486">
        <v>32100</v>
      </c>
      <c r="BV92" s="486">
        <v>35800</v>
      </c>
      <c r="BW92" s="486">
        <v>43200</v>
      </c>
      <c r="BX92" s="486">
        <v>50600</v>
      </c>
      <c r="BY92" s="486">
        <v>55600</v>
      </c>
      <c r="BZ92" s="553">
        <v>1.1200000000000001</v>
      </c>
      <c r="CA92" s="554">
        <v>40</v>
      </c>
      <c r="CB92" s="1545"/>
      <c r="CC92" s="1545"/>
      <c r="CD92" s="1348" t="s">
        <v>2567</v>
      </c>
      <c r="CE92" s="504">
        <v>186470</v>
      </c>
      <c r="CF92" s="504">
        <v>192952</v>
      </c>
      <c r="CG92" s="504">
        <v>212543</v>
      </c>
      <c r="CH92" s="504">
        <v>230693</v>
      </c>
      <c r="CI92" s="504">
        <v>246394</v>
      </c>
      <c r="CJ92" s="504">
        <v>201470</v>
      </c>
      <c r="CK92" s="504">
        <v>207952</v>
      </c>
      <c r="CL92" s="504">
        <v>227543</v>
      </c>
      <c r="CM92" s="504">
        <v>245693</v>
      </c>
      <c r="CN92" s="1347">
        <v>261394</v>
      </c>
    </row>
    <row r="93" spans="2:92" ht="18" customHeight="1">
      <c r="B93" s="1545"/>
      <c r="C93" s="1545"/>
      <c r="D93" s="1545"/>
      <c r="E93" s="1545"/>
      <c r="F93" s="1545"/>
      <c r="G93" s="1545"/>
      <c r="H93" s="1545"/>
      <c r="I93" s="1545"/>
      <c r="J93" s="1545"/>
      <c r="K93" s="1545"/>
      <c r="L93" s="1545"/>
      <c r="M93" s="1545"/>
      <c r="N93" s="1545"/>
      <c r="O93" s="1545"/>
      <c r="P93" s="1545"/>
      <c r="Q93" s="1545"/>
      <c r="R93" s="1545"/>
      <c r="S93" s="1545"/>
      <c r="T93" s="1545"/>
      <c r="U93" s="1545"/>
      <c r="V93" s="1545"/>
      <c r="W93" s="1545"/>
      <c r="X93" s="1545"/>
      <c r="Y93" s="1545"/>
      <c r="Z93" s="1545"/>
      <c r="AA93" s="1545"/>
      <c r="AB93" s="1545"/>
      <c r="AC93" s="1545"/>
      <c r="AD93" s="1545"/>
      <c r="AE93" s="1545"/>
      <c r="AF93" s="1545"/>
      <c r="AG93" s="1545"/>
      <c r="AH93" s="548" t="s">
        <v>2565</v>
      </c>
      <c r="AI93" s="500"/>
      <c r="AJ93" s="500"/>
      <c r="AK93" s="498"/>
      <c r="AL93" s="2859">
        <f t="shared" si="31"/>
        <v>0</v>
      </c>
      <c r="AM93" s="2859"/>
      <c r="AN93" s="888"/>
      <c r="AO93" s="529"/>
      <c r="AP93" s="1545"/>
      <c r="AQ93" s="1545"/>
      <c r="AR93" s="1545"/>
      <c r="AS93" s="1545"/>
      <c r="AT93" s="1545"/>
      <c r="AU93" s="1545"/>
      <c r="AV93" s="1545"/>
      <c r="AW93" s="1545"/>
      <c r="AX93" s="1545"/>
      <c r="AY93" s="1545"/>
      <c r="AZ93" s="1545"/>
      <c r="BH93" s="1348" t="s">
        <v>2569</v>
      </c>
      <c r="BI93" s="483">
        <v>252850</v>
      </c>
      <c r="BJ93" s="483">
        <v>260196</v>
      </c>
      <c r="BK93" s="483">
        <v>282235</v>
      </c>
      <c r="BL93" s="483">
        <v>302690</v>
      </c>
      <c r="BM93" s="483">
        <v>320264</v>
      </c>
      <c r="BN93" s="483">
        <v>277850</v>
      </c>
      <c r="BO93" s="483">
        <v>285196</v>
      </c>
      <c r="BP93" s="483">
        <v>307235</v>
      </c>
      <c r="BQ93" s="483">
        <v>327690</v>
      </c>
      <c r="BR93" s="1344">
        <v>345264</v>
      </c>
      <c r="BS93" s="1545"/>
      <c r="BT93" s="473" t="s">
        <v>2570</v>
      </c>
      <c r="BU93" s="486">
        <v>37100</v>
      </c>
      <c r="BV93" s="486">
        <v>42000</v>
      </c>
      <c r="BW93" s="486">
        <v>48200</v>
      </c>
      <c r="BX93" s="486">
        <v>58000</v>
      </c>
      <c r="BY93" s="486">
        <v>61800</v>
      </c>
      <c r="BZ93" s="553">
        <v>1.1599999999999999</v>
      </c>
      <c r="CA93" s="554">
        <v>45</v>
      </c>
      <c r="CB93" s="1545"/>
      <c r="CC93" s="1545"/>
      <c r="CD93" s="1348" t="s">
        <v>2569</v>
      </c>
      <c r="CE93" s="504">
        <v>197850</v>
      </c>
      <c r="CF93" s="504">
        <v>205196</v>
      </c>
      <c r="CG93" s="504">
        <v>227235</v>
      </c>
      <c r="CH93" s="504">
        <v>247690</v>
      </c>
      <c r="CI93" s="504">
        <v>265264</v>
      </c>
      <c r="CJ93" s="504">
        <v>212850</v>
      </c>
      <c r="CK93" s="504">
        <v>220196</v>
      </c>
      <c r="CL93" s="504">
        <v>242235</v>
      </c>
      <c r="CM93" s="504">
        <v>262690</v>
      </c>
      <c r="CN93" s="1347">
        <v>280264</v>
      </c>
    </row>
    <row r="94" spans="2:92" ht="18" customHeight="1">
      <c r="B94" s="1545"/>
      <c r="C94" s="1545"/>
      <c r="D94" s="1545"/>
      <c r="E94" s="1545"/>
      <c r="F94" s="1545"/>
      <c r="G94" s="1545"/>
      <c r="H94" s="1545"/>
      <c r="I94" s="1545"/>
      <c r="J94" s="1545"/>
      <c r="K94" s="1545"/>
      <c r="L94" s="1545"/>
      <c r="M94" s="1545"/>
      <c r="N94" s="1545"/>
      <c r="O94" s="1545"/>
      <c r="P94" s="1545"/>
      <c r="Q94" s="1545"/>
      <c r="R94" s="1545"/>
      <c r="S94" s="1545"/>
      <c r="T94" s="1545"/>
      <c r="U94" s="1545"/>
      <c r="V94" s="1545"/>
      <c r="W94" s="1545"/>
      <c r="X94" s="1545"/>
      <c r="Y94" s="1545"/>
      <c r="Z94" s="1545"/>
      <c r="AA94" s="1545"/>
      <c r="AB94" s="1545"/>
      <c r="AC94" s="1545"/>
      <c r="AD94" s="1545"/>
      <c r="AE94" s="1545"/>
      <c r="AF94" s="1545"/>
      <c r="AG94" s="1545"/>
      <c r="AH94" s="531"/>
      <c r="AI94" s="500"/>
      <c r="AJ94" s="500"/>
      <c r="AK94" s="498"/>
      <c r="AL94" s="2859">
        <f t="shared" si="31"/>
        <v>0</v>
      </c>
      <c r="AM94" s="2859"/>
      <c r="AN94" s="888"/>
      <c r="AO94" s="529"/>
      <c r="AP94" s="1545"/>
      <c r="AQ94" s="1545"/>
      <c r="AR94" s="1545"/>
      <c r="AS94" s="1545"/>
      <c r="AT94" s="1545"/>
      <c r="AU94" s="1545"/>
      <c r="AV94" s="1545"/>
      <c r="AW94" s="1545"/>
      <c r="AX94" s="1545"/>
      <c r="AY94" s="1545"/>
      <c r="AZ94" s="1545"/>
      <c r="BH94" s="1343" t="s">
        <v>2571</v>
      </c>
      <c r="BI94" s="483">
        <v>150000</v>
      </c>
      <c r="BJ94" s="483">
        <v>150000</v>
      </c>
      <c r="BK94" s="483">
        <v>150000</v>
      </c>
      <c r="BL94" s="483">
        <v>150000</v>
      </c>
      <c r="BM94" s="483">
        <v>150000</v>
      </c>
      <c r="BN94" s="483">
        <v>175000</v>
      </c>
      <c r="BO94" s="483">
        <v>175000</v>
      </c>
      <c r="BP94" s="483">
        <v>175000</v>
      </c>
      <c r="BQ94" s="483">
        <v>175000</v>
      </c>
      <c r="BR94" s="1344">
        <v>175000</v>
      </c>
      <c r="BS94" s="1545"/>
      <c r="BT94" s="473" t="s">
        <v>2572</v>
      </c>
      <c r="BU94" s="486">
        <v>37100</v>
      </c>
      <c r="BV94" s="486">
        <v>42000</v>
      </c>
      <c r="BW94" s="486">
        <v>48200</v>
      </c>
      <c r="BX94" s="486">
        <v>58000</v>
      </c>
      <c r="BY94" s="486">
        <v>61800</v>
      </c>
      <c r="BZ94" s="553">
        <v>1.2</v>
      </c>
      <c r="CA94" s="554">
        <v>50</v>
      </c>
      <c r="CB94" s="1545"/>
      <c r="CC94" s="1545"/>
      <c r="CD94" s="1343" t="s">
        <v>2571</v>
      </c>
      <c r="CE94" s="504">
        <v>95000</v>
      </c>
      <c r="CF94" s="504">
        <v>95000</v>
      </c>
      <c r="CG94" s="504">
        <v>95000</v>
      </c>
      <c r="CH94" s="504">
        <v>95000</v>
      </c>
      <c r="CI94" s="504">
        <v>95000</v>
      </c>
      <c r="CJ94" s="504">
        <v>110000</v>
      </c>
      <c r="CK94" s="504">
        <v>110000</v>
      </c>
      <c r="CL94" s="504">
        <v>110000</v>
      </c>
      <c r="CM94" s="504">
        <v>110000</v>
      </c>
      <c r="CN94" s="1347">
        <v>110000</v>
      </c>
    </row>
    <row r="95" spans="2:92" ht="18" customHeight="1">
      <c r="B95" s="1545"/>
      <c r="C95" s="1545"/>
      <c r="D95" s="1545"/>
      <c r="E95" s="1545"/>
      <c r="F95" s="1545"/>
      <c r="G95" s="1545"/>
      <c r="H95" s="1545"/>
      <c r="I95" s="1545"/>
      <c r="J95" s="1545"/>
      <c r="K95" s="1545"/>
      <c r="L95" s="1545"/>
      <c r="M95" s="1545"/>
      <c r="N95" s="1545"/>
      <c r="O95" s="1545"/>
      <c r="P95" s="1545"/>
      <c r="Q95" s="1545"/>
      <c r="R95" s="1545"/>
      <c r="S95" s="1545"/>
      <c r="T95" s="1545"/>
      <c r="U95" s="1545"/>
      <c r="V95" s="1545"/>
      <c r="W95" s="1545"/>
      <c r="X95" s="1545"/>
      <c r="Y95" s="1545"/>
      <c r="Z95" s="1545"/>
      <c r="AA95" s="1545"/>
      <c r="AB95" s="1545"/>
      <c r="AC95" s="1545"/>
      <c r="AD95" s="1545"/>
      <c r="AE95" s="1545"/>
      <c r="AF95" s="1545"/>
      <c r="AG95" s="1545"/>
      <c r="AH95" s="531"/>
      <c r="AI95" s="500"/>
      <c r="AJ95" s="500"/>
      <c r="AK95" s="498"/>
      <c r="AL95" s="2859">
        <f t="shared" si="31"/>
        <v>0</v>
      </c>
      <c r="AM95" s="2859"/>
      <c r="AN95" s="888"/>
      <c r="AO95" s="529"/>
      <c r="AP95" s="1545"/>
      <c r="AQ95" s="1545"/>
      <c r="AR95" s="1545"/>
      <c r="AS95" s="1545"/>
      <c r="AT95" s="1545"/>
      <c r="AU95" s="1545"/>
      <c r="AV95" s="1545"/>
      <c r="AW95" s="1545"/>
      <c r="AX95" s="1545"/>
      <c r="AY95" s="1545"/>
      <c r="AZ95" s="1545"/>
      <c r="BH95" s="1348" t="s">
        <v>2573</v>
      </c>
      <c r="BI95" s="483">
        <v>158787</v>
      </c>
      <c r="BJ95" s="483">
        <v>159363</v>
      </c>
      <c r="BK95" s="483">
        <v>161380</v>
      </c>
      <c r="BL95" s="483">
        <v>163108</v>
      </c>
      <c r="BM95" s="483">
        <v>164549</v>
      </c>
      <c r="BN95" s="483">
        <v>183787</v>
      </c>
      <c r="BO95" s="483">
        <v>184363</v>
      </c>
      <c r="BP95" s="483">
        <v>186380</v>
      </c>
      <c r="BQ95" s="483">
        <v>188108</v>
      </c>
      <c r="BR95" s="1344">
        <v>189549</v>
      </c>
      <c r="BS95" s="1545"/>
      <c r="BT95" s="473" t="s">
        <v>2574</v>
      </c>
      <c r="BU95" s="486">
        <v>43200</v>
      </c>
      <c r="BV95" s="486">
        <v>45700</v>
      </c>
      <c r="BW95" s="486">
        <v>51900</v>
      </c>
      <c r="BX95" s="486">
        <v>66700</v>
      </c>
      <c r="BY95" s="486">
        <v>70400</v>
      </c>
      <c r="BZ95" s="553">
        <v>1.24</v>
      </c>
      <c r="CA95" s="554">
        <v>55</v>
      </c>
      <c r="CB95" s="1545"/>
      <c r="CC95" s="1545"/>
      <c r="CD95" s="1348" t="s">
        <v>2573</v>
      </c>
      <c r="CE95" s="504">
        <v>103787</v>
      </c>
      <c r="CF95" s="504">
        <v>104363</v>
      </c>
      <c r="CG95" s="504">
        <v>106380</v>
      </c>
      <c r="CH95" s="504">
        <v>108108</v>
      </c>
      <c r="CI95" s="504">
        <v>109549</v>
      </c>
      <c r="CJ95" s="504">
        <v>118787</v>
      </c>
      <c r="CK95" s="504">
        <v>119363</v>
      </c>
      <c r="CL95" s="504">
        <v>121380</v>
      </c>
      <c r="CM95" s="504">
        <v>123108</v>
      </c>
      <c r="CN95" s="1347">
        <v>124549</v>
      </c>
    </row>
    <row r="96" spans="2:92" ht="18" customHeight="1">
      <c r="B96" s="1545"/>
      <c r="C96" s="1545"/>
      <c r="D96" s="1545"/>
      <c r="E96" s="1545"/>
      <c r="F96" s="1545"/>
      <c r="G96" s="1545"/>
      <c r="H96" s="1545"/>
      <c r="I96" s="1545"/>
      <c r="J96" s="1545"/>
      <c r="K96" s="1545"/>
      <c r="L96" s="1545"/>
      <c r="M96" s="1545"/>
      <c r="N96" s="1545"/>
      <c r="O96" s="1545"/>
      <c r="P96" s="1545"/>
      <c r="Q96" s="1545"/>
      <c r="R96" s="1545"/>
      <c r="S96" s="1545"/>
      <c r="T96" s="1545"/>
      <c r="U96" s="1545"/>
      <c r="V96" s="1545"/>
      <c r="W96" s="1545"/>
      <c r="X96" s="1545"/>
      <c r="Y96" s="1545"/>
      <c r="Z96" s="1545"/>
      <c r="AA96" s="1545"/>
      <c r="AB96" s="1545"/>
      <c r="AC96" s="1545"/>
      <c r="AD96" s="1545"/>
      <c r="AE96" s="1545"/>
      <c r="AF96" s="1545"/>
      <c r="AG96" s="1545"/>
      <c r="AH96" s="531"/>
      <c r="AI96" s="500"/>
      <c r="AJ96" s="500"/>
      <c r="AK96" s="498"/>
      <c r="AL96" s="2859">
        <f t="shared" si="31"/>
        <v>0</v>
      </c>
      <c r="AM96" s="2859"/>
      <c r="AN96" s="888"/>
      <c r="AO96" s="529"/>
      <c r="AP96" s="1545"/>
      <c r="AQ96" s="1545"/>
      <c r="AR96" s="1545"/>
      <c r="AS96" s="1545"/>
      <c r="AT96" s="1545"/>
      <c r="AU96" s="1545"/>
      <c r="AV96" s="1545"/>
      <c r="AW96" s="1545"/>
      <c r="AX96" s="1545"/>
      <c r="AY96" s="1545"/>
      <c r="AZ96" s="1545"/>
      <c r="BH96" s="1348" t="s">
        <v>2575</v>
      </c>
      <c r="BI96" s="483">
        <v>167574</v>
      </c>
      <c r="BJ96" s="483">
        <v>168870</v>
      </c>
      <c r="BK96" s="483">
        <v>172615</v>
      </c>
      <c r="BL96" s="483">
        <v>176073</v>
      </c>
      <c r="BM96" s="483">
        <v>179098</v>
      </c>
      <c r="BN96" s="483">
        <v>192574</v>
      </c>
      <c r="BO96" s="483">
        <v>193870</v>
      </c>
      <c r="BP96" s="483">
        <v>197615</v>
      </c>
      <c r="BQ96" s="483">
        <v>201073</v>
      </c>
      <c r="BR96" s="1344">
        <v>204098</v>
      </c>
      <c r="BS96" s="1545"/>
      <c r="BU96" s="1545"/>
      <c r="BV96" s="1545"/>
      <c r="BW96" s="1545"/>
      <c r="BX96" s="1545"/>
      <c r="BY96" s="1545"/>
      <c r="BZ96" s="553">
        <v>1.28</v>
      </c>
      <c r="CA96" s="554">
        <v>60</v>
      </c>
      <c r="CB96" s="1545"/>
      <c r="CC96" s="1545"/>
      <c r="CD96" s="1348" t="s">
        <v>2575</v>
      </c>
      <c r="CE96" s="504">
        <v>112574</v>
      </c>
      <c r="CF96" s="504">
        <v>113870</v>
      </c>
      <c r="CG96" s="504">
        <v>117615</v>
      </c>
      <c r="CH96" s="504">
        <v>121073</v>
      </c>
      <c r="CI96" s="504">
        <v>124098</v>
      </c>
      <c r="CJ96" s="504">
        <v>127574</v>
      </c>
      <c r="CK96" s="504">
        <v>128870</v>
      </c>
      <c r="CL96" s="504">
        <v>132615</v>
      </c>
      <c r="CM96" s="504">
        <v>136073</v>
      </c>
      <c r="CN96" s="1347">
        <v>139098</v>
      </c>
    </row>
    <row r="97" spans="2:92" ht="18" customHeight="1">
      <c r="B97" s="1545"/>
      <c r="C97" s="1545"/>
      <c r="D97" s="1545"/>
      <c r="E97" s="1545"/>
      <c r="F97" s="1545"/>
      <c r="G97" s="1545"/>
      <c r="H97" s="1545"/>
      <c r="I97" s="1545"/>
      <c r="J97" s="1545"/>
      <c r="K97" s="1545"/>
      <c r="L97" s="1545"/>
      <c r="M97" s="1545"/>
      <c r="N97" s="1545"/>
      <c r="O97" s="1545"/>
      <c r="P97" s="1545"/>
      <c r="Q97" s="1545"/>
      <c r="R97" s="1545"/>
      <c r="S97" s="1545"/>
      <c r="T97" s="1545"/>
      <c r="U97" s="1545"/>
      <c r="V97" s="1545"/>
      <c r="W97" s="1545"/>
      <c r="X97" s="1545"/>
      <c r="Y97" s="1545"/>
      <c r="Z97" s="1545"/>
      <c r="AA97" s="1545"/>
      <c r="AB97" s="1545"/>
      <c r="AC97" s="1545"/>
      <c r="AD97" s="1545"/>
      <c r="AE97" s="1545"/>
      <c r="AF97" s="1545"/>
      <c r="AG97" s="1545"/>
      <c r="AH97" s="531"/>
      <c r="AI97" s="500"/>
      <c r="AJ97" s="500"/>
      <c r="AK97" s="498"/>
      <c r="AL97" s="2859">
        <f t="shared" si="31"/>
        <v>0</v>
      </c>
      <c r="AM97" s="2859"/>
      <c r="AN97" s="888"/>
      <c r="AO97" s="529"/>
      <c r="AP97" s="1545"/>
      <c r="AQ97" s="1545"/>
      <c r="AR97" s="1545"/>
      <c r="AS97" s="1545"/>
      <c r="AT97" s="1545"/>
      <c r="AU97" s="1545"/>
      <c r="AV97" s="1545"/>
      <c r="AW97" s="1545"/>
      <c r="AX97" s="1545"/>
      <c r="AY97" s="1545"/>
      <c r="AZ97" s="1545"/>
      <c r="BH97" s="1348" t="s">
        <v>2576</v>
      </c>
      <c r="BI97" s="483">
        <v>176361</v>
      </c>
      <c r="BJ97" s="483">
        <v>178233</v>
      </c>
      <c r="BK97" s="483">
        <v>183995</v>
      </c>
      <c r="BL97" s="483">
        <v>189181</v>
      </c>
      <c r="BM97" s="483">
        <v>193646</v>
      </c>
      <c r="BN97" s="483">
        <v>201361</v>
      </c>
      <c r="BO97" s="483">
        <v>203233</v>
      </c>
      <c r="BP97" s="483">
        <v>208995</v>
      </c>
      <c r="BQ97" s="483">
        <v>214181</v>
      </c>
      <c r="BR97" s="1344">
        <v>218646</v>
      </c>
      <c r="BS97" s="1545"/>
      <c r="BT97" s="473" cm="1">
        <f t="array" ref="BT97">IFERROR(INDEX(IIGgrantTbl[[0-Bdrm]:[4+Bdrm]],IF(BT99="Manager",1,INDEX(BU101:BU104,MATCH(BT99,BT101:BT104,-1))),MIN(BT98+1,5)),0)</f>
        <v>40800</v>
      </c>
      <c r="BU97" s="1545"/>
      <c r="BV97" s="1545"/>
      <c r="BW97" s="1545"/>
      <c r="BX97" s="1545"/>
      <c r="BY97" s="1545"/>
      <c r="BZ97" s="553">
        <v>1.32</v>
      </c>
      <c r="CA97" s="554">
        <v>65</v>
      </c>
      <c r="CB97" s="1545"/>
      <c r="CC97" s="1545"/>
      <c r="CD97" s="1348" t="s">
        <v>2576</v>
      </c>
      <c r="CE97" s="504">
        <v>121361</v>
      </c>
      <c r="CF97" s="504">
        <v>123233</v>
      </c>
      <c r="CG97" s="504">
        <v>128995</v>
      </c>
      <c r="CH97" s="504">
        <v>134181</v>
      </c>
      <c r="CI97" s="504">
        <v>138646</v>
      </c>
      <c r="CJ97" s="504">
        <v>136361</v>
      </c>
      <c r="CK97" s="504">
        <v>138233</v>
      </c>
      <c r="CL97" s="504">
        <v>143995</v>
      </c>
      <c r="CM97" s="504">
        <v>149181</v>
      </c>
      <c r="CN97" s="1347">
        <v>153646</v>
      </c>
    </row>
    <row r="98" spans="2:92" ht="18" customHeight="1">
      <c r="B98" s="1545"/>
      <c r="C98" s="1545"/>
      <c r="D98" s="1545"/>
      <c r="E98" s="1545"/>
      <c r="F98" s="1545"/>
      <c r="G98" s="1545"/>
      <c r="H98" s="1545"/>
      <c r="I98" s="1545"/>
      <c r="J98" s="1545"/>
      <c r="K98" s="1545"/>
      <c r="L98" s="1545"/>
      <c r="M98" s="1545"/>
      <c r="N98" s="1545"/>
      <c r="O98" s="1545"/>
      <c r="P98" s="1545"/>
      <c r="Q98" s="1545"/>
      <c r="R98" s="1545"/>
      <c r="S98" s="1545"/>
      <c r="T98" s="1545"/>
      <c r="U98" s="1545"/>
      <c r="V98" s="1545"/>
      <c r="W98" s="1545"/>
      <c r="X98" s="1545"/>
      <c r="Y98" s="1545"/>
      <c r="Z98" s="1545"/>
      <c r="AA98" s="1545"/>
      <c r="AB98" s="1545"/>
      <c r="AC98" s="1545"/>
      <c r="AD98" s="1545"/>
      <c r="AE98" s="1545"/>
      <c r="AF98" s="1545"/>
      <c r="AG98" s="1545"/>
      <c r="AH98" s="531"/>
      <c r="AI98" s="500"/>
      <c r="AJ98" s="500"/>
      <c r="AK98" s="498"/>
      <c r="AL98" s="2859">
        <f t="shared" si="31"/>
        <v>0</v>
      </c>
      <c r="AM98" s="2859"/>
      <c r="AN98" s="888"/>
      <c r="AO98" s="529"/>
      <c r="AP98" s="1545"/>
      <c r="AQ98" s="1545"/>
      <c r="AR98" s="1545"/>
      <c r="AS98" s="1545"/>
      <c r="AT98" s="1545"/>
      <c r="AU98" s="1545"/>
      <c r="AV98" s="1545"/>
      <c r="AW98" s="1545"/>
      <c r="AX98" s="1545"/>
      <c r="AY98" s="1545"/>
      <c r="AZ98" s="1545"/>
      <c r="BH98" s="1348" t="s">
        <v>2577</v>
      </c>
      <c r="BI98" s="483">
        <v>185148</v>
      </c>
      <c r="BJ98" s="483">
        <v>187596</v>
      </c>
      <c r="BK98" s="483">
        <v>195231</v>
      </c>
      <c r="BL98" s="483">
        <v>202145</v>
      </c>
      <c r="BM98" s="483">
        <v>208195</v>
      </c>
      <c r="BN98" s="483">
        <v>210148</v>
      </c>
      <c r="BO98" s="483">
        <v>212596</v>
      </c>
      <c r="BP98" s="483">
        <v>220231</v>
      </c>
      <c r="BQ98" s="483">
        <v>227145</v>
      </c>
      <c r="BR98" s="1344">
        <v>233195</v>
      </c>
      <c r="BS98" s="1545"/>
      <c r="BT98" s="473">
        <v>3</v>
      </c>
      <c r="BU98" s="1545"/>
      <c r="BV98" s="1545"/>
      <c r="BW98" s="1545"/>
      <c r="BX98" s="1545"/>
      <c r="BY98" s="1545"/>
      <c r="BZ98" s="553">
        <v>1.36</v>
      </c>
      <c r="CA98" s="554">
        <v>70</v>
      </c>
      <c r="CB98" s="1545"/>
      <c r="CC98" s="1545"/>
      <c r="CD98" s="1348" t="s">
        <v>2577</v>
      </c>
      <c r="CE98" s="504">
        <v>130148</v>
      </c>
      <c r="CF98" s="504">
        <v>132596</v>
      </c>
      <c r="CG98" s="504">
        <v>140231</v>
      </c>
      <c r="CH98" s="504">
        <v>147145</v>
      </c>
      <c r="CI98" s="504">
        <v>153195</v>
      </c>
      <c r="CJ98" s="504">
        <v>145148</v>
      </c>
      <c r="CK98" s="504">
        <v>147596</v>
      </c>
      <c r="CL98" s="504">
        <v>155231</v>
      </c>
      <c r="CM98" s="504">
        <v>162145</v>
      </c>
      <c r="CN98" s="1347">
        <v>168195</v>
      </c>
    </row>
    <row r="99" spans="2:92" ht="18" customHeight="1">
      <c r="B99" s="1545"/>
      <c r="C99" s="1545"/>
      <c r="D99" s="1545"/>
      <c r="E99" s="1545"/>
      <c r="F99" s="1545"/>
      <c r="G99" s="1545"/>
      <c r="H99" s="1545"/>
      <c r="I99" s="1545"/>
      <c r="J99" s="1545"/>
      <c r="K99" s="1545"/>
      <c r="L99" s="1545"/>
      <c r="M99" s="1545"/>
      <c r="N99" s="1545"/>
      <c r="O99" s="1545"/>
      <c r="P99" s="1545"/>
      <c r="Q99" s="1545"/>
      <c r="R99" s="1545"/>
      <c r="S99" s="1545"/>
      <c r="T99" s="1545"/>
      <c r="U99" s="1545"/>
      <c r="V99" s="1545"/>
      <c r="W99" s="1545"/>
      <c r="X99" s="1545"/>
      <c r="Y99" s="1545"/>
      <c r="Z99" s="1545"/>
      <c r="AA99" s="1545"/>
      <c r="AB99" s="1545"/>
      <c r="AC99" s="1545"/>
      <c r="AD99" s="1545"/>
      <c r="AE99" s="1545"/>
      <c r="AF99" s="1545"/>
      <c r="AG99" s="1545"/>
      <c r="AH99" s="531"/>
      <c r="AI99" s="500"/>
      <c r="AJ99" s="500"/>
      <c r="AK99" s="498"/>
      <c r="AL99" s="2859">
        <f t="shared" si="31"/>
        <v>0</v>
      </c>
      <c r="AM99" s="2859"/>
      <c r="AN99" s="888"/>
      <c r="AO99" s="529"/>
      <c r="AP99" s="1545"/>
      <c r="AQ99" s="1545"/>
      <c r="AR99" s="1545"/>
      <c r="AS99" s="1545"/>
      <c r="AT99" s="1545"/>
      <c r="AU99" s="1545"/>
      <c r="AV99" s="1545"/>
      <c r="AW99" s="1545"/>
      <c r="AX99" s="1545"/>
      <c r="AY99" s="1545"/>
      <c r="AZ99" s="1545"/>
      <c r="BH99" s="1348" t="s">
        <v>2578</v>
      </c>
      <c r="BI99" s="483">
        <v>193934</v>
      </c>
      <c r="BJ99" s="483">
        <v>197103</v>
      </c>
      <c r="BK99" s="483">
        <v>206611</v>
      </c>
      <c r="BL99" s="483">
        <v>215253</v>
      </c>
      <c r="BM99" s="483">
        <v>222888</v>
      </c>
      <c r="BN99" s="483">
        <v>218934</v>
      </c>
      <c r="BO99" s="483">
        <v>222103</v>
      </c>
      <c r="BP99" s="483">
        <v>231611</v>
      </c>
      <c r="BQ99" s="483">
        <v>240253</v>
      </c>
      <c r="BR99" s="1344">
        <v>247888</v>
      </c>
      <c r="BS99" s="1545"/>
      <c r="BT99" s="599" t="s">
        <v>2540</v>
      </c>
      <c r="BU99" s="1545"/>
      <c r="BV99" s="1545"/>
      <c r="BW99" s="1545"/>
      <c r="BX99" s="1545"/>
      <c r="BY99" s="1545"/>
      <c r="BZ99" s="553">
        <v>1.4</v>
      </c>
      <c r="CA99" s="554">
        <v>75</v>
      </c>
      <c r="CB99" s="1545"/>
      <c r="CC99" s="1545"/>
      <c r="CD99" s="1348" t="s">
        <v>2578</v>
      </c>
      <c r="CE99" s="504">
        <v>138934</v>
      </c>
      <c r="CF99" s="504">
        <v>142103</v>
      </c>
      <c r="CG99" s="504">
        <v>151611</v>
      </c>
      <c r="CH99" s="504">
        <v>160253</v>
      </c>
      <c r="CI99" s="504">
        <v>167888</v>
      </c>
      <c r="CJ99" s="504">
        <v>153934</v>
      </c>
      <c r="CK99" s="504">
        <v>157103</v>
      </c>
      <c r="CL99" s="504">
        <v>166611</v>
      </c>
      <c r="CM99" s="504">
        <v>175253</v>
      </c>
      <c r="CN99" s="1347">
        <v>182888</v>
      </c>
    </row>
    <row r="100" spans="2:92" ht="18" customHeight="1">
      <c r="B100" s="1545"/>
      <c r="C100" s="1545"/>
      <c r="D100" s="1545"/>
      <c r="E100" s="1545"/>
      <c r="F100" s="1545"/>
      <c r="G100" s="1545"/>
      <c r="H100" s="1545"/>
      <c r="I100" s="1545"/>
      <c r="J100" s="1545"/>
      <c r="K100" s="1545"/>
      <c r="L100" s="1545"/>
      <c r="M100" s="1545"/>
      <c r="N100" s="1545"/>
      <c r="O100" s="1545"/>
      <c r="P100" s="1545"/>
      <c r="Q100" s="1545"/>
      <c r="R100" s="1545"/>
      <c r="S100" s="1545"/>
      <c r="T100" s="1545"/>
      <c r="U100" s="1545"/>
      <c r="V100" s="1545"/>
      <c r="W100" s="1545"/>
      <c r="X100" s="1545"/>
      <c r="Y100" s="1545"/>
      <c r="Z100" s="1545"/>
      <c r="AA100" s="1545"/>
      <c r="AB100" s="1545"/>
      <c r="AC100" s="1545"/>
      <c r="AD100" s="1545"/>
      <c r="AE100" s="1545"/>
      <c r="AF100" s="1545"/>
      <c r="AG100" s="1545"/>
      <c r="AH100" s="531"/>
      <c r="AI100" s="500"/>
      <c r="AJ100" s="500"/>
      <c r="AK100" s="498"/>
      <c r="AL100" s="2859">
        <f t="shared" si="31"/>
        <v>0</v>
      </c>
      <c r="AM100" s="2859"/>
      <c r="AN100" s="888"/>
      <c r="AO100" s="529"/>
      <c r="AP100" s="1545"/>
      <c r="AQ100" s="1545"/>
      <c r="AR100" s="1545"/>
      <c r="AS100" s="1545"/>
      <c r="AT100" s="1545"/>
      <c r="AU100" s="1545"/>
      <c r="AV100" s="1545"/>
      <c r="AW100" s="1545"/>
      <c r="AX100" s="1545"/>
      <c r="AY100" s="1545"/>
      <c r="AZ100" s="1545"/>
      <c r="BH100" s="1348" t="s">
        <v>2579</v>
      </c>
      <c r="BI100" s="483">
        <v>202721</v>
      </c>
      <c r="BJ100" s="483">
        <v>206467</v>
      </c>
      <c r="BK100" s="483">
        <v>217846</v>
      </c>
      <c r="BL100" s="483">
        <v>228362</v>
      </c>
      <c r="BM100" s="483">
        <v>237437</v>
      </c>
      <c r="BN100" s="483">
        <v>227721</v>
      </c>
      <c r="BO100" s="483">
        <v>231467</v>
      </c>
      <c r="BP100" s="483">
        <v>242846</v>
      </c>
      <c r="BQ100" s="483">
        <v>253362</v>
      </c>
      <c r="BR100" s="1344">
        <v>262437</v>
      </c>
      <c r="BS100" s="1545"/>
      <c r="BT100" s="473" t="s">
        <v>2540</v>
      </c>
      <c r="BU100" s="1545">
        <v>1</v>
      </c>
      <c r="BV100" s="1545"/>
      <c r="BW100" s="1545"/>
      <c r="BX100" s="1545"/>
      <c r="BY100" s="1545"/>
      <c r="BZ100" s="553">
        <v>1.44</v>
      </c>
      <c r="CA100" s="554">
        <v>80</v>
      </c>
      <c r="CB100" s="1545"/>
      <c r="CC100" s="1545"/>
      <c r="CD100" s="1348" t="s">
        <v>2579</v>
      </c>
      <c r="CE100" s="504">
        <v>147721</v>
      </c>
      <c r="CF100" s="504">
        <v>151467</v>
      </c>
      <c r="CG100" s="504">
        <v>162846</v>
      </c>
      <c r="CH100" s="504">
        <v>173362</v>
      </c>
      <c r="CI100" s="504">
        <v>182437</v>
      </c>
      <c r="CJ100" s="504">
        <v>162721</v>
      </c>
      <c r="CK100" s="504">
        <v>166467</v>
      </c>
      <c r="CL100" s="504">
        <v>177846</v>
      </c>
      <c r="CM100" s="504">
        <v>188362</v>
      </c>
      <c r="CN100" s="1347">
        <v>197437</v>
      </c>
    </row>
    <row r="101" spans="2:92" ht="18" customHeight="1">
      <c r="B101" s="1545"/>
      <c r="C101" s="1545"/>
      <c r="D101" s="1545"/>
      <c r="E101" s="1545"/>
      <c r="F101" s="1545"/>
      <c r="G101" s="1545"/>
      <c r="H101" s="1545"/>
      <c r="I101" s="1545"/>
      <c r="J101" s="1545"/>
      <c r="K101" s="1545"/>
      <c r="L101" s="1545"/>
      <c r="M101" s="1545"/>
      <c r="N101" s="1545"/>
      <c r="O101" s="1545"/>
      <c r="P101" s="1545"/>
      <c r="Q101" s="1545"/>
      <c r="R101" s="1545"/>
      <c r="S101" s="1545"/>
      <c r="T101" s="1545"/>
      <c r="U101" s="1545"/>
      <c r="V101" s="1545"/>
      <c r="W101" s="1545"/>
      <c r="X101" s="1545"/>
      <c r="Y101" s="1545"/>
      <c r="Z101" s="1545"/>
      <c r="AA101" s="1545"/>
      <c r="AB101" s="1545"/>
      <c r="AC101" s="1545"/>
      <c r="AD101" s="1545"/>
      <c r="AE101" s="1545"/>
      <c r="AF101" s="1545"/>
      <c r="AG101" s="1545"/>
      <c r="AH101" s="531"/>
      <c r="AI101" s="500"/>
      <c r="AJ101" s="500"/>
      <c r="AK101" s="498"/>
      <c r="AL101" s="2859">
        <f t="shared" si="31"/>
        <v>0</v>
      </c>
      <c r="AM101" s="2859"/>
      <c r="AN101" s="888"/>
      <c r="AO101" s="529"/>
      <c r="AP101" s="1545"/>
      <c r="AQ101" s="1545"/>
      <c r="AR101" s="1545"/>
      <c r="AS101" s="1545"/>
      <c r="AT101" s="1545"/>
      <c r="AU101" s="1545"/>
      <c r="AV101" s="1545"/>
      <c r="AW101" s="1545"/>
      <c r="AX101" s="1545"/>
      <c r="AY101" s="1545"/>
      <c r="AZ101" s="1545"/>
      <c r="BH101" s="1348" t="s">
        <v>2580</v>
      </c>
      <c r="BI101" s="483">
        <v>211508</v>
      </c>
      <c r="BJ101" s="483">
        <v>215974</v>
      </c>
      <c r="BK101" s="483">
        <v>229226</v>
      </c>
      <c r="BL101" s="483">
        <v>241326</v>
      </c>
      <c r="BM101" s="483">
        <v>251985</v>
      </c>
      <c r="BN101" s="483">
        <v>236508</v>
      </c>
      <c r="BO101" s="483">
        <v>240974</v>
      </c>
      <c r="BP101" s="483">
        <v>254226</v>
      </c>
      <c r="BQ101" s="483">
        <v>266326</v>
      </c>
      <c r="BR101" s="1344">
        <v>276985</v>
      </c>
      <c r="BS101" s="1545"/>
      <c r="BT101" s="599">
        <v>0.6</v>
      </c>
      <c r="BU101" s="1545">
        <v>2</v>
      </c>
      <c r="BV101" s="1545"/>
      <c r="BW101" s="1545"/>
      <c r="BX101" s="1545"/>
      <c r="BY101" s="1545"/>
      <c r="BZ101" s="553">
        <v>1.48</v>
      </c>
      <c r="CA101" s="554">
        <v>90</v>
      </c>
      <c r="CB101" s="1545"/>
      <c r="CC101" s="1545"/>
      <c r="CD101" s="1348" t="s">
        <v>2580</v>
      </c>
      <c r="CE101" s="504">
        <v>156508</v>
      </c>
      <c r="CF101" s="504">
        <v>160974</v>
      </c>
      <c r="CG101" s="504">
        <v>174226</v>
      </c>
      <c r="CH101" s="504">
        <v>186326</v>
      </c>
      <c r="CI101" s="504">
        <v>196985</v>
      </c>
      <c r="CJ101" s="504">
        <v>171508</v>
      </c>
      <c r="CK101" s="504">
        <v>175974</v>
      </c>
      <c r="CL101" s="504">
        <v>189226</v>
      </c>
      <c r="CM101" s="504">
        <v>201326</v>
      </c>
      <c r="CN101" s="1347">
        <v>211985</v>
      </c>
    </row>
    <row r="102" spans="2:92" ht="18" customHeight="1" thickBot="1">
      <c r="B102" s="1545"/>
      <c r="C102" s="1545"/>
      <c r="D102" s="1545"/>
      <c r="E102" s="1545"/>
      <c r="F102" s="1545"/>
      <c r="G102" s="1545"/>
      <c r="H102" s="1545"/>
      <c r="I102" s="1545"/>
      <c r="J102" s="1545"/>
      <c r="K102" s="1545"/>
      <c r="L102" s="1545"/>
      <c r="M102" s="1545"/>
      <c r="N102" s="1545"/>
      <c r="O102" s="1545"/>
      <c r="P102" s="1545"/>
      <c r="Q102" s="1545"/>
      <c r="R102" s="1545"/>
      <c r="S102" s="1545"/>
      <c r="T102" s="1545"/>
      <c r="U102" s="1545"/>
      <c r="V102" s="1545"/>
      <c r="W102" s="1545"/>
      <c r="X102" s="1545"/>
      <c r="Y102" s="1545"/>
      <c r="Z102" s="1545"/>
      <c r="AA102" s="1545"/>
      <c r="AB102" s="1545"/>
      <c r="AC102" s="1545"/>
      <c r="AD102" s="1545"/>
      <c r="AE102" s="1545"/>
      <c r="AF102" s="1545"/>
      <c r="AG102" s="1545"/>
      <c r="AH102" s="532"/>
      <c r="AI102" s="533"/>
      <c r="AJ102" s="533"/>
      <c r="AK102" s="534"/>
      <c r="AL102" s="2860">
        <f t="shared" si="31"/>
        <v>0</v>
      </c>
      <c r="AM102" s="2860"/>
      <c r="AN102" s="552"/>
      <c r="AO102" s="535"/>
      <c r="AP102" s="1545"/>
      <c r="AQ102" s="1545"/>
      <c r="AR102" s="1545"/>
      <c r="AS102" s="1545"/>
      <c r="AT102" s="1545"/>
      <c r="AU102" s="1545"/>
      <c r="AV102" s="1545"/>
      <c r="AW102" s="1545"/>
      <c r="AX102" s="1545"/>
      <c r="AY102" s="1545"/>
      <c r="AZ102" s="1545"/>
      <c r="BH102" s="1348" t="s">
        <v>2581</v>
      </c>
      <c r="BI102" s="483">
        <v>220295</v>
      </c>
      <c r="BJ102" s="483">
        <v>225337</v>
      </c>
      <c r="BK102" s="483">
        <v>240462</v>
      </c>
      <c r="BL102" s="483">
        <v>254434</v>
      </c>
      <c r="BM102" s="483">
        <v>266534</v>
      </c>
      <c r="BN102" s="483">
        <v>245295</v>
      </c>
      <c r="BO102" s="483">
        <v>250337</v>
      </c>
      <c r="BP102" s="483">
        <v>265462</v>
      </c>
      <c r="BQ102" s="483">
        <v>279434</v>
      </c>
      <c r="BR102" s="1344">
        <v>291534</v>
      </c>
      <c r="BS102" s="1545"/>
      <c r="BT102" s="599">
        <v>0.5</v>
      </c>
      <c r="BU102" s="1545">
        <v>3</v>
      </c>
      <c r="BV102" s="1545"/>
      <c r="BW102" s="1545"/>
      <c r="BX102" s="1545"/>
      <c r="BY102" s="1545"/>
      <c r="BZ102" s="553">
        <v>1.52</v>
      </c>
      <c r="CA102" s="554">
        <v>100</v>
      </c>
      <c r="CB102" s="1545"/>
      <c r="CC102" s="1545"/>
      <c r="CD102" s="1348" t="s">
        <v>2581</v>
      </c>
      <c r="CE102" s="504">
        <v>165295</v>
      </c>
      <c r="CF102" s="504">
        <v>170337</v>
      </c>
      <c r="CG102" s="504">
        <v>185462</v>
      </c>
      <c r="CH102" s="504">
        <v>199434</v>
      </c>
      <c r="CI102" s="504">
        <v>211534</v>
      </c>
      <c r="CJ102" s="504">
        <v>180295</v>
      </c>
      <c r="CK102" s="504">
        <v>185337</v>
      </c>
      <c r="CL102" s="504">
        <v>200462</v>
      </c>
      <c r="CM102" s="504">
        <v>214434</v>
      </c>
      <c r="CN102" s="1347">
        <v>226534</v>
      </c>
    </row>
    <row r="103" spans="2:92" ht="18" customHeight="1">
      <c r="B103" s="1545"/>
      <c r="C103" s="1545"/>
      <c r="D103" s="1545"/>
      <c r="E103" s="1545"/>
      <c r="F103" s="1545"/>
      <c r="G103" s="1545"/>
      <c r="H103" s="1545"/>
      <c r="I103" s="1545"/>
      <c r="J103" s="1545"/>
      <c r="K103" s="1545"/>
      <c r="L103" s="1545"/>
      <c r="M103" s="1545"/>
      <c r="N103" s="1545"/>
      <c r="O103" s="1545"/>
      <c r="P103" s="1545"/>
      <c r="Q103" s="1545"/>
      <c r="R103" s="1545"/>
      <c r="S103" s="1545"/>
      <c r="T103" s="1545"/>
      <c r="U103" s="1545"/>
      <c r="V103" s="1545"/>
      <c r="W103" s="1545"/>
      <c r="X103" s="1545"/>
      <c r="Y103" s="1545"/>
      <c r="Z103" s="1545"/>
      <c r="AA103" s="1545"/>
      <c r="AB103" s="1545"/>
      <c r="AC103" s="1545"/>
      <c r="AD103" s="1545"/>
      <c r="AE103" s="1545"/>
      <c r="AF103" s="1545"/>
      <c r="AG103" s="1545"/>
      <c r="AH103" s="1545"/>
      <c r="AI103" s="1545"/>
      <c r="AJ103" s="796">
        <f>SUM(AJ91:AJ102)</f>
        <v>0</v>
      </c>
      <c r="AK103" s="1545"/>
      <c r="AL103" s="1545"/>
      <c r="AM103" s="1545"/>
      <c r="AN103" s="1545"/>
      <c r="AO103" s="1545"/>
      <c r="AP103" s="1545"/>
      <c r="AQ103" s="1545"/>
      <c r="AR103" s="1545"/>
      <c r="AS103" s="1545"/>
      <c r="AT103" s="1545"/>
      <c r="AU103" s="1545"/>
      <c r="AV103" s="1545"/>
      <c r="AW103" s="1545"/>
      <c r="AX103" s="1545"/>
      <c r="AY103" s="1545"/>
      <c r="AZ103" s="1545"/>
      <c r="BH103" s="1348" t="s">
        <v>2582</v>
      </c>
      <c r="BI103" s="483">
        <v>229082</v>
      </c>
      <c r="BJ103" s="483">
        <v>234700</v>
      </c>
      <c r="BK103" s="483">
        <v>251841</v>
      </c>
      <c r="BL103" s="483">
        <v>267543</v>
      </c>
      <c r="BM103" s="483">
        <v>281083</v>
      </c>
      <c r="BN103" s="483">
        <v>254082</v>
      </c>
      <c r="BO103" s="483">
        <v>259700</v>
      </c>
      <c r="BP103" s="483">
        <v>276841</v>
      </c>
      <c r="BQ103" s="483">
        <v>292543</v>
      </c>
      <c r="BR103" s="1344">
        <v>306083</v>
      </c>
      <c r="BS103" s="1545"/>
      <c r="BT103" s="599">
        <v>0.4</v>
      </c>
      <c r="BU103" s="1545">
        <v>4</v>
      </c>
      <c r="BV103" s="1545"/>
      <c r="BW103" s="1545"/>
      <c r="BX103" s="1545"/>
      <c r="BY103" s="1545"/>
      <c r="BZ103" s="1545"/>
      <c r="CA103" s="1545"/>
      <c r="CB103" s="1545"/>
      <c r="CC103" s="1545"/>
      <c r="CD103" s="1348" t="s">
        <v>2582</v>
      </c>
      <c r="CE103" s="504">
        <v>174082</v>
      </c>
      <c r="CF103" s="504">
        <v>179700</v>
      </c>
      <c r="CG103" s="504">
        <v>196841</v>
      </c>
      <c r="CH103" s="504">
        <v>212543</v>
      </c>
      <c r="CI103" s="504">
        <v>226083</v>
      </c>
      <c r="CJ103" s="504">
        <v>189082</v>
      </c>
      <c r="CK103" s="504">
        <v>194700</v>
      </c>
      <c r="CL103" s="504">
        <v>211841</v>
      </c>
      <c r="CM103" s="504">
        <v>227543</v>
      </c>
      <c r="CN103" s="1347">
        <v>241083</v>
      </c>
    </row>
    <row r="104" spans="2:92" ht="18" customHeight="1">
      <c r="B104" s="1545"/>
      <c r="C104" s="1545"/>
      <c r="D104" s="1545"/>
      <c r="E104" s="1545"/>
      <c r="F104" s="1545"/>
      <c r="G104" s="1545"/>
      <c r="H104" s="1545"/>
      <c r="I104" s="1545"/>
      <c r="J104" s="1545"/>
      <c r="K104" s="1545"/>
      <c r="L104" s="1545"/>
      <c r="M104" s="1545"/>
      <c r="N104" s="1545"/>
      <c r="O104" s="1545"/>
      <c r="P104" s="1545"/>
      <c r="Q104" s="1545"/>
      <c r="R104" s="1545"/>
      <c r="S104" s="1545"/>
      <c r="T104" s="1545"/>
      <c r="U104" s="1545"/>
      <c r="V104" s="1545"/>
      <c r="W104" s="1545"/>
      <c r="X104" s="1545"/>
      <c r="Y104" s="1545"/>
      <c r="Z104" s="1545"/>
      <c r="AA104" s="1545"/>
      <c r="AB104" s="1545"/>
      <c r="AC104" s="1545"/>
      <c r="AD104" s="1545"/>
      <c r="AE104" s="1545"/>
      <c r="AF104" s="1545"/>
      <c r="AG104" s="1545"/>
      <c r="AH104" s="1545"/>
      <c r="AI104" s="1545"/>
      <c r="AJ104" s="1545"/>
      <c r="AK104" s="1545"/>
      <c r="AL104" s="1545"/>
      <c r="AM104" s="1545"/>
      <c r="AN104" s="1545"/>
      <c r="AO104" s="1545"/>
      <c r="AX104" s="1545"/>
      <c r="AY104" s="1545"/>
      <c r="AZ104" s="1545"/>
      <c r="BH104" s="1343" t="s">
        <v>2583</v>
      </c>
      <c r="BI104" s="483">
        <v>150000</v>
      </c>
      <c r="BJ104" s="483">
        <v>150000</v>
      </c>
      <c r="BK104" s="483">
        <v>150000</v>
      </c>
      <c r="BL104" s="483">
        <v>150000</v>
      </c>
      <c r="BM104" s="483">
        <v>150000</v>
      </c>
      <c r="BN104" s="483">
        <v>175000</v>
      </c>
      <c r="BO104" s="483">
        <v>175000</v>
      </c>
      <c r="BP104" s="483">
        <v>175000</v>
      </c>
      <c r="BQ104" s="483">
        <v>175000</v>
      </c>
      <c r="BR104" s="1344">
        <v>175000</v>
      </c>
      <c r="BS104" s="1545"/>
      <c r="BT104" s="599">
        <v>0.3</v>
      </c>
      <c r="BU104" s="1545">
        <v>5</v>
      </c>
      <c r="BV104" s="1545"/>
      <c r="BW104" s="1545"/>
      <c r="BX104" s="1545"/>
      <c r="BY104" s="1545"/>
      <c r="BZ104" s="1545"/>
      <c r="CA104" s="1545"/>
      <c r="CB104" s="1545"/>
      <c r="CC104" s="1545"/>
      <c r="CD104" s="1343" t="s">
        <v>2583</v>
      </c>
      <c r="CE104" s="504">
        <v>95000</v>
      </c>
      <c r="CF104" s="504">
        <v>95000</v>
      </c>
      <c r="CG104" s="504">
        <v>95000</v>
      </c>
      <c r="CH104" s="504">
        <v>95000</v>
      </c>
      <c r="CI104" s="504">
        <v>95000</v>
      </c>
      <c r="CJ104" s="504">
        <v>110000</v>
      </c>
      <c r="CK104" s="504">
        <v>110000</v>
      </c>
      <c r="CL104" s="504">
        <v>110000</v>
      </c>
      <c r="CM104" s="504">
        <v>110000</v>
      </c>
      <c r="CN104" s="1347">
        <v>110000</v>
      </c>
    </row>
    <row r="105" spans="2:92" ht="18" customHeight="1">
      <c r="B105" s="1545"/>
      <c r="C105" s="1545"/>
      <c r="D105" s="1545"/>
      <c r="E105" s="1545"/>
      <c r="F105" s="1545"/>
      <c r="G105" s="1545"/>
      <c r="H105" s="1545"/>
      <c r="I105" s="1545"/>
      <c r="J105" s="1545"/>
      <c r="K105" s="1545"/>
      <c r="L105" s="1545"/>
      <c r="M105" s="1545"/>
      <c r="N105" s="1545"/>
      <c r="O105" s="1545"/>
      <c r="P105" s="1545"/>
      <c r="Q105" s="1545"/>
      <c r="R105" s="1545"/>
      <c r="S105" s="1545"/>
      <c r="T105" s="1545"/>
      <c r="U105" s="1545"/>
      <c r="V105" s="1545"/>
      <c r="W105" s="1545"/>
      <c r="X105" s="1545"/>
      <c r="Y105" s="1545"/>
      <c r="Z105" s="1545"/>
      <c r="AA105" s="1545"/>
      <c r="AB105" s="1545"/>
      <c r="AC105" s="1545"/>
      <c r="AD105" s="1545"/>
      <c r="AE105" s="1545"/>
      <c r="AF105" s="1545"/>
      <c r="AG105" s="1545"/>
      <c r="AH105" s="1545"/>
      <c r="AI105" s="1545"/>
      <c r="AJ105" s="1545"/>
      <c r="AK105" s="1545"/>
      <c r="AL105" s="1545"/>
      <c r="AM105" s="1545"/>
      <c r="AN105" s="1545"/>
      <c r="AO105" s="1545"/>
      <c r="AX105" s="1545"/>
      <c r="AY105" s="1545"/>
      <c r="AZ105" s="1545"/>
      <c r="BH105" s="1348" t="s">
        <v>2584</v>
      </c>
      <c r="BI105" s="483">
        <v>158787</v>
      </c>
      <c r="BJ105" s="483">
        <v>159363</v>
      </c>
      <c r="BK105" s="483">
        <v>161380</v>
      </c>
      <c r="BL105" s="483">
        <v>163108</v>
      </c>
      <c r="BM105" s="483">
        <v>164549</v>
      </c>
      <c r="BN105" s="483">
        <v>183787</v>
      </c>
      <c r="BO105" s="483">
        <v>184363</v>
      </c>
      <c r="BP105" s="483">
        <v>186380</v>
      </c>
      <c r="BQ105" s="483">
        <v>188108</v>
      </c>
      <c r="BR105" s="1344">
        <v>189549</v>
      </c>
      <c r="BS105" s="1545"/>
      <c r="BU105" s="1545"/>
      <c r="BV105" s="1545"/>
      <c r="BW105" s="1545"/>
      <c r="BX105" s="1545"/>
      <c r="BY105" s="1545"/>
      <c r="BZ105" s="1545"/>
      <c r="CA105" s="1545"/>
      <c r="CB105" s="1545"/>
      <c r="CC105" s="1545"/>
      <c r="CD105" s="1348" t="s">
        <v>2584</v>
      </c>
      <c r="CE105" s="504">
        <v>103787</v>
      </c>
      <c r="CF105" s="504">
        <v>104363</v>
      </c>
      <c r="CG105" s="504">
        <v>106380</v>
      </c>
      <c r="CH105" s="504">
        <v>108108</v>
      </c>
      <c r="CI105" s="504">
        <v>109549</v>
      </c>
      <c r="CJ105" s="504">
        <v>118787</v>
      </c>
      <c r="CK105" s="504">
        <v>119363</v>
      </c>
      <c r="CL105" s="504">
        <v>121380</v>
      </c>
      <c r="CM105" s="504">
        <v>123108</v>
      </c>
      <c r="CN105" s="1347">
        <v>124549</v>
      </c>
    </row>
    <row r="106" spans="2:92" ht="18" customHeight="1">
      <c r="AG106" s="1545"/>
      <c r="AH106" s="1545"/>
      <c r="AI106" s="1545"/>
      <c r="AJ106" s="1545"/>
      <c r="AK106" s="1545"/>
      <c r="AL106" s="1545"/>
      <c r="AM106" s="1545"/>
      <c r="AN106" s="1545"/>
      <c r="BH106" s="1348" t="s">
        <v>2585</v>
      </c>
      <c r="BI106" s="483">
        <v>167574</v>
      </c>
      <c r="BJ106" s="483">
        <v>168870</v>
      </c>
      <c r="BK106" s="483">
        <v>172615</v>
      </c>
      <c r="BL106" s="483">
        <v>176073</v>
      </c>
      <c r="BM106" s="483">
        <v>179098</v>
      </c>
      <c r="BN106" s="483">
        <v>192574</v>
      </c>
      <c r="BO106" s="483">
        <v>193870</v>
      </c>
      <c r="BP106" s="483">
        <v>197615</v>
      </c>
      <c r="BQ106" s="483">
        <v>201073</v>
      </c>
      <c r="BR106" s="1344">
        <v>204098</v>
      </c>
      <c r="BS106" s="1545"/>
      <c r="BT106" s="473">
        <f>INDEX(BU100:BU104,MATCH(BT99,BT100:BT104,-1))</f>
        <v>1</v>
      </c>
      <c r="BU106" s="1545"/>
      <c r="BV106" s="1545"/>
      <c r="BW106" s="1545"/>
      <c r="BX106" s="1545"/>
      <c r="BY106" s="1545"/>
      <c r="BZ106" s="1545"/>
      <c r="CA106" s="1545"/>
      <c r="CB106" s="1545"/>
      <c r="CC106" s="1545"/>
      <c r="CD106" s="1348" t="s">
        <v>2585</v>
      </c>
      <c r="CE106" s="504">
        <v>112574</v>
      </c>
      <c r="CF106" s="504">
        <v>113870</v>
      </c>
      <c r="CG106" s="504">
        <v>117615</v>
      </c>
      <c r="CH106" s="504">
        <v>121073</v>
      </c>
      <c r="CI106" s="504">
        <v>124098</v>
      </c>
      <c r="CJ106" s="504">
        <v>127574</v>
      </c>
      <c r="CK106" s="504">
        <v>128870</v>
      </c>
      <c r="CL106" s="504">
        <v>132615</v>
      </c>
      <c r="CM106" s="504">
        <v>136073</v>
      </c>
      <c r="CN106" s="1347">
        <v>139098</v>
      </c>
    </row>
    <row r="107" spans="2:92" ht="18" customHeight="1">
      <c r="AH107" s="1545"/>
      <c r="AI107" s="1545"/>
      <c r="AJ107" s="1545"/>
      <c r="AK107" s="1545"/>
      <c r="AL107" s="1545"/>
      <c r="AM107" s="1545"/>
      <c r="AN107" s="1545"/>
      <c r="BH107" s="1348" t="s">
        <v>2586</v>
      </c>
      <c r="BI107" s="483">
        <v>176361</v>
      </c>
      <c r="BJ107" s="483">
        <v>178233</v>
      </c>
      <c r="BK107" s="483">
        <v>183995</v>
      </c>
      <c r="BL107" s="483">
        <v>189181</v>
      </c>
      <c r="BM107" s="483">
        <v>193646</v>
      </c>
      <c r="BN107" s="483">
        <v>201361</v>
      </c>
      <c r="BO107" s="483">
        <v>203233</v>
      </c>
      <c r="BP107" s="483">
        <v>208995</v>
      </c>
      <c r="BQ107" s="483">
        <v>214181</v>
      </c>
      <c r="BR107" s="1344">
        <v>218646</v>
      </c>
      <c r="BS107" s="1545"/>
      <c r="BU107" s="1545"/>
      <c r="BV107" s="1545"/>
      <c r="BW107" s="1545"/>
      <c r="BX107" s="1545"/>
      <c r="BY107" s="1545"/>
      <c r="BZ107" s="1545"/>
      <c r="CA107" s="1545"/>
      <c r="CB107" s="1545"/>
      <c r="CC107" s="1545"/>
      <c r="CD107" s="1348" t="s">
        <v>2586</v>
      </c>
      <c r="CE107" s="504">
        <v>121361</v>
      </c>
      <c r="CF107" s="504">
        <v>123233</v>
      </c>
      <c r="CG107" s="504">
        <v>128995</v>
      </c>
      <c r="CH107" s="504">
        <v>134181</v>
      </c>
      <c r="CI107" s="504">
        <v>138646</v>
      </c>
      <c r="CJ107" s="504">
        <v>136361</v>
      </c>
      <c r="CK107" s="504">
        <v>138233</v>
      </c>
      <c r="CL107" s="504">
        <v>143995</v>
      </c>
      <c r="CM107" s="504">
        <v>149181</v>
      </c>
      <c r="CN107" s="1347">
        <v>153646</v>
      </c>
    </row>
    <row r="108" spans="2:92" ht="18" customHeight="1">
      <c r="BH108" s="1348" t="s">
        <v>2587</v>
      </c>
      <c r="BI108" s="483">
        <v>185148</v>
      </c>
      <c r="BJ108" s="483">
        <v>187596</v>
      </c>
      <c r="BK108" s="483">
        <v>195231</v>
      </c>
      <c r="BL108" s="483">
        <v>202145</v>
      </c>
      <c r="BM108" s="483">
        <v>208195</v>
      </c>
      <c r="BN108" s="483">
        <v>210148</v>
      </c>
      <c r="BO108" s="483">
        <v>212596</v>
      </c>
      <c r="BP108" s="483">
        <v>220231</v>
      </c>
      <c r="BQ108" s="483">
        <v>227145</v>
      </c>
      <c r="BR108" s="1344">
        <v>233195</v>
      </c>
      <c r="BS108" s="1545"/>
      <c r="BT108" s="473">
        <f>MATCH(BT99,BT100:BT104,-1)</f>
        <v>1</v>
      </c>
      <c r="BU108" s="1545"/>
      <c r="BV108" s="1545"/>
      <c r="BW108" s="1545"/>
      <c r="BX108" s="1545"/>
      <c r="BY108" s="1545"/>
      <c r="BZ108" s="1545"/>
      <c r="CA108" s="1545"/>
      <c r="CB108" s="1545"/>
      <c r="CC108" s="1545"/>
      <c r="CD108" s="1348" t="s">
        <v>2587</v>
      </c>
      <c r="CE108" s="504">
        <v>130148</v>
      </c>
      <c r="CF108" s="504">
        <v>132596</v>
      </c>
      <c r="CG108" s="504">
        <v>140231</v>
      </c>
      <c r="CH108" s="504">
        <v>147145</v>
      </c>
      <c r="CI108" s="504">
        <v>153195</v>
      </c>
      <c r="CJ108" s="504">
        <v>145148</v>
      </c>
      <c r="CK108" s="504">
        <v>147596</v>
      </c>
      <c r="CL108" s="504">
        <v>155231</v>
      </c>
      <c r="CM108" s="504">
        <v>162145</v>
      </c>
      <c r="CN108" s="1347">
        <v>168195</v>
      </c>
    </row>
    <row r="109" spans="2:92" ht="18" customHeight="1">
      <c r="BH109" s="1348" t="s">
        <v>2588</v>
      </c>
      <c r="BI109" s="483">
        <v>193934</v>
      </c>
      <c r="BJ109" s="483">
        <v>197103</v>
      </c>
      <c r="BK109" s="483">
        <v>206611</v>
      </c>
      <c r="BL109" s="483">
        <v>215253</v>
      </c>
      <c r="BM109" s="483">
        <v>222888</v>
      </c>
      <c r="BN109" s="483">
        <v>218934</v>
      </c>
      <c r="BO109" s="483">
        <v>222103</v>
      </c>
      <c r="BP109" s="483">
        <v>231611</v>
      </c>
      <c r="BQ109" s="483">
        <v>240253</v>
      </c>
      <c r="BR109" s="1344">
        <v>247888</v>
      </c>
      <c r="BS109" s="1545"/>
      <c r="BU109" s="1545"/>
      <c r="BV109" s="1545"/>
      <c r="BW109" s="1545"/>
      <c r="BX109" s="1545"/>
      <c r="BY109" s="1545"/>
      <c r="BZ109" s="1545"/>
      <c r="CA109" s="1545"/>
      <c r="CB109" s="1545"/>
      <c r="CC109" s="1545"/>
      <c r="CD109" s="1348" t="s">
        <v>2588</v>
      </c>
      <c r="CE109" s="504">
        <v>138934</v>
      </c>
      <c r="CF109" s="504">
        <v>142103</v>
      </c>
      <c r="CG109" s="504">
        <v>151611</v>
      </c>
      <c r="CH109" s="504">
        <v>160253</v>
      </c>
      <c r="CI109" s="504">
        <v>167888</v>
      </c>
      <c r="CJ109" s="504">
        <v>153934</v>
      </c>
      <c r="CK109" s="504">
        <v>157103</v>
      </c>
      <c r="CL109" s="504">
        <v>166611</v>
      </c>
      <c r="CM109" s="504">
        <v>175253</v>
      </c>
      <c r="CN109" s="1347">
        <v>182888</v>
      </c>
    </row>
    <row r="110" spans="2:92" ht="18" customHeight="1">
      <c r="BH110" s="1348" t="s">
        <v>2589</v>
      </c>
      <c r="BI110" s="483">
        <v>202721</v>
      </c>
      <c r="BJ110" s="483">
        <v>206467</v>
      </c>
      <c r="BK110" s="483">
        <v>217846</v>
      </c>
      <c r="BL110" s="483">
        <v>228362</v>
      </c>
      <c r="BM110" s="483">
        <v>237437</v>
      </c>
      <c r="BN110" s="483">
        <v>227721</v>
      </c>
      <c r="BO110" s="483">
        <v>231467</v>
      </c>
      <c r="BP110" s="483">
        <v>242846</v>
      </c>
      <c r="BQ110" s="483">
        <v>253362</v>
      </c>
      <c r="BR110" s="1344">
        <v>262437</v>
      </c>
      <c r="BS110" s="1545"/>
      <c r="BU110" s="1545"/>
      <c r="BV110" s="1545"/>
      <c r="BW110" s="1545"/>
      <c r="BX110" s="1545"/>
      <c r="BY110" s="1545"/>
      <c r="BZ110" s="1545"/>
      <c r="CA110" s="1545"/>
      <c r="CB110" s="1545"/>
      <c r="CC110" s="1545"/>
      <c r="CD110" s="1348" t="s">
        <v>2589</v>
      </c>
      <c r="CE110" s="504">
        <v>147721</v>
      </c>
      <c r="CF110" s="504">
        <v>151467</v>
      </c>
      <c r="CG110" s="504">
        <v>162846</v>
      </c>
      <c r="CH110" s="504">
        <v>173362</v>
      </c>
      <c r="CI110" s="504">
        <v>182437</v>
      </c>
      <c r="CJ110" s="504">
        <v>162721</v>
      </c>
      <c r="CK110" s="504">
        <v>166467</v>
      </c>
      <c r="CL110" s="504">
        <v>177846</v>
      </c>
      <c r="CM110" s="504">
        <v>188362</v>
      </c>
      <c r="CN110" s="1347">
        <v>197437</v>
      </c>
    </row>
    <row r="111" spans="2:92" ht="18" customHeight="1">
      <c r="BH111" s="1348" t="s">
        <v>2590</v>
      </c>
      <c r="BI111" s="483">
        <v>211508</v>
      </c>
      <c r="BJ111" s="483">
        <v>215974</v>
      </c>
      <c r="BK111" s="483">
        <v>229226</v>
      </c>
      <c r="BL111" s="483">
        <v>241326</v>
      </c>
      <c r="BM111" s="483">
        <v>251985</v>
      </c>
      <c r="BN111" s="483">
        <v>236508</v>
      </c>
      <c r="BO111" s="483">
        <v>240974</v>
      </c>
      <c r="BP111" s="483">
        <v>254226</v>
      </c>
      <c r="BQ111" s="483">
        <v>266326</v>
      </c>
      <c r="BR111" s="1344">
        <v>276985</v>
      </c>
      <c r="BS111" s="1545"/>
      <c r="BU111" s="1545"/>
      <c r="BV111" s="1545"/>
      <c r="BW111" s="1545"/>
      <c r="BX111" s="1545"/>
      <c r="BY111" s="1545"/>
      <c r="BZ111" s="1545"/>
      <c r="CA111" s="1545"/>
      <c r="CB111" s="1545"/>
      <c r="CC111" s="1545"/>
      <c r="CD111" s="1348" t="s">
        <v>2590</v>
      </c>
      <c r="CE111" s="504">
        <v>156508</v>
      </c>
      <c r="CF111" s="504">
        <v>160974</v>
      </c>
      <c r="CG111" s="504">
        <v>174226</v>
      </c>
      <c r="CH111" s="504">
        <v>186326</v>
      </c>
      <c r="CI111" s="504">
        <v>196985</v>
      </c>
      <c r="CJ111" s="504">
        <v>171508</v>
      </c>
      <c r="CK111" s="504">
        <v>175974</v>
      </c>
      <c r="CL111" s="504">
        <v>189226</v>
      </c>
      <c r="CM111" s="504">
        <v>201326</v>
      </c>
      <c r="CN111" s="1347">
        <v>211985</v>
      </c>
    </row>
    <row r="112" spans="2:92" ht="18" customHeight="1">
      <c r="BH112" s="1348" t="s">
        <v>2591</v>
      </c>
      <c r="BI112" s="483">
        <v>220295</v>
      </c>
      <c r="BJ112" s="483">
        <v>225337</v>
      </c>
      <c r="BK112" s="483">
        <v>240462</v>
      </c>
      <c r="BL112" s="483">
        <v>254434</v>
      </c>
      <c r="BM112" s="483">
        <v>266534</v>
      </c>
      <c r="BN112" s="483">
        <v>245295</v>
      </c>
      <c r="BO112" s="483">
        <v>250337</v>
      </c>
      <c r="BP112" s="483">
        <v>265462</v>
      </c>
      <c r="BQ112" s="483">
        <v>279434</v>
      </c>
      <c r="BR112" s="1344">
        <v>291534</v>
      </c>
      <c r="BS112" s="1545"/>
      <c r="BU112" s="1545"/>
      <c r="BV112" s="1545"/>
      <c r="BW112" s="1545"/>
      <c r="BX112" s="1545"/>
      <c r="BY112" s="1545"/>
      <c r="BZ112" s="1545"/>
      <c r="CA112" s="1545"/>
      <c r="CB112" s="1545"/>
      <c r="CC112" s="1545"/>
      <c r="CD112" s="1348" t="s">
        <v>2591</v>
      </c>
      <c r="CE112" s="504">
        <v>165295</v>
      </c>
      <c r="CF112" s="504">
        <v>170337</v>
      </c>
      <c r="CG112" s="504">
        <v>185462</v>
      </c>
      <c r="CH112" s="504">
        <v>199434</v>
      </c>
      <c r="CI112" s="504">
        <v>211534</v>
      </c>
      <c r="CJ112" s="504">
        <v>180295</v>
      </c>
      <c r="CK112" s="504">
        <v>185337</v>
      </c>
      <c r="CL112" s="504">
        <v>200462</v>
      </c>
      <c r="CM112" s="504">
        <v>214434</v>
      </c>
      <c r="CN112" s="1347">
        <v>226534</v>
      </c>
    </row>
    <row r="113" spans="60:92" ht="18" customHeight="1">
      <c r="BH113" s="1348" t="s">
        <v>2592</v>
      </c>
      <c r="BI113" s="483">
        <v>229082</v>
      </c>
      <c r="BJ113" s="483">
        <v>234700</v>
      </c>
      <c r="BK113" s="483">
        <v>251841</v>
      </c>
      <c r="BL113" s="483">
        <v>267543</v>
      </c>
      <c r="BM113" s="483">
        <v>281083</v>
      </c>
      <c r="BN113" s="483">
        <v>254082</v>
      </c>
      <c r="BO113" s="483">
        <v>259700</v>
      </c>
      <c r="BP113" s="483">
        <v>276841</v>
      </c>
      <c r="BQ113" s="483">
        <v>292543</v>
      </c>
      <c r="BR113" s="1344">
        <v>306083</v>
      </c>
      <c r="BS113" s="1545"/>
      <c r="BU113" s="1545"/>
      <c r="BV113" s="1545"/>
      <c r="BW113" s="1545"/>
      <c r="BX113" s="1545"/>
      <c r="BY113" s="1545"/>
      <c r="BZ113" s="1545"/>
      <c r="CA113" s="1545"/>
      <c r="CB113" s="1545"/>
      <c r="CC113" s="1545"/>
      <c r="CD113" s="1348" t="s">
        <v>2592</v>
      </c>
      <c r="CE113" s="504">
        <v>174082</v>
      </c>
      <c r="CF113" s="504">
        <v>179700</v>
      </c>
      <c r="CG113" s="504">
        <v>196841</v>
      </c>
      <c r="CH113" s="504">
        <v>212543</v>
      </c>
      <c r="CI113" s="504">
        <v>226083</v>
      </c>
      <c r="CJ113" s="504">
        <v>189082</v>
      </c>
      <c r="CK113" s="504">
        <v>194700</v>
      </c>
      <c r="CL113" s="504">
        <v>211841</v>
      </c>
      <c r="CM113" s="504">
        <v>227543</v>
      </c>
      <c r="CN113" s="1347">
        <v>241083</v>
      </c>
    </row>
    <row r="114" spans="60:92" ht="18" customHeight="1">
      <c r="BH114" s="1343" t="s">
        <v>2593</v>
      </c>
      <c r="BI114" s="483">
        <v>150000</v>
      </c>
      <c r="BJ114" s="483">
        <v>150000</v>
      </c>
      <c r="BK114" s="483">
        <v>150000</v>
      </c>
      <c r="BL114" s="483">
        <v>150000</v>
      </c>
      <c r="BM114" s="483">
        <v>150000</v>
      </c>
      <c r="BN114" s="483">
        <v>175000</v>
      </c>
      <c r="BO114" s="483">
        <v>175000</v>
      </c>
      <c r="BP114" s="483">
        <v>175000</v>
      </c>
      <c r="BQ114" s="483">
        <v>175000</v>
      </c>
      <c r="BR114" s="1344">
        <v>175000</v>
      </c>
      <c r="BS114" s="1545"/>
      <c r="BU114" s="1545"/>
      <c r="BV114" s="1545"/>
      <c r="BW114" s="1545"/>
      <c r="BX114" s="1545"/>
      <c r="BY114" s="1545"/>
      <c r="BZ114" s="1545"/>
      <c r="CA114" s="1545"/>
      <c r="CB114" s="1545"/>
      <c r="CC114" s="1545"/>
      <c r="CD114" s="1343" t="s">
        <v>2593</v>
      </c>
      <c r="CE114" s="504">
        <v>95000</v>
      </c>
      <c r="CF114" s="504">
        <v>95000</v>
      </c>
      <c r="CG114" s="504">
        <v>95000</v>
      </c>
      <c r="CH114" s="504">
        <v>95000</v>
      </c>
      <c r="CI114" s="504">
        <v>95000</v>
      </c>
      <c r="CJ114" s="504">
        <v>110000</v>
      </c>
      <c r="CK114" s="504">
        <v>110000</v>
      </c>
      <c r="CL114" s="504">
        <v>110000</v>
      </c>
      <c r="CM114" s="504">
        <v>110000</v>
      </c>
      <c r="CN114" s="1347">
        <v>110000</v>
      </c>
    </row>
    <row r="115" spans="60:92" ht="18" customHeight="1">
      <c r="BH115" s="1348" t="s">
        <v>2594</v>
      </c>
      <c r="BI115" s="483">
        <v>158787</v>
      </c>
      <c r="BJ115" s="483">
        <v>159363</v>
      </c>
      <c r="BK115" s="483">
        <v>161380</v>
      </c>
      <c r="BL115" s="483">
        <v>163108</v>
      </c>
      <c r="BM115" s="483">
        <v>164549</v>
      </c>
      <c r="BN115" s="483">
        <v>183787</v>
      </c>
      <c r="BO115" s="483">
        <v>184363</v>
      </c>
      <c r="BP115" s="483">
        <v>186380</v>
      </c>
      <c r="BQ115" s="483">
        <v>188108</v>
      </c>
      <c r="BR115" s="1344">
        <v>189549</v>
      </c>
      <c r="BS115" s="1545"/>
      <c r="BU115" s="1545"/>
      <c r="BV115" s="1545"/>
      <c r="BW115" s="1545"/>
      <c r="BX115" s="1545"/>
      <c r="BY115" s="1545"/>
      <c r="BZ115" s="1545"/>
      <c r="CA115" s="1545"/>
      <c r="CB115" s="1545"/>
      <c r="CC115" s="1545"/>
      <c r="CD115" s="1348" t="s">
        <v>2594</v>
      </c>
      <c r="CE115" s="504">
        <v>103787</v>
      </c>
      <c r="CF115" s="504">
        <v>104363</v>
      </c>
      <c r="CG115" s="504">
        <v>106380</v>
      </c>
      <c r="CH115" s="504">
        <v>108108</v>
      </c>
      <c r="CI115" s="504">
        <v>109549</v>
      </c>
      <c r="CJ115" s="504">
        <v>118787</v>
      </c>
      <c r="CK115" s="504">
        <v>119363</v>
      </c>
      <c r="CL115" s="504">
        <v>121380</v>
      </c>
      <c r="CM115" s="504">
        <v>123108</v>
      </c>
      <c r="CN115" s="1347">
        <v>124549</v>
      </c>
    </row>
    <row r="116" spans="60:92" ht="18" customHeight="1">
      <c r="BH116" s="1348" t="s">
        <v>2595</v>
      </c>
      <c r="BI116" s="483">
        <v>167574</v>
      </c>
      <c r="BJ116" s="483">
        <v>168870</v>
      </c>
      <c r="BK116" s="483">
        <v>172615</v>
      </c>
      <c r="BL116" s="483">
        <v>176073</v>
      </c>
      <c r="BM116" s="483">
        <v>179098</v>
      </c>
      <c r="BN116" s="483">
        <v>192574</v>
      </c>
      <c r="BO116" s="483">
        <v>193870</v>
      </c>
      <c r="BP116" s="483">
        <v>197615</v>
      </c>
      <c r="BQ116" s="483">
        <v>201073</v>
      </c>
      <c r="BR116" s="1344">
        <v>204098</v>
      </c>
      <c r="BS116" s="1545"/>
      <c r="BU116" s="1545"/>
      <c r="BV116" s="1545"/>
      <c r="BW116" s="1545"/>
      <c r="BX116" s="1545"/>
      <c r="BY116" s="1545"/>
      <c r="BZ116" s="1545"/>
      <c r="CA116" s="1545"/>
      <c r="CB116" s="1545"/>
      <c r="CC116" s="1545"/>
      <c r="CD116" s="1348" t="s">
        <v>2595</v>
      </c>
      <c r="CE116" s="504">
        <v>112574</v>
      </c>
      <c r="CF116" s="504">
        <v>113870</v>
      </c>
      <c r="CG116" s="504">
        <v>117615</v>
      </c>
      <c r="CH116" s="504">
        <v>121073</v>
      </c>
      <c r="CI116" s="504">
        <v>124098</v>
      </c>
      <c r="CJ116" s="504">
        <v>127574</v>
      </c>
      <c r="CK116" s="504">
        <v>128870</v>
      </c>
      <c r="CL116" s="504">
        <v>132615</v>
      </c>
      <c r="CM116" s="504">
        <v>136073</v>
      </c>
      <c r="CN116" s="1347">
        <v>139098</v>
      </c>
    </row>
    <row r="117" spans="60:92" ht="18" customHeight="1">
      <c r="BH117" s="1348" t="s">
        <v>2596</v>
      </c>
      <c r="BI117" s="483">
        <v>176361</v>
      </c>
      <c r="BJ117" s="483">
        <v>178233</v>
      </c>
      <c r="BK117" s="483">
        <v>183995</v>
      </c>
      <c r="BL117" s="483">
        <v>189181</v>
      </c>
      <c r="BM117" s="483">
        <v>193646</v>
      </c>
      <c r="BN117" s="483">
        <v>201361</v>
      </c>
      <c r="BO117" s="483">
        <v>203233</v>
      </c>
      <c r="BP117" s="483">
        <v>208995</v>
      </c>
      <c r="BQ117" s="483">
        <v>214181</v>
      </c>
      <c r="BR117" s="1344">
        <v>218646</v>
      </c>
      <c r="BS117" s="1545"/>
      <c r="BU117" s="1545"/>
      <c r="BV117" s="1545"/>
      <c r="BW117" s="1545"/>
      <c r="BX117" s="1545"/>
      <c r="BY117" s="1545"/>
      <c r="BZ117" s="1545"/>
      <c r="CA117" s="1545"/>
      <c r="CB117" s="1545"/>
      <c r="CC117" s="1545"/>
      <c r="CD117" s="1348" t="s">
        <v>2596</v>
      </c>
      <c r="CE117" s="504">
        <v>121361</v>
      </c>
      <c r="CF117" s="504">
        <v>123233</v>
      </c>
      <c r="CG117" s="504">
        <v>128995</v>
      </c>
      <c r="CH117" s="504">
        <v>134181</v>
      </c>
      <c r="CI117" s="504">
        <v>138646</v>
      </c>
      <c r="CJ117" s="504">
        <v>136361</v>
      </c>
      <c r="CK117" s="504">
        <v>138233</v>
      </c>
      <c r="CL117" s="504">
        <v>143995</v>
      </c>
      <c r="CM117" s="504">
        <v>149181</v>
      </c>
      <c r="CN117" s="1347">
        <v>153646</v>
      </c>
    </row>
    <row r="118" spans="60:92" ht="18" customHeight="1">
      <c r="BH118" s="1348" t="s">
        <v>2597</v>
      </c>
      <c r="BI118" s="483">
        <v>185148</v>
      </c>
      <c r="BJ118" s="483">
        <v>187596</v>
      </c>
      <c r="BK118" s="483">
        <v>195231</v>
      </c>
      <c r="BL118" s="483">
        <v>202145</v>
      </c>
      <c r="BM118" s="483">
        <v>208195</v>
      </c>
      <c r="BN118" s="483">
        <v>210148</v>
      </c>
      <c r="BO118" s="483">
        <v>212596</v>
      </c>
      <c r="BP118" s="483">
        <v>220231</v>
      </c>
      <c r="BQ118" s="483">
        <v>227145</v>
      </c>
      <c r="BR118" s="1344">
        <v>233195</v>
      </c>
      <c r="BS118" s="1545"/>
      <c r="BU118" s="1545"/>
      <c r="BV118" s="1545"/>
      <c r="BW118" s="1545"/>
      <c r="BX118" s="1545"/>
      <c r="BY118" s="1545"/>
      <c r="BZ118" s="1545"/>
      <c r="CA118" s="1545"/>
      <c r="CB118" s="1545"/>
      <c r="CC118" s="1545"/>
      <c r="CD118" s="1348" t="s">
        <v>2597</v>
      </c>
      <c r="CE118" s="504">
        <v>130148</v>
      </c>
      <c r="CF118" s="504">
        <v>132596</v>
      </c>
      <c r="CG118" s="504">
        <v>140231</v>
      </c>
      <c r="CH118" s="504">
        <v>147145</v>
      </c>
      <c r="CI118" s="504">
        <v>153195</v>
      </c>
      <c r="CJ118" s="504">
        <v>145148</v>
      </c>
      <c r="CK118" s="504">
        <v>147596</v>
      </c>
      <c r="CL118" s="504">
        <v>155231</v>
      </c>
      <c r="CM118" s="504">
        <v>162145</v>
      </c>
      <c r="CN118" s="1347">
        <v>168195</v>
      </c>
    </row>
    <row r="119" spans="60:92" ht="18" customHeight="1">
      <c r="BH119" s="1348" t="s">
        <v>2598</v>
      </c>
      <c r="BI119" s="483">
        <v>193934</v>
      </c>
      <c r="BJ119" s="483">
        <v>197103</v>
      </c>
      <c r="BK119" s="483">
        <v>206611</v>
      </c>
      <c r="BL119" s="483">
        <v>215253</v>
      </c>
      <c r="BM119" s="483">
        <v>222888</v>
      </c>
      <c r="BN119" s="483">
        <v>218934</v>
      </c>
      <c r="BO119" s="483">
        <v>222103</v>
      </c>
      <c r="BP119" s="483">
        <v>231611</v>
      </c>
      <c r="BQ119" s="483">
        <v>240253</v>
      </c>
      <c r="BR119" s="1344">
        <v>247888</v>
      </c>
      <c r="BS119" s="1545"/>
      <c r="BU119" s="1545"/>
      <c r="BV119" s="1545"/>
      <c r="BW119" s="1545"/>
      <c r="BX119" s="1545"/>
      <c r="BY119" s="1545"/>
      <c r="BZ119" s="1545"/>
      <c r="CA119" s="1545"/>
      <c r="CB119" s="1545"/>
      <c r="CC119" s="1545"/>
      <c r="CD119" s="1348" t="s">
        <v>2598</v>
      </c>
      <c r="CE119" s="504">
        <v>138934</v>
      </c>
      <c r="CF119" s="504">
        <v>142103</v>
      </c>
      <c r="CG119" s="504">
        <v>151611</v>
      </c>
      <c r="CH119" s="504">
        <v>160253</v>
      </c>
      <c r="CI119" s="504">
        <v>167888</v>
      </c>
      <c r="CJ119" s="504">
        <v>153934</v>
      </c>
      <c r="CK119" s="504">
        <v>157103</v>
      </c>
      <c r="CL119" s="504">
        <v>166611</v>
      </c>
      <c r="CM119" s="504">
        <v>175253</v>
      </c>
      <c r="CN119" s="1347">
        <v>182888</v>
      </c>
    </row>
    <row r="120" spans="60:92" ht="18" customHeight="1">
      <c r="BH120" s="1348" t="s">
        <v>2599</v>
      </c>
      <c r="BI120" s="483">
        <v>202721</v>
      </c>
      <c r="BJ120" s="483">
        <v>206467</v>
      </c>
      <c r="BK120" s="483">
        <v>217846</v>
      </c>
      <c r="BL120" s="483">
        <v>228362</v>
      </c>
      <c r="BM120" s="483">
        <v>237437</v>
      </c>
      <c r="BN120" s="483">
        <v>227721</v>
      </c>
      <c r="BO120" s="483">
        <v>231467</v>
      </c>
      <c r="BP120" s="483">
        <v>242846</v>
      </c>
      <c r="BQ120" s="483">
        <v>253362</v>
      </c>
      <c r="BR120" s="1344">
        <v>262437</v>
      </c>
      <c r="BS120" s="1545"/>
      <c r="BU120" s="1545"/>
      <c r="BV120" s="1545"/>
      <c r="BW120" s="1545"/>
      <c r="BX120" s="1545"/>
      <c r="BY120" s="1545"/>
      <c r="BZ120" s="1545"/>
      <c r="CA120" s="1545"/>
      <c r="CB120" s="1545"/>
      <c r="CC120" s="1545"/>
      <c r="CD120" s="1348" t="s">
        <v>2599</v>
      </c>
      <c r="CE120" s="504">
        <v>147721</v>
      </c>
      <c r="CF120" s="504">
        <v>151467</v>
      </c>
      <c r="CG120" s="504">
        <v>162846</v>
      </c>
      <c r="CH120" s="504">
        <v>173362</v>
      </c>
      <c r="CI120" s="504">
        <v>182437</v>
      </c>
      <c r="CJ120" s="504">
        <v>162721</v>
      </c>
      <c r="CK120" s="504">
        <v>166467</v>
      </c>
      <c r="CL120" s="504">
        <v>177846</v>
      </c>
      <c r="CM120" s="504">
        <v>188362</v>
      </c>
      <c r="CN120" s="1347">
        <v>197437</v>
      </c>
    </row>
    <row r="121" spans="60:92" ht="18" customHeight="1">
      <c r="BH121" s="1348" t="s">
        <v>2600</v>
      </c>
      <c r="BI121" s="483">
        <v>211508</v>
      </c>
      <c r="BJ121" s="483">
        <v>215974</v>
      </c>
      <c r="BK121" s="483">
        <v>229226</v>
      </c>
      <c r="BL121" s="483">
        <v>241326</v>
      </c>
      <c r="BM121" s="483">
        <v>251985</v>
      </c>
      <c r="BN121" s="483">
        <v>236508</v>
      </c>
      <c r="BO121" s="483">
        <v>240974</v>
      </c>
      <c r="BP121" s="483">
        <v>254226</v>
      </c>
      <c r="BQ121" s="483">
        <v>266326</v>
      </c>
      <c r="BR121" s="1344">
        <v>276985</v>
      </c>
      <c r="BS121" s="1545"/>
      <c r="BU121" s="1545"/>
      <c r="BV121" s="1545"/>
      <c r="BW121" s="1545"/>
      <c r="BX121" s="1545"/>
      <c r="BY121" s="1545"/>
      <c r="BZ121" s="1545"/>
      <c r="CA121" s="1545"/>
      <c r="CB121" s="1545"/>
      <c r="CC121" s="1545"/>
      <c r="CD121" s="1348" t="s">
        <v>2600</v>
      </c>
      <c r="CE121" s="504">
        <v>156508</v>
      </c>
      <c r="CF121" s="504">
        <v>160974</v>
      </c>
      <c r="CG121" s="504">
        <v>174226</v>
      </c>
      <c r="CH121" s="504">
        <v>186326</v>
      </c>
      <c r="CI121" s="504">
        <v>196985</v>
      </c>
      <c r="CJ121" s="504">
        <v>171508</v>
      </c>
      <c r="CK121" s="504">
        <v>175974</v>
      </c>
      <c r="CL121" s="504">
        <v>189226</v>
      </c>
      <c r="CM121" s="504">
        <v>201326</v>
      </c>
      <c r="CN121" s="1347">
        <v>211985</v>
      </c>
    </row>
    <row r="122" spans="60:92" ht="18" customHeight="1">
      <c r="BH122" s="1348" t="s">
        <v>2601</v>
      </c>
      <c r="BI122" s="483">
        <v>220295</v>
      </c>
      <c r="BJ122" s="483">
        <v>225337</v>
      </c>
      <c r="BK122" s="483">
        <v>240462</v>
      </c>
      <c r="BL122" s="483">
        <v>254434</v>
      </c>
      <c r="BM122" s="483">
        <v>266534</v>
      </c>
      <c r="BN122" s="483">
        <v>245295</v>
      </c>
      <c r="BO122" s="483">
        <v>250337</v>
      </c>
      <c r="BP122" s="483">
        <v>265462</v>
      </c>
      <c r="BQ122" s="483">
        <v>279434</v>
      </c>
      <c r="BR122" s="1344">
        <v>291534</v>
      </c>
      <c r="BS122" s="1545"/>
      <c r="BU122" s="1545"/>
      <c r="BV122" s="1545"/>
      <c r="BW122" s="1545"/>
      <c r="BX122" s="1545"/>
      <c r="BY122" s="1545"/>
      <c r="BZ122" s="1545"/>
      <c r="CA122" s="1545"/>
      <c r="CB122" s="1545"/>
      <c r="CC122" s="1545"/>
      <c r="CD122" s="1348" t="s">
        <v>2601</v>
      </c>
      <c r="CE122" s="504">
        <v>165295</v>
      </c>
      <c r="CF122" s="504">
        <v>170337</v>
      </c>
      <c r="CG122" s="504">
        <v>185462</v>
      </c>
      <c r="CH122" s="504">
        <v>199434</v>
      </c>
      <c r="CI122" s="504">
        <v>211534</v>
      </c>
      <c r="CJ122" s="504">
        <v>180295</v>
      </c>
      <c r="CK122" s="504">
        <v>185337</v>
      </c>
      <c r="CL122" s="504">
        <v>200462</v>
      </c>
      <c r="CM122" s="504">
        <v>214434</v>
      </c>
      <c r="CN122" s="1347">
        <v>226534</v>
      </c>
    </row>
    <row r="123" spans="60:92" ht="18" customHeight="1">
      <c r="BH123" s="1348" t="s">
        <v>2602</v>
      </c>
      <c r="BI123" s="483">
        <v>229082</v>
      </c>
      <c r="BJ123" s="483">
        <v>234700</v>
      </c>
      <c r="BK123" s="483">
        <v>251841</v>
      </c>
      <c r="BL123" s="483">
        <v>267543</v>
      </c>
      <c r="BM123" s="483">
        <v>281083</v>
      </c>
      <c r="BN123" s="483">
        <v>254082</v>
      </c>
      <c r="BO123" s="483">
        <v>259700</v>
      </c>
      <c r="BP123" s="483">
        <v>276841</v>
      </c>
      <c r="BQ123" s="483">
        <v>292543</v>
      </c>
      <c r="BR123" s="1344">
        <v>306083</v>
      </c>
      <c r="BS123" s="1545"/>
      <c r="BU123" s="1545"/>
      <c r="BV123" s="1545"/>
      <c r="BW123" s="1545"/>
      <c r="BX123" s="1545"/>
      <c r="BY123" s="1545"/>
      <c r="BZ123" s="1545"/>
      <c r="CA123" s="1545"/>
      <c r="CB123" s="1545"/>
      <c r="CC123" s="1545"/>
      <c r="CD123" s="1348" t="s">
        <v>2602</v>
      </c>
      <c r="CE123" s="504">
        <v>174082</v>
      </c>
      <c r="CF123" s="504">
        <v>179700</v>
      </c>
      <c r="CG123" s="504">
        <v>196841</v>
      </c>
      <c r="CH123" s="504">
        <v>212543</v>
      </c>
      <c r="CI123" s="504">
        <v>226083</v>
      </c>
      <c r="CJ123" s="504">
        <v>189082</v>
      </c>
      <c r="CK123" s="504">
        <v>194700</v>
      </c>
      <c r="CL123" s="504">
        <v>211841</v>
      </c>
      <c r="CM123" s="504">
        <v>227543</v>
      </c>
      <c r="CN123" s="1347">
        <v>241083</v>
      </c>
    </row>
    <row r="124" spans="60:92" ht="18" customHeight="1">
      <c r="BH124" s="1343" t="s">
        <v>2603</v>
      </c>
      <c r="BI124" s="483">
        <v>150000</v>
      </c>
      <c r="BJ124" s="483">
        <v>150000</v>
      </c>
      <c r="BK124" s="483">
        <v>150000</v>
      </c>
      <c r="BL124" s="483">
        <v>150000</v>
      </c>
      <c r="BM124" s="483">
        <v>150000</v>
      </c>
      <c r="BN124" s="483">
        <v>175000</v>
      </c>
      <c r="BO124" s="483">
        <v>175000</v>
      </c>
      <c r="BP124" s="483">
        <v>175000</v>
      </c>
      <c r="BQ124" s="483">
        <v>175000</v>
      </c>
      <c r="BR124" s="1344">
        <v>175000</v>
      </c>
      <c r="BS124" s="1545"/>
      <c r="BU124" s="1545"/>
      <c r="BV124" s="1545"/>
      <c r="BW124" s="1545"/>
      <c r="BX124" s="1545"/>
      <c r="BY124" s="1545"/>
      <c r="BZ124" s="1545"/>
      <c r="CA124" s="1545"/>
      <c r="CB124" s="1545"/>
      <c r="CC124" s="1545"/>
      <c r="CD124" s="1343" t="s">
        <v>2603</v>
      </c>
      <c r="CE124" s="504">
        <v>95000</v>
      </c>
      <c r="CF124" s="504">
        <v>95000</v>
      </c>
      <c r="CG124" s="504">
        <v>95000</v>
      </c>
      <c r="CH124" s="504">
        <v>95000</v>
      </c>
      <c r="CI124" s="504">
        <v>95000</v>
      </c>
      <c r="CJ124" s="504">
        <v>110000</v>
      </c>
      <c r="CK124" s="504">
        <v>110000</v>
      </c>
      <c r="CL124" s="504">
        <v>110000</v>
      </c>
      <c r="CM124" s="504">
        <v>110000</v>
      </c>
      <c r="CN124" s="1347">
        <v>110000</v>
      </c>
    </row>
    <row r="125" spans="60:92" ht="18" customHeight="1">
      <c r="BH125" s="1348" t="s">
        <v>2604</v>
      </c>
      <c r="BI125" s="483">
        <v>158787</v>
      </c>
      <c r="BJ125" s="483">
        <v>159363</v>
      </c>
      <c r="BK125" s="483">
        <v>161380</v>
      </c>
      <c r="BL125" s="483">
        <v>163108</v>
      </c>
      <c r="BM125" s="483">
        <v>164549</v>
      </c>
      <c r="BN125" s="483">
        <v>183787</v>
      </c>
      <c r="BO125" s="483">
        <v>184363</v>
      </c>
      <c r="BP125" s="483">
        <v>186380</v>
      </c>
      <c r="BQ125" s="483">
        <v>188108</v>
      </c>
      <c r="BR125" s="1344">
        <v>189549</v>
      </c>
      <c r="BS125" s="1545"/>
      <c r="BU125" s="1545"/>
      <c r="BV125" s="1545"/>
      <c r="BW125" s="1545"/>
      <c r="BX125" s="1545"/>
      <c r="BY125" s="1545"/>
      <c r="BZ125" s="1545"/>
      <c r="CA125" s="1545"/>
      <c r="CB125" s="1545"/>
      <c r="CC125" s="1545"/>
      <c r="CD125" s="1348" t="s">
        <v>2604</v>
      </c>
      <c r="CE125" s="504">
        <v>103787</v>
      </c>
      <c r="CF125" s="504">
        <v>104363</v>
      </c>
      <c r="CG125" s="504">
        <v>106380</v>
      </c>
      <c r="CH125" s="504">
        <v>108108</v>
      </c>
      <c r="CI125" s="504">
        <v>109549</v>
      </c>
      <c r="CJ125" s="504">
        <v>118787</v>
      </c>
      <c r="CK125" s="504">
        <v>119363</v>
      </c>
      <c r="CL125" s="504">
        <v>121380</v>
      </c>
      <c r="CM125" s="504">
        <v>123108</v>
      </c>
      <c r="CN125" s="1347">
        <v>124549</v>
      </c>
    </row>
    <row r="126" spans="60:92" ht="18" customHeight="1">
      <c r="BH126" s="1348" t="s">
        <v>2605</v>
      </c>
      <c r="BI126" s="483">
        <v>167574</v>
      </c>
      <c r="BJ126" s="483">
        <v>168870</v>
      </c>
      <c r="BK126" s="483">
        <v>172615</v>
      </c>
      <c r="BL126" s="483">
        <v>176073</v>
      </c>
      <c r="BM126" s="483">
        <v>179098</v>
      </c>
      <c r="BN126" s="483">
        <v>192574</v>
      </c>
      <c r="BO126" s="483">
        <v>193870</v>
      </c>
      <c r="BP126" s="483">
        <v>197615</v>
      </c>
      <c r="BQ126" s="483">
        <v>201073</v>
      </c>
      <c r="BR126" s="1344">
        <v>204098</v>
      </c>
      <c r="BS126" s="1545"/>
      <c r="BU126" s="1545"/>
      <c r="BV126" s="1545"/>
      <c r="BW126" s="1545"/>
      <c r="BX126" s="1545"/>
      <c r="BY126" s="1545"/>
      <c r="BZ126" s="1545"/>
      <c r="CA126" s="1545"/>
      <c r="CB126" s="1545"/>
      <c r="CC126" s="1545"/>
      <c r="CD126" s="1348" t="s">
        <v>2605</v>
      </c>
      <c r="CE126" s="504">
        <v>112574</v>
      </c>
      <c r="CF126" s="504">
        <v>113870</v>
      </c>
      <c r="CG126" s="504">
        <v>117615</v>
      </c>
      <c r="CH126" s="504">
        <v>121073</v>
      </c>
      <c r="CI126" s="504">
        <v>124098</v>
      </c>
      <c r="CJ126" s="504">
        <v>127574</v>
      </c>
      <c r="CK126" s="504">
        <v>128870</v>
      </c>
      <c r="CL126" s="504">
        <v>132615</v>
      </c>
      <c r="CM126" s="504">
        <v>136073</v>
      </c>
      <c r="CN126" s="1347">
        <v>139098</v>
      </c>
    </row>
    <row r="127" spans="60:92" ht="18" customHeight="1">
      <c r="BH127" s="1348" t="s">
        <v>2606</v>
      </c>
      <c r="BI127" s="483">
        <v>176361</v>
      </c>
      <c r="BJ127" s="483">
        <v>178233</v>
      </c>
      <c r="BK127" s="483">
        <v>183995</v>
      </c>
      <c r="BL127" s="483">
        <v>189181</v>
      </c>
      <c r="BM127" s="483">
        <v>193646</v>
      </c>
      <c r="BN127" s="483">
        <v>201361</v>
      </c>
      <c r="BO127" s="483">
        <v>203233</v>
      </c>
      <c r="BP127" s="483">
        <v>208995</v>
      </c>
      <c r="BQ127" s="483">
        <v>214181</v>
      </c>
      <c r="BR127" s="1344">
        <v>218646</v>
      </c>
      <c r="BS127" s="1545"/>
      <c r="BU127" s="1545"/>
      <c r="BV127" s="1545"/>
      <c r="BW127" s="1545"/>
      <c r="BX127" s="1545"/>
      <c r="BY127" s="1545"/>
      <c r="BZ127" s="1545"/>
      <c r="CA127" s="1545"/>
      <c r="CB127" s="1545"/>
      <c r="CC127" s="1545"/>
      <c r="CD127" s="1348" t="s">
        <v>2606</v>
      </c>
      <c r="CE127" s="504">
        <v>121361</v>
      </c>
      <c r="CF127" s="504">
        <v>123233</v>
      </c>
      <c r="CG127" s="504">
        <v>128995</v>
      </c>
      <c r="CH127" s="504">
        <v>134181</v>
      </c>
      <c r="CI127" s="504">
        <v>138646</v>
      </c>
      <c r="CJ127" s="504">
        <v>136361</v>
      </c>
      <c r="CK127" s="504">
        <v>138233</v>
      </c>
      <c r="CL127" s="504">
        <v>143995</v>
      </c>
      <c r="CM127" s="504">
        <v>149181</v>
      </c>
      <c r="CN127" s="1347">
        <v>153646</v>
      </c>
    </row>
    <row r="128" spans="60:92" ht="18" customHeight="1">
      <c r="BH128" s="1348" t="s">
        <v>2607</v>
      </c>
      <c r="BI128" s="483">
        <v>185148</v>
      </c>
      <c r="BJ128" s="483">
        <v>187596</v>
      </c>
      <c r="BK128" s="483">
        <v>195231</v>
      </c>
      <c r="BL128" s="483">
        <v>202145</v>
      </c>
      <c r="BM128" s="483">
        <v>208195</v>
      </c>
      <c r="BN128" s="483">
        <v>210148</v>
      </c>
      <c r="BO128" s="483">
        <v>212596</v>
      </c>
      <c r="BP128" s="483">
        <v>220231</v>
      </c>
      <c r="BQ128" s="483">
        <v>227145</v>
      </c>
      <c r="BR128" s="1344">
        <v>233195</v>
      </c>
      <c r="BS128" s="1545"/>
      <c r="BU128" s="1545"/>
      <c r="BV128" s="1545"/>
      <c r="BW128" s="1545"/>
      <c r="BX128" s="1545"/>
      <c r="BY128" s="1545"/>
      <c r="BZ128" s="1545"/>
      <c r="CA128" s="1545"/>
      <c r="CB128" s="1545"/>
      <c r="CC128" s="1545"/>
      <c r="CD128" s="1348" t="s">
        <v>2607</v>
      </c>
      <c r="CE128" s="504">
        <v>130148</v>
      </c>
      <c r="CF128" s="504">
        <v>132596</v>
      </c>
      <c r="CG128" s="504">
        <v>140231</v>
      </c>
      <c r="CH128" s="504">
        <v>147145</v>
      </c>
      <c r="CI128" s="504">
        <v>153195</v>
      </c>
      <c r="CJ128" s="504">
        <v>145148</v>
      </c>
      <c r="CK128" s="504">
        <v>147596</v>
      </c>
      <c r="CL128" s="504">
        <v>155231</v>
      </c>
      <c r="CM128" s="504">
        <v>162145</v>
      </c>
      <c r="CN128" s="1347">
        <v>168195</v>
      </c>
    </row>
    <row r="129" spans="60:92" ht="18" customHeight="1">
      <c r="BH129" s="1348" t="s">
        <v>2608</v>
      </c>
      <c r="BI129" s="483">
        <v>193934</v>
      </c>
      <c r="BJ129" s="483">
        <v>197103</v>
      </c>
      <c r="BK129" s="483">
        <v>206611</v>
      </c>
      <c r="BL129" s="483">
        <v>215253</v>
      </c>
      <c r="BM129" s="483">
        <v>222888</v>
      </c>
      <c r="BN129" s="483">
        <v>218934</v>
      </c>
      <c r="BO129" s="483">
        <v>222103</v>
      </c>
      <c r="BP129" s="483">
        <v>231611</v>
      </c>
      <c r="BQ129" s="483">
        <v>240253</v>
      </c>
      <c r="BR129" s="1344">
        <v>247888</v>
      </c>
      <c r="BS129" s="1545"/>
      <c r="BU129" s="1545"/>
      <c r="BV129" s="1545"/>
      <c r="BW129" s="1545"/>
      <c r="BX129" s="1545"/>
      <c r="BY129" s="1545"/>
      <c r="BZ129" s="1545"/>
      <c r="CA129" s="1545"/>
      <c r="CB129" s="1545"/>
      <c r="CC129" s="1545"/>
      <c r="CD129" s="1348" t="s">
        <v>2608</v>
      </c>
      <c r="CE129" s="504">
        <v>138934</v>
      </c>
      <c r="CF129" s="504">
        <v>142103</v>
      </c>
      <c r="CG129" s="504">
        <v>151611</v>
      </c>
      <c r="CH129" s="504">
        <v>160253</v>
      </c>
      <c r="CI129" s="504">
        <v>167888</v>
      </c>
      <c r="CJ129" s="504">
        <v>153934</v>
      </c>
      <c r="CK129" s="504">
        <v>157103</v>
      </c>
      <c r="CL129" s="504">
        <v>166611</v>
      </c>
      <c r="CM129" s="504">
        <v>175253</v>
      </c>
      <c r="CN129" s="1347">
        <v>182888</v>
      </c>
    </row>
    <row r="130" spans="60:92" ht="18" customHeight="1">
      <c r="BH130" s="1348" t="s">
        <v>2609</v>
      </c>
      <c r="BI130" s="483">
        <v>202721</v>
      </c>
      <c r="BJ130" s="483">
        <v>206467</v>
      </c>
      <c r="BK130" s="483">
        <v>217846</v>
      </c>
      <c r="BL130" s="483">
        <v>228362</v>
      </c>
      <c r="BM130" s="483">
        <v>237437</v>
      </c>
      <c r="BN130" s="483">
        <v>227721</v>
      </c>
      <c r="BO130" s="483">
        <v>231467</v>
      </c>
      <c r="BP130" s="483">
        <v>242846</v>
      </c>
      <c r="BQ130" s="483">
        <v>253362</v>
      </c>
      <c r="BR130" s="1344">
        <v>262437</v>
      </c>
      <c r="BS130" s="1545"/>
      <c r="BU130" s="1545"/>
      <c r="BV130" s="1545"/>
      <c r="BW130" s="1545"/>
      <c r="BX130" s="1545"/>
      <c r="BY130" s="1545"/>
      <c r="BZ130" s="1545"/>
      <c r="CA130" s="1545"/>
      <c r="CB130" s="1545"/>
      <c r="CC130" s="1545"/>
      <c r="CD130" s="1348" t="s">
        <v>2609</v>
      </c>
      <c r="CE130" s="504">
        <v>147721</v>
      </c>
      <c r="CF130" s="504">
        <v>151467</v>
      </c>
      <c r="CG130" s="504">
        <v>162846</v>
      </c>
      <c r="CH130" s="504">
        <v>173362</v>
      </c>
      <c r="CI130" s="504">
        <v>182437</v>
      </c>
      <c r="CJ130" s="504">
        <v>162721</v>
      </c>
      <c r="CK130" s="504">
        <v>166467</v>
      </c>
      <c r="CL130" s="504">
        <v>177846</v>
      </c>
      <c r="CM130" s="504">
        <v>188362</v>
      </c>
      <c r="CN130" s="1347">
        <v>197437</v>
      </c>
    </row>
    <row r="131" spans="60:92" ht="18" customHeight="1">
      <c r="BH131" s="1348" t="s">
        <v>2610</v>
      </c>
      <c r="BI131" s="483">
        <v>211508</v>
      </c>
      <c r="BJ131" s="483">
        <v>215974</v>
      </c>
      <c r="BK131" s="483">
        <v>229226</v>
      </c>
      <c r="BL131" s="483">
        <v>241326</v>
      </c>
      <c r="BM131" s="483">
        <v>251985</v>
      </c>
      <c r="BN131" s="483">
        <v>236508</v>
      </c>
      <c r="BO131" s="483">
        <v>240974</v>
      </c>
      <c r="BP131" s="483">
        <v>254226</v>
      </c>
      <c r="BQ131" s="483">
        <v>266326</v>
      </c>
      <c r="BR131" s="1344">
        <v>276985</v>
      </c>
      <c r="BS131" s="1545"/>
      <c r="BU131" s="1545"/>
      <c r="BV131" s="1545"/>
      <c r="BW131" s="1545"/>
      <c r="BX131" s="1545"/>
      <c r="BY131" s="1545"/>
      <c r="BZ131" s="1545"/>
      <c r="CA131" s="1545"/>
      <c r="CB131" s="1545"/>
      <c r="CC131" s="1545"/>
      <c r="CD131" s="1348" t="s">
        <v>2610</v>
      </c>
      <c r="CE131" s="504">
        <v>156508</v>
      </c>
      <c r="CF131" s="504">
        <v>160974</v>
      </c>
      <c r="CG131" s="504">
        <v>174226</v>
      </c>
      <c r="CH131" s="504">
        <v>186326</v>
      </c>
      <c r="CI131" s="504">
        <v>196985</v>
      </c>
      <c r="CJ131" s="504">
        <v>171508</v>
      </c>
      <c r="CK131" s="504">
        <v>175974</v>
      </c>
      <c r="CL131" s="504">
        <v>189226</v>
      </c>
      <c r="CM131" s="504">
        <v>201326</v>
      </c>
      <c r="CN131" s="1347">
        <v>211985</v>
      </c>
    </row>
    <row r="132" spans="60:92" ht="18" customHeight="1">
      <c r="BH132" s="1348" t="s">
        <v>2611</v>
      </c>
      <c r="BI132" s="483">
        <v>220295</v>
      </c>
      <c r="BJ132" s="483">
        <v>225337</v>
      </c>
      <c r="BK132" s="483">
        <v>240462</v>
      </c>
      <c r="BL132" s="483">
        <v>254434</v>
      </c>
      <c r="BM132" s="483">
        <v>266534</v>
      </c>
      <c r="BN132" s="483">
        <v>245295</v>
      </c>
      <c r="BO132" s="483">
        <v>250337</v>
      </c>
      <c r="BP132" s="483">
        <v>265462</v>
      </c>
      <c r="BQ132" s="483">
        <v>279434</v>
      </c>
      <c r="BR132" s="1344">
        <v>291534</v>
      </c>
      <c r="BS132" s="1545"/>
      <c r="BU132" s="1545"/>
      <c r="BV132" s="1545"/>
      <c r="BW132" s="1545"/>
      <c r="BX132" s="1545"/>
      <c r="BY132" s="1545"/>
      <c r="BZ132" s="1545"/>
      <c r="CA132" s="1545"/>
      <c r="CB132" s="1545"/>
      <c r="CC132" s="1545"/>
      <c r="CD132" s="1348" t="s">
        <v>2611</v>
      </c>
      <c r="CE132" s="504">
        <v>165295</v>
      </c>
      <c r="CF132" s="504">
        <v>170337</v>
      </c>
      <c r="CG132" s="504">
        <v>185462</v>
      </c>
      <c r="CH132" s="504">
        <v>199434</v>
      </c>
      <c r="CI132" s="504">
        <v>211534</v>
      </c>
      <c r="CJ132" s="504">
        <v>180295</v>
      </c>
      <c r="CK132" s="504">
        <v>185337</v>
      </c>
      <c r="CL132" s="504">
        <v>200462</v>
      </c>
      <c r="CM132" s="504">
        <v>214434</v>
      </c>
      <c r="CN132" s="1347">
        <v>226534</v>
      </c>
    </row>
    <row r="133" spans="60:92" ht="18" customHeight="1">
      <c r="BH133" s="1348" t="s">
        <v>2612</v>
      </c>
      <c r="BI133" s="483">
        <v>229082</v>
      </c>
      <c r="BJ133" s="483">
        <v>234700</v>
      </c>
      <c r="BK133" s="483">
        <v>251841</v>
      </c>
      <c r="BL133" s="483">
        <v>267543</v>
      </c>
      <c r="BM133" s="483">
        <v>281083</v>
      </c>
      <c r="BN133" s="483">
        <v>254082</v>
      </c>
      <c r="BO133" s="483">
        <v>259700</v>
      </c>
      <c r="BP133" s="483">
        <v>276841</v>
      </c>
      <c r="BQ133" s="483">
        <v>292543</v>
      </c>
      <c r="BR133" s="1344">
        <v>306083</v>
      </c>
      <c r="BS133" s="1545"/>
      <c r="BU133" s="1545"/>
      <c r="BV133" s="1545"/>
      <c r="BW133" s="1545"/>
      <c r="BX133" s="1545"/>
      <c r="BY133" s="1545"/>
      <c r="BZ133" s="1545"/>
      <c r="CA133" s="1545"/>
      <c r="CB133" s="1545"/>
      <c r="CC133" s="1545"/>
      <c r="CD133" s="1348" t="s">
        <v>2612</v>
      </c>
      <c r="CE133" s="504">
        <v>174082</v>
      </c>
      <c r="CF133" s="504">
        <v>179700</v>
      </c>
      <c r="CG133" s="504">
        <v>196841</v>
      </c>
      <c r="CH133" s="504">
        <v>212543</v>
      </c>
      <c r="CI133" s="504">
        <v>226083</v>
      </c>
      <c r="CJ133" s="504">
        <v>189082</v>
      </c>
      <c r="CK133" s="504">
        <v>194700</v>
      </c>
      <c r="CL133" s="504">
        <v>211841</v>
      </c>
      <c r="CM133" s="504">
        <v>227543</v>
      </c>
      <c r="CN133" s="1347">
        <v>241083</v>
      </c>
    </row>
    <row r="134" spans="60:92" ht="18" customHeight="1">
      <c r="BH134" s="1343" t="s">
        <v>2613</v>
      </c>
      <c r="BI134" s="483">
        <v>150000</v>
      </c>
      <c r="BJ134" s="483">
        <v>150000</v>
      </c>
      <c r="BK134" s="483">
        <v>150000</v>
      </c>
      <c r="BL134" s="483">
        <v>150000</v>
      </c>
      <c r="BM134" s="483">
        <v>150000</v>
      </c>
      <c r="BN134" s="483">
        <v>175000</v>
      </c>
      <c r="BO134" s="483">
        <v>175000</v>
      </c>
      <c r="BP134" s="483">
        <v>175000</v>
      </c>
      <c r="BQ134" s="483">
        <v>175000</v>
      </c>
      <c r="BR134" s="1344">
        <v>175000</v>
      </c>
      <c r="BS134" s="1545"/>
      <c r="BU134" s="1545"/>
      <c r="BV134" s="1545"/>
      <c r="BW134" s="1545"/>
      <c r="BX134" s="1545"/>
      <c r="BY134" s="1545"/>
      <c r="BZ134" s="1545"/>
      <c r="CA134" s="1545"/>
      <c r="CB134" s="1545"/>
      <c r="CC134" s="1545"/>
      <c r="CD134" s="1343" t="s">
        <v>2613</v>
      </c>
      <c r="CE134" s="504">
        <v>95000</v>
      </c>
      <c r="CF134" s="504">
        <v>95000</v>
      </c>
      <c r="CG134" s="504">
        <v>95000</v>
      </c>
      <c r="CH134" s="504">
        <v>95000</v>
      </c>
      <c r="CI134" s="504">
        <v>95000</v>
      </c>
      <c r="CJ134" s="504">
        <v>110000</v>
      </c>
      <c r="CK134" s="504">
        <v>110000</v>
      </c>
      <c r="CL134" s="504">
        <v>110000</v>
      </c>
      <c r="CM134" s="504">
        <v>110000</v>
      </c>
      <c r="CN134" s="1347">
        <v>110000</v>
      </c>
    </row>
    <row r="135" spans="60:92" ht="18" customHeight="1">
      <c r="BH135" s="1348" t="s">
        <v>2614</v>
      </c>
      <c r="BI135" s="483">
        <v>159363</v>
      </c>
      <c r="BJ135" s="483">
        <v>160083</v>
      </c>
      <c r="BK135" s="483">
        <v>161956</v>
      </c>
      <c r="BL135" s="483">
        <v>163829</v>
      </c>
      <c r="BM135" s="483">
        <v>165557</v>
      </c>
      <c r="BN135" s="483">
        <v>184363</v>
      </c>
      <c r="BO135" s="483">
        <v>185083</v>
      </c>
      <c r="BP135" s="483">
        <v>186956</v>
      </c>
      <c r="BQ135" s="483">
        <v>188829</v>
      </c>
      <c r="BR135" s="1344">
        <v>190557</v>
      </c>
      <c r="BS135" s="1545"/>
      <c r="BU135" s="1545"/>
      <c r="BV135" s="1545"/>
      <c r="BW135" s="1545"/>
      <c r="BX135" s="1545"/>
      <c r="BY135" s="1545"/>
      <c r="BZ135" s="1545"/>
      <c r="CA135" s="1545"/>
      <c r="CB135" s="1545"/>
      <c r="CC135" s="1545"/>
      <c r="CD135" s="1348" t="s">
        <v>2614</v>
      </c>
      <c r="CE135" s="504">
        <v>104363</v>
      </c>
      <c r="CF135" s="504">
        <v>105083</v>
      </c>
      <c r="CG135" s="504">
        <v>106956</v>
      </c>
      <c r="CH135" s="504">
        <v>108829</v>
      </c>
      <c r="CI135" s="504">
        <v>110557</v>
      </c>
      <c r="CJ135" s="504">
        <v>119363</v>
      </c>
      <c r="CK135" s="504">
        <v>120083</v>
      </c>
      <c r="CL135" s="504">
        <v>121956</v>
      </c>
      <c r="CM135" s="504">
        <v>123829</v>
      </c>
      <c r="CN135" s="1347">
        <v>125557</v>
      </c>
    </row>
    <row r="136" spans="60:92" ht="18" customHeight="1">
      <c r="BH136" s="1348" t="s">
        <v>2615</v>
      </c>
      <c r="BI136" s="483">
        <v>168726</v>
      </c>
      <c r="BJ136" s="483">
        <v>170023</v>
      </c>
      <c r="BK136" s="483">
        <v>174056</v>
      </c>
      <c r="BL136" s="483">
        <v>177801</v>
      </c>
      <c r="BM136" s="483">
        <v>180970</v>
      </c>
      <c r="BN136" s="483">
        <v>193726</v>
      </c>
      <c r="BO136" s="483">
        <v>195023</v>
      </c>
      <c r="BP136" s="483">
        <v>199056</v>
      </c>
      <c r="BQ136" s="483">
        <v>202801</v>
      </c>
      <c r="BR136" s="1344">
        <v>205970</v>
      </c>
      <c r="BS136" s="1545"/>
      <c r="BU136" s="1545"/>
      <c r="BV136" s="1545"/>
      <c r="BW136" s="1545"/>
      <c r="BX136" s="1545"/>
      <c r="BY136" s="1545"/>
      <c r="BZ136" s="1545"/>
      <c r="CA136" s="1545"/>
      <c r="CB136" s="1545"/>
      <c r="CC136" s="1545"/>
      <c r="CD136" s="1348" t="s">
        <v>2615</v>
      </c>
      <c r="CE136" s="504">
        <v>113726</v>
      </c>
      <c r="CF136" s="504">
        <v>115023</v>
      </c>
      <c r="CG136" s="504">
        <v>119056</v>
      </c>
      <c r="CH136" s="504">
        <v>122801</v>
      </c>
      <c r="CI136" s="504">
        <v>125970</v>
      </c>
      <c r="CJ136" s="504">
        <v>128726</v>
      </c>
      <c r="CK136" s="504">
        <v>130023</v>
      </c>
      <c r="CL136" s="504">
        <v>134056</v>
      </c>
      <c r="CM136" s="504">
        <v>137801</v>
      </c>
      <c r="CN136" s="1347">
        <v>140970</v>
      </c>
    </row>
    <row r="137" spans="60:92" ht="18" customHeight="1">
      <c r="BH137" s="1348" t="s">
        <v>2616</v>
      </c>
      <c r="BI137" s="483">
        <v>178089</v>
      </c>
      <c r="BJ137" s="483">
        <v>180106</v>
      </c>
      <c r="BK137" s="483">
        <v>186012</v>
      </c>
      <c r="BL137" s="483">
        <v>191630</v>
      </c>
      <c r="BM137" s="483">
        <v>196527</v>
      </c>
      <c r="BN137" s="483">
        <v>203089</v>
      </c>
      <c r="BO137" s="483">
        <v>205106</v>
      </c>
      <c r="BP137" s="483">
        <v>211012</v>
      </c>
      <c r="BQ137" s="483">
        <v>216630</v>
      </c>
      <c r="BR137" s="1344">
        <v>221527</v>
      </c>
      <c r="BS137" s="1545"/>
      <c r="BU137" s="1545"/>
      <c r="BV137" s="1545"/>
      <c r="BW137" s="1545"/>
      <c r="BX137" s="1545"/>
      <c r="BY137" s="1545"/>
      <c r="BZ137" s="1545"/>
      <c r="CA137" s="1545"/>
      <c r="CB137" s="1545"/>
      <c r="CC137" s="1545"/>
      <c r="CD137" s="1348" t="s">
        <v>2616</v>
      </c>
      <c r="CE137" s="504">
        <v>123089</v>
      </c>
      <c r="CF137" s="504">
        <v>125106</v>
      </c>
      <c r="CG137" s="504">
        <v>131012</v>
      </c>
      <c r="CH137" s="504">
        <v>136630</v>
      </c>
      <c r="CI137" s="504">
        <v>141527</v>
      </c>
      <c r="CJ137" s="504">
        <v>138089</v>
      </c>
      <c r="CK137" s="504">
        <v>140106</v>
      </c>
      <c r="CL137" s="504">
        <v>146012</v>
      </c>
      <c r="CM137" s="504">
        <v>151630</v>
      </c>
      <c r="CN137" s="1347">
        <v>156527</v>
      </c>
    </row>
    <row r="138" spans="60:92" ht="18" customHeight="1">
      <c r="BH138" s="1348" t="s">
        <v>2617</v>
      </c>
      <c r="BI138" s="483">
        <v>187308</v>
      </c>
      <c r="BJ138" s="483">
        <v>190045</v>
      </c>
      <c r="BK138" s="483">
        <v>197968</v>
      </c>
      <c r="BL138" s="483">
        <v>205458</v>
      </c>
      <c r="BM138" s="483">
        <v>211940</v>
      </c>
      <c r="BN138" s="483">
        <v>212308</v>
      </c>
      <c r="BO138" s="483">
        <v>215045</v>
      </c>
      <c r="BP138" s="483">
        <v>222968</v>
      </c>
      <c r="BQ138" s="483">
        <v>230458</v>
      </c>
      <c r="BR138" s="1344">
        <v>236940</v>
      </c>
      <c r="BS138" s="1545"/>
      <c r="BU138" s="1545"/>
      <c r="BV138" s="1545"/>
      <c r="BW138" s="1545"/>
      <c r="BX138" s="1545"/>
      <c r="BY138" s="1545"/>
      <c r="BZ138" s="1545"/>
      <c r="CA138" s="1545"/>
      <c r="CB138" s="1545"/>
      <c r="CC138" s="1545"/>
      <c r="CD138" s="1348" t="s">
        <v>2617</v>
      </c>
      <c r="CE138" s="504">
        <v>132308</v>
      </c>
      <c r="CF138" s="504">
        <v>135045</v>
      </c>
      <c r="CG138" s="504">
        <v>142968</v>
      </c>
      <c r="CH138" s="504">
        <v>150458</v>
      </c>
      <c r="CI138" s="504">
        <v>156940</v>
      </c>
      <c r="CJ138" s="504">
        <v>147308</v>
      </c>
      <c r="CK138" s="504">
        <v>150045</v>
      </c>
      <c r="CL138" s="504">
        <v>157968</v>
      </c>
      <c r="CM138" s="504">
        <v>165458</v>
      </c>
      <c r="CN138" s="1347">
        <v>171940</v>
      </c>
    </row>
    <row r="139" spans="60:92" ht="18" customHeight="1">
      <c r="BH139" s="1348" t="s">
        <v>2618</v>
      </c>
      <c r="BI139" s="483">
        <v>196671</v>
      </c>
      <c r="BJ139" s="483">
        <v>200128</v>
      </c>
      <c r="BK139" s="483">
        <v>210068</v>
      </c>
      <c r="BL139" s="483">
        <v>219431</v>
      </c>
      <c r="BM139" s="483">
        <v>227497</v>
      </c>
      <c r="BN139" s="483">
        <v>221671</v>
      </c>
      <c r="BO139" s="483">
        <v>225128</v>
      </c>
      <c r="BP139" s="483">
        <v>235068</v>
      </c>
      <c r="BQ139" s="483">
        <v>244431</v>
      </c>
      <c r="BR139" s="1344">
        <v>252497</v>
      </c>
      <c r="BS139" s="1545"/>
      <c r="BU139" s="1545"/>
      <c r="BV139" s="1545"/>
      <c r="BW139" s="1545"/>
      <c r="BX139" s="1545"/>
      <c r="BY139" s="1545"/>
      <c r="BZ139" s="1545"/>
      <c r="CA139" s="1545"/>
      <c r="CB139" s="1545"/>
      <c r="CC139" s="1545"/>
      <c r="CD139" s="1348" t="s">
        <v>2618</v>
      </c>
      <c r="CE139" s="504">
        <v>141671</v>
      </c>
      <c r="CF139" s="504">
        <v>145128</v>
      </c>
      <c r="CG139" s="504">
        <v>155068</v>
      </c>
      <c r="CH139" s="504">
        <v>164431</v>
      </c>
      <c r="CI139" s="504">
        <v>172497</v>
      </c>
      <c r="CJ139" s="504">
        <v>156671</v>
      </c>
      <c r="CK139" s="504">
        <v>160128</v>
      </c>
      <c r="CL139" s="504">
        <v>170068</v>
      </c>
      <c r="CM139" s="504">
        <v>179431</v>
      </c>
      <c r="CN139" s="1347">
        <v>187497</v>
      </c>
    </row>
    <row r="140" spans="60:92" ht="18" customHeight="1">
      <c r="BH140" s="1348" t="s">
        <v>2619</v>
      </c>
      <c r="BI140" s="483">
        <v>206034</v>
      </c>
      <c r="BJ140" s="483">
        <v>210068</v>
      </c>
      <c r="BK140" s="483">
        <v>222024</v>
      </c>
      <c r="BL140" s="483">
        <v>233259</v>
      </c>
      <c r="BM140" s="483">
        <v>242911</v>
      </c>
      <c r="BN140" s="483">
        <v>231034</v>
      </c>
      <c r="BO140" s="483">
        <v>235068</v>
      </c>
      <c r="BP140" s="483">
        <v>247024</v>
      </c>
      <c r="BQ140" s="483">
        <v>258259</v>
      </c>
      <c r="BR140" s="1344">
        <v>267911</v>
      </c>
      <c r="BS140" s="1545"/>
      <c r="BU140" s="1545"/>
      <c r="BV140" s="1545"/>
      <c r="BW140" s="1545"/>
      <c r="BX140" s="1545"/>
      <c r="BY140" s="1545"/>
      <c r="BZ140" s="1545"/>
      <c r="CA140" s="1545"/>
      <c r="CB140" s="1545"/>
      <c r="CC140" s="1545"/>
      <c r="CD140" s="1348" t="s">
        <v>2619</v>
      </c>
      <c r="CE140" s="504">
        <v>151034</v>
      </c>
      <c r="CF140" s="504">
        <v>155068</v>
      </c>
      <c r="CG140" s="504">
        <v>167024</v>
      </c>
      <c r="CH140" s="504">
        <v>178259</v>
      </c>
      <c r="CI140" s="504">
        <v>187911</v>
      </c>
      <c r="CJ140" s="504">
        <v>166034</v>
      </c>
      <c r="CK140" s="504">
        <v>170068</v>
      </c>
      <c r="CL140" s="504">
        <v>182024</v>
      </c>
      <c r="CM140" s="504">
        <v>193259</v>
      </c>
      <c r="CN140" s="1347">
        <v>202911</v>
      </c>
    </row>
    <row r="141" spans="60:92" ht="18" customHeight="1">
      <c r="BH141" s="1348" t="s">
        <v>2620</v>
      </c>
      <c r="BI141" s="483">
        <v>215397</v>
      </c>
      <c r="BJ141" s="483">
        <v>220151</v>
      </c>
      <c r="BK141" s="483">
        <v>234124</v>
      </c>
      <c r="BL141" s="483">
        <v>247232</v>
      </c>
      <c r="BM141" s="483">
        <v>258468</v>
      </c>
      <c r="BN141" s="483">
        <v>240397</v>
      </c>
      <c r="BO141" s="483">
        <v>245151</v>
      </c>
      <c r="BP141" s="483">
        <v>259124</v>
      </c>
      <c r="BQ141" s="483">
        <v>272232</v>
      </c>
      <c r="BR141" s="1344">
        <v>283468</v>
      </c>
      <c r="BS141" s="1545"/>
      <c r="BU141" s="1545"/>
      <c r="BV141" s="1545"/>
      <c r="BW141" s="1545"/>
      <c r="BX141" s="1545"/>
      <c r="BY141" s="1545"/>
      <c r="BZ141" s="1545"/>
      <c r="CA141" s="1545"/>
      <c r="CB141" s="1545"/>
      <c r="CC141" s="1545"/>
      <c r="CD141" s="1348" t="s">
        <v>2620</v>
      </c>
      <c r="CE141" s="504">
        <v>160397</v>
      </c>
      <c r="CF141" s="504">
        <v>165151</v>
      </c>
      <c r="CG141" s="504">
        <v>179124</v>
      </c>
      <c r="CH141" s="504">
        <v>192232</v>
      </c>
      <c r="CI141" s="504">
        <v>203468</v>
      </c>
      <c r="CJ141" s="504">
        <v>175397</v>
      </c>
      <c r="CK141" s="504">
        <v>180151</v>
      </c>
      <c r="CL141" s="504">
        <v>194124</v>
      </c>
      <c r="CM141" s="504">
        <v>207232</v>
      </c>
      <c r="CN141" s="1347">
        <v>218468</v>
      </c>
    </row>
    <row r="142" spans="60:92" ht="18" customHeight="1">
      <c r="BH142" s="1348" t="s">
        <v>2621</v>
      </c>
      <c r="BI142" s="483">
        <v>224761</v>
      </c>
      <c r="BJ142" s="483">
        <v>230090</v>
      </c>
      <c r="BK142" s="483">
        <v>246080</v>
      </c>
      <c r="BL142" s="483">
        <v>261060</v>
      </c>
      <c r="BM142" s="483">
        <v>273881</v>
      </c>
      <c r="BN142" s="483">
        <v>249761</v>
      </c>
      <c r="BO142" s="483">
        <v>255090</v>
      </c>
      <c r="BP142" s="483">
        <v>271080</v>
      </c>
      <c r="BQ142" s="483">
        <v>286060</v>
      </c>
      <c r="BR142" s="1344">
        <v>298881</v>
      </c>
      <c r="BS142" s="1545"/>
      <c r="BU142" s="1545"/>
      <c r="BV142" s="1545"/>
      <c r="BW142" s="1545"/>
      <c r="BX142" s="1545"/>
      <c r="BY142" s="1545"/>
      <c r="BZ142" s="1545"/>
      <c r="CA142" s="1545"/>
      <c r="CB142" s="1545"/>
      <c r="CC142" s="1545"/>
      <c r="CD142" s="1348" t="s">
        <v>2621</v>
      </c>
      <c r="CE142" s="504">
        <v>169761</v>
      </c>
      <c r="CF142" s="504">
        <v>175090</v>
      </c>
      <c r="CG142" s="504">
        <v>191080</v>
      </c>
      <c r="CH142" s="504">
        <v>206060</v>
      </c>
      <c r="CI142" s="504">
        <v>218881</v>
      </c>
      <c r="CJ142" s="504">
        <v>184761</v>
      </c>
      <c r="CK142" s="504">
        <v>190090</v>
      </c>
      <c r="CL142" s="504">
        <v>206080</v>
      </c>
      <c r="CM142" s="504">
        <v>221060</v>
      </c>
      <c r="CN142" s="1347">
        <v>233881</v>
      </c>
    </row>
    <row r="143" spans="60:92" ht="18" customHeight="1">
      <c r="BH143" s="1348" t="s">
        <v>2622</v>
      </c>
      <c r="BI143" s="483">
        <v>234124</v>
      </c>
      <c r="BJ143" s="483">
        <v>240174</v>
      </c>
      <c r="BK143" s="483">
        <v>258035</v>
      </c>
      <c r="BL143" s="483">
        <v>274889</v>
      </c>
      <c r="BM143" s="483">
        <v>289438</v>
      </c>
      <c r="BN143" s="483">
        <v>259124</v>
      </c>
      <c r="BO143" s="483">
        <v>265174</v>
      </c>
      <c r="BP143" s="483">
        <v>283035</v>
      </c>
      <c r="BQ143" s="483">
        <v>299889</v>
      </c>
      <c r="BR143" s="1344">
        <v>314438</v>
      </c>
      <c r="BS143" s="1545"/>
      <c r="BU143" s="1545"/>
      <c r="BV143" s="1545"/>
      <c r="BW143" s="1545"/>
      <c r="BX143" s="1545"/>
      <c r="BY143" s="1545"/>
      <c r="BZ143" s="1545"/>
      <c r="CA143" s="1545"/>
      <c r="CB143" s="1545"/>
      <c r="CC143" s="1545"/>
      <c r="CD143" s="1348" t="s">
        <v>2622</v>
      </c>
      <c r="CE143" s="504">
        <v>179124</v>
      </c>
      <c r="CF143" s="504">
        <v>185174</v>
      </c>
      <c r="CG143" s="504">
        <v>203035</v>
      </c>
      <c r="CH143" s="504">
        <v>219889</v>
      </c>
      <c r="CI143" s="504">
        <v>234438</v>
      </c>
      <c r="CJ143" s="504">
        <v>194124</v>
      </c>
      <c r="CK143" s="504">
        <v>200174</v>
      </c>
      <c r="CL143" s="504">
        <v>218035</v>
      </c>
      <c r="CM143" s="504">
        <v>234889</v>
      </c>
      <c r="CN143" s="1347">
        <v>249438</v>
      </c>
    </row>
    <row r="144" spans="60:92" ht="18" customHeight="1">
      <c r="BH144" s="1343" t="s">
        <v>2623</v>
      </c>
      <c r="BI144" s="483">
        <v>150000</v>
      </c>
      <c r="BJ144" s="483">
        <v>150000</v>
      </c>
      <c r="BK144" s="483">
        <v>150000</v>
      </c>
      <c r="BL144" s="483">
        <v>150000</v>
      </c>
      <c r="BM144" s="483">
        <v>150000</v>
      </c>
      <c r="BN144" s="483">
        <v>175000</v>
      </c>
      <c r="BO144" s="483">
        <v>175000</v>
      </c>
      <c r="BP144" s="483">
        <v>175000</v>
      </c>
      <c r="BQ144" s="483">
        <v>175000</v>
      </c>
      <c r="BR144" s="1344">
        <v>175000</v>
      </c>
      <c r="BS144" s="1545"/>
      <c r="BU144" s="1545"/>
      <c r="BV144" s="1545"/>
      <c r="BW144" s="1545"/>
      <c r="BX144" s="1545"/>
      <c r="BY144" s="1545"/>
      <c r="BZ144" s="1545"/>
      <c r="CA144" s="1545"/>
      <c r="CB144" s="1545"/>
      <c r="CC144" s="1545"/>
      <c r="CD144" s="1343" t="s">
        <v>2623</v>
      </c>
      <c r="CE144" s="504">
        <v>95000</v>
      </c>
      <c r="CF144" s="504">
        <v>95000</v>
      </c>
      <c r="CG144" s="504">
        <v>95000</v>
      </c>
      <c r="CH144" s="504">
        <v>95000</v>
      </c>
      <c r="CI144" s="504">
        <v>95000</v>
      </c>
      <c r="CJ144" s="504">
        <v>110000</v>
      </c>
      <c r="CK144" s="504">
        <v>110000</v>
      </c>
      <c r="CL144" s="504">
        <v>110000</v>
      </c>
      <c r="CM144" s="504">
        <v>110000</v>
      </c>
      <c r="CN144" s="1347">
        <v>110000</v>
      </c>
    </row>
    <row r="145" spans="60:92" ht="18" customHeight="1">
      <c r="BH145" s="1348" t="s">
        <v>2624</v>
      </c>
      <c r="BI145" s="483">
        <v>158787</v>
      </c>
      <c r="BJ145" s="483">
        <v>159363</v>
      </c>
      <c r="BK145" s="483">
        <v>161380</v>
      </c>
      <c r="BL145" s="483">
        <v>163108</v>
      </c>
      <c r="BM145" s="483">
        <v>164549</v>
      </c>
      <c r="BN145" s="483">
        <v>183787</v>
      </c>
      <c r="BO145" s="483">
        <v>184363</v>
      </c>
      <c r="BP145" s="483">
        <v>186380</v>
      </c>
      <c r="BQ145" s="483">
        <v>188108</v>
      </c>
      <c r="BR145" s="1344">
        <v>189549</v>
      </c>
      <c r="BS145" s="1545"/>
      <c r="BU145" s="1545"/>
      <c r="BV145" s="1545"/>
      <c r="BW145" s="1545"/>
      <c r="BX145" s="1545"/>
      <c r="BY145" s="1545"/>
      <c r="BZ145" s="1545"/>
      <c r="CA145" s="1545"/>
      <c r="CB145" s="1545"/>
      <c r="CC145" s="1545"/>
      <c r="CD145" s="1348" t="s">
        <v>2624</v>
      </c>
      <c r="CE145" s="504">
        <v>103787</v>
      </c>
      <c r="CF145" s="504">
        <v>104363</v>
      </c>
      <c r="CG145" s="504">
        <v>106380</v>
      </c>
      <c r="CH145" s="504">
        <v>108108</v>
      </c>
      <c r="CI145" s="504">
        <v>109549</v>
      </c>
      <c r="CJ145" s="504">
        <v>118787</v>
      </c>
      <c r="CK145" s="504">
        <v>119363</v>
      </c>
      <c r="CL145" s="504">
        <v>121380</v>
      </c>
      <c r="CM145" s="504">
        <v>123108</v>
      </c>
      <c r="CN145" s="1347">
        <v>124549</v>
      </c>
    </row>
    <row r="146" spans="60:92" ht="18" customHeight="1">
      <c r="BH146" s="1348" t="s">
        <v>2625</v>
      </c>
      <c r="BI146" s="483">
        <v>167574</v>
      </c>
      <c r="BJ146" s="483">
        <v>168870</v>
      </c>
      <c r="BK146" s="483">
        <v>172615</v>
      </c>
      <c r="BL146" s="483">
        <v>176073</v>
      </c>
      <c r="BM146" s="483">
        <v>179098</v>
      </c>
      <c r="BN146" s="483">
        <v>192574</v>
      </c>
      <c r="BO146" s="483">
        <v>193870</v>
      </c>
      <c r="BP146" s="483">
        <v>197615</v>
      </c>
      <c r="BQ146" s="483">
        <v>201073</v>
      </c>
      <c r="BR146" s="1344">
        <v>204098</v>
      </c>
      <c r="BS146" s="1545"/>
      <c r="BU146" s="1545"/>
      <c r="BV146" s="1545"/>
      <c r="BW146" s="1545"/>
      <c r="BX146" s="1545"/>
      <c r="BY146" s="1545"/>
      <c r="BZ146" s="1545"/>
      <c r="CA146" s="1545"/>
      <c r="CB146" s="1545"/>
      <c r="CC146" s="1545"/>
      <c r="CD146" s="1348" t="s">
        <v>2625</v>
      </c>
      <c r="CE146" s="504">
        <v>112574</v>
      </c>
      <c r="CF146" s="504">
        <v>113870</v>
      </c>
      <c r="CG146" s="504">
        <v>117615</v>
      </c>
      <c r="CH146" s="504">
        <v>121073</v>
      </c>
      <c r="CI146" s="504">
        <v>124098</v>
      </c>
      <c r="CJ146" s="504">
        <v>127574</v>
      </c>
      <c r="CK146" s="504">
        <v>128870</v>
      </c>
      <c r="CL146" s="504">
        <v>132615</v>
      </c>
      <c r="CM146" s="504">
        <v>136073</v>
      </c>
      <c r="CN146" s="1347">
        <v>139098</v>
      </c>
    </row>
    <row r="147" spans="60:92" ht="18" customHeight="1">
      <c r="BH147" s="1348" t="s">
        <v>2626</v>
      </c>
      <c r="BI147" s="483">
        <v>176361</v>
      </c>
      <c r="BJ147" s="483">
        <v>178233</v>
      </c>
      <c r="BK147" s="483">
        <v>183995</v>
      </c>
      <c r="BL147" s="483">
        <v>189181</v>
      </c>
      <c r="BM147" s="483">
        <v>193646</v>
      </c>
      <c r="BN147" s="483">
        <v>201361</v>
      </c>
      <c r="BO147" s="483">
        <v>203233</v>
      </c>
      <c r="BP147" s="483">
        <v>208995</v>
      </c>
      <c r="BQ147" s="483">
        <v>214181</v>
      </c>
      <c r="BR147" s="1344">
        <v>218646</v>
      </c>
      <c r="BS147" s="1545"/>
      <c r="BU147" s="1545"/>
      <c r="BV147" s="1545"/>
      <c r="BW147" s="1545"/>
      <c r="BX147" s="1545"/>
      <c r="BY147" s="1545"/>
      <c r="BZ147" s="1545"/>
      <c r="CA147" s="1545"/>
      <c r="CB147" s="1545"/>
      <c r="CC147" s="1545"/>
      <c r="CD147" s="1348" t="s">
        <v>2626</v>
      </c>
      <c r="CE147" s="504">
        <v>121361</v>
      </c>
      <c r="CF147" s="504">
        <v>123233</v>
      </c>
      <c r="CG147" s="504">
        <v>128995</v>
      </c>
      <c r="CH147" s="504">
        <v>134181</v>
      </c>
      <c r="CI147" s="504">
        <v>138646</v>
      </c>
      <c r="CJ147" s="504">
        <v>136361</v>
      </c>
      <c r="CK147" s="504">
        <v>138233</v>
      </c>
      <c r="CL147" s="504">
        <v>143995</v>
      </c>
      <c r="CM147" s="504">
        <v>149181</v>
      </c>
      <c r="CN147" s="1347">
        <v>153646</v>
      </c>
    </row>
    <row r="148" spans="60:92" ht="18" customHeight="1">
      <c r="BH148" s="1348" t="s">
        <v>2627</v>
      </c>
      <c r="BI148" s="483">
        <v>185148</v>
      </c>
      <c r="BJ148" s="483">
        <v>187596</v>
      </c>
      <c r="BK148" s="483">
        <v>195231</v>
      </c>
      <c r="BL148" s="483">
        <v>202145</v>
      </c>
      <c r="BM148" s="483">
        <v>208195</v>
      </c>
      <c r="BN148" s="483">
        <v>210148</v>
      </c>
      <c r="BO148" s="483">
        <v>212596</v>
      </c>
      <c r="BP148" s="483">
        <v>220231</v>
      </c>
      <c r="BQ148" s="483">
        <v>227145</v>
      </c>
      <c r="BR148" s="1344">
        <v>233195</v>
      </c>
      <c r="BS148" s="1545"/>
      <c r="BU148" s="1545"/>
      <c r="BV148" s="1545"/>
      <c r="BW148" s="1545"/>
      <c r="BX148" s="1545"/>
      <c r="BY148" s="1545"/>
      <c r="BZ148" s="1545"/>
      <c r="CA148" s="1545"/>
      <c r="CB148" s="1545"/>
      <c r="CC148" s="1545"/>
      <c r="CD148" s="1348" t="s">
        <v>2627</v>
      </c>
      <c r="CE148" s="504">
        <v>130148</v>
      </c>
      <c r="CF148" s="504">
        <v>132596</v>
      </c>
      <c r="CG148" s="504">
        <v>140231</v>
      </c>
      <c r="CH148" s="504">
        <v>147145</v>
      </c>
      <c r="CI148" s="504">
        <v>153195</v>
      </c>
      <c r="CJ148" s="504">
        <v>145148</v>
      </c>
      <c r="CK148" s="504">
        <v>147596</v>
      </c>
      <c r="CL148" s="504">
        <v>155231</v>
      </c>
      <c r="CM148" s="504">
        <v>162145</v>
      </c>
      <c r="CN148" s="1347">
        <v>168195</v>
      </c>
    </row>
    <row r="149" spans="60:92" ht="18" customHeight="1">
      <c r="BH149" s="1348" t="s">
        <v>2628</v>
      </c>
      <c r="BI149" s="483">
        <v>193934</v>
      </c>
      <c r="BJ149" s="483">
        <v>197103</v>
      </c>
      <c r="BK149" s="483">
        <v>206611</v>
      </c>
      <c r="BL149" s="483">
        <v>215253</v>
      </c>
      <c r="BM149" s="483">
        <v>222888</v>
      </c>
      <c r="BN149" s="483">
        <v>218934</v>
      </c>
      <c r="BO149" s="483">
        <v>222103</v>
      </c>
      <c r="BP149" s="483">
        <v>231611</v>
      </c>
      <c r="BQ149" s="483">
        <v>240253</v>
      </c>
      <c r="BR149" s="1344">
        <v>247888</v>
      </c>
      <c r="BS149" s="1545"/>
      <c r="BU149" s="1545"/>
      <c r="BV149" s="1545"/>
      <c r="BW149" s="1545"/>
      <c r="BX149" s="1545"/>
      <c r="BY149" s="1545"/>
      <c r="BZ149" s="1545"/>
      <c r="CA149" s="1545"/>
      <c r="CB149" s="1545"/>
      <c r="CC149" s="1545"/>
      <c r="CD149" s="1348" t="s">
        <v>2628</v>
      </c>
      <c r="CE149" s="504">
        <v>138934</v>
      </c>
      <c r="CF149" s="504">
        <v>142103</v>
      </c>
      <c r="CG149" s="504">
        <v>151611</v>
      </c>
      <c r="CH149" s="504">
        <v>160253</v>
      </c>
      <c r="CI149" s="504">
        <v>167888</v>
      </c>
      <c r="CJ149" s="504">
        <v>153934</v>
      </c>
      <c r="CK149" s="504">
        <v>157103</v>
      </c>
      <c r="CL149" s="504">
        <v>166611</v>
      </c>
      <c r="CM149" s="504">
        <v>175253</v>
      </c>
      <c r="CN149" s="1347">
        <v>182888</v>
      </c>
    </row>
    <row r="150" spans="60:92" ht="18" customHeight="1">
      <c r="BH150" s="1348" t="s">
        <v>2629</v>
      </c>
      <c r="BI150" s="483">
        <v>202721</v>
      </c>
      <c r="BJ150" s="483">
        <v>206467</v>
      </c>
      <c r="BK150" s="483">
        <v>217846</v>
      </c>
      <c r="BL150" s="483">
        <v>228362</v>
      </c>
      <c r="BM150" s="483">
        <v>237437</v>
      </c>
      <c r="BN150" s="483">
        <v>227721</v>
      </c>
      <c r="BO150" s="483">
        <v>231467</v>
      </c>
      <c r="BP150" s="483">
        <v>242846</v>
      </c>
      <c r="BQ150" s="483">
        <v>253362</v>
      </c>
      <c r="BR150" s="1344">
        <v>262437</v>
      </c>
      <c r="BS150" s="1545"/>
      <c r="BU150" s="1545"/>
      <c r="BV150" s="1545"/>
      <c r="BW150" s="1545"/>
      <c r="BX150" s="1545"/>
      <c r="BY150" s="1545"/>
      <c r="BZ150" s="1545"/>
      <c r="CA150" s="1545"/>
      <c r="CB150" s="1545"/>
      <c r="CC150" s="1545"/>
      <c r="CD150" s="1348" t="s">
        <v>2629</v>
      </c>
      <c r="CE150" s="504">
        <v>147721</v>
      </c>
      <c r="CF150" s="504">
        <v>151467</v>
      </c>
      <c r="CG150" s="504">
        <v>162846</v>
      </c>
      <c r="CH150" s="504">
        <v>173362</v>
      </c>
      <c r="CI150" s="504">
        <v>182437</v>
      </c>
      <c r="CJ150" s="504">
        <v>162721</v>
      </c>
      <c r="CK150" s="504">
        <v>166467</v>
      </c>
      <c r="CL150" s="504">
        <v>177846</v>
      </c>
      <c r="CM150" s="504">
        <v>188362</v>
      </c>
      <c r="CN150" s="1347">
        <v>197437</v>
      </c>
    </row>
    <row r="151" spans="60:92" ht="18" customHeight="1">
      <c r="BH151" s="1348" t="s">
        <v>2630</v>
      </c>
      <c r="BI151" s="483">
        <v>211508</v>
      </c>
      <c r="BJ151" s="483">
        <v>215974</v>
      </c>
      <c r="BK151" s="483">
        <v>229226</v>
      </c>
      <c r="BL151" s="483">
        <v>241326</v>
      </c>
      <c r="BM151" s="483">
        <v>251985</v>
      </c>
      <c r="BN151" s="483">
        <v>236508</v>
      </c>
      <c r="BO151" s="483">
        <v>240974</v>
      </c>
      <c r="BP151" s="483">
        <v>254226</v>
      </c>
      <c r="BQ151" s="483">
        <v>266326</v>
      </c>
      <c r="BR151" s="1344">
        <v>276985</v>
      </c>
      <c r="BS151" s="1545"/>
      <c r="BU151" s="1545"/>
      <c r="BV151" s="1545"/>
      <c r="BW151" s="1545"/>
      <c r="BX151" s="1545"/>
      <c r="BY151" s="1545"/>
      <c r="BZ151" s="1545"/>
      <c r="CA151" s="1545"/>
      <c r="CB151" s="1545"/>
      <c r="CC151" s="1545"/>
      <c r="CD151" s="1348" t="s">
        <v>2630</v>
      </c>
      <c r="CE151" s="504">
        <v>156508</v>
      </c>
      <c r="CF151" s="504">
        <v>160974</v>
      </c>
      <c r="CG151" s="504">
        <v>174226</v>
      </c>
      <c r="CH151" s="504">
        <v>186326</v>
      </c>
      <c r="CI151" s="504">
        <v>196985</v>
      </c>
      <c r="CJ151" s="504">
        <v>171508</v>
      </c>
      <c r="CK151" s="504">
        <v>175974</v>
      </c>
      <c r="CL151" s="504">
        <v>189226</v>
      </c>
      <c r="CM151" s="504">
        <v>201326</v>
      </c>
      <c r="CN151" s="1347">
        <v>211985</v>
      </c>
    </row>
    <row r="152" spans="60:92" ht="18" customHeight="1">
      <c r="BH152" s="1348" t="s">
        <v>2631</v>
      </c>
      <c r="BI152" s="483">
        <v>220295</v>
      </c>
      <c r="BJ152" s="483">
        <v>225337</v>
      </c>
      <c r="BK152" s="483">
        <v>240462</v>
      </c>
      <c r="BL152" s="483">
        <v>254434</v>
      </c>
      <c r="BM152" s="483">
        <v>266534</v>
      </c>
      <c r="BN152" s="483">
        <v>245295</v>
      </c>
      <c r="BO152" s="483">
        <v>250337</v>
      </c>
      <c r="BP152" s="483">
        <v>265462</v>
      </c>
      <c r="BQ152" s="483">
        <v>279434</v>
      </c>
      <c r="BR152" s="1344">
        <v>291534</v>
      </c>
      <c r="BS152" s="1545"/>
      <c r="BU152" s="1545"/>
      <c r="BV152" s="1545"/>
      <c r="BW152" s="1545"/>
      <c r="BX152" s="1545"/>
      <c r="BY152" s="1545"/>
      <c r="BZ152" s="1545"/>
      <c r="CA152" s="1545"/>
      <c r="CB152" s="1545"/>
      <c r="CC152" s="1545"/>
      <c r="CD152" s="1348" t="s">
        <v>2631</v>
      </c>
      <c r="CE152" s="504">
        <v>165295</v>
      </c>
      <c r="CF152" s="504">
        <v>170337</v>
      </c>
      <c r="CG152" s="504">
        <v>185462</v>
      </c>
      <c r="CH152" s="504">
        <v>199434</v>
      </c>
      <c r="CI152" s="504">
        <v>211534</v>
      </c>
      <c r="CJ152" s="504">
        <v>180295</v>
      </c>
      <c r="CK152" s="504">
        <v>185337</v>
      </c>
      <c r="CL152" s="504">
        <v>200462</v>
      </c>
      <c r="CM152" s="504">
        <v>214434</v>
      </c>
      <c r="CN152" s="1347">
        <v>226534</v>
      </c>
    </row>
    <row r="153" spans="60:92" ht="18" customHeight="1">
      <c r="BH153" s="1348" t="s">
        <v>2632</v>
      </c>
      <c r="BI153" s="483">
        <v>229082</v>
      </c>
      <c r="BJ153" s="483">
        <v>234700</v>
      </c>
      <c r="BK153" s="483">
        <v>251841</v>
      </c>
      <c r="BL153" s="483">
        <v>267543</v>
      </c>
      <c r="BM153" s="483">
        <v>281083</v>
      </c>
      <c r="BN153" s="483">
        <v>254082</v>
      </c>
      <c r="BO153" s="483">
        <v>259700</v>
      </c>
      <c r="BP153" s="483">
        <v>276841</v>
      </c>
      <c r="BQ153" s="483">
        <v>292543</v>
      </c>
      <c r="BR153" s="1344">
        <v>306083</v>
      </c>
      <c r="BS153" s="1545"/>
      <c r="BU153" s="1545"/>
      <c r="BV153" s="1545"/>
      <c r="BW153" s="1545"/>
      <c r="BX153" s="1545"/>
      <c r="BY153" s="1545"/>
      <c r="BZ153" s="1545"/>
      <c r="CA153" s="1545"/>
      <c r="CB153" s="1545"/>
      <c r="CC153" s="1545"/>
      <c r="CD153" s="1348" t="s">
        <v>2632</v>
      </c>
      <c r="CE153" s="504">
        <v>174082</v>
      </c>
      <c r="CF153" s="504">
        <v>179700</v>
      </c>
      <c r="CG153" s="504">
        <v>196841</v>
      </c>
      <c r="CH153" s="504">
        <v>212543</v>
      </c>
      <c r="CI153" s="504">
        <v>226083</v>
      </c>
      <c r="CJ153" s="504">
        <v>189082</v>
      </c>
      <c r="CK153" s="504">
        <v>194700</v>
      </c>
      <c r="CL153" s="504">
        <v>211841</v>
      </c>
      <c r="CM153" s="504">
        <v>227543</v>
      </c>
      <c r="CN153" s="1347">
        <v>241083</v>
      </c>
    </row>
    <row r="154" spans="60:92" ht="18" customHeight="1">
      <c r="BH154" s="1343" t="s">
        <v>2633</v>
      </c>
      <c r="BI154" s="483">
        <v>150000</v>
      </c>
      <c r="BJ154" s="483">
        <v>150000</v>
      </c>
      <c r="BK154" s="483">
        <v>150000</v>
      </c>
      <c r="BL154" s="483">
        <v>150000</v>
      </c>
      <c r="BM154" s="483">
        <v>150000</v>
      </c>
      <c r="BN154" s="483">
        <v>175000</v>
      </c>
      <c r="BO154" s="483">
        <v>175000</v>
      </c>
      <c r="BP154" s="483">
        <v>175000</v>
      </c>
      <c r="BQ154" s="483">
        <v>175000</v>
      </c>
      <c r="BR154" s="1344">
        <v>175000</v>
      </c>
      <c r="BS154" s="1545"/>
      <c r="BU154" s="1545"/>
      <c r="BV154" s="1545"/>
      <c r="BW154" s="1545"/>
      <c r="BX154" s="1545"/>
      <c r="BY154" s="1545"/>
      <c r="BZ154" s="1545"/>
      <c r="CA154" s="1545"/>
      <c r="CB154" s="1545"/>
      <c r="CC154" s="1545"/>
      <c r="CD154" s="1343" t="s">
        <v>2633</v>
      </c>
      <c r="CE154" s="504">
        <v>95000</v>
      </c>
      <c r="CF154" s="504">
        <v>95000</v>
      </c>
      <c r="CG154" s="504">
        <v>95000</v>
      </c>
      <c r="CH154" s="504">
        <v>95000</v>
      </c>
      <c r="CI154" s="504">
        <v>95000</v>
      </c>
      <c r="CJ154" s="504">
        <v>110000</v>
      </c>
      <c r="CK154" s="504">
        <v>110000</v>
      </c>
      <c r="CL154" s="504">
        <v>110000</v>
      </c>
      <c r="CM154" s="504">
        <v>110000</v>
      </c>
      <c r="CN154" s="1347">
        <v>110000</v>
      </c>
    </row>
    <row r="155" spans="60:92" ht="18" customHeight="1">
      <c r="BH155" s="1348" t="s">
        <v>2634</v>
      </c>
      <c r="BI155" s="483">
        <v>158787</v>
      </c>
      <c r="BJ155" s="483">
        <v>159363</v>
      </c>
      <c r="BK155" s="483">
        <v>161380</v>
      </c>
      <c r="BL155" s="483">
        <v>163108</v>
      </c>
      <c r="BM155" s="483">
        <v>164549</v>
      </c>
      <c r="BN155" s="483">
        <v>183787</v>
      </c>
      <c r="BO155" s="483">
        <v>184363</v>
      </c>
      <c r="BP155" s="483">
        <v>186380</v>
      </c>
      <c r="BQ155" s="483">
        <v>188108</v>
      </c>
      <c r="BR155" s="1344">
        <v>189549</v>
      </c>
      <c r="BS155" s="1545"/>
      <c r="BU155" s="1545"/>
      <c r="BV155" s="1545"/>
      <c r="BW155" s="1545"/>
      <c r="BX155" s="1545"/>
      <c r="BY155" s="1545"/>
      <c r="BZ155" s="1545"/>
      <c r="CA155" s="1545"/>
      <c r="CB155" s="1545"/>
      <c r="CC155" s="1545"/>
      <c r="CD155" s="1348" t="s">
        <v>2634</v>
      </c>
      <c r="CE155" s="504">
        <v>103787</v>
      </c>
      <c r="CF155" s="504">
        <v>104363</v>
      </c>
      <c r="CG155" s="504">
        <v>106380</v>
      </c>
      <c r="CH155" s="504">
        <v>108108</v>
      </c>
      <c r="CI155" s="504">
        <v>109549</v>
      </c>
      <c r="CJ155" s="504">
        <v>118787</v>
      </c>
      <c r="CK155" s="504">
        <v>119363</v>
      </c>
      <c r="CL155" s="504">
        <v>121380</v>
      </c>
      <c r="CM155" s="504">
        <v>123108</v>
      </c>
      <c r="CN155" s="1347">
        <v>124549</v>
      </c>
    </row>
    <row r="156" spans="60:92" ht="18" customHeight="1">
      <c r="BH156" s="1348" t="s">
        <v>2635</v>
      </c>
      <c r="BI156" s="483">
        <v>167574</v>
      </c>
      <c r="BJ156" s="483">
        <v>168870</v>
      </c>
      <c r="BK156" s="483">
        <v>172615</v>
      </c>
      <c r="BL156" s="483">
        <v>176073</v>
      </c>
      <c r="BM156" s="483">
        <v>179098</v>
      </c>
      <c r="BN156" s="483">
        <v>192574</v>
      </c>
      <c r="BO156" s="483">
        <v>193870</v>
      </c>
      <c r="BP156" s="483">
        <v>197615</v>
      </c>
      <c r="BQ156" s="483">
        <v>201073</v>
      </c>
      <c r="BR156" s="1344">
        <v>204098</v>
      </c>
      <c r="BS156" s="1545"/>
      <c r="BU156" s="1545"/>
      <c r="BV156" s="1545"/>
      <c r="BW156" s="1545"/>
      <c r="BX156" s="1545"/>
      <c r="BY156" s="1545"/>
      <c r="BZ156" s="1545"/>
      <c r="CA156" s="1545"/>
      <c r="CB156" s="1545"/>
      <c r="CC156" s="1545"/>
      <c r="CD156" s="1348" t="s">
        <v>2635</v>
      </c>
      <c r="CE156" s="504">
        <v>112574</v>
      </c>
      <c r="CF156" s="504">
        <v>113870</v>
      </c>
      <c r="CG156" s="504">
        <v>117615</v>
      </c>
      <c r="CH156" s="504">
        <v>121073</v>
      </c>
      <c r="CI156" s="504">
        <v>124098</v>
      </c>
      <c r="CJ156" s="504">
        <v>127574</v>
      </c>
      <c r="CK156" s="504">
        <v>128870</v>
      </c>
      <c r="CL156" s="504">
        <v>132615</v>
      </c>
      <c r="CM156" s="504">
        <v>136073</v>
      </c>
      <c r="CN156" s="1347">
        <v>139098</v>
      </c>
    </row>
    <row r="157" spans="60:92" ht="18" customHeight="1">
      <c r="BH157" s="1348" t="s">
        <v>2636</v>
      </c>
      <c r="BI157" s="483">
        <v>176361</v>
      </c>
      <c r="BJ157" s="483">
        <v>178233</v>
      </c>
      <c r="BK157" s="483">
        <v>183995</v>
      </c>
      <c r="BL157" s="483">
        <v>189181</v>
      </c>
      <c r="BM157" s="483">
        <v>193646</v>
      </c>
      <c r="BN157" s="483">
        <v>201361</v>
      </c>
      <c r="BO157" s="483">
        <v>203233</v>
      </c>
      <c r="BP157" s="483">
        <v>208995</v>
      </c>
      <c r="BQ157" s="483">
        <v>214181</v>
      </c>
      <c r="BR157" s="1344">
        <v>218646</v>
      </c>
      <c r="BS157" s="1545"/>
      <c r="BU157" s="1545"/>
      <c r="BV157" s="1545"/>
      <c r="BW157" s="1545"/>
      <c r="BX157" s="1545"/>
      <c r="BY157" s="1545"/>
      <c r="BZ157" s="1545"/>
      <c r="CA157" s="1545"/>
      <c r="CB157" s="1545"/>
      <c r="CC157" s="1545"/>
      <c r="CD157" s="1348" t="s">
        <v>2636</v>
      </c>
      <c r="CE157" s="504">
        <v>121361</v>
      </c>
      <c r="CF157" s="504">
        <v>123233</v>
      </c>
      <c r="CG157" s="504">
        <v>128995</v>
      </c>
      <c r="CH157" s="504">
        <v>134181</v>
      </c>
      <c r="CI157" s="504">
        <v>138646</v>
      </c>
      <c r="CJ157" s="504">
        <v>136361</v>
      </c>
      <c r="CK157" s="504">
        <v>138233</v>
      </c>
      <c r="CL157" s="504">
        <v>143995</v>
      </c>
      <c r="CM157" s="504">
        <v>149181</v>
      </c>
      <c r="CN157" s="1347">
        <v>153646</v>
      </c>
    </row>
    <row r="158" spans="60:92" ht="18" customHeight="1">
      <c r="BH158" s="1348" t="s">
        <v>2637</v>
      </c>
      <c r="BI158" s="483">
        <v>185148</v>
      </c>
      <c r="BJ158" s="483">
        <v>187596</v>
      </c>
      <c r="BK158" s="483">
        <v>195231</v>
      </c>
      <c r="BL158" s="483">
        <v>202145</v>
      </c>
      <c r="BM158" s="483">
        <v>208195</v>
      </c>
      <c r="BN158" s="483">
        <v>210148</v>
      </c>
      <c r="BO158" s="483">
        <v>212596</v>
      </c>
      <c r="BP158" s="483">
        <v>220231</v>
      </c>
      <c r="BQ158" s="483">
        <v>227145</v>
      </c>
      <c r="BR158" s="1344">
        <v>233195</v>
      </c>
      <c r="BS158" s="1545"/>
      <c r="BU158" s="1545"/>
      <c r="BV158" s="1545"/>
      <c r="BW158" s="1545"/>
      <c r="BX158" s="1545"/>
      <c r="BY158" s="1545"/>
      <c r="BZ158" s="1545"/>
      <c r="CA158" s="1545"/>
      <c r="CB158" s="1545"/>
      <c r="CC158" s="1545"/>
      <c r="CD158" s="1348" t="s">
        <v>2637</v>
      </c>
      <c r="CE158" s="504">
        <v>130148</v>
      </c>
      <c r="CF158" s="504">
        <v>132596</v>
      </c>
      <c r="CG158" s="504">
        <v>140231</v>
      </c>
      <c r="CH158" s="504">
        <v>147145</v>
      </c>
      <c r="CI158" s="504">
        <v>153195</v>
      </c>
      <c r="CJ158" s="504">
        <v>145148</v>
      </c>
      <c r="CK158" s="504">
        <v>147596</v>
      </c>
      <c r="CL158" s="504">
        <v>155231</v>
      </c>
      <c r="CM158" s="504">
        <v>162145</v>
      </c>
      <c r="CN158" s="1347">
        <v>168195</v>
      </c>
    </row>
    <row r="159" spans="60:92" ht="18" customHeight="1">
      <c r="BH159" s="1348" t="s">
        <v>2638</v>
      </c>
      <c r="BI159" s="483">
        <v>193934</v>
      </c>
      <c r="BJ159" s="483">
        <v>197103</v>
      </c>
      <c r="BK159" s="483">
        <v>206611</v>
      </c>
      <c r="BL159" s="483">
        <v>215253</v>
      </c>
      <c r="BM159" s="483">
        <v>222888</v>
      </c>
      <c r="BN159" s="483">
        <v>218934</v>
      </c>
      <c r="BO159" s="483">
        <v>222103</v>
      </c>
      <c r="BP159" s="483">
        <v>231611</v>
      </c>
      <c r="BQ159" s="483">
        <v>240253</v>
      </c>
      <c r="BR159" s="1344">
        <v>247888</v>
      </c>
      <c r="BS159" s="1545"/>
      <c r="BU159" s="1545"/>
      <c r="BV159" s="1545"/>
      <c r="BW159" s="1545"/>
      <c r="BX159" s="1545"/>
      <c r="BY159" s="1545"/>
      <c r="BZ159" s="1545"/>
      <c r="CA159" s="1545"/>
      <c r="CB159" s="1545"/>
      <c r="CC159" s="1545"/>
      <c r="CD159" s="1348" t="s">
        <v>2638</v>
      </c>
      <c r="CE159" s="504">
        <v>138934</v>
      </c>
      <c r="CF159" s="504">
        <v>142103</v>
      </c>
      <c r="CG159" s="504">
        <v>151611</v>
      </c>
      <c r="CH159" s="504">
        <v>160253</v>
      </c>
      <c r="CI159" s="504">
        <v>167888</v>
      </c>
      <c r="CJ159" s="504">
        <v>153934</v>
      </c>
      <c r="CK159" s="504">
        <v>157103</v>
      </c>
      <c r="CL159" s="504">
        <v>166611</v>
      </c>
      <c r="CM159" s="504">
        <v>175253</v>
      </c>
      <c r="CN159" s="1347">
        <v>182888</v>
      </c>
    </row>
    <row r="160" spans="60:92" ht="18" customHeight="1">
      <c r="BH160" s="1348" t="s">
        <v>2639</v>
      </c>
      <c r="BI160" s="483">
        <v>202721</v>
      </c>
      <c r="BJ160" s="483">
        <v>206467</v>
      </c>
      <c r="BK160" s="483">
        <v>217846</v>
      </c>
      <c r="BL160" s="483">
        <v>228362</v>
      </c>
      <c r="BM160" s="483">
        <v>237437</v>
      </c>
      <c r="BN160" s="483">
        <v>227721</v>
      </c>
      <c r="BO160" s="483">
        <v>231467</v>
      </c>
      <c r="BP160" s="483">
        <v>242846</v>
      </c>
      <c r="BQ160" s="483">
        <v>253362</v>
      </c>
      <c r="BR160" s="1344">
        <v>262437</v>
      </c>
      <c r="BS160" s="1545"/>
      <c r="BU160" s="1545"/>
      <c r="BV160" s="1545"/>
      <c r="BW160" s="1545"/>
      <c r="BX160" s="1545"/>
      <c r="BY160" s="1545"/>
      <c r="BZ160" s="1545"/>
      <c r="CA160" s="1545"/>
      <c r="CB160" s="1545"/>
      <c r="CC160" s="1545"/>
      <c r="CD160" s="1348" t="s">
        <v>2639</v>
      </c>
      <c r="CE160" s="504">
        <v>147721</v>
      </c>
      <c r="CF160" s="504">
        <v>151467</v>
      </c>
      <c r="CG160" s="504">
        <v>162846</v>
      </c>
      <c r="CH160" s="504">
        <v>173362</v>
      </c>
      <c r="CI160" s="504">
        <v>182437</v>
      </c>
      <c r="CJ160" s="504">
        <v>162721</v>
      </c>
      <c r="CK160" s="504">
        <v>166467</v>
      </c>
      <c r="CL160" s="504">
        <v>177846</v>
      </c>
      <c r="CM160" s="504">
        <v>188362</v>
      </c>
      <c r="CN160" s="1347">
        <v>197437</v>
      </c>
    </row>
    <row r="161" spans="60:92" ht="18" customHeight="1">
      <c r="BH161" s="1348" t="s">
        <v>2640</v>
      </c>
      <c r="BI161" s="483">
        <v>211508</v>
      </c>
      <c r="BJ161" s="483">
        <v>215974</v>
      </c>
      <c r="BK161" s="483">
        <v>229226</v>
      </c>
      <c r="BL161" s="483">
        <v>241326</v>
      </c>
      <c r="BM161" s="483">
        <v>251985</v>
      </c>
      <c r="BN161" s="483">
        <v>236508</v>
      </c>
      <c r="BO161" s="483">
        <v>240974</v>
      </c>
      <c r="BP161" s="483">
        <v>254226</v>
      </c>
      <c r="BQ161" s="483">
        <v>266326</v>
      </c>
      <c r="BR161" s="1344">
        <v>276985</v>
      </c>
      <c r="BS161" s="1545"/>
      <c r="BU161" s="1545"/>
      <c r="BV161" s="1545"/>
      <c r="BW161" s="1545"/>
      <c r="BX161" s="1545"/>
      <c r="BY161" s="1545"/>
      <c r="BZ161" s="1545"/>
      <c r="CA161" s="1545"/>
      <c r="CB161" s="1545"/>
      <c r="CC161" s="1545"/>
      <c r="CD161" s="1348" t="s">
        <v>2640</v>
      </c>
      <c r="CE161" s="504">
        <v>156508</v>
      </c>
      <c r="CF161" s="504">
        <v>160974</v>
      </c>
      <c r="CG161" s="504">
        <v>174226</v>
      </c>
      <c r="CH161" s="504">
        <v>186326</v>
      </c>
      <c r="CI161" s="504">
        <v>196985</v>
      </c>
      <c r="CJ161" s="504">
        <v>171508</v>
      </c>
      <c r="CK161" s="504">
        <v>175974</v>
      </c>
      <c r="CL161" s="504">
        <v>189226</v>
      </c>
      <c r="CM161" s="504">
        <v>201326</v>
      </c>
      <c r="CN161" s="1347">
        <v>211985</v>
      </c>
    </row>
    <row r="162" spans="60:92" ht="18" customHeight="1">
      <c r="BH162" s="1348" t="s">
        <v>2641</v>
      </c>
      <c r="BI162" s="483">
        <v>220295</v>
      </c>
      <c r="BJ162" s="483">
        <v>225337</v>
      </c>
      <c r="BK162" s="483">
        <v>240462</v>
      </c>
      <c r="BL162" s="483">
        <v>254434</v>
      </c>
      <c r="BM162" s="483">
        <v>266534</v>
      </c>
      <c r="BN162" s="483">
        <v>245295</v>
      </c>
      <c r="BO162" s="483">
        <v>250337</v>
      </c>
      <c r="BP162" s="483">
        <v>265462</v>
      </c>
      <c r="BQ162" s="483">
        <v>279434</v>
      </c>
      <c r="BR162" s="1344">
        <v>291534</v>
      </c>
      <c r="BS162" s="1545"/>
      <c r="BU162" s="1545"/>
      <c r="BV162" s="1545"/>
      <c r="BW162" s="1545"/>
      <c r="BX162" s="1545"/>
      <c r="BY162" s="1545"/>
      <c r="BZ162" s="1545"/>
      <c r="CA162" s="1545"/>
      <c r="CB162" s="1545"/>
      <c r="CC162" s="1545"/>
      <c r="CD162" s="1348" t="s">
        <v>2641</v>
      </c>
      <c r="CE162" s="504">
        <v>165295</v>
      </c>
      <c r="CF162" s="504">
        <v>170337</v>
      </c>
      <c r="CG162" s="504">
        <v>185462</v>
      </c>
      <c r="CH162" s="504">
        <v>199434</v>
      </c>
      <c r="CI162" s="504">
        <v>211534</v>
      </c>
      <c r="CJ162" s="504">
        <v>180295</v>
      </c>
      <c r="CK162" s="504">
        <v>185337</v>
      </c>
      <c r="CL162" s="504">
        <v>200462</v>
      </c>
      <c r="CM162" s="504">
        <v>214434</v>
      </c>
      <c r="CN162" s="1347">
        <v>226534</v>
      </c>
    </row>
    <row r="163" spans="60:92" ht="18" customHeight="1">
      <c r="BH163" s="1348" t="s">
        <v>2642</v>
      </c>
      <c r="BI163" s="483">
        <v>229082</v>
      </c>
      <c r="BJ163" s="483">
        <v>234700</v>
      </c>
      <c r="BK163" s="483">
        <v>251841</v>
      </c>
      <c r="BL163" s="483">
        <v>267543</v>
      </c>
      <c r="BM163" s="483">
        <v>281083</v>
      </c>
      <c r="BN163" s="483">
        <v>254082</v>
      </c>
      <c r="BO163" s="483">
        <v>259700</v>
      </c>
      <c r="BP163" s="483">
        <v>276841</v>
      </c>
      <c r="BQ163" s="483">
        <v>292543</v>
      </c>
      <c r="BR163" s="1344">
        <v>306083</v>
      </c>
      <c r="BS163" s="1545"/>
      <c r="BU163" s="1545"/>
      <c r="BV163" s="1545"/>
      <c r="BW163" s="1545"/>
      <c r="BX163" s="1545"/>
      <c r="BY163" s="1545"/>
      <c r="BZ163" s="1545"/>
      <c r="CA163" s="1545"/>
      <c r="CB163" s="1545"/>
      <c r="CC163" s="1545"/>
      <c r="CD163" s="1348" t="s">
        <v>2642</v>
      </c>
      <c r="CE163" s="504">
        <v>174082</v>
      </c>
      <c r="CF163" s="504">
        <v>179700</v>
      </c>
      <c r="CG163" s="504">
        <v>196841</v>
      </c>
      <c r="CH163" s="504">
        <v>212543</v>
      </c>
      <c r="CI163" s="504">
        <v>226083</v>
      </c>
      <c r="CJ163" s="504">
        <v>189082</v>
      </c>
      <c r="CK163" s="504">
        <v>194700</v>
      </c>
      <c r="CL163" s="504">
        <v>211841</v>
      </c>
      <c r="CM163" s="504">
        <v>227543</v>
      </c>
      <c r="CN163" s="1347">
        <v>241083</v>
      </c>
    </row>
    <row r="164" spans="60:92" ht="18" customHeight="1">
      <c r="BH164" s="1343" t="s">
        <v>2643</v>
      </c>
      <c r="BI164" s="483">
        <v>150000</v>
      </c>
      <c r="BJ164" s="483">
        <v>150000</v>
      </c>
      <c r="BK164" s="483">
        <v>150000</v>
      </c>
      <c r="BL164" s="483">
        <v>150000</v>
      </c>
      <c r="BM164" s="483">
        <v>150000</v>
      </c>
      <c r="BN164" s="483">
        <v>175000</v>
      </c>
      <c r="BO164" s="483">
        <v>175000</v>
      </c>
      <c r="BP164" s="483">
        <v>175000</v>
      </c>
      <c r="BQ164" s="483">
        <v>175000</v>
      </c>
      <c r="BR164" s="1344">
        <v>175000</v>
      </c>
      <c r="BS164" s="1545"/>
      <c r="BU164" s="1545"/>
      <c r="BV164" s="1545"/>
      <c r="BW164" s="1545"/>
      <c r="BX164" s="1545"/>
      <c r="BY164" s="1545"/>
      <c r="BZ164" s="1545"/>
      <c r="CA164" s="1545"/>
      <c r="CB164" s="1545"/>
      <c r="CC164" s="1545"/>
      <c r="CD164" s="1343" t="s">
        <v>2643</v>
      </c>
      <c r="CE164" s="504">
        <v>95000</v>
      </c>
      <c r="CF164" s="504">
        <v>95000</v>
      </c>
      <c r="CG164" s="504">
        <v>95000</v>
      </c>
      <c r="CH164" s="504">
        <v>95000</v>
      </c>
      <c r="CI164" s="504">
        <v>95000</v>
      </c>
      <c r="CJ164" s="504">
        <v>110000</v>
      </c>
      <c r="CK164" s="504">
        <v>110000</v>
      </c>
      <c r="CL164" s="504">
        <v>110000</v>
      </c>
      <c r="CM164" s="504">
        <v>110000</v>
      </c>
      <c r="CN164" s="1347">
        <v>110000</v>
      </c>
    </row>
    <row r="165" spans="60:92" ht="18" customHeight="1">
      <c r="BH165" s="1348" t="s">
        <v>2644</v>
      </c>
      <c r="BI165" s="483">
        <v>158787</v>
      </c>
      <c r="BJ165" s="483">
        <v>159363</v>
      </c>
      <c r="BK165" s="483">
        <v>161380</v>
      </c>
      <c r="BL165" s="483">
        <v>163108</v>
      </c>
      <c r="BM165" s="483">
        <v>164549</v>
      </c>
      <c r="BN165" s="483">
        <v>183787</v>
      </c>
      <c r="BO165" s="483">
        <v>184363</v>
      </c>
      <c r="BP165" s="483">
        <v>186380</v>
      </c>
      <c r="BQ165" s="483">
        <v>188108</v>
      </c>
      <c r="BR165" s="1344">
        <v>189549</v>
      </c>
      <c r="BS165" s="1545"/>
      <c r="BU165" s="1545"/>
      <c r="BV165" s="1545"/>
      <c r="BW165" s="1545"/>
      <c r="BX165" s="1545"/>
      <c r="BY165" s="1545"/>
      <c r="BZ165" s="1545"/>
      <c r="CA165" s="1545"/>
      <c r="CB165" s="1545"/>
      <c r="CC165" s="1545"/>
      <c r="CD165" s="1348" t="s">
        <v>2644</v>
      </c>
      <c r="CE165" s="504">
        <v>103787</v>
      </c>
      <c r="CF165" s="504">
        <v>104363</v>
      </c>
      <c r="CG165" s="504">
        <v>106380</v>
      </c>
      <c r="CH165" s="504">
        <v>108108</v>
      </c>
      <c r="CI165" s="504">
        <v>109549</v>
      </c>
      <c r="CJ165" s="504">
        <v>118787</v>
      </c>
      <c r="CK165" s="504">
        <v>119363</v>
      </c>
      <c r="CL165" s="504">
        <v>121380</v>
      </c>
      <c r="CM165" s="504">
        <v>123108</v>
      </c>
      <c r="CN165" s="1347">
        <v>124549</v>
      </c>
    </row>
    <row r="166" spans="60:92" ht="18" customHeight="1">
      <c r="BH166" s="1348" t="s">
        <v>2645</v>
      </c>
      <c r="BI166" s="483">
        <v>167574</v>
      </c>
      <c r="BJ166" s="483">
        <v>168870</v>
      </c>
      <c r="BK166" s="483">
        <v>172615</v>
      </c>
      <c r="BL166" s="483">
        <v>176073</v>
      </c>
      <c r="BM166" s="483">
        <v>179098</v>
      </c>
      <c r="BN166" s="483">
        <v>192574</v>
      </c>
      <c r="BO166" s="483">
        <v>193870</v>
      </c>
      <c r="BP166" s="483">
        <v>197615</v>
      </c>
      <c r="BQ166" s="483">
        <v>201073</v>
      </c>
      <c r="BR166" s="1344">
        <v>204098</v>
      </c>
      <c r="BS166" s="1545"/>
      <c r="BU166" s="1545"/>
      <c r="BV166" s="1545"/>
      <c r="BW166" s="1545"/>
      <c r="BX166" s="1545"/>
      <c r="BY166" s="1545"/>
      <c r="BZ166" s="1545"/>
      <c r="CA166" s="1545"/>
      <c r="CB166" s="1545"/>
      <c r="CC166" s="1545"/>
      <c r="CD166" s="1348" t="s">
        <v>2645</v>
      </c>
      <c r="CE166" s="504">
        <v>112574</v>
      </c>
      <c r="CF166" s="504">
        <v>113870</v>
      </c>
      <c r="CG166" s="504">
        <v>117615</v>
      </c>
      <c r="CH166" s="504">
        <v>121073</v>
      </c>
      <c r="CI166" s="504">
        <v>124098</v>
      </c>
      <c r="CJ166" s="504">
        <v>127574</v>
      </c>
      <c r="CK166" s="504">
        <v>128870</v>
      </c>
      <c r="CL166" s="504">
        <v>132615</v>
      </c>
      <c r="CM166" s="504">
        <v>136073</v>
      </c>
      <c r="CN166" s="1347">
        <v>139098</v>
      </c>
    </row>
    <row r="167" spans="60:92" ht="18" customHeight="1">
      <c r="BH167" s="1348" t="s">
        <v>2646</v>
      </c>
      <c r="BI167" s="483">
        <v>176361</v>
      </c>
      <c r="BJ167" s="483">
        <v>178233</v>
      </c>
      <c r="BK167" s="483">
        <v>183995</v>
      </c>
      <c r="BL167" s="483">
        <v>189181</v>
      </c>
      <c r="BM167" s="483">
        <v>193646</v>
      </c>
      <c r="BN167" s="483">
        <v>201361</v>
      </c>
      <c r="BO167" s="483">
        <v>203233</v>
      </c>
      <c r="BP167" s="483">
        <v>208995</v>
      </c>
      <c r="BQ167" s="483">
        <v>214181</v>
      </c>
      <c r="BR167" s="1344">
        <v>218646</v>
      </c>
      <c r="BS167" s="1545"/>
      <c r="BU167" s="1545"/>
      <c r="BV167" s="1545"/>
      <c r="BW167" s="1545"/>
      <c r="BX167" s="1545"/>
      <c r="BY167" s="1545"/>
      <c r="BZ167" s="1545"/>
      <c r="CA167" s="1545"/>
      <c r="CB167" s="1545"/>
      <c r="CC167" s="1545"/>
      <c r="CD167" s="1348" t="s">
        <v>2646</v>
      </c>
      <c r="CE167" s="504">
        <v>121361</v>
      </c>
      <c r="CF167" s="504">
        <v>123233</v>
      </c>
      <c r="CG167" s="504">
        <v>128995</v>
      </c>
      <c r="CH167" s="504">
        <v>134181</v>
      </c>
      <c r="CI167" s="504">
        <v>138646</v>
      </c>
      <c r="CJ167" s="504">
        <v>136361</v>
      </c>
      <c r="CK167" s="504">
        <v>138233</v>
      </c>
      <c r="CL167" s="504">
        <v>143995</v>
      </c>
      <c r="CM167" s="504">
        <v>149181</v>
      </c>
      <c r="CN167" s="1347">
        <v>153646</v>
      </c>
    </row>
    <row r="168" spans="60:92" ht="18" customHeight="1">
      <c r="BH168" s="1348" t="s">
        <v>2647</v>
      </c>
      <c r="BI168" s="483">
        <v>185148</v>
      </c>
      <c r="BJ168" s="483">
        <v>187596</v>
      </c>
      <c r="BK168" s="483">
        <v>195231</v>
      </c>
      <c r="BL168" s="483">
        <v>202145</v>
      </c>
      <c r="BM168" s="483">
        <v>208195</v>
      </c>
      <c r="BN168" s="483">
        <v>210148</v>
      </c>
      <c r="BO168" s="483">
        <v>212596</v>
      </c>
      <c r="BP168" s="483">
        <v>220231</v>
      </c>
      <c r="BQ168" s="483">
        <v>227145</v>
      </c>
      <c r="BR168" s="1344">
        <v>233195</v>
      </c>
      <c r="BS168" s="1545"/>
      <c r="BU168" s="1545"/>
      <c r="BV168" s="1545"/>
      <c r="BW168" s="1545"/>
      <c r="BX168" s="1545"/>
      <c r="BY168" s="1545"/>
      <c r="BZ168" s="1545"/>
      <c r="CA168" s="1545"/>
      <c r="CB168" s="1545"/>
      <c r="CC168" s="1545"/>
      <c r="CD168" s="1348" t="s">
        <v>2647</v>
      </c>
      <c r="CE168" s="504">
        <v>130148</v>
      </c>
      <c r="CF168" s="504">
        <v>132596</v>
      </c>
      <c r="CG168" s="504">
        <v>140231</v>
      </c>
      <c r="CH168" s="504">
        <v>147145</v>
      </c>
      <c r="CI168" s="504">
        <v>153195</v>
      </c>
      <c r="CJ168" s="504">
        <v>145148</v>
      </c>
      <c r="CK168" s="504">
        <v>147596</v>
      </c>
      <c r="CL168" s="504">
        <v>155231</v>
      </c>
      <c r="CM168" s="504">
        <v>162145</v>
      </c>
      <c r="CN168" s="1347">
        <v>168195</v>
      </c>
    </row>
    <row r="169" spans="60:92" ht="18" customHeight="1">
      <c r="BH169" s="1348" t="s">
        <v>2648</v>
      </c>
      <c r="BI169" s="483">
        <v>193934</v>
      </c>
      <c r="BJ169" s="483">
        <v>197103</v>
      </c>
      <c r="BK169" s="483">
        <v>206611</v>
      </c>
      <c r="BL169" s="483">
        <v>215253</v>
      </c>
      <c r="BM169" s="483">
        <v>222888</v>
      </c>
      <c r="BN169" s="483">
        <v>218934</v>
      </c>
      <c r="BO169" s="483">
        <v>222103</v>
      </c>
      <c r="BP169" s="483">
        <v>231611</v>
      </c>
      <c r="BQ169" s="483">
        <v>240253</v>
      </c>
      <c r="BR169" s="1344">
        <v>247888</v>
      </c>
      <c r="BS169" s="1545"/>
      <c r="BU169" s="1545"/>
      <c r="BV169" s="1545"/>
      <c r="BW169" s="1545"/>
      <c r="BX169" s="1545"/>
      <c r="BY169" s="1545"/>
      <c r="BZ169" s="1545"/>
      <c r="CA169" s="1545"/>
      <c r="CB169" s="1545"/>
      <c r="CC169" s="1545"/>
      <c r="CD169" s="1348" t="s">
        <v>2648</v>
      </c>
      <c r="CE169" s="504">
        <v>138934</v>
      </c>
      <c r="CF169" s="504">
        <v>142103</v>
      </c>
      <c r="CG169" s="504">
        <v>151611</v>
      </c>
      <c r="CH169" s="504">
        <v>160253</v>
      </c>
      <c r="CI169" s="504">
        <v>167888</v>
      </c>
      <c r="CJ169" s="504">
        <v>153934</v>
      </c>
      <c r="CK169" s="504">
        <v>157103</v>
      </c>
      <c r="CL169" s="504">
        <v>166611</v>
      </c>
      <c r="CM169" s="504">
        <v>175253</v>
      </c>
      <c r="CN169" s="1347">
        <v>182888</v>
      </c>
    </row>
    <row r="170" spans="60:92" ht="18" customHeight="1">
      <c r="BH170" s="1348" t="s">
        <v>2649</v>
      </c>
      <c r="BI170" s="483">
        <v>202721</v>
      </c>
      <c r="BJ170" s="483">
        <v>206467</v>
      </c>
      <c r="BK170" s="483">
        <v>217846</v>
      </c>
      <c r="BL170" s="483">
        <v>228362</v>
      </c>
      <c r="BM170" s="483">
        <v>237437</v>
      </c>
      <c r="BN170" s="483">
        <v>227721</v>
      </c>
      <c r="BO170" s="483">
        <v>231467</v>
      </c>
      <c r="BP170" s="483">
        <v>242846</v>
      </c>
      <c r="BQ170" s="483">
        <v>253362</v>
      </c>
      <c r="BR170" s="1344">
        <v>262437</v>
      </c>
      <c r="BS170" s="1545"/>
      <c r="BU170" s="1545"/>
      <c r="BV170" s="1545"/>
      <c r="BW170" s="1545"/>
      <c r="BX170" s="1545"/>
      <c r="BY170" s="1545"/>
      <c r="BZ170" s="1545"/>
      <c r="CA170" s="1545"/>
      <c r="CB170" s="1545"/>
      <c r="CC170" s="1545"/>
      <c r="CD170" s="1348" t="s">
        <v>2649</v>
      </c>
      <c r="CE170" s="504">
        <v>147721</v>
      </c>
      <c r="CF170" s="504">
        <v>151467</v>
      </c>
      <c r="CG170" s="504">
        <v>162846</v>
      </c>
      <c r="CH170" s="504">
        <v>173362</v>
      </c>
      <c r="CI170" s="504">
        <v>182437</v>
      </c>
      <c r="CJ170" s="504">
        <v>162721</v>
      </c>
      <c r="CK170" s="504">
        <v>166467</v>
      </c>
      <c r="CL170" s="504">
        <v>177846</v>
      </c>
      <c r="CM170" s="504">
        <v>188362</v>
      </c>
      <c r="CN170" s="1347">
        <v>197437</v>
      </c>
    </row>
    <row r="171" spans="60:92" ht="18" customHeight="1">
      <c r="BH171" s="1348" t="s">
        <v>2650</v>
      </c>
      <c r="BI171" s="483">
        <v>211508</v>
      </c>
      <c r="BJ171" s="483">
        <v>215974</v>
      </c>
      <c r="BK171" s="483">
        <v>229226</v>
      </c>
      <c r="BL171" s="483">
        <v>241326</v>
      </c>
      <c r="BM171" s="483">
        <v>251985</v>
      </c>
      <c r="BN171" s="483">
        <v>236508</v>
      </c>
      <c r="BO171" s="483">
        <v>240974</v>
      </c>
      <c r="BP171" s="483">
        <v>254226</v>
      </c>
      <c r="BQ171" s="483">
        <v>266326</v>
      </c>
      <c r="BR171" s="1344">
        <v>276985</v>
      </c>
      <c r="BS171" s="1545"/>
      <c r="BU171" s="1545"/>
      <c r="BV171" s="1545"/>
      <c r="BW171" s="1545"/>
      <c r="BX171" s="1545"/>
      <c r="BY171" s="1545"/>
      <c r="BZ171" s="1545"/>
      <c r="CA171" s="1545"/>
      <c r="CB171" s="1545"/>
      <c r="CC171" s="1545"/>
      <c r="CD171" s="1348" t="s">
        <v>2650</v>
      </c>
      <c r="CE171" s="504">
        <v>156508</v>
      </c>
      <c r="CF171" s="504">
        <v>160974</v>
      </c>
      <c r="CG171" s="504">
        <v>174226</v>
      </c>
      <c r="CH171" s="504">
        <v>186326</v>
      </c>
      <c r="CI171" s="504">
        <v>196985</v>
      </c>
      <c r="CJ171" s="504">
        <v>171508</v>
      </c>
      <c r="CK171" s="504">
        <v>175974</v>
      </c>
      <c r="CL171" s="504">
        <v>189226</v>
      </c>
      <c r="CM171" s="504">
        <v>201326</v>
      </c>
      <c r="CN171" s="1347">
        <v>211985</v>
      </c>
    </row>
    <row r="172" spans="60:92" ht="18" customHeight="1">
      <c r="BH172" s="1348" t="s">
        <v>2651</v>
      </c>
      <c r="BI172" s="483">
        <v>220295</v>
      </c>
      <c r="BJ172" s="483">
        <v>225337</v>
      </c>
      <c r="BK172" s="483">
        <v>240462</v>
      </c>
      <c r="BL172" s="483">
        <v>254434</v>
      </c>
      <c r="BM172" s="483">
        <v>266534</v>
      </c>
      <c r="BN172" s="483">
        <v>245295</v>
      </c>
      <c r="BO172" s="483">
        <v>250337</v>
      </c>
      <c r="BP172" s="483">
        <v>265462</v>
      </c>
      <c r="BQ172" s="483">
        <v>279434</v>
      </c>
      <c r="BR172" s="1344">
        <v>291534</v>
      </c>
      <c r="BS172" s="1545"/>
      <c r="BU172" s="1545"/>
      <c r="BV172" s="1545"/>
      <c r="BW172" s="1545"/>
      <c r="BX172" s="1545"/>
      <c r="BY172" s="1545"/>
      <c r="BZ172" s="1545"/>
      <c r="CA172" s="1545"/>
      <c r="CB172" s="1545"/>
      <c r="CC172" s="1545"/>
      <c r="CD172" s="1348" t="s">
        <v>2651</v>
      </c>
      <c r="CE172" s="504">
        <v>165295</v>
      </c>
      <c r="CF172" s="504">
        <v>170337</v>
      </c>
      <c r="CG172" s="504">
        <v>185462</v>
      </c>
      <c r="CH172" s="504">
        <v>199434</v>
      </c>
      <c r="CI172" s="504">
        <v>211534</v>
      </c>
      <c r="CJ172" s="504">
        <v>180295</v>
      </c>
      <c r="CK172" s="504">
        <v>185337</v>
      </c>
      <c r="CL172" s="504">
        <v>200462</v>
      </c>
      <c r="CM172" s="504">
        <v>214434</v>
      </c>
      <c r="CN172" s="1347">
        <v>226534</v>
      </c>
    </row>
    <row r="173" spans="60:92" ht="18" customHeight="1">
      <c r="BH173" s="1348" t="s">
        <v>2652</v>
      </c>
      <c r="BI173" s="483">
        <v>229082</v>
      </c>
      <c r="BJ173" s="483">
        <v>234700</v>
      </c>
      <c r="BK173" s="483">
        <v>251841</v>
      </c>
      <c r="BL173" s="483">
        <v>267543</v>
      </c>
      <c r="BM173" s="483">
        <v>281083</v>
      </c>
      <c r="BN173" s="483">
        <v>254082</v>
      </c>
      <c r="BO173" s="483">
        <v>259700</v>
      </c>
      <c r="BP173" s="483">
        <v>276841</v>
      </c>
      <c r="BQ173" s="483">
        <v>292543</v>
      </c>
      <c r="BR173" s="1344">
        <v>306083</v>
      </c>
      <c r="BS173" s="1545"/>
      <c r="BU173" s="1545"/>
      <c r="BV173" s="1545"/>
      <c r="BW173" s="1545"/>
      <c r="BX173" s="1545"/>
      <c r="BY173" s="1545"/>
      <c r="BZ173" s="1545"/>
      <c r="CA173" s="1545"/>
      <c r="CB173" s="1545"/>
      <c r="CC173" s="1545"/>
      <c r="CD173" s="1348" t="s">
        <v>2652</v>
      </c>
      <c r="CE173" s="504">
        <v>174082</v>
      </c>
      <c r="CF173" s="504">
        <v>179700</v>
      </c>
      <c r="CG173" s="504">
        <v>196841</v>
      </c>
      <c r="CH173" s="504">
        <v>212543</v>
      </c>
      <c r="CI173" s="504">
        <v>226083</v>
      </c>
      <c r="CJ173" s="504">
        <v>189082</v>
      </c>
      <c r="CK173" s="504">
        <v>194700</v>
      </c>
      <c r="CL173" s="504">
        <v>211841</v>
      </c>
      <c r="CM173" s="504">
        <v>227543</v>
      </c>
      <c r="CN173" s="1347">
        <v>241083</v>
      </c>
    </row>
    <row r="174" spans="60:92" ht="18" customHeight="1">
      <c r="BH174" s="1343" t="s">
        <v>2653</v>
      </c>
      <c r="BI174" s="483">
        <v>150000</v>
      </c>
      <c r="BJ174" s="483">
        <v>150000</v>
      </c>
      <c r="BK174" s="483">
        <v>150000</v>
      </c>
      <c r="BL174" s="483">
        <v>150000</v>
      </c>
      <c r="BM174" s="483">
        <v>150000</v>
      </c>
      <c r="BN174" s="483">
        <v>175000</v>
      </c>
      <c r="BO174" s="483">
        <v>175000</v>
      </c>
      <c r="BP174" s="483">
        <v>175000</v>
      </c>
      <c r="BQ174" s="483">
        <v>175000</v>
      </c>
      <c r="BR174" s="1344">
        <v>175000</v>
      </c>
      <c r="BS174" s="1545"/>
      <c r="BU174" s="1545"/>
      <c r="BV174" s="1545"/>
      <c r="BW174" s="1545"/>
      <c r="BX174" s="1545"/>
      <c r="BY174" s="1545"/>
      <c r="BZ174" s="1545"/>
      <c r="CA174" s="1545"/>
      <c r="CB174" s="1545"/>
      <c r="CC174" s="1545"/>
      <c r="CD174" s="1343" t="s">
        <v>2653</v>
      </c>
      <c r="CE174" s="504">
        <v>95000</v>
      </c>
      <c r="CF174" s="504">
        <v>95000</v>
      </c>
      <c r="CG174" s="504">
        <v>95000</v>
      </c>
      <c r="CH174" s="504">
        <v>95000</v>
      </c>
      <c r="CI174" s="504">
        <v>95000</v>
      </c>
      <c r="CJ174" s="504">
        <v>110000</v>
      </c>
      <c r="CK174" s="504">
        <v>110000</v>
      </c>
      <c r="CL174" s="504">
        <v>110000</v>
      </c>
      <c r="CM174" s="504">
        <v>110000</v>
      </c>
      <c r="CN174" s="1347">
        <v>110000</v>
      </c>
    </row>
    <row r="175" spans="60:92" ht="18" customHeight="1">
      <c r="BH175" s="1348" t="s">
        <v>2654</v>
      </c>
      <c r="BI175" s="483">
        <v>159219</v>
      </c>
      <c r="BJ175" s="483">
        <v>159795</v>
      </c>
      <c r="BK175" s="483">
        <v>161812</v>
      </c>
      <c r="BL175" s="483">
        <v>163540</v>
      </c>
      <c r="BM175" s="483">
        <v>165125</v>
      </c>
      <c r="BN175" s="483">
        <v>184219</v>
      </c>
      <c r="BO175" s="483">
        <v>184795</v>
      </c>
      <c r="BP175" s="483">
        <v>186812</v>
      </c>
      <c r="BQ175" s="483">
        <v>188540</v>
      </c>
      <c r="BR175" s="1344">
        <v>190125</v>
      </c>
      <c r="BS175" s="1545"/>
      <c r="BU175" s="1545"/>
      <c r="BV175" s="1545"/>
      <c r="BW175" s="1545"/>
      <c r="BX175" s="1545"/>
      <c r="BY175" s="1545"/>
      <c r="BZ175" s="1545"/>
      <c r="CA175" s="1545"/>
      <c r="CB175" s="1545"/>
      <c r="CC175" s="1545"/>
      <c r="CD175" s="1348" t="s">
        <v>2654</v>
      </c>
      <c r="CE175" s="504">
        <v>104219</v>
      </c>
      <c r="CF175" s="504">
        <v>104795</v>
      </c>
      <c r="CG175" s="504">
        <v>106812</v>
      </c>
      <c r="CH175" s="504">
        <v>108540</v>
      </c>
      <c r="CI175" s="504">
        <v>110125</v>
      </c>
      <c r="CJ175" s="504">
        <v>119219</v>
      </c>
      <c r="CK175" s="504">
        <v>119795</v>
      </c>
      <c r="CL175" s="504">
        <v>121812</v>
      </c>
      <c r="CM175" s="504">
        <v>123540</v>
      </c>
      <c r="CN175" s="1347">
        <v>125125</v>
      </c>
    </row>
    <row r="176" spans="60:92" ht="18" customHeight="1">
      <c r="BH176" s="1348" t="s">
        <v>2655</v>
      </c>
      <c r="BI176" s="483">
        <v>168294</v>
      </c>
      <c r="BJ176" s="483">
        <v>169590</v>
      </c>
      <c r="BK176" s="483">
        <v>173480</v>
      </c>
      <c r="BL176" s="483">
        <v>177081</v>
      </c>
      <c r="BM176" s="483">
        <v>180250</v>
      </c>
      <c r="BN176" s="483">
        <v>193294</v>
      </c>
      <c r="BO176" s="483">
        <v>194590</v>
      </c>
      <c r="BP176" s="483">
        <v>198480</v>
      </c>
      <c r="BQ176" s="483">
        <v>202081</v>
      </c>
      <c r="BR176" s="1344">
        <v>205250</v>
      </c>
      <c r="BS176" s="1545"/>
      <c r="BU176" s="1545"/>
      <c r="BV176" s="1545"/>
      <c r="BW176" s="1545"/>
      <c r="BX176" s="1545"/>
      <c r="BY176" s="1545"/>
      <c r="BZ176" s="1545"/>
      <c r="CA176" s="1545"/>
      <c r="CB176" s="1545"/>
      <c r="CC176" s="1545"/>
      <c r="CD176" s="1348" t="s">
        <v>2655</v>
      </c>
      <c r="CE176" s="504">
        <v>113294</v>
      </c>
      <c r="CF176" s="504">
        <v>114590</v>
      </c>
      <c r="CG176" s="504">
        <v>118480</v>
      </c>
      <c r="CH176" s="504">
        <v>122081</v>
      </c>
      <c r="CI176" s="504">
        <v>125250</v>
      </c>
      <c r="CJ176" s="504">
        <v>128294</v>
      </c>
      <c r="CK176" s="504">
        <v>129590</v>
      </c>
      <c r="CL176" s="504">
        <v>133480</v>
      </c>
      <c r="CM176" s="504">
        <v>137081</v>
      </c>
      <c r="CN176" s="1347">
        <v>140250</v>
      </c>
    </row>
    <row r="177" spans="60:92" ht="18" customHeight="1">
      <c r="BH177" s="1348" t="s">
        <v>2656</v>
      </c>
      <c r="BI177" s="483">
        <v>177369</v>
      </c>
      <c r="BJ177" s="483">
        <v>179386</v>
      </c>
      <c r="BK177" s="483">
        <v>185148</v>
      </c>
      <c r="BL177" s="483">
        <v>190621</v>
      </c>
      <c r="BM177" s="483">
        <v>195375</v>
      </c>
      <c r="BN177" s="483">
        <v>202369</v>
      </c>
      <c r="BO177" s="483">
        <v>204386</v>
      </c>
      <c r="BP177" s="483">
        <v>210148</v>
      </c>
      <c r="BQ177" s="483">
        <v>215621</v>
      </c>
      <c r="BR177" s="1344">
        <v>220375</v>
      </c>
      <c r="BS177" s="1545"/>
      <c r="BU177" s="1545"/>
      <c r="BV177" s="1545"/>
      <c r="BW177" s="1545"/>
      <c r="BX177" s="1545"/>
      <c r="BY177" s="1545"/>
      <c r="BZ177" s="1545"/>
      <c r="CA177" s="1545"/>
      <c r="CB177" s="1545"/>
      <c r="CC177" s="1545"/>
      <c r="CD177" s="1348" t="s">
        <v>2656</v>
      </c>
      <c r="CE177" s="504">
        <v>122369</v>
      </c>
      <c r="CF177" s="504">
        <v>124386</v>
      </c>
      <c r="CG177" s="504">
        <v>130148</v>
      </c>
      <c r="CH177" s="504">
        <v>135621</v>
      </c>
      <c r="CI177" s="504">
        <v>140375</v>
      </c>
      <c r="CJ177" s="504">
        <v>137369</v>
      </c>
      <c r="CK177" s="504">
        <v>139386</v>
      </c>
      <c r="CL177" s="504">
        <v>145148</v>
      </c>
      <c r="CM177" s="504">
        <v>150621</v>
      </c>
      <c r="CN177" s="1347">
        <v>155375</v>
      </c>
    </row>
    <row r="178" spans="60:92" ht="18" customHeight="1">
      <c r="BH178" s="1348" t="s">
        <v>2657</v>
      </c>
      <c r="BI178" s="483">
        <v>186444</v>
      </c>
      <c r="BJ178" s="483">
        <v>189037</v>
      </c>
      <c r="BK178" s="483">
        <v>196815</v>
      </c>
      <c r="BL178" s="483">
        <v>204018</v>
      </c>
      <c r="BM178" s="483">
        <v>210356</v>
      </c>
      <c r="BN178" s="483">
        <v>211444</v>
      </c>
      <c r="BO178" s="483">
        <v>214037</v>
      </c>
      <c r="BP178" s="483">
        <v>221815</v>
      </c>
      <c r="BQ178" s="483">
        <v>229018</v>
      </c>
      <c r="BR178" s="1344">
        <v>235356</v>
      </c>
      <c r="BS178" s="1545"/>
      <c r="BU178" s="1545"/>
      <c r="BV178" s="1545"/>
      <c r="BW178" s="1545"/>
      <c r="BX178" s="1545"/>
      <c r="BY178" s="1545"/>
      <c r="BZ178" s="1545"/>
      <c r="CA178" s="1545"/>
      <c r="CB178" s="1545"/>
      <c r="CC178" s="1545"/>
      <c r="CD178" s="1348" t="s">
        <v>2657</v>
      </c>
      <c r="CE178" s="504">
        <v>131444</v>
      </c>
      <c r="CF178" s="504">
        <v>134037</v>
      </c>
      <c r="CG178" s="504">
        <v>141815</v>
      </c>
      <c r="CH178" s="504">
        <v>149018</v>
      </c>
      <c r="CI178" s="504">
        <v>155356</v>
      </c>
      <c r="CJ178" s="504">
        <v>146444</v>
      </c>
      <c r="CK178" s="504">
        <v>149037</v>
      </c>
      <c r="CL178" s="504">
        <v>156815</v>
      </c>
      <c r="CM178" s="504">
        <v>164018</v>
      </c>
      <c r="CN178" s="1347">
        <v>170356</v>
      </c>
    </row>
    <row r="179" spans="60:92" ht="18" customHeight="1">
      <c r="BH179" s="1348" t="s">
        <v>2658</v>
      </c>
      <c r="BI179" s="483">
        <v>195663</v>
      </c>
      <c r="BJ179" s="483">
        <v>198832</v>
      </c>
      <c r="BK179" s="483">
        <v>208627</v>
      </c>
      <c r="BL179" s="483">
        <v>217558</v>
      </c>
      <c r="BM179" s="483">
        <v>225481</v>
      </c>
      <c r="BN179" s="483">
        <v>220663</v>
      </c>
      <c r="BO179" s="483">
        <v>223832</v>
      </c>
      <c r="BP179" s="483">
        <v>233627</v>
      </c>
      <c r="BQ179" s="483">
        <v>242558</v>
      </c>
      <c r="BR179" s="1344">
        <v>250481</v>
      </c>
      <c r="BS179" s="1545"/>
      <c r="BU179" s="1545"/>
      <c r="BV179" s="1545"/>
      <c r="BW179" s="1545"/>
      <c r="BX179" s="1545"/>
      <c r="BY179" s="1545"/>
      <c r="BZ179" s="1545"/>
      <c r="CA179" s="1545"/>
      <c r="CB179" s="1545"/>
      <c r="CC179" s="1545"/>
      <c r="CD179" s="1348" t="s">
        <v>2658</v>
      </c>
      <c r="CE179" s="504">
        <v>140663</v>
      </c>
      <c r="CF179" s="504">
        <v>143832</v>
      </c>
      <c r="CG179" s="504">
        <v>153627</v>
      </c>
      <c r="CH179" s="504">
        <v>162558</v>
      </c>
      <c r="CI179" s="504">
        <v>170481</v>
      </c>
      <c r="CJ179" s="504">
        <v>155663</v>
      </c>
      <c r="CK179" s="504">
        <v>158832</v>
      </c>
      <c r="CL179" s="504">
        <v>168627</v>
      </c>
      <c r="CM179" s="504">
        <v>177558</v>
      </c>
      <c r="CN179" s="1347">
        <v>185481</v>
      </c>
    </row>
    <row r="180" spans="60:92" ht="18" customHeight="1">
      <c r="BH180" s="1348" t="s">
        <v>2659</v>
      </c>
      <c r="BI180" s="483">
        <v>204738</v>
      </c>
      <c r="BJ180" s="483">
        <v>208627</v>
      </c>
      <c r="BK180" s="483">
        <v>220295</v>
      </c>
      <c r="BL180" s="483">
        <v>231099</v>
      </c>
      <c r="BM180" s="483">
        <v>240606</v>
      </c>
      <c r="BN180" s="483">
        <v>229738</v>
      </c>
      <c r="BO180" s="483">
        <v>233627</v>
      </c>
      <c r="BP180" s="483">
        <v>245295</v>
      </c>
      <c r="BQ180" s="483">
        <v>256099</v>
      </c>
      <c r="BR180" s="1344">
        <v>265606</v>
      </c>
      <c r="BS180" s="1545"/>
      <c r="BU180" s="1545"/>
      <c r="BV180" s="1545"/>
      <c r="BW180" s="1545"/>
      <c r="BX180" s="1545"/>
      <c r="BY180" s="1545"/>
      <c r="BZ180" s="1545"/>
      <c r="CA180" s="1545"/>
      <c r="CB180" s="1545"/>
      <c r="CC180" s="1545"/>
      <c r="CD180" s="1348" t="s">
        <v>2659</v>
      </c>
      <c r="CE180" s="504">
        <v>149738</v>
      </c>
      <c r="CF180" s="504">
        <v>153627</v>
      </c>
      <c r="CG180" s="504">
        <v>165295</v>
      </c>
      <c r="CH180" s="504">
        <v>176099</v>
      </c>
      <c r="CI180" s="504">
        <v>185606</v>
      </c>
      <c r="CJ180" s="504">
        <v>164738</v>
      </c>
      <c r="CK180" s="504">
        <v>168627</v>
      </c>
      <c r="CL180" s="504">
        <v>180295</v>
      </c>
      <c r="CM180" s="504">
        <v>191099</v>
      </c>
      <c r="CN180" s="1347">
        <v>200606</v>
      </c>
    </row>
    <row r="181" spans="60:92" ht="18" customHeight="1">
      <c r="BH181" s="1348" t="s">
        <v>2660</v>
      </c>
      <c r="BI181" s="483">
        <v>213813</v>
      </c>
      <c r="BJ181" s="483">
        <v>218422</v>
      </c>
      <c r="BK181" s="483">
        <v>231963</v>
      </c>
      <c r="BL181" s="483">
        <v>244639</v>
      </c>
      <c r="BM181" s="483">
        <v>255731</v>
      </c>
      <c r="BN181" s="483">
        <v>238813</v>
      </c>
      <c r="BO181" s="483">
        <v>243422</v>
      </c>
      <c r="BP181" s="483">
        <v>256963</v>
      </c>
      <c r="BQ181" s="483">
        <v>269639</v>
      </c>
      <c r="BR181" s="1344">
        <v>280731</v>
      </c>
      <c r="BS181" s="1545"/>
      <c r="BU181" s="1545"/>
      <c r="BV181" s="1545"/>
      <c r="BW181" s="1545"/>
      <c r="BX181" s="1545"/>
      <c r="BY181" s="1545"/>
      <c r="BZ181" s="1545"/>
      <c r="CA181" s="1545"/>
      <c r="CB181" s="1545"/>
      <c r="CC181" s="1545"/>
      <c r="CD181" s="1348" t="s">
        <v>2660</v>
      </c>
      <c r="CE181" s="504">
        <v>158813</v>
      </c>
      <c r="CF181" s="504">
        <v>163422</v>
      </c>
      <c r="CG181" s="504">
        <v>176963</v>
      </c>
      <c r="CH181" s="504">
        <v>189639</v>
      </c>
      <c r="CI181" s="504">
        <v>200731</v>
      </c>
      <c r="CJ181" s="504">
        <v>173813</v>
      </c>
      <c r="CK181" s="504">
        <v>178422</v>
      </c>
      <c r="CL181" s="504">
        <v>191963</v>
      </c>
      <c r="CM181" s="504">
        <v>204639</v>
      </c>
      <c r="CN181" s="1347">
        <v>215731</v>
      </c>
    </row>
    <row r="182" spans="60:92" ht="18" customHeight="1">
      <c r="BH182" s="1348" t="s">
        <v>2661</v>
      </c>
      <c r="BI182" s="483">
        <v>222888</v>
      </c>
      <c r="BJ182" s="483">
        <v>228074</v>
      </c>
      <c r="BK182" s="483">
        <v>243631</v>
      </c>
      <c r="BL182" s="483">
        <v>258180</v>
      </c>
      <c r="BM182" s="483">
        <v>270712</v>
      </c>
      <c r="BN182" s="483">
        <v>247888</v>
      </c>
      <c r="BO182" s="483">
        <v>253074</v>
      </c>
      <c r="BP182" s="483">
        <v>268631</v>
      </c>
      <c r="BQ182" s="483">
        <v>283180</v>
      </c>
      <c r="BR182" s="1344">
        <v>295712</v>
      </c>
      <c r="BS182" s="1545"/>
      <c r="BU182" s="1545"/>
      <c r="BV182" s="1545"/>
      <c r="BW182" s="1545"/>
      <c r="BX182" s="1545"/>
      <c r="BY182" s="1545"/>
      <c r="BZ182" s="1545"/>
      <c r="CA182" s="1545"/>
      <c r="CB182" s="1545"/>
      <c r="CC182" s="1545"/>
      <c r="CD182" s="1348" t="s">
        <v>2661</v>
      </c>
      <c r="CE182" s="504">
        <v>167888</v>
      </c>
      <c r="CF182" s="504">
        <v>173074</v>
      </c>
      <c r="CG182" s="504">
        <v>188631</v>
      </c>
      <c r="CH182" s="504">
        <v>203180</v>
      </c>
      <c r="CI182" s="504">
        <v>215712</v>
      </c>
      <c r="CJ182" s="504">
        <v>182888</v>
      </c>
      <c r="CK182" s="504">
        <v>188074</v>
      </c>
      <c r="CL182" s="504">
        <v>203631</v>
      </c>
      <c r="CM182" s="504">
        <v>218180</v>
      </c>
      <c r="CN182" s="1347">
        <v>230712</v>
      </c>
    </row>
    <row r="183" spans="60:92" ht="18" customHeight="1">
      <c r="BH183" s="1348" t="s">
        <v>2662</v>
      </c>
      <c r="BI183" s="483">
        <v>232107</v>
      </c>
      <c r="BJ183" s="483">
        <v>237869</v>
      </c>
      <c r="BK183" s="483">
        <v>255443</v>
      </c>
      <c r="BL183" s="483">
        <v>271720</v>
      </c>
      <c r="BM183" s="483">
        <v>285837</v>
      </c>
      <c r="BN183" s="483">
        <v>257107</v>
      </c>
      <c r="BO183" s="483">
        <v>262869</v>
      </c>
      <c r="BP183" s="483">
        <v>280443</v>
      </c>
      <c r="BQ183" s="483">
        <v>296720</v>
      </c>
      <c r="BR183" s="1344">
        <v>310837</v>
      </c>
      <c r="BS183" s="1545"/>
      <c r="BU183" s="1545"/>
      <c r="BV183" s="1545"/>
      <c r="BW183" s="1545"/>
      <c r="BX183" s="1545"/>
      <c r="BY183" s="1545"/>
      <c r="BZ183" s="1545"/>
      <c r="CA183" s="1545"/>
      <c r="CB183" s="1545"/>
      <c r="CC183" s="1545"/>
      <c r="CD183" s="1348" t="s">
        <v>2662</v>
      </c>
      <c r="CE183" s="504">
        <v>177107</v>
      </c>
      <c r="CF183" s="504">
        <v>182869</v>
      </c>
      <c r="CG183" s="504">
        <v>200443</v>
      </c>
      <c r="CH183" s="504">
        <v>216720</v>
      </c>
      <c r="CI183" s="504">
        <v>230837</v>
      </c>
      <c r="CJ183" s="504">
        <v>192107</v>
      </c>
      <c r="CK183" s="504">
        <v>197869</v>
      </c>
      <c r="CL183" s="504">
        <v>215443</v>
      </c>
      <c r="CM183" s="504">
        <v>231720</v>
      </c>
      <c r="CN183" s="1347">
        <v>245837</v>
      </c>
    </row>
    <row r="184" spans="60:92" ht="18" customHeight="1">
      <c r="BH184" s="1343" t="s">
        <v>2663</v>
      </c>
      <c r="BI184" s="483">
        <v>150000</v>
      </c>
      <c r="BJ184" s="483">
        <v>150000</v>
      </c>
      <c r="BK184" s="483">
        <v>150000</v>
      </c>
      <c r="BL184" s="483">
        <v>150000</v>
      </c>
      <c r="BM184" s="483">
        <v>150000</v>
      </c>
      <c r="BN184" s="483">
        <v>175000</v>
      </c>
      <c r="BO184" s="483">
        <v>175000</v>
      </c>
      <c r="BP184" s="483">
        <v>175000</v>
      </c>
      <c r="BQ184" s="483">
        <v>175000</v>
      </c>
      <c r="BR184" s="1344">
        <v>175000</v>
      </c>
      <c r="BS184" s="1545"/>
      <c r="BU184" s="1545"/>
      <c r="BV184" s="1545"/>
      <c r="BW184" s="1545"/>
      <c r="BX184" s="1545"/>
      <c r="BY184" s="1545"/>
      <c r="BZ184" s="1545"/>
      <c r="CA184" s="1545"/>
      <c r="CB184" s="1545"/>
      <c r="CC184" s="1545"/>
      <c r="CD184" s="1343" t="s">
        <v>2663</v>
      </c>
      <c r="CE184" s="504">
        <v>95000</v>
      </c>
      <c r="CF184" s="504">
        <v>95000</v>
      </c>
      <c r="CG184" s="504">
        <v>95000</v>
      </c>
      <c r="CH184" s="504">
        <v>95000</v>
      </c>
      <c r="CI184" s="504">
        <v>95000</v>
      </c>
      <c r="CJ184" s="504">
        <v>110000</v>
      </c>
      <c r="CK184" s="504">
        <v>110000</v>
      </c>
      <c r="CL184" s="504">
        <v>110000</v>
      </c>
      <c r="CM184" s="504">
        <v>110000</v>
      </c>
      <c r="CN184" s="1347">
        <v>110000</v>
      </c>
    </row>
    <row r="185" spans="60:92" ht="18" customHeight="1">
      <c r="BH185" s="1348" t="s">
        <v>2664</v>
      </c>
      <c r="BI185" s="483">
        <v>164981</v>
      </c>
      <c r="BJ185" s="483">
        <v>165989</v>
      </c>
      <c r="BK185" s="483">
        <v>169158</v>
      </c>
      <c r="BL185" s="483">
        <v>172183</v>
      </c>
      <c r="BM185" s="483">
        <v>174776</v>
      </c>
      <c r="BN185" s="483">
        <v>189981</v>
      </c>
      <c r="BO185" s="483">
        <v>190989</v>
      </c>
      <c r="BP185" s="483">
        <v>194158</v>
      </c>
      <c r="BQ185" s="483">
        <v>197183</v>
      </c>
      <c r="BR185" s="1344">
        <v>199776</v>
      </c>
      <c r="BS185" s="1545"/>
      <c r="BU185" s="1545"/>
      <c r="BV185" s="1545"/>
      <c r="BW185" s="1545"/>
      <c r="BX185" s="1545"/>
      <c r="BY185" s="1545"/>
      <c r="BZ185" s="1545"/>
      <c r="CA185" s="1545"/>
      <c r="CB185" s="1545"/>
      <c r="CC185" s="1545"/>
      <c r="CD185" s="1348" t="s">
        <v>2664</v>
      </c>
      <c r="CE185" s="504">
        <v>109981</v>
      </c>
      <c r="CF185" s="504">
        <v>110989</v>
      </c>
      <c r="CG185" s="504">
        <v>114158</v>
      </c>
      <c r="CH185" s="504">
        <v>117183</v>
      </c>
      <c r="CI185" s="504">
        <v>119776</v>
      </c>
      <c r="CJ185" s="504">
        <v>124981</v>
      </c>
      <c r="CK185" s="504">
        <v>125989</v>
      </c>
      <c r="CL185" s="504">
        <v>129158</v>
      </c>
      <c r="CM185" s="504">
        <v>132183</v>
      </c>
      <c r="CN185" s="1347">
        <v>134776</v>
      </c>
    </row>
    <row r="186" spans="60:92" ht="18" customHeight="1">
      <c r="BH186" s="1348" t="s">
        <v>2665</v>
      </c>
      <c r="BI186" s="483">
        <v>179818</v>
      </c>
      <c r="BJ186" s="483">
        <v>181979</v>
      </c>
      <c r="BK186" s="483">
        <v>188317</v>
      </c>
      <c r="BL186" s="483">
        <v>194367</v>
      </c>
      <c r="BM186" s="483">
        <v>199408</v>
      </c>
      <c r="BN186" s="483">
        <v>204818</v>
      </c>
      <c r="BO186" s="483">
        <v>206979</v>
      </c>
      <c r="BP186" s="483">
        <v>213317</v>
      </c>
      <c r="BQ186" s="483">
        <v>219367</v>
      </c>
      <c r="BR186" s="1344">
        <v>224408</v>
      </c>
      <c r="BS186" s="1545"/>
      <c r="BU186" s="1545"/>
      <c r="BV186" s="1545"/>
      <c r="BW186" s="1545"/>
      <c r="BX186" s="1545"/>
      <c r="BY186" s="1545"/>
      <c r="BZ186" s="1545"/>
      <c r="CA186" s="1545"/>
      <c r="CB186" s="1545"/>
      <c r="CC186" s="1545"/>
      <c r="CD186" s="1348" t="s">
        <v>2665</v>
      </c>
      <c r="CE186" s="504">
        <v>124818</v>
      </c>
      <c r="CF186" s="504">
        <v>126979</v>
      </c>
      <c r="CG186" s="504">
        <v>133317</v>
      </c>
      <c r="CH186" s="504">
        <v>139367</v>
      </c>
      <c r="CI186" s="504">
        <v>144408</v>
      </c>
      <c r="CJ186" s="504">
        <v>139818</v>
      </c>
      <c r="CK186" s="504">
        <v>141979</v>
      </c>
      <c r="CL186" s="504">
        <v>148317</v>
      </c>
      <c r="CM186" s="504">
        <v>154367</v>
      </c>
      <c r="CN186" s="1347">
        <v>159408</v>
      </c>
    </row>
    <row r="187" spans="60:92" ht="18" customHeight="1">
      <c r="BH187" s="1348" t="s">
        <v>2666</v>
      </c>
      <c r="BI187" s="483">
        <v>194799</v>
      </c>
      <c r="BJ187" s="483">
        <v>197968</v>
      </c>
      <c r="BK187" s="483">
        <v>207475</v>
      </c>
      <c r="BL187" s="483">
        <v>216406</v>
      </c>
      <c r="BM187" s="483">
        <v>224184</v>
      </c>
      <c r="BN187" s="483">
        <v>219799</v>
      </c>
      <c r="BO187" s="483">
        <v>222968</v>
      </c>
      <c r="BP187" s="483">
        <v>232475</v>
      </c>
      <c r="BQ187" s="483">
        <v>241406</v>
      </c>
      <c r="BR187" s="1344">
        <v>249184</v>
      </c>
      <c r="BS187" s="1545"/>
      <c r="BU187" s="1545"/>
      <c r="BV187" s="1545"/>
      <c r="BW187" s="1545"/>
      <c r="BX187" s="1545"/>
      <c r="BY187" s="1545"/>
      <c r="BZ187" s="1545"/>
      <c r="CA187" s="1545"/>
      <c r="CB187" s="1545"/>
      <c r="CC187" s="1545"/>
      <c r="CD187" s="1348" t="s">
        <v>2666</v>
      </c>
      <c r="CE187" s="504">
        <v>139799</v>
      </c>
      <c r="CF187" s="504">
        <v>142968</v>
      </c>
      <c r="CG187" s="504">
        <v>152475</v>
      </c>
      <c r="CH187" s="504">
        <v>161406</v>
      </c>
      <c r="CI187" s="504">
        <v>169184</v>
      </c>
      <c r="CJ187" s="504">
        <v>154799</v>
      </c>
      <c r="CK187" s="504">
        <v>157968</v>
      </c>
      <c r="CL187" s="504">
        <v>167475</v>
      </c>
      <c r="CM187" s="504">
        <v>176406</v>
      </c>
      <c r="CN187" s="1347">
        <v>184184</v>
      </c>
    </row>
    <row r="188" spans="60:92" ht="18" customHeight="1">
      <c r="BH188" s="1348" t="s">
        <v>2667</v>
      </c>
      <c r="BI188" s="483">
        <v>209636</v>
      </c>
      <c r="BJ188" s="483">
        <v>213813</v>
      </c>
      <c r="BK188" s="483">
        <v>226633</v>
      </c>
      <c r="BL188" s="483">
        <v>238589</v>
      </c>
      <c r="BM188" s="483">
        <v>248816</v>
      </c>
      <c r="BN188" s="483">
        <v>234636</v>
      </c>
      <c r="BO188" s="483">
        <v>238813</v>
      </c>
      <c r="BP188" s="483">
        <v>251633</v>
      </c>
      <c r="BQ188" s="483">
        <v>263589</v>
      </c>
      <c r="BR188" s="1344">
        <v>273816</v>
      </c>
      <c r="BS188" s="1545"/>
      <c r="BU188" s="1545"/>
      <c r="BV188" s="1545"/>
      <c r="BW188" s="1545"/>
      <c r="BX188" s="1545"/>
      <c r="BY188" s="1545"/>
      <c r="BZ188" s="1545"/>
      <c r="CA188" s="1545"/>
      <c r="CB188" s="1545"/>
      <c r="CC188" s="1545"/>
      <c r="CD188" s="1348" t="s">
        <v>2667</v>
      </c>
      <c r="CE188" s="504">
        <v>154636</v>
      </c>
      <c r="CF188" s="504">
        <v>158813</v>
      </c>
      <c r="CG188" s="504">
        <v>171633</v>
      </c>
      <c r="CH188" s="504">
        <v>183589</v>
      </c>
      <c r="CI188" s="504">
        <v>193816</v>
      </c>
      <c r="CJ188" s="504">
        <v>169636</v>
      </c>
      <c r="CK188" s="504">
        <v>173813</v>
      </c>
      <c r="CL188" s="504">
        <v>186633</v>
      </c>
      <c r="CM188" s="504">
        <v>198589</v>
      </c>
      <c r="CN188" s="1347">
        <v>208816</v>
      </c>
    </row>
    <row r="189" spans="60:92" ht="18" customHeight="1">
      <c r="BH189" s="1348" t="s">
        <v>2668</v>
      </c>
      <c r="BI189" s="483">
        <v>224617</v>
      </c>
      <c r="BJ189" s="483">
        <v>229802</v>
      </c>
      <c r="BK189" s="483">
        <v>245791</v>
      </c>
      <c r="BL189" s="483">
        <v>260772</v>
      </c>
      <c r="BM189" s="483">
        <v>273593</v>
      </c>
      <c r="BN189" s="483">
        <v>249617</v>
      </c>
      <c r="BO189" s="483">
        <v>254802</v>
      </c>
      <c r="BP189" s="483">
        <v>270791</v>
      </c>
      <c r="BQ189" s="483">
        <v>285772</v>
      </c>
      <c r="BR189" s="1344">
        <v>298593</v>
      </c>
      <c r="BS189" s="1545"/>
      <c r="BU189" s="1545"/>
      <c r="BV189" s="1545"/>
      <c r="BW189" s="1545"/>
      <c r="BX189" s="1545"/>
      <c r="BY189" s="1545"/>
      <c r="BZ189" s="1545"/>
      <c r="CA189" s="1545"/>
      <c r="CB189" s="1545"/>
      <c r="CC189" s="1545"/>
      <c r="CD189" s="1348" t="s">
        <v>2668</v>
      </c>
      <c r="CE189" s="504">
        <v>169617</v>
      </c>
      <c r="CF189" s="504">
        <v>174802</v>
      </c>
      <c r="CG189" s="504">
        <v>190791</v>
      </c>
      <c r="CH189" s="504">
        <v>205772</v>
      </c>
      <c r="CI189" s="504">
        <v>218593</v>
      </c>
      <c r="CJ189" s="504">
        <v>184617</v>
      </c>
      <c r="CK189" s="504">
        <v>189802</v>
      </c>
      <c r="CL189" s="504">
        <v>205791</v>
      </c>
      <c r="CM189" s="504">
        <v>220772</v>
      </c>
      <c r="CN189" s="1347">
        <v>233593</v>
      </c>
    </row>
    <row r="190" spans="60:92" ht="18" customHeight="1">
      <c r="BH190" s="1348" t="s">
        <v>2669</v>
      </c>
      <c r="BI190" s="483">
        <v>239453</v>
      </c>
      <c r="BJ190" s="483">
        <v>245791</v>
      </c>
      <c r="BK190" s="483">
        <v>264950</v>
      </c>
      <c r="BL190" s="483">
        <v>282812</v>
      </c>
      <c r="BM190" s="483">
        <v>298225</v>
      </c>
      <c r="BN190" s="483">
        <v>264453</v>
      </c>
      <c r="BO190" s="483">
        <v>270791</v>
      </c>
      <c r="BP190" s="483">
        <v>289950</v>
      </c>
      <c r="BQ190" s="483">
        <v>307812</v>
      </c>
      <c r="BR190" s="1344">
        <v>323225</v>
      </c>
      <c r="BS190" s="1545"/>
      <c r="BU190" s="1545"/>
      <c r="BV190" s="1545"/>
      <c r="BW190" s="1545"/>
      <c r="BX190" s="1545"/>
      <c r="BY190" s="1545"/>
      <c r="BZ190" s="1545"/>
      <c r="CA190" s="1545"/>
      <c r="CB190" s="1545"/>
      <c r="CC190" s="1545"/>
      <c r="CD190" s="1348" t="s">
        <v>2669</v>
      </c>
      <c r="CE190" s="504">
        <v>184453</v>
      </c>
      <c r="CF190" s="504">
        <v>190791</v>
      </c>
      <c r="CG190" s="504">
        <v>209950</v>
      </c>
      <c r="CH190" s="504">
        <v>227812</v>
      </c>
      <c r="CI190" s="504">
        <v>243225</v>
      </c>
      <c r="CJ190" s="504">
        <v>199453</v>
      </c>
      <c r="CK190" s="504">
        <v>205791</v>
      </c>
      <c r="CL190" s="504">
        <v>224950</v>
      </c>
      <c r="CM190" s="504">
        <v>242812</v>
      </c>
      <c r="CN190" s="1347">
        <v>258225</v>
      </c>
    </row>
    <row r="191" spans="60:92" ht="18" customHeight="1">
      <c r="BH191" s="1348" t="s">
        <v>2670</v>
      </c>
      <c r="BI191" s="483">
        <v>254434</v>
      </c>
      <c r="BJ191" s="483">
        <v>261781</v>
      </c>
      <c r="BK191" s="483">
        <v>284108</v>
      </c>
      <c r="BL191" s="483">
        <v>304995</v>
      </c>
      <c r="BM191" s="483">
        <v>323001</v>
      </c>
      <c r="BN191" s="483">
        <v>279434</v>
      </c>
      <c r="BO191" s="483">
        <v>286781</v>
      </c>
      <c r="BP191" s="483">
        <v>309108</v>
      </c>
      <c r="BQ191" s="483">
        <v>329995</v>
      </c>
      <c r="BR191" s="1344">
        <v>348001</v>
      </c>
      <c r="BS191" s="1545"/>
      <c r="BU191" s="1545"/>
      <c r="BV191" s="1545"/>
      <c r="BW191" s="1545"/>
      <c r="BX191" s="1545"/>
      <c r="BY191" s="1545"/>
      <c r="BZ191" s="1545"/>
      <c r="CA191" s="1545"/>
      <c r="CB191" s="1545"/>
      <c r="CC191" s="1545"/>
      <c r="CD191" s="1348" t="s">
        <v>2670</v>
      </c>
      <c r="CE191" s="504">
        <v>199434</v>
      </c>
      <c r="CF191" s="504">
        <v>206781</v>
      </c>
      <c r="CG191" s="504">
        <v>229108</v>
      </c>
      <c r="CH191" s="504">
        <v>249995</v>
      </c>
      <c r="CI191" s="504">
        <v>268001</v>
      </c>
      <c r="CJ191" s="504">
        <v>214434</v>
      </c>
      <c r="CK191" s="504">
        <v>221781</v>
      </c>
      <c r="CL191" s="504">
        <v>244108</v>
      </c>
      <c r="CM191" s="504">
        <v>264995</v>
      </c>
      <c r="CN191" s="1347">
        <v>283001</v>
      </c>
    </row>
    <row r="192" spans="60:92" ht="18" customHeight="1">
      <c r="BH192" s="1348" t="s">
        <v>2671</v>
      </c>
      <c r="BI192" s="483">
        <v>269271</v>
      </c>
      <c r="BJ192" s="483">
        <v>277770</v>
      </c>
      <c r="BK192" s="483">
        <v>303266</v>
      </c>
      <c r="BL192" s="483">
        <v>327178</v>
      </c>
      <c r="BM192" s="483">
        <v>347633</v>
      </c>
      <c r="BN192" s="483">
        <v>294271</v>
      </c>
      <c r="BO192" s="483">
        <v>302770</v>
      </c>
      <c r="BP192" s="483">
        <v>328266</v>
      </c>
      <c r="BQ192" s="483">
        <v>352178</v>
      </c>
      <c r="BR192" s="1344">
        <v>372633</v>
      </c>
      <c r="BS192" s="1545"/>
      <c r="BU192" s="1545"/>
      <c r="BV192" s="1545"/>
      <c r="BW192" s="1545"/>
      <c r="BX192" s="1545"/>
      <c r="BY192" s="1545"/>
      <c r="BZ192" s="1545"/>
      <c r="CA192" s="1545"/>
      <c r="CB192" s="1545"/>
      <c r="CC192" s="1545"/>
      <c r="CD192" s="1348" t="s">
        <v>2671</v>
      </c>
      <c r="CE192" s="504">
        <v>214271</v>
      </c>
      <c r="CF192" s="504">
        <v>222770</v>
      </c>
      <c r="CG192" s="504">
        <v>248266</v>
      </c>
      <c r="CH192" s="504">
        <v>272178</v>
      </c>
      <c r="CI192" s="504">
        <v>292633</v>
      </c>
      <c r="CJ192" s="504">
        <v>229271</v>
      </c>
      <c r="CK192" s="504">
        <v>237770</v>
      </c>
      <c r="CL192" s="504">
        <v>263266</v>
      </c>
      <c r="CM192" s="504">
        <v>287178</v>
      </c>
      <c r="CN192" s="1347">
        <v>307633</v>
      </c>
    </row>
    <row r="193" spans="60:92" ht="18" customHeight="1">
      <c r="BH193" s="1348" t="s">
        <v>2672</v>
      </c>
      <c r="BI193" s="483">
        <v>284252</v>
      </c>
      <c r="BJ193" s="483">
        <v>293759</v>
      </c>
      <c r="BK193" s="483">
        <v>322425</v>
      </c>
      <c r="BL193" s="483">
        <v>349217</v>
      </c>
      <c r="BM193" s="483">
        <v>372409</v>
      </c>
      <c r="BN193" s="483">
        <v>309252</v>
      </c>
      <c r="BO193" s="483">
        <v>318759</v>
      </c>
      <c r="BP193" s="483">
        <v>347425</v>
      </c>
      <c r="BQ193" s="483">
        <v>374217</v>
      </c>
      <c r="BR193" s="1344">
        <v>397409</v>
      </c>
      <c r="BS193" s="1545"/>
      <c r="BU193" s="1545"/>
      <c r="BV193" s="1545"/>
      <c r="BW193" s="1545"/>
      <c r="BX193" s="1545"/>
      <c r="BY193" s="1545"/>
      <c r="BZ193" s="1545"/>
      <c r="CA193" s="1545"/>
      <c r="CB193" s="1545"/>
      <c r="CC193" s="1545"/>
      <c r="CD193" s="1348" t="s">
        <v>2672</v>
      </c>
      <c r="CE193" s="504">
        <v>229252</v>
      </c>
      <c r="CF193" s="504">
        <v>238759</v>
      </c>
      <c r="CG193" s="504">
        <v>267425</v>
      </c>
      <c r="CH193" s="504">
        <v>294217</v>
      </c>
      <c r="CI193" s="504">
        <v>317409</v>
      </c>
      <c r="CJ193" s="504">
        <v>244252</v>
      </c>
      <c r="CK193" s="504">
        <v>253759</v>
      </c>
      <c r="CL193" s="504">
        <v>282425</v>
      </c>
      <c r="CM193" s="504">
        <v>309217</v>
      </c>
      <c r="CN193" s="1347">
        <v>332409</v>
      </c>
    </row>
    <row r="194" spans="60:92" ht="18" customHeight="1">
      <c r="BH194" s="1343" t="s">
        <v>2673</v>
      </c>
      <c r="BI194" s="483">
        <v>150000</v>
      </c>
      <c r="BJ194" s="483">
        <v>150000</v>
      </c>
      <c r="BK194" s="483">
        <v>150000</v>
      </c>
      <c r="BL194" s="483">
        <v>150000</v>
      </c>
      <c r="BM194" s="483">
        <v>150000</v>
      </c>
      <c r="BN194" s="483">
        <v>175000</v>
      </c>
      <c r="BO194" s="483">
        <v>175000</v>
      </c>
      <c r="BP194" s="483">
        <v>175000</v>
      </c>
      <c r="BQ194" s="483">
        <v>175000</v>
      </c>
      <c r="BR194" s="1344">
        <v>175000</v>
      </c>
      <c r="BS194" s="1545"/>
      <c r="BU194" s="1545"/>
      <c r="BV194" s="1545"/>
      <c r="BW194" s="1545"/>
      <c r="BX194" s="1545"/>
      <c r="BY194" s="1545"/>
      <c r="BZ194" s="1545"/>
      <c r="CA194" s="1545"/>
      <c r="CB194" s="1545"/>
      <c r="CC194" s="1545"/>
      <c r="CD194" s="1343" t="s">
        <v>2673</v>
      </c>
      <c r="CE194" s="504">
        <v>95000</v>
      </c>
      <c r="CF194" s="504">
        <v>95000</v>
      </c>
      <c r="CG194" s="504">
        <v>95000</v>
      </c>
      <c r="CH194" s="504">
        <v>95000</v>
      </c>
      <c r="CI194" s="504">
        <v>95000</v>
      </c>
      <c r="CJ194" s="504">
        <v>110000</v>
      </c>
      <c r="CK194" s="504">
        <v>110000</v>
      </c>
      <c r="CL194" s="504">
        <v>110000</v>
      </c>
      <c r="CM194" s="504">
        <v>110000</v>
      </c>
      <c r="CN194" s="1347">
        <v>110000</v>
      </c>
    </row>
    <row r="195" spans="60:92" ht="18" customHeight="1">
      <c r="BH195" s="1348" t="s">
        <v>2674</v>
      </c>
      <c r="BI195" s="483">
        <v>158787</v>
      </c>
      <c r="BJ195" s="483">
        <v>159363</v>
      </c>
      <c r="BK195" s="483">
        <v>161380</v>
      </c>
      <c r="BL195" s="483">
        <v>163108</v>
      </c>
      <c r="BM195" s="483">
        <v>164549</v>
      </c>
      <c r="BN195" s="483">
        <v>183787</v>
      </c>
      <c r="BO195" s="483">
        <v>184363</v>
      </c>
      <c r="BP195" s="483">
        <v>186380</v>
      </c>
      <c r="BQ195" s="483">
        <v>188108</v>
      </c>
      <c r="BR195" s="1344">
        <v>189549</v>
      </c>
      <c r="BS195" s="1545"/>
      <c r="BU195" s="1545"/>
      <c r="BV195" s="1545"/>
      <c r="BW195" s="1545"/>
      <c r="BX195" s="1545"/>
      <c r="BY195" s="1545"/>
      <c r="BZ195" s="1545"/>
      <c r="CA195" s="1545"/>
      <c r="CB195" s="1545"/>
      <c r="CC195" s="1545"/>
      <c r="CD195" s="1348" t="s">
        <v>2674</v>
      </c>
      <c r="CE195" s="504">
        <v>103787</v>
      </c>
      <c r="CF195" s="504">
        <v>104363</v>
      </c>
      <c r="CG195" s="504">
        <v>106380</v>
      </c>
      <c r="CH195" s="504">
        <v>108108</v>
      </c>
      <c r="CI195" s="504">
        <v>109549</v>
      </c>
      <c r="CJ195" s="504">
        <v>118787</v>
      </c>
      <c r="CK195" s="504">
        <v>119363</v>
      </c>
      <c r="CL195" s="504">
        <v>121380</v>
      </c>
      <c r="CM195" s="504">
        <v>123108</v>
      </c>
      <c r="CN195" s="1347">
        <v>124549</v>
      </c>
    </row>
    <row r="196" spans="60:92" ht="18" customHeight="1">
      <c r="BH196" s="1348" t="s">
        <v>2675</v>
      </c>
      <c r="BI196" s="483">
        <v>167574</v>
      </c>
      <c r="BJ196" s="483">
        <v>168870</v>
      </c>
      <c r="BK196" s="483">
        <v>172615</v>
      </c>
      <c r="BL196" s="483">
        <v>176073</v>
      </c>
      <c r="BM196" s="483">
        <v>179098</v>
      </c>
      <c r="BN196" s="483">
        <v>192574</v>
      </c>
      <c r="BO196" s="483">
        <v>193870</v>
      </c>
      <c r="BP196" s="483">
        <v>197615</v>
      </c>
      <c r="BQ196" s="483">
        <v>201073</v>
      </c>
      <c r="BR196" s="1344">
        <v>204098</v>
      </c>
      <c r="BS196" s="1545"/>
      <c r="BU196" s="1545"/>
      <c r="BV196" s="1545"/>
      <c r="BW196" s="1545"/>
      <c r="BX196" s="1545"/>
      <c r="BY196" s="1545"/>
      <c r="BZ196" s="1545"/>
      <c r="CA196" s="1545"/>
      <c r="CB196" s="1545"/>
      <c r="CC196" s="1545"/>
      <c r="CD196" s="1348" t="s">
        <v>2675</v>
      </c>
      <c r="CE196" s="504">
        <v>112574</v>
      </c>
      <c r="CF196" s="504">
        <v>113870</v>
      </c>
      <c r="CG196" s="504">
        <v>117615</v>
      </c>
      <c r="CH196" s="504">
        <v>121073</v>
      </c>
      <c r="CI196" s="504">
        <v>124098</v>
      </c>
      <c r="CJ196" s="504">
        <v>127574</v>
      </c>
      <c r="CK196" s="504">
        <v>128870</v>
      </c>
      <c r="CL196" s="504">
        <v>132615</v>
      </c>
      <c r="CM196" s="504">
        <v>136073</v>
      </c>
      <c r="CN196" s="1347">
        <v>139098</v>
      </c>
    </row>
    <row r="197" spans="60:92" ht="18" customHeight="1">
      <c r="BH197" s="1348" t="s">
        <v>2676</v>
      </c>
      <c r="BI197" s="483">
        <v>176361</v>
      </c>
      <c r="BJ197" s="483">
        <v>178233</v>
      </c>
      <c r="BK197" s="483">
        <v>183995</v>
      </c>
      <c r="BL197" s="483">
        <v>189181</v>
      </c>
      <c r="BM197" s="483">
        <v>193646</v>
      </c>
      <c r="BN197" s="483">
        <v>201361</v>
      </c>
      <c r="BO197" s="483">
        <v>203233</v>
      </c>
      <c r="BP197" s="483">
        <v>208995</v>
      </c>
      <c r="BQ197" s="483">
        <v>214181</v>
      </c>
      <c r="BR197" s="1344">
        <v>218646</v>
      </c>
      <c r="BS197" s="1545"/>
      <c r="BU197" s="1545"/>
      <c r="BV197" s="1545"/>
      <c r="BW197" s="1545"/>
      <c r="BX197" s="1545"/>
      <c r="BY197" s="1545"/>
      <c r="BZ197" s="1545"/>
      <c r="CA197" s="1545"/>
      <c r="CB197" s="1545"/>
      <c r="CC197" s="1545"/>
      <c r="CD197" s="1348" t="s">
        <v>2676</v>
      </c>
      <c r="CE197" s="504">
        <v>121361</v>
      </c>
      <c r="CF197" s="504">
        <v>123233</v>
      </c>
      <c r="CG197" s="504">
        <v>128995</v>
      </c>
      <c r="CH197" s="504">
        <v>134181</v>
      </c>
      <c r="CI197" s="504">
        <v>138646</v>
      </c>
      <c r="CJ197" s="504">
        <v>136361</v>
      </c>
      <c r="CK197" s="504">
        <v>138233</v>
      </c>
      <c r="CL197" s="504">
        <v>143995</v>
      </c>
      <c r="CM197" s="504">
        <v>149181</v>
      </c>
      <c r="CN197" s="1347">
        <v>153646</v>
      </c>
    </row>
    <row r="198" spans="60:92" ht="18" customHeight="1">
      <c r="BH198" s="1348" t="s">
        <v>2677</v>
      </c>
      <c r="BI198" s="483">
        <v>185148</v>
      </c>
      <c r="BJ198" s="483">
        <v>187596</v>
      </c>
      <c r="BK198" s="483">
        <v>195231</v>
      </c>
      <c r="BL198" s="483">
        <v>202145</v>
      </c>
      <c r="BM198" s="483">
        <v>208195</v>
      </c>
      <c r="BN198" s="483">
        <v>210148</v>
      </c>
      <c r="BO198" s="483">
        <v>212596</v>
      </c>
      <c r="BP198" s="483">
        <v>220231</v>
      </c>
      <c r="BQ198" s="483">
        <v>227145</v>
      </c>
      <c r="BR198" s="1344">
        <v>233195</v>
      </c>
      <c r="BS198" s="1545"/>
      <c r="BU198" s="1545"/>
      <c r="BV198" s="1545"/>
      <c r="BW198" s="1545"/>
      <c r="BX198" s="1545"/>
      <c r="BY198" s="1545"/>
      <c r="BZ198" s="1545"/>
      <c r="CA198" s="1545"/>
      <c r="CB198" s="1545"/>
      <c r="CC198" s="1545"/>
      <c r="CD198" s="1348" t="s">
        <v>2677</v>
      </c>
      <c r="CE198" s="504">
        <v>130148</v>
      </c>
      <c r="CF198" s="504">
        <v>132596</v>
      </c>
      <c r="CG198" s="504">
        <v>140231</v>
      </c>
      <c r="CH198" s="504">
        <v>147145</v>
      </c>
      <c r="CI198" s="504">
        <v>153195</v>
      </c>
      <c r="CJ198" s="504">
        <v>145148</v>
      </c>
      <c r="CK198" s="504">
        <v>147596</v>
      </c>
      <c r="CL198" s="504">
        <v>155231</v>
      </c>
      <c r="CM198" s="504">
        <v>162145</v>
      </c>
      <c r="CN198" s="1347">
        <v>168195</v>
      </c>
    </row>
    <row r="199" spans="60:92" ht="18" customHeight="1">
      <c r="BH199" s="1348" t="s">
        <v>2678</v>
      </c>
      <c r="BI199" s="483">
        <v>193934</v>
      </c>
      <c r="BJ199" s="483">
        <v>197103</v>
      </c>
      <c r="BK199" s="483">
        <v>206611</v>
      </c>
      <c r="BL199" s="483">
        <v>215253</v>
      </c>
      <c r="BM199" s="483">
        <v>222888</v>
      </c>
      <c r="BN199" s="483">
        <v>218934</v>
      </c>
      <c r="BO199" s="483">
        <v>222103</v>
      </c>
      <c r="BP199" s="483">
        <v>231611</v>
      </c>
      <c r="BQ199" s="483">
        <v>240253</v>
      </c>
      <c r="BR199" s="1344">
        <v>247888</v>
      </c>
      <c r="BS199" s="1545"/>
      <c r="BU199" s="1545"/>
      <c r="BV199" s="1545"/>
      <c r="BW199" s="1545"/>
      <c r="BX199" s="1545"/>
      <c r="BY199" s="1545"/>
      <c r="BZ199" s="1545"/>
      <c r="CA199" s="1545"/>
      <c r="CB199" s="1545"/>
      <c r="CC199" s="1545"/>
      <c r="CD199" s="1348" t="s">
        <v>2678</v>
      </c>
      <c r="CE199" s="504">
        <v>138934</v>
      </c>
      <c r="CF199" s="504">
        <v>142103</v>
      </c>
      <c r="CG199" s="504">
        <v>151611</v>
      </c>
      <c r="CH199" s="504">
        <v>160253</v>
      </c>
      <c r="CI199" s="504">
        <v>167888</v>
      </c>
      <c r="CJ199" s="504">
        <v>153934</v>
      </c>
      <c r="CK199" s="504">
        <v>157103</v>
      </c>
      <c r="CL199" s="504">
        <v>166611</v>
      </c>
      <c r="CM199" s="504">
        <v>175253</v>
      </c>
      <c r="CN199" s="1347">
        <v>182888</v>
      </c>
    </row>
    <row r="200" spans="60:92" ht="18" customHeight="1">
      <c r="BH200" s="1348" t="s">
        <v>2679</v>
      </c>
      <c r="BI200" s="483">
        <v>202721</v>
      </c>
      <c r="BJ200" s="483">
        <v>206467</v>
      </c>
      <c r="BK200" s="483">
        <v>217846</v>
      </c>
      <c r="BL200" s="483">
        <v>228362</v>
      </c>
      <c r="BM200" s="483">
        <v>237437</v>
      </c>
      <c r="BN200" s="483">
        <v>227721</v>
      </c>
      <c r="BO200" s="483">
        <v>231467</v>
      </c>
      <c r="BP200" s="483">
        <v>242846</v>
      </c>
      <c r="BQ200" s="483">
        <v>253362</v>
      </c>
      <c r="BR200" s="1344">
        <v>262437</v>
      </c>
      <c r="BS200" s="1545"/>
      <c r="BU200" s="1545"/>
      <c r="BV200" s="1545"/>
      <c r="BW200" s="1545"/>
      <c r="BX200" s="1545"/>
      <c r="BY200" s="1545"/>
      <c r="BZ200" s="1545"/>
      <c r="CA200" s="1545"/>
      <c r="CB200" s="1545"/>
      <c r="CC200" s="1545"/>
      <c r="CD200" s="1348" t="s">
        <v>2679</v>
      </c>
      <c r="CE200" s="504">
        <v>147721</v>
      </c>
      <c r="CF200" s="504">
        <v>151467</v>
      </c>
      <c r="CG200" s="504">
        <v>162846</v>
      </c>
      <c r="CH200" s="504">
        <v>173362</v>
      </c>
      <c r="CI200" s="504">
        <v>182437</v>
      </c>
      <c r="CJ200" s="504">
        <v>162721</v>
      </c>
      <c r="CK200" s="504">
        <v>166467</v>
      </c>
      <c r="CL200" s="504">
        <v>177846</v>
      </c>
      <c r="CM200" s="504">
        <v>188362</v>
      </c>
      <c r="CN200" s="1347">
        <v>197437</v>
      </c>
    </row>
    <row r="201" spans="60:92" ht="18" customHeight="1">
      <c r="BH201" s="1348" t="s">
        <v>2680</v>
      </c>
      <c r="BI201" s="483">
        <v>211508</v>
      </c>
      <c r="BJ201" s="483">
        <v>215974</v>
      </c>
      <c r="BK201" s="483">
        <v>229226</v>
      </c>
      <c r="BL201" s="483">
        <v>241326</v>
      </c>
      <c r="BM201" s="483">
        <v>251985</v>
      </c>
      <c r="BN201" s="483">
        <v>236508</v>
      </c>
      <c r="BO201" s="483">
        <v>240974</v>
      </c>
      <c r="BP201" s="483">
        <v>254226</v>
      </c>
      <c r="BQ201" s="483">
        <v>266326</v>
      </c>
      <c r="BR201" s="1344">
        <v>276985</v>
      </c>
      <c r="BS201" s="1545"/>
      <c r="BU201" s="1545"/>
      <c r="BV201" s="1545"/>
      <c r="BW201" s="1545"/>
      <c r="BX201" s="1545"/>
      <c r="BY201" s="1545"/>
      <c r="BZ201" s="1545"/>
      <c r="CA201" s="1545"/>
      <c r="CB201" s="1545"/>
      <c r="CC201" s="1545"/>
      <c r="CD201" s="1348" t="s">
        <v>2680</v>
      </c>
      <c r="CE201" s="504">
        <v>156508</v>
      </c>
      <c r="CF201" s="504">
        <v>160974</v>
      </c>
      <c r="CG201" s="504">
        <v>174226</v>
      </c>
      <c r="CH201" s="504">
        <v>186326</v>
      </c>
      <c r="CI201" s="504">
        <v>196985</v>
      </c>
      <c r="CJ201" s="504">
        <v>171508</v>
      </c>
      <c r="CK201" s="504">
        <v>175974</v>
      </c>
      <c r="CL201" s="504">
        <v>189226</v>
      </c>
      <c r="CM201" s="504">
        <v>201326</v>
      </c>
      <c r="CN201" s="1347">
        <v>211985</v>
      </c>
    </row>
    <row r="202" spans="60:92" ht="18" customHeight="1">
      <c r="BH202" s="1348" t="s">
        <v>2681</v>
      </c>
      <c r="BI202" s="483">
        <v>220295</v>
      </c>
      <c r="BJ202" s="483">
        <v>225337</v>
      </c>
      <c r="BK202" s="483">
        <v>240462</v>
      </c>
      <c r="BL202" s="483">
        <v>254434</v>
      </c>
      <c r="BM202" s="483">
        <v>266534</v>
      </c>
      <c r="BN202" s="483">
        <v>245295</v>
      </c>
      <c r="BO202" s="483">
        <v>250337</v>
      </c>
      <c r="BP202" s="483">
        <v>265462</v>
      </c>
      <c r="BQ202" s="483">
        <v>279434</v>
      </c>
      <c r="BR202" s="1344">
        <v>291534</v>
      </c>
      <c r="BS202" s="1545"/>
      <c r="BU202" s="1545"/>
      <c r="BV202" s="1545"/>
      <c r="BW202" s="1545"/>
      <c r="BX202" s="1545"/>
      <c r="BY202" s="1545"/>
      <c r="BZ202" s="1545"/>
      <c r="CA202" s="1545"/>
      <c r="CB202" s="1545"/>
      <c r="CC202" s="1545"/>
      <c r="CD202" s="1348" t="s">
        <v>2681</v>
      </c>
      <c r="CE202" s="504">
        <v>165295</v>
      </c>
      <c r="CF202" s="504">
        <v>170337</v>
      </c>
      <c r="CG202" s="504">
        <v>185462</v>
      </c>
      <c r="CH202" s="504">
        <v>199434</v>
      </c>
      <c r="CI202" s="504">
        <v>211534</v>
      </c>
      <c r="CJ202" s="504">
        <v>180295</v>
      </c>
      <c r="CK202" s="504">
        <v>185337</v>
      </c>
      <c r="CL202" s="504">
        <v>200462</v>
      </c>
      <c r="CM202" s="504">
        <v>214434</v>
      </c>
      <c r="CN202" s="1347">
        <v>226534</v>
      </c>
    </row>
    <row r="203" spans="60:92" ht="18" customHeight="1">
      <c r="BH203" s="1348" t="s">
        <v>2682</v>
      </c>
      <c r="BI203" s="483">
        <v>229082</v>
      </c>
      <c r="BJ203" s="483">
        <v>234700</v>
      </c>
      <c r="BK203" s="483">
        <v>251841</v>
      </c>
      <c r="BL203" s="483">
        <v>267543</v>
      </c>
      <c r="BM203" s="483">
        <v>281083</v>
      </c>
      <c r="BN203" s="483">
        <v>254082</v>
      </c>
      <c r="BO203" s="483">
        <v>259700</v>
      </c>
      <c r="BP203" s="483">
        <v>276841</v>
      </c>
      <c r="BQ203" s="483">
        <v>292543</v>
      </c>
      <c r="BR203" s="1344">
        <v>306083</v>
      </c>
      <c r="BS203" s="1545"/>
      <c r="BU203" s="1545"/>
      <c r="BV203" s="1545"/>
      <c r="BW203" s="1545"/>
      <c r="BX203" s="1545"/>
      <c r="BY203" s="1545"/>
      <c r="BZ203" s="1545"/>
      <c r="CA203" s="1545"/>
      <c r="CB203" s="1545"/>
      <c r="CC203" s="1545"/>
      <c r="CD203" s="1348" t="s">
        <v>2682</v>
      </c>
      <c r="CE203" s="504">
        <v>174082</v>
      </c>
      <c r="CF203" s="504">
        <v>179700</v>
      </c>
      <c r="CG203" s="504">
        <v>196841</v>
      </c>
      <c r="CH203" s="504">
        <v>212543</v>
      </c>
      <c r="CI203" s="504">
        <v>226083</v>
      </c>
      <c r="CJ203" s="504">
        <v>189082</v>
      </c>
      <c r="CK203" s="504">
        <v>194700</v>
      </c>
      <c r="CL203" s="504">
        <v>211841</v>
      </c>
      <c r="CM203" s="504">
        <v>227543</v>
      </c>
      <c r="CN203" s="1347">
        <v>241083</v>
      </c>
    </row>
    <row r="204" spans="60:92" ht="18" customHeight="1">
      <c r="BH204" s="1343" t="s">
        <v>2683</v>
      </c>
      <c r="BI204" s="483">
        <v>150000</v>
      </c>
      <c r="BJ204" s="483">
        <v>150000</v>
      </c>
      <c r="BK204" s="483">
        <v>150000</v>
      </c>
      <c r="BL204" s="483">
        <v>150000</v>
      </c>
      <c r="BM204" s="483">
        <v>150000</v>
      </c>
      <c r="BN204" s="483">
        <v>175000</v>
      </c>
      <c r="BO204" s="483">
        <v>175000</v>
      </c>
      <c r="BP204" s="483">
        <v>175000</v>
      </c>
      <c r="BQ204" s="483">
        <v>175000</v>
      </c>
      <c r="BR204" s="1344">
        <v>175000</v>
      </c>
      <c r="BS204" s="1545"/>
      <c r="BU204" s="1545"/>
      <c r="BV204" s="1545"/>
      <c r="BW204" s="1545"/>
      <c r="BX204" s="1545"/>
      <c r="BY204" s="1545"/>
      <c r="BZ204" s="1545"/>
      <c r="CA204" s="1545"/>
      <c r="CB204" s="1545"/>
      <c r="CC204" s="1545"/>
      <c r="CD204" s="1343" t="s">
        <v>2683</v>
      </c>
      <c r="CE204" s="504">
        <v>95000</v>
      </c>
      <c r="CF204" s="504">
        <v>95000</v>
      </c>
      <c r="CG204" s="504">
        <v>95000</v>
      </c>
      <c r="CH204" s="504">
        <v>95000</v>
      </c>
      <c r="CI204" s="504">
        <v>95000</v>
      </c>
      <c r="CJ204" s="504">
        <v>110000</v>
      </c>
      <c r="CK204" s="504">
        <v>110000</v>
      </c>
      <c r="CL204" s="504">
        <v>110000</v>
      </c>
      <c r="CM204" s="504">
        <v>110000</v>
      </c>
      <c r="CN204" s="1347">
        <v>110000</v>
      </c>
    </row>
    <row r="205" spans="60:92" ht="18" customHeight="1">
      <c r="BH205" s="1348" t="s">
        <v>2684</v>
      </c>
      <c r="BI205" s="483">
        <v>173048</v>
      </c>
      <c r="BJ205" s="483">
        <v>174632</v>
      </c>
      <c r="BK205" s="483">
        <v>179674</v>
      </c>
      <c r="BL205" s="483">
        <v>184139</v>
      </c>
      <c r="BM205" s="483">
        <v>188173</v>
      </c>
      <c r="BN205" s="483">
        <v>198048</v>
      </c>
      <c r="BO205" s="483">
        <v>199632</v>
      </c>
      <c r="BP205" s="483">
        <v>204674</v>
      </c>
      <c r="BQ205" s="483">
        <v>209139</v>
      </c>
      <c r="BR205" s="1344">
        <v>213173</v>
      </c>
      <c r="BS205" s="1545"/>
      <c r="BU205" s="1545"/>
      <c r="BV205" s="1545"/>
      <c r="BW205" s="1545"/>
      <c r="BX205" s="1545"/>
      <c r="BY205" s="1545"/>
      <c r="BZ205" s="1545"/>
      <c r="CA205" s="1545"/>
      <c r="CB205" s="1545"/>
      <c r="CC205" s="1545"/>
      <c r="CD205" s="1348" t="s">
        <v>2684</v>
      </c>
      <c r="CE205" s="504">
        <v>118048</v>
      </c>
      <c r="CF205" s="504">
        <v>119632</v>
      </c>
      <c r="CG205" s="504">
        <v>124674</v>
      </c>
      <c r="CH205" s="504">
        <v>129139</v>
      </c>
      <c r="CI205" s="504">
        <v>133173</v>
      </c>
      <c r="CJ205" s="504">
        <v>133048</v>
      </c>
      <c r="CK205" s="504">
        <v>134632</v>
      </c>
      <c r="CL205" s="504">
        <v>139674</v>
      </c>
      <c r="CM205" s="504">
        <v>144139</v>
      </c>
      <c r="CN205" s="1347">
        <v>148173</v>
      </c>
    </row>
    <row r="206" spans="60:92" ht="18" customHeight="1">
      <c r="BH206" s="1348" t="s">
        <v>2685</v>
      </c>
      <c r="BI206" s="483">
        <v>196095</v>
      </c>
      <c r="BJ206" s="483">
        <v>199264</v>
      </c>
      <c r="BK206" s="483">
        <v>209203</v>
      </c>
      <c r="BL206" s="483">
        <v>218422</v>
      </c>
      <c r="BM206" s="483">
        <v>226345</v>
      </c>
      <c r="BN206" s="483">
        <v>221095</v>
      </c>
      <c r="BO206" s="483">
        <v>224264</v>
      </c>
      <c r="BP206" s="483">
        <v>234203</v>
      </c>
      <c r="BQ206" s="483">
        <v>243422</v>
      </c>
      <c r="BR206" s="1344">
        <v>251345</v>
      </c>
      <c r="BS206" s="1545"/>
      <c r="BU206" s="1545"/>
      <c r="BV206" s="1545"/>
      <c r="BW206" s="1545"/>
      <c r="BX206" s="1545"/>
      <c r="BY206" s="1545"/>
      <c r="BZ206" s="1545"/>
      <c r="CA206" s="1545"/>
      <c r="CB206" s="1545"/>
      <c r="CC206" s="1545"/>
      <c r="CD206" s="1348" t="s">
        <v>2685</v>
      </c>
      <c r="CE206" s="504">
        <v>141095</v>
      </c>
      <c r="CF206" s="504">
        <v>144264</v>
      </c>
      <c r="CG206" s="504">
        <v>154203</v>
      </c>
      <c r="CH206" s="504">
        <v>163422</v>
      </c>
      <c r="CI206" s="504">
        <v>171345</v>
      </c>
      <c r="CJ206" s="504">
        <v>156095</v>
      </c>
      <c r="CK206" s="504">
        <v>159264</v>
      </c>
      <c r="CL206" s="504">
        <v>169203</v>
      </c>
      <c r="CM206" s="504">
        <v>178422</v>
      </c>
      <c r="CN206" s="1347">
        <v>186345</v>
      </c>
    </row>
    <row r="207" spans="60:92" ht="18" customHeight="1">
      <c r="BH207" s="1348" t="s">
        <v>2686</v>
      </c>
      <c r="BI207" s="483">
        <v>219143</v>
      </c>
      <c r="BJ207" s="483">
        <v>224040</v>
      </c>
      <c r="BK207" s="483">
        <v>238877</v>
      </c>
      <c r="BL207" s="483">
        <v>252562</v>
      </c>
      <c r="BM207" s="483">
        <v>264518</v>
      </c>
      <c r="BN207" s="483">
        <v>244143</v>
      </c>
      <c r="BO207" s="483">
        <v>249040</v>
      </c>
      <c r="BP207" s="483">
        <v>263877</v>
      </c>
      <c r="BQ207" s="483">
        <v>277562</v>
      </c>
      <c r="BR207" s="1344">
        <v>289518</v>
      </c>
      <c r="BS207" s="1545"/>
      <c r="BU207" s="1545"/>
      <c r="BV207" s="1545"/>
      <c r="BW207" s="1545"/>
      <c r="BX207" s="1545"/>
      <c r="BY207" s="1545"/>
      <c r="BZ207" s="1545"/>
      <c r="CA207" s="1545"/>
      <c r="CB207" s="1545"/>
      <c r="CC207" s="1545"/>
      <c r="CD207" s="1348" t="s">
        <v>2686</v>
      </c>
      <c r="CE207" s="504">
        <v>164143</v>
      </c>
      <c r="CF207" s="504">
        <v>169040</v>
      </c>
      <c r="CG207" s="504">
        <v>183877</v>
      </c>
      <c r="CH207" s="504">
        <v>197562</v>
      </c>
      <c r="CI207" s="504">
        <v>209518</v>
      </c>
      <c r="CJ207" s="504">
        <v>179143</v>
      </c>
      <c r="CK207" s="504">
        <v>184040</v>
      </c>
      <c r="CL207" s="504">
        <v>198877</v>
      </c>
      <c r="CM207" s="504">
        <v>212562</v>
      </c>
      <c r="CN207" s="1347">
        <v>224518</v>
      </c>
    </row>
    <row r="208" spans="60:92" ht="18" customHeight="1">
      <c r="BH208" s="1348" t="s">
        <v>2687</v>
      </c>
      <c r="BI208" s="483">
        <v>242046</v>
      </c>
      <c r="BJ208" s="483">
        <v>248672</v>
      </c>
      <c r="BK208" s="483">
        <v>268407</v>
      </c>
      <c r="BL208" s="483">
        <v>286845</v>
      </c>
      <c r="BM208" s="483">
        <v>302690</v>
      </c>
      <c r="BN208" s="483">
        <v>267046</v>
      </c>
      <c r="BO208" s="483">
        <v>273672</v>
      </c>
      <c r="BP208" s="483">
        <v>293407</v>
      </c>
      <c r="BQ208" s="483">
        <v>311845</v>
      </c>
      <c r="BR208" s="1344">
        <v>327690</v>
      </c>
      <c r="BS208" s="1545"/>
      <c r="BU208" s="1545"/>
      <c r="BV208" s="1545"/>
      <c r="BW208" s="1545"/>
      <c r="BX208" s="1545"/>
      <c r="BY208" s="1545"/>
      <c r="BZ208" s="1545"/>
      <c r="CA208" s="1545"/>
      <c r="CB208" s="1545"/>
      <c r="CC208" s="1545"/>
      <c r="CD208" s="1348" t="s">
        <v>2687</v>
      </c>
      <c r="CE208" s="504">
        <v>187046</v>
      </c>
      <c r="CF208" s="504">
        <v>193672</v>
      </c>
      <c r="CG208" s="504">
        <v>213407</v>
      </c>
      <c r="CH208" s="504">
        <v>231845</v>
      </c>
      <c r="CI208" s="504">
        <v>247690</v>
      </c>
      <c r="CJ208" s="504">
        <v>202046</v>
      </c>
      <c r="CK208" s="504">
        <v>208672</v>
      </c>
      <c r="CL208" s="504">
        <v>228407</v>
      </c>
      <c r="CM208" s="504">
        <v>246845</v>
      </c>
      <c r="CN208" s="1347">
        <v>262690</v>
      </c>
    </row>
    <row r="209" spans="60:92" ht="18" customHeight="1">
      <c r="BH209" s="1348" t="s">
        <v>2688</v>
      </c>
      <c r="BI209" s="483">
        <v>265094</v>
      </c>
      <c r="BJ209" s="483">
        <v>273304</v>
      </c>
      <c r="BK209" s="483">
        <v>298081</v>
      </c>
      <c r="BL209" s="483">
        <v>321128</v>
      </c>
      <c r="BM209" s="483">
        <v>340863</v>
      </c>
      <c r="BN209" s="483">
        <v>290094</v>
      </c>
      <c r="BO209" s="483">
        <v>298304</v>
      </c>
      <c r="BP209" s="483">
        <v>323081</v>
      </c>
      <c r="BQ209" s="483">
        <v>346128</v>
      </c>
      <c r="BR209" s="1344">
        <v>365863</v>
      </c>
      <c r="BS209" s="1545"/>
      <c r="BU209" s="1545"/>
      <c r="BV209" s="1545"/>
      <c r="BW209" s="1545"/>
      <c r="BX209" s="1545"/>
      <c r="BY209" s="1545"/>
      <c r="BZ209" s="1545"/>
      <c r="CA209" s="1545"/>
      <c r="CB209" s="1545"/>
      <c r="CC209" s="1545"/>
      <c r="CD209" s="1348" t="s">
        <v>2688</v>
      </c>
      <c r="CE209" s="504">
        <v>210094</v>
      </c>
      <c r="CF209" s="504">
        <v>218304</v>
      </c>
      <c r="CG209" s="504">
        <v>243081</v>
      </c>
      <c r="CH209" s="504">
        <v>266128</v>
      </c>
      <c r="CI209" s="504">
        <v>285863</v>
      </c>
      <c r="CJ209" s="504">
        <v>225094</v>
      </c>
      <c r="CK209" s="504">
        <v>233304</v>
      </c>
      <c r="CL209" s="504">
        <v>258081</v>
      </c>
      <c r="CM209" s="504">
        <v>281128</v>
      </c>
      <c r="CN209" s="1347">
        <v>300863</v>
      </c>
    </row>
    <row r="210" spans="60:92" ht="18" customHeight="1">
      <c r="BH210" s="1348" t="s">
        <v>2689</v>
      </c>
      <c r="BI210" s="483">
        <v>288141</v>
      </c>
      <c r="BJ210" s="483">
        <v>298081</v>
      </c>
      <c r="BK210" s="483">
        <v>327754</v>
      </c>
      <c r="BL210" s="483">
        <v>355267</v>
      </c>
      <c r="BM210" s="483">
        <v>379035</v>
      </c>
      <c r="BN210" s="483">
        <v>313141</v>
      </c>
      <c r="BO210" s="483">
        <v>323081</v>
      </c>
      <c r="BP210" s="483">
        <v>352754</v>
      </c>
      <c r="BQ210" s="483">
        <v>380267</v>
      </c>
      <c r="BR210" s="1344">
        <v>404035</v>
      </c>
      <c r="BS210" s="1545"/>
      <c r="BU210" s="1545"/>
      <c r="BV210" s="1545"/>
      <c r="BW210" s="1545"/>
      <c r="BX210" s="1545"/>
      <c r="BY210" s="1545"/>
      <c r="BZ210" s="1545"/>
      <c r="CA210" s="1545"/>
      <c r="CB210" s="1545"/>
      <c r="CC210" s="1545"/>
      <c r="CD210" s="1348" t="s">
        <v>2689</v>
      </c>
      <c r="CE210" s="504">
        <v>233141</v>
      </c>
      <c r="CF210" s="504">
        <v>243081</v>
      </c>
      <c r="CG210" s="504">
        <v>272754</v>
      </c>
      <c r="CH210" s="504">
        <v>300267</v>
      </c>
      <c r="CI210" s="504">
        <v>324035</v>
      </c>
      <c r="CJ210" s="504">
        <v>248141</v>
      </c>
      <c r="CK210" s="504">
        <v>258081</v>
      </c>
      <c r="CL210" s="504">
        <v>287754</v>
      </c>
      <c r="CM210" s="504">
        <v>315267</v>
      </c>
      <c r="CN210" s="1347">
        <v>339035</v>
      </c>
    </row>
    <row r="211" spans="60:92" ht="18" customHeight="1">
      <c r="BH211" s="1348" t="s">
        <v>2690</v>
      </c>
      <c r="BI211" s="483">
        <v>311189</v>
      </c>
      <c r="BJ211" s="483">
        <v>322713</v>
      </c>
      <c r="BK211" s="483">
        <v>357284</v>
      </c>
      <c r="BL211" s="483">
        <v>389551</v>
      </c>
      <c r="BM211" s="483">
        <v>417208</v>
      </c>
      <c r="BN211" s="483">
        <v>336189</v>
      </c>
      <c r="BO211" s="483">
        <v>347713</v>
      </c>
      <c r="BP211" s="483">
        <v>382284</v>
      </c>
      <c r="BQ211" s="483">
        <v>414551</v>
      </c>
      <c r="BR211" s="1344">
        <v>442208</v>
      </c>
      <c r="BS211" s="1545"/>
      <c r="BU211" s="1545"/>
      <c r="BV211" s="1545"/>
      <c r="BW211" s="1545"/>
      <c r="BX211" s="1545"/>
      <c r="BY211" s="1545"/>
      <c r="BZ211" s="1545"/>
      <c r="CA211" s="1545"/>
      <c r="CB211" s="1545"/>
      <c r="CC211" s="1545"/>
      <c r="CD211" s="1348" t="s">
        <v>2690</v>
      </c>
      <c r="CE211" s="504">
        <v>256189</v>
      </c>
      <c r="CF211" s="504">
        <v>267713</v>
      </c>
      <c r="CG211" s="504">
        <v>302284</v>
      </c>
      <c r="CH211" s="504">
        <v>334551</v>
      </c>
      <c r="CI211" s="504">
        <v>362208</v>
      </c>
      <c r="CJ211" s="504">
        <v>271189</v>
      </c>
      <c r="CK211" s="504">
        <v>282713</v>
      </c>
      <c r="CL211" s="504">
        <v>317284</v>
      </c>
      <c r="CM211" s="504">
        <v>349551</v>
      </c>
      <c r="CN211" s="1347">
        <v>377208</v>
      </c>
    </row>
    <row r="212" spans="60:92" ht="18" customHeight="1">
      <c r="BH212" s="1348" t="s">
        <v>2691</v>
      </c>
      <c r="BI212" s="483">
        <v>334237</v>
      </c>
      <c r="BJ212" s="483">
        <v>347345</v>
      </c>
      <c r="BK212" s="483">
        <v>386958</v>
      </c>
      <c r="BL212" s="483">
        <v>423690</v>
      </c>
      <c r="BM212" s="483">
        <v>455380</v>
      </c>
      <c r="BN212" s="483">
        <v>359237</v>
      </c>
      <c r="BO212" s="483">
        <v>372345</v>
      </c>
      <c r="BP212" s="483">
        <v>411958</v>
      </c>
      <c r="BQ212" s="483">
        <v>448690</v>
      </c>
      <c r="BR212" s="1344">
        <v>480380</v>
      </c>
      <c r="BS212" s="1545"/>
      <c r="BU212" s="1545"/>
      <c r="BV212" s="1545"/>
      <c r="BW212" s="1545"/>
      <c r="BX212" s="1545"/>
      <c r="BY212" s="1545"/>
      <c r="BZ212" s="1545"/>
      <c r="CA212" s="1545"/>
      <c r="CB212" s="1545"/>
      <c r="CC212" s="1545"/>
      <c r="CD212" s="1348" t="s">
        <v>2691</v>
      </c>
      <c r="CE212" s="504">
        <v>279237</v>
      </c>
      <c r="CF212" s="504">
        <v>292345</v>
      </c>
      <c r="CG212" s="504">
        <v>331958</v>
      </c>
      <c r="CH212" s="504">
        <v>368690</v>
      </c>
      <c r="CI212" s="504">
        <v>400380</v>
      </c>
      <c r="CJ212" s="504">
        <v>294237</v>
      </c>
      <c r="CK212" s="504">
        <v>307345</v>
      </c>
      <c r="CL212" s="504">
        <v>346958</v>
      </c>
      <c r="CM212" s="504">
        <v>383690</v>
      </c>
      <c r="CN212" s="1347">
        <v>415380</v>
      </c>
    </row>
    <row r="213" spans="60:92" ht="18" customHeight="1">
      <c r="BH213" s="1348" t="s">
        <v>2692</v>
      </c>
      <c r="BI213" s="483">
        <v>357284</v>
      </c>
      <c r="BJ213" s="483">
        <v>372121</v>
      </c>
      <c r="BK213" s="483">
        <v>416632</v>
      </c>
      <c r="BL213" s="483">
        <v>457973</v>
      </c>
      <c r="BM213" s="483">
        <v>493553</v>
      </c>
      <c r="BN213" s="483">
        <v>382284</v>
      </c>
      <c r="BO213" s="483">
        <v>397121</v>
      </c>
      <c r="BP213" s="483">
        <v>441632</v>
      </c>
      <c r="BQ213" s="483">
        <v>482973</v>
      </c>
      <c r="BR213" s="1344">
        <v>518553</v>
      </c>
      <c r="BS213" s="1545"/>
      <c r="BU213" s="1545"/>
      <c r="BV213" s="1545"/>
      <c r="BW213" s="1545"/>
      <c r="BX213" s="1545"/>
      <c r="BY213" s="1545"/>
      <c r="BZ213" s="1545"/>
      <c r="CA213" s="1545"/>
      <c r="CB213" s="1545"/>
      <c r="CC213" s="1545"/>
      <c r="CD213" s="1348" t="s">
        <v>2692</v>
      </c>
      <c r="CE213" s="504">
        <v>302284</v>
      </c>
      <c r="CF213" s="504">
        <v>317121</v>
      </c>
      <c r="CG213" s="504">
        <v>361632</v>
      </c>
      <c r="CH213" s="504">
        <v>402973</v>
      </c>
      <c r="CI213" s="504">
        <v>438553</v>
      </c>
      <c r="CJ213" s="504">
        <v>317284</v>
      </c>
      <c r="CK213" s="504">
        <v>332121</v>
      </c>
      <c r="CL213" s="504">
        <v>376632</v>
      </c>
      <c r="CM213" s="504">
        <v>417973</v>
      </c>
      <c r="CN213" s="1347">
        <v>453553</v>
      </c>
    </row>
    <row r="214" spans="60:92" ht="18" customHeight="1">
      <c r="BH214" s="1343" t="s">
        <v>2693</v>
      </c>
      <c r="BI214" s="483">
        <v>150000</v>
      </c>
      <c r="BJ214" s="483">
        <v>150000</v>
      </c>
      <c r="BK214" s="483">
        <v>150000</v>
      </c>
      <c r="BL214" s="483">
        <v>150000</v>
      </c>
      <c r="BM214" s="483">
        <v>150000</v>
      </c>
      <c r="BN214" s="483">
        <v>175000</v>
      </c>
      <c r="BO214" s="483">
        <v>175000</v>
      </c>
      <c r="BP214" s="483">
        <v>175000</v>
      </c>
      <c r="BQ214" s="483">
        <v>175000</v>
      </c>
      <c r="BR214" s="1344">
        <v>175000</v>
      </c>
      <c r="BS214" s="1545"/>
      <c r="BU214" s="1545"/>
      <c r="BV214" s="1545"/>
      <c r="BW214" s="1545"/>
      <c r="BX214" s="1545"/>
      <c r="BY214" s="1545"/>
      <c r="BZ214" s="1545"/>
      <c r="CA214" s="1545"/>
      <c r="CB214" s="1545"/>
      <c r="CC214" s="1545"/>
      <c r="CD214" s="1343" t="s">
        <v>2693</v>
      </c>
      <c r="CE214" s="504">
        <v>95000</v>
      </c>
      <c r="CF214" s="504">
        <v>95000</v>
      </c>
      <c r="CG214" s="504">
        <v>95000</v>
      </c>
      <c r="CH214" s="504">
        <v>95000</v>
      </c>
      <c r="CI214" s="504">
        <v>95000</v>
      </c>
      <c r="CJ214" s="504">
        <v>110000</v>
      </c>
      <c r="CK214" s="504">
        <v>110000</v>
      </c>
      <c r="CL214" s="504">
        <v>110000</v>
      </c>
      <c r="CM214" s="504">
        <v>110000</v>
      </c>
      <c r="CN214" s="1347">
        <v>110000</v>
      </c>
    </row>
    <row r="215" spans="60:92" ht="18" customHeight="1">
      <c r="BH215" s="1348" t="s">
        <v>2694</v>
      </c>
      <c r="BI215" s="483">
        <v>158787</v>
      </c>
      <c r="BJ215" s="483">
        <v>159363</v>
      </c>
      <c r="BK215" s="483">
        <v>161380</v>
      </c>
      <c r="BL215" s="483">
        <v>163108</v>
      </c>
      <c r="BM215" s="483">
        <v>164549</v>
      </c>
      <c r="BN215" s="483">
        <v>183787</v>
      </c>
      <c r="BO215" s="483">
        <v>184363</v>
      </c>
      <c r="BP215" s="483">
        <v>186380</v>
      </c>
      <c r="BQ215" s="483">
        <v>188108</v>
      </c>
      <c r="BR215" s="1344">
        <v>189549</v>
      </c>
      <c r="BS215" s="1545"/>
      <c r="BU215" s="1545"/>
      <c r="BV215" s="1545"/>
      <c r="BW215" s="1545"/>
      <c r="BX215" s="1545"/>
      <c r="BY215" s="1545"/>
      <c r="BZ215" s="1545"/>
      <c r="CA215" s="1545"/>
      <c r="CB215" s="1545"/>
      <c r="CC215" s="1545"/>
      <c r="CD215" s="1348" t="s">
        <v>2694</v>
      </c>
      <c r="CE215" s="504">
        <v>103787</v>
      </c>
      <c r="CF215" s="504">
        <v>104363</v>
      </c>
      <c r="CG215" s="504">
        <v>106380</v>
      </c>
      <c r="CH215" s="504">
        <v>108108</v>
      </c>
      <c r="CI215" s="504">
        <v>109549</v>
      </c>
      <c r="CJ215" s="504">
        <v>118787</v>
      </c>
      <c r="CK215" s="504">
        <v>119363</v>
      </c>
      <c r="CL215" s="504">
        <v>121380</v>
      </c>
      <c r="CM215" s="504">
        <v>123108</v>
      </c>
      <c r="CN215" s="1347">
        <v>124549</v>
      </c>
    </row>
    <row r="216" spans="60:92" ht="18" customHeight="1">
      <c r="BH216" s="1348" t="s">
        <v>2695</v>
      </c>
      <c r="BI216" s="483">
        <v>167574</v>
      </c>
      <c r="BJ216" s="483">
        <v>168870</v>
      </c>
      <c r="BK216" s="483">
        <v>172615</v>
      </c>
      <c r="BL216" s="483">
        <v>176073</v>
      </c>
      <c r="BM216" s="483">
        <v>179098</v>
      </c>
      <c r="BN216" s="483">
        <v>192574</v>
      </c>
      <c r="BO216" s="483">
        <v>193870</v>
      </c>
      <c r="BP216" s="483">
        <v>197615</v>
      </c>
      <c r="BQ216" s="483">
        <v>201073</v>
      </c>
      <c r="BR216" s="1344">
        <v>204098</v>
      </c>
      <c r="BS216" s="1545"/>
      <c r="BU216" s="1545"/>
      <c r="BV216" s="1545"/>
      <c r="BW216" s="1545"/>
      <c r="BX216" s="1545"/>
      <c r="BY216" s="1545"/>
      <c r="BZ216" s="1545"/>
      <c r="CA216" s="1545"/>
      <c r="CB216" s="1545"/>
      <c r="CC216" s="1545"/>
      <c r="CD216" s="1348" t="s">
        <v>2695</v>
      </c>
      <c r="CE216" s="504">
        <v>112574</v>
      </c>
      <c r="CF216" s="504">
        <v>113870</v>
      </c>
      <c r="CG216" s="504">
        <v>117615</v>
      </c>
      <c r="CH216" s="504">
        <v>121073</v>
      </c>
      <c r="CI216" s="504">
        <v>124098</v>
      </c>
      <c r="CJ216" s="504">
        <v>127574</v>
      </c>
      <c r="CK216" s="504">
        <v>128870</v>
      </c>
      <c r="CL216" s="504">
        <v>132615</v>
      </c>
      <c r="CM216" s="504">
        <v>136073</v>
      </c>
      <c r="CN216" s="1347">
        <v>139098</v>
      </c>
    </row>
    <row r="217" spans="60:92" ht="18" customHeight="1">
      <c r="BH217" s="1348" t="s">
        <v>2696</v>
      </c>
      <c r="BI217" s="483">
        <v>176361</v>
      </c>
      <c r="BJ217" s="483">
        <v>178233</v>
      </c>
      <c r="BK217" s="483">
        <v>183995</v>
      </c>
      <c r="BL217" s="483">
        <v>189181</v>
      </c>
      <c r="BM217" s="483">
        <v>193646</v>
      </c>
      <c r="BN217" s="483">
        <v>201361</v>
      </c>
      <c r="BO217" s="483">
        <v>203233</v>
      </c>
      <c r="BP217" s="483">
        <v>208995</v>
      </c>
      <c r="BQ217" s="483">
        <v>214181</v>
      </c>
      <c r="BR217" s="1344">
        <v>218646</v>
      </c>
      <c r="BS217" s="1545"/>
      <c r="BU217" s="1545"/>
      <c r="BV217" s="1545"/>
      <c r="BW217" s="1545"/>
      <c r="BX217" s="1545"/>
      <c r="BY217" s="1545"/>
      <c r="BZ217" s="1545"/>
      <c r="CA217" s="1545"/>
      <c r="CB217" s="1545"/>
      <c r="CC217" s="1545"/>
      <c r="CD217" s="1348" t="s">
        <v>2696</v>
      </c>
      <c r="CE217" s="504">
        <v>121361</v>
      </c>
      <c r="CF217" s="504">
        <v>123233</v>
      </c>
      <c r="CG217" s="504">
        <v>128995</v>
      </c>
      <c r="CH217" s="504">
        <v>134181</v>
      </c>
      <c r="CI217" s="504">
        <v>138646</v>
      </c>
      <c r="CJ217" s="504">
        <v>136361</v>
      </c>
      <c r="CK217" s="504">
        <v>138233</v>
      </c>
      <c r="CL217" s="504">
        <v>143995</v>
      </c>
      <c r="CM217" s="504">
        <v>149181</v>
      </c>
      <c r="CN217" s="1347">
        <v>153646</v>
      </c>
    </row>
    <row r="218" spans="60:92" ht="18" customHeight="1">
      <c r="BH218" s="1348" t="s">
        <v>2697</v>
      </c>
      <c r="BI218" s="483">
        <v>185148</v>
      </c>
      <c r="BJ218" s="483">
        <v>187596</v>
      </c>
      <c r="BK218" s="483">
        <v>195231</v>
      </c>
      <c r="BL218" s="483">
        <v>202145</v>
      </c>
      <c r="BM218" s="483">
        <v>208195</v>
      </c>
      <c r="BN218" s="483">
        <v>210148</v>
      </c>
      <c r="BO218" s="483">
        <v>212596</v>
      </c>
      <c r="BP218" s="483">
        <v>220231</v>
      </c>
      <c r="BQ218" s="483">
        <v>227145</v>
      </c>
      <c r="BR218" s="1344">
        <v>233195</v>
      </c>
      <c r="BS218" s="1545"/>
      <c r="BU218" s="1545"/>
      <c r="BV218" s="1545"/>
      <c r="BW218" s="1545"/>
      <c r="BX218" s="1545"/>
      <c r="BY218" s="1545"/>
      <c r="BZ218" s="1545"/>
      <c r="CA218" s="1545"/>
      <c r="CB218" s="1545"/>
      <c r="CC218" s="1545"/>
      <c r="CD218" s="1348" t="s">
        <v>2697</v>
      </c>
      <c r="CE218" s="504">
        <v>130148</v>
      </c>
      <c r="CF218" s="504">
        <v>132596</v>
      </c>
      <c r="CG218" s="504">
        <v>140231</v>
      </c>
      <c r="CH218" s="504">
        <v>147145</v>
      </c>
      <c r="CI218" s="504">
        <v>153195</v>
      </c>
      <c r="CJ218" s="504">
        <v>145148</v>
      </c>
      <c r="CK218" s="504">
        <v>147596</v>
      </c>
      <c r="CL218" s="504">
        <v>155231</v>
      </c>
      <c r="CM218" s="504">
        <v>162145</v>
      </c>
      <c r="CN218" s="1347">
        <v>168195</v>
      </c>
    </row>
    <row r="219" spans="60:92" ht="18" customHeight="1">
      <c r="BH219" s="1348" t="s">
        <v>2698</v>
      </c>
      <c r="BI219" s="483">
        <v>193934</v>
      </c>
      <c r="BJ219" s="483">
        <v>197103</v>
      </c>
      <c r="BK219" s="483">
        <v>206611</v>
      </c>
      <c r="BL219" s="483">
        <v>215253</v>
      </c>
      <c r="BM219" s="483">
        <v>222888</v>
      </c>
      <c r="BN219" s="483">
        <v>218934</v>
      </c>
      <c r="BO219" s="483">
        <v>222103</v>
      </c>
      <c r="BP219" s="483">
        <v>231611</v>
      </c>
      <c r="BQ219" s="483">
        <v>240253</v>
      </c>
      <c r="BR219" s="1344">
        <v>247888</v>
      </c>
      <c r="BS219" s="1545"/>
      <c r="BU219" s="1545"/>
      <c r="BV219" s="1545"/>
      <c r="BW219" s="1545"/>
      <c r="BX219" s="1545"/>
      <c r="BY219" s="1545"/>
      <c r="BZ219" s="1545"/>
      <c r="CA219" s="1545"/>
      <c r="CB219" s="1545"/>
      <c r="CC219" s="1545"/>
      <c r="CD219" s="1348" t="s">
        <v>2698</v>
      </c>
      <c r="CE219" s="504">
        <v>138934</v>
      </c>
      <c r="CF219" s="504">
        <v>142103</v>
      </c>
      <c r="CG219" s="504">
        <v>151611</v>
      </c>
      <c r="CH219" s="504">
        <v>160253</v>
      </c>
      <c r="CI219" s="504">
        <v>167888</v>
      </c>
      <c r="CJ219" s="504">
        <v>153934</v>
      </c>
      <c r="CK219" s="504">
        <v>157103</v>
      </c>
      <c r="CL219" s="504">
        <v>166611</v>
      </c>
      <c r="CM219" s="504">
        <v>175253</v>
      </c>
      <c r="CN219" s="1347">
        <v>182888</v>
      </c>
    </row>
    <row r="220" spans="60:92" ht="18" customHeight="1">
      <c r="BH220" s="1348" t="s">
        <v>2699</v>
      </c>
      <c r="BI220" s="483">
        <v>202721</v>
      </c>
      <c r="BJ220" s="483">
        <v>206467</v>
      </c>
      <c r="BK220" s="483">
        <v>217846</v>
      </c>
      <c r="BL220" s="483">
        <v>228362</v>
      </c>
      <c r="BM220" s="483">
        <v>237437</v>
      </c>
      <c r="BN220" s="483">
        <v>227721</v>
      </c>
      <c r="BO220" s="483">
        <v>231467</v>
      </c>
      <c r="BP220" s="483">
        <v>242846</v>
      </c>
      <c r="BQ220" s="483">
        <v>253362</v>
      </c>
      <c r="BR220" s="1344">
        <v>262437</v>
      </c>
      <c r="BS220" s="1545"/>
      <c r="BU220" s="1545"/>
      <c r="BV220" s="1545"/>
      <c r="BW220" s="1545"/>
      <c r="BX220" s="1545"/>
      <c r="BY220" s="1545"/>
      <c r="BZ220" s="1545"/>
      <c r="CA220" s="1545"/>
      <c r="CB220" s="1545"/>
      <c r="CC220" s="1545"/>
      <c r="CD220" s="1348" t="s">
        <v>2699</v>
      </c>
      <c r="CE220" s="504">
        <v>147721</v>
      </c>
      <c r="CF220" s="504">
        <v>151467</v>
      </c>
      <c r="CG220" s="504">
        <v>162846</v>
      </c>
      <c r="CH220" s="504">
        <v>173362</v>
      </c>
      <c r="CI220" s="504">
        <v>182437</v>
      </c>
      <c r="CJ220" s="504">
        <v>162721</v>
      </c>
      <c r="CK220" s="504">
        <v>166467</v>
      </c>
      <c r="CL220" s="504">
        <v>177846</v>
      </c>
      <c r="CM220" s="504">
        <v>188362</v>
      </c>
      <c r="CN220" s="1347">
        <v>197437</v>
      </c>
    </row>
    <row r="221" spans="60:92" ht="18" customHeight="1">
      <c r="BH221" s="1348" t="s">
        <v>2700</v>
      </c>
      <c r="BI221" s="483">
        <v>211508</v>
      </c>
      <c r="BJ221" s="483">
        <v>215974</v>
      </c>
      <c r="BK221" s="483">
        <v>229226</v>
      </c>
      <c r="BL221" s="483">
        <v>241326</v>
      </c>
      <c r="BM221" s="483">
        <v>251985</v>
      </c>
      <c r="BN221" s="483">
        <v>236508</v>
      </c>
      <c r="BO221" s="483">
        <v>240974</v>
      </c>
      <c r="BP221" s="483">
        <v>254226</v>
      </c>
      <c r="BQ221" s="483">
        <v>266326</v>
      </c>
      <c r="BR221" s="1344">
        <v>276985</v>
      </c>
      <c r="BS221" s="1545"/>
      <c r="BU221" s="1545"/>
      <c r="BV221" s="1545"/>
      <c r="BW221" s="1545"/>
      <c r="BX221" s="1545"/>
      <c r="BY221" s="1545"/>
      <c r="BZ221" s="1545"/>
      <c r="CA221" s="1545"/>
      <c r="CB221" s="1545"/>
      <c r="CC221" s="1545"/>
      <c r="CD221" s="1348" t="s">
        <v>2700</v>
      </c>
      <c r="CE221" s="504">
        <v>156508</v>
      </c>
      <c r="CF221" s="504">
        <v>160974</v>
      </c>
      <c r="CG221" s="504">
        <v>174226</v>
      </c>
      <c r="CH221" s="504">
        <v>186326</v>
      </c>
      <c r="CI221" s="504">
        <v>196985</v>
      </c>
      <c r="CJ221" s="504">
        <v>171508</v>
      </c>
      <c r="CK221" s="504">
        <v>175974</v>
      </c>
      <c r="CL221" s="504">
        <v>189226</v>
      </c>
      <c r="CM221" s="504">
        <v>201326</v>
      </c>
      <c r="CN221" s="1347">
        <v>211985</v>
      </c>
    </row>
    <row r="222" spans="60:92" ht="18" customHeight="1">
      <c r="BH222" s="1348" t="s">
        <v>2701</v>
      </c>
      <c r="BI222" s="483">
        <v>220295</v>
      </c>
      <c r="BJ222" s="483">
        <v>225337</v>
      </c>
      <c r="BK222" s="483">
        <v>240462</v>
      </c>
      <c r="BL222" s="483">
        <v>254434</v>
      </c>
      <c r="BM222" s="483">
        <v>266534</v>
      </c>
      <c r="BN222" s="483">
        <v>245295</v>
      </c>
      <c r="BO222" s="483">
        <v>250337</v>
      </c>
      <c r="BP222" s="483">
        <v>265462</v>
      </c>
      <c r="BQ222" s="483">
        <v>279434</v>
      </c>
      <c r="BR222" s="1344">
        <v>291534</v>
      </c>
      <c r="BS222" s="1545"/>
      <c r="BU222" s="1545"/>
      <c r="BV222" s="1545"/>
      <c r="BW222" s="1545"/>
      <c r="BX222" s="1545"/>
      <c r="BY222" s="1545"/>
      <c r="BZ222" s="1545"/>
      <c r="CA222" s="1545"/>
      <c r="CB222" s="1545"/>
      <c r="CC222" s="1545"/>
      <c r="CD222" s="1348" t="s">
        <v>2701</v>
      </c>
      <c r="CE222" s="504">
        <v>165295</v>
      </c>
      <c r="CF222" s="504">
        <v>170337</v>
      </c>
      <c r="CG222" s="504">
        <v>185462</v>
      </c>
      <c r="CH222" s="504">
        <v>199434</v>
      </c>
      <c r="CI222" s="504">
        <v>211534</v>
      </c>
      <c r="CJ222" s="504">
        <v>180295</v>
      </c>
      <c r="CK222" s="504">
        <v>185337</v>
      </c>
      <c r="CL222" s="504">
        <v>200462</v>
      </c>
      <c r="CM222" s="504">
        <v>214434</v>
      </c>
      <c r="CN222" s="1347">
        <v>226534</v>
      </c>
    </row>
    <row r="223" spans="60:92" ht="18" customHeight="1">
      <c r="BH223" s="1348" t="s">
        <v>2702</v>
      </c>
      <c r="BI223" s="483">
        <v>229082</v>
      </c>
      <c r="BJ223" s="483">
        <v>234700</v>
      </c>
      <c r="BK223" s="483">
        <v>251841</v>
      </c>
      <c r="BL223" s="483">
        <v>267543</v>
      </c>
      <c r="BM223" s="483">
        <v>281083</v>
      </c>
      <c r="BN223" s="483">
        <v>254082</v>
      </c>
      <c r="BO223" s="483">
        <v>259700</v>
      </c>
      <c r="BP223" s="483">
        <v>276841</v>
      </c>
      <c r="BQ223" s="483">
        <v>292543</v>
      </c>
      <c r="BR223" s="1344">
        <v>306083</v>
      </c>
      <c r="BS223" s="1545"/>
      <c r="BU223" s="1545"/>
      <c r="BV223" s="1545"/>
      <c r="BW223" s="1545"/>
      <c r="BX223" s="1545"/>
      <c r="BY223" s="1545"/>
      <c r="BZ223" s="1545"/>
      <c r="CA223" s="1545"/>
      <c r="CB223" s="1545"/>
      <c r="CC223" s="1545"/>
      <c r="CD223" s="1348" t="s">
        <v>2702</v>
      </c>
      <c r="CE223" s="504">
        <v>174082</v>
      </c>
      <c r="CF223" s="504">
        <v>179700</v>
      </c>
      <c r="CG223" s="504">
        <v>196841</v>
      </c>
      <c r="CH223" s="504">
        <v>212543</v>
      </c>
      <c r="CI223" s="504">
        <v>226083</v>
      </c>
      <c r="CJ223" s="504">
        <v>189082</v>
      </c>
      <c r="CK223" s="504">
        <v>194700</v>
      </c>
      <c r="CL223" s="504">
        <v>211841</v>
      </c>
      <c r="CM223" s="504">
        <v>227543</v>
      </c>
      <c r="CN223" s="1347">
        <v>241083</v>
      </c>
    </row>
    <row r="224" spans="60:92" ht="18" customHeight="1">
      <c r="BH224" s="1343" t="s">
        <v>2703</v>
      </c>
      <c r="BI224" s="483">
        <v>150000</v>
      </c>
      <c r="BJ224" s="483">
        <v>150000</v>
      </c>
      <c r="BK224" s="483">
        <v>150000</v>
      </c>
      <c r="BL224" s="483">
        <v>150000</v>
      </c>
      <c r="BM224" s="483">
        <v>150000</v>
      </c>
      <c r="BN224" s="483">
        <v>175000</v>
      </c>
      <c r="BO224" s="483">
        <v>175000</v>
      </c>
      <c r="BP224" s="483">
        <v>175000</v>
      </c>
      <c r="BQ224" s="483">
        <v>175000</v>
      </c>
      <c r="BR224" s="1344">
        <v>175000</v>
      </c>
      <c r="BS224" s="1545"/>
      <c r="BU224" s="1545"/>
      <c r="BV224" s="1545"/>
      <c r="BW224" s="1545"/>
      <c r="BX224" s="1545"/>
      <c r="BY224" s="1545"/>
      <c r="BZ224" s="1545"/>
      <c r="CA224" s="1545"/>
      <c r="CB224" s="1545"/>
      <c r="CC224" s="1545"/>
      <c r="CD224" s="1343" t="s">
        <v>2703</v>
      </c>
      <c r="CE224" s="504">
        <v>95000</v>
      </c>
      <c r="CF224" s="504">
        <v>95000</v>
      </c>
      <c r="CG224" s="504">
        <v>95000</v>
      </c>
      <c r="CH224" s="504">
        <v>95000</v>
      </c>
      <c r="CI224" s="504">
        <v>95000</v>
      </c>
      <c r="CJ224" s="504">
        <v>110000</v>
      </c>
      <c r="CK224" s="504">
        <v>110000</v>
      </c>
      <c r="CL224" s="504">
        <v>110000</v>
      </c>
      <c r="CM224" s="504">
        <v>110000</v>
      </c>
      <c r="CN224" s="1347">
        <v>110000</v>
      </c>
    </row>
    <row r="225" spans="60:92" ht="18" customHeight="1">
      <c r="BH225" s="1348" t="s">
        <v>2704</v>
      </c>
      <c r="BI225" s="483">
        <v>159075</v>
      </c>
      <c r="BJ225" s="483">
        <v>159795</v>
      </c>
      <c r="BK225" s="483">
        <v>161668</v>
      </c>
      <c r="BL225" s="483">
        <v>163540</v>
      </c>
      <c r="BM225" s="483">
        <v>165125</v>
      </c>
      <c r="BN225" s="483">
        <v>184075</v>
      </c>
      <c r="BO225" s="483">
        <v>184795</v>
      </c>
      <c r="BP225" s="483">
        <v>186668</v>
      </c>
      <c r="BQ225" s="483">
        <v>188540</v>
      </c>
      <c r="BR225" s="1344">
        <v>190125</v>
      </c>
      <c r="BS225" s="1545"/>
      <c r="BU225" s="1545"/>
      <c r="BV225" s="1545"/>
      <c r="BW225" s="1545"/>
      <c r="BX225" s="1545"/>
      <c r="BY225" s="1545"/>
      <c r="BZ225" s="1545"/>
      <c r="CA225" s="1545"/>
      <c r="CB225" s="1545"/>
      <c r="CC225" s="1545"/>
      <c r="CD225" s="1348" t="s">
        <v>2704</v>
      </c>
      <c r="CE225" s="504">
        <v>104075</v>
      </c>
      <c r="CF225" s="504">
        <v>104795</v>
      </c>
      <c r="CG225" s="504">
        <v>106668</v>
      </c>
      <c r="CH225" s="504">
        <v>108540</v>
      </c>
      <c r="CI225" s="504">
        <v>110125</v>
      </c>
      <c r="CJ225" s="504">
        <v>119075</v>
      </c>
      <c r="CK225" s="504">
        <v>119795</v>
      </c>
      <c r="CL225" s="504">
        <v>121668</v>
      </c>
      <c r="CM225" s="504">
        <v>123540</v>
      </c>
      <c r="CN225" s="1347">
        <v>125125</v>
      </c>
    </row>
    <row r="226" spans="60:92" ht="18" customHeight="1">
      <c r="BH226" s="1348" t="s">
        <v>2705</v>
      </c>
      <c r="BI226" s="483">
        <v>168294</v>
      </c>
      <c r="BJ226" s="483">
        <v>169590</v>
      </c>
      <c r="BK226" s="483">
        <v>173480</v>
      </c>
      <c r="BL226" s="483">
        <v>177081</v>
      </c>
      <c r="BM226" s="483">
        <v>180250</v>
      </c>
      <c r="BN226" s="483">
        <v>193294</v>
      </c>
      <c r="BO226" s="483">
        <v>194590</v>
      </c>
      <c r="BP226" s="483">
        <v>198480</v>
      </c>
      <c r="BQ226" s="483">
        <v>202081</v>
      </c>
      <c r="BR226" s="1344">
        <v>205250</v>
      </c>
      <c r="BS226" s="1545"/>
      <c r="BU226" s="1545"/>
      <c r="BV226" s="1545"/>
      <c r="BW226" s="1545"/>
      <c r="BX226" s="1545"/>
      <c r="BY226" s="1545"/>
      <c r="BZ226" s="1545"/>
      <c r="CA226" s="1545"/>
      <c r="CB226" s="1545"/>
      <c r="CC226" s="1545"/>
      <c r="CD226" s="1348" t="s">
        <v>2705</v>
      </c>
      <c r="CE226" s="504">
        <v>113294</v>
      </c>
      <c r="CF226" s="504">
        <v>114590</v>
      </c>
      <c r="CG226" s="504">
        <v>118480</v>
      </c>
      <c r="CH226" s="504">
        <v>122081</v>
      </c>
      <c r="CI226" s="504">
        <v>125250</v>
      </c>
      <c r="CJ226" s="504">
        <v>128294</v>
      </c>
      <c r="CK226" s="504">
        <v>129590</v>
      </c>
      <c r="CL226" s="504">
        <v>133480</v>
      </c>
      <c r="CM226" s="504">
        <v>137081</v>
      </c>
      <c r="CN226" s="1347">
        <v>140250</v>
      </c>
    </row>
    <row r="227" spans="60:92" ht="18" customHeight="1">
      <c r="BH227" s="1348" t="s">
        <v>2706</v>
      </c>
      <c r="BI227" s="483">
        <v>177369</v>
      </c>
      <c r="BJ227" s="483">
        <v>179386</v>
      </c>
      <c r="BK227" s="483">
        <v>185148</v>
      </c>
      <c r="BL227" s="483">
        <v>190621</v>
      </c>
      <c r="BM227" s="483">
        <v>195375</v>
      </c>
      <c r="BN227" s="483">
        <v>202369</v>
      </c>
      <c r="BO227" s="483">
        <v>204386</v>
      </c>
      <c r="BP227" s="483">
        <v>210148</v>
      </c>
      <c r="BQ227" s="483">
        <v>215621</v>
      </c>
      <c r="BR227" s="1344">
        <v>220375</v>
      </c>
      <c r="BS227" s="1545"/>
      <c r="BU227" s="1545"/>
      <c r="BV227" s="1545"/>
      <c r="BW227" s="1545"/>
      <c r="BX227" s="1545"/>
      <c r="BY227" s="1545"/>
      <c r="BZ227" s="1545"/>
      <c r="CA227" s="1545"/>
      <c r="CB227" s="1545"/>
      <c r="CC227" s="1545"/>
      <c r="CD227" s="1348" t="s">
        <v>2706</v>
      </c>
      <c r="CE227" s="504">
        <v>122369</v>
      </c>
      <c r="CF227" s="504">
        <v>124386</v>
      </c>
      <c r="CG227" s="504">
        <v>130148</v>
      </c>
      <c r="CH227" s="504">
        <v>135621</v>
      </c>
      <c r="CI227" s="504">
        <v>140375</v>
      </c>
      <c r="CJ227" s="504">
        <v>137369</v>
      </c>
      <c r="CK227" s="504">
        <v>139386</v>
      </c>
      <c r="CL227" s="504">
        <v>145148</v>
      </c>
      <c r="CM227" s="504">
        <v>150621</v>
      </c>
      <c r="CN227" s="1347">
        <v>155375</v>
      </c>
    </row>
    <row r="228" spans="60:92" ht="18" customHeight="1">
      <c r="BH228" s="1348" t="s">
        <v>2707</v>
      </c>
      <c r="BI228" s="483">
        <v>186444</v>
      </c>
      <c r="BJ228" s="483">
        <v>189037</v>
      </c>
      <c r="BK228" s="483">
        <v>196815</v>
      </c>
      <c r="BL228" s="483">
        <v>204162</v>
      </c>
      <c r="BM228" s="483">
        <v>210356</v>
      </c>
      <c r="BN228" s="483">
        <v>211444</v>
      </c>
      <c r="BO228" s="483">
        <v>214037</v>
      </c>
      <c r="BP228" s="483">
        <v>221815</v>
      </c>
      <c r="BQ228" s="483">
        <v>229162</v>
      </c>
      <c r="BR228" s="1344">
        <v>235356</v>
      </c>
      <c r="BS228" s="1545"/>
      <c r="BU228" s="1545"/>
      <c r="BV228" s="1545"/>
      <c r="BW228" s="1545"/>
      <c r="BX228" s="1545"/>
      <c r="BY228" s="1545"/>
      <c r="BZ228" s="1545"/>
      <c r="CA228" s="1545"/>
      <c r="CB228" s="1545"/>
      <c r="CC228" s="1545"/>
      <c r="CD228" s="1348" t="s">
        <v>2707</v>
      </c>
      <c r="CE228" s="504">
        <v>131444</v>
      </c>
      <c r="CF228" s="504">
        <v>134037</v>
      </c>
      <c r="CG228" s="504">
        <v>141815</v>
      </c>
      <c r="CH228" s="504">
        <v>149162</v>
      </c>
      <c r="CI228" s="504">
        <v>155356</v>
      </c>
      <c r="CJ228" s="504">
        <v>146444</v>
      </c>
      <c r="CK228" s="504">
        <v>149037</v>
      </c>
      <c r="CL228" s="504">
        <v>156815</v>
      </c>
      <c r="CM228" s="504">
        <v>164162</v>
      </c>
      <c r="CN228" s="1347">
        <v>170356</v>
      </c>
    </row>
    <row r="229" spans="60:92" ht="18" customHeight="1">
      <c r="BH229" s="1348" t="s">
        <v>2708</v>
      </c>
      <c r="BI229" s="483">
        <v>195663</v>
      </c>
      <c r="BJ229" s="483">
        <v>198832</v>
      </c>
      <c r="BK229" s="483">
        <v>208627</v>
      </c>
      <c r="BL229" s="483">
        <v>217702</v>
      </c>
      <c r="BM229" s="483">
        <v>225481</v>
      </c>
      <c r="BN229" s="483">
        <v>220663</v>
      </c>
      <c r="BO229" s="483">
        <v>223832</v>
      </c>
      <c r="BP229" s="483">
        <v>233627</v>
      </c>
      <c r="BQ229" s="483">
        <v>242702</v>
      </c>
      <c r="BR229" s="1344">
        <v>250481</v>
      </c>
      <c r="BS229" s="1545"/>
      <c r="BU229" s="1545"/>
      <c r="BV229" s="1545"/>
      <c r="BW229" s="1545"/>
      <c r="BX229" s="1545"/>
      <c r="BY229" s="1545"/>
      <c r="BZ229" s="1545"/>
      <c r="CA229" s="1545"/>
      <c r="CB229" s="1545"/>
      <c r="CC229" s="1545"/>
      <c r="CD229" s="1348" t="s">
        <v>2708</v>
      </c>
      <c r="CE229" s="504">
        <v>140663</v>
      </c>
      <c r="CF229" s="504">
        <v>143832</v>
      </c>
      <c r="CG229" s="504">
        <v>153627</v>
      </c>
      <c r="CH229" s="504">
        <v>162702</v>
      </c>
      <c r="CI229" s="504">
        <v>170481</v>
      </c>
      <c r="CJ229" s="504">
        <v>155663</v>
      </c>
      <c r="CK229" s="504">
        <v>158832</v>
      </c>
      <c r="CL229" s="504">
        <v>168627</v>
      </c>
      <c r="CM229" s="504">
        <v>177702</v>
      </c>
      <c r="CN229" s="1347">
        <v>185481</v>
      </c>
    </row>
    <row r="230" spans="60:92" ht="18" customHeight="1">
      <c r="BH230" s="1348" t="s">
        <v>2709</v>
      </c>
      <c r="BI230" s="483">
        <v>204738</v>
      </c>
      <c r="BJ230" s="483">
        <v>208627</v>
      </c>
      <c r="BK230" s="483">
        <v>220295</v>
      </c>
      <c r="BL230" s="483">
        <v>231243</v>
      </c>
      <c r="BM230" s="483">
        <v>240606</v>
      </c>
      <c r="BN230" s="483">
        <v>229738</v>
      </c>
      <c r="BO230" s="483">
        <v>233627</v>
      </c>
      <c r="BP230" s="483">
        <v>245295</v>
      </c>
      <c r="BQ230" s="483">
        <v>256243</v>
      </c>
      <c r="BR230" s="1344">
        <v>265606</v>
      </c>
      <c r="BS230" s="1545"/>
      <c r="BU230" s="1545"/>
      <c r="BV230" s="1545"/>
      <c r="BW230" s="1545"/>
      <c r="BX230" s="1545"/>
      <c r="BY230" s="1545"/>
      <c r="BZ230" s="1545"/>
      <c r="CA230" s="1545"/>
      <c r="CB230" s="1545"/>
      <c r="CC230" s="1545"/>
      <c r="CD230" s="1348" t="s">
        <v>2709</v>
      </c>
      <c r="CE230" s="504">
        <v>149738</v>
      </c>
      <c r="CF230" s="504">
        <v>153627</v>
      </c>
      <c r="CG230" s="504">
        <v>165295</v>
      </c>
      <c r="CH230" s="504">
        <v>176243</v>
      </c>
      <c r="CI230" s="504">
        <v>185606</v>
      </c>
      <c r="CJ230" s="504">
        <v>164738</v>
      </c>
      <c r="CK230" s="504">
        <v>168627</v>
      </c>
      <c r="CL230" s="504">
        <v>180295</v>
      </c>
      <c r="CM230" s="504">
        <v>191243</v>
      </c>
      <c r="CN230" s="1347">
        <v>200606</v>
      </c>
    </row>
    <row r="231" spans="60:92" ht="18" customHeight="1">
      <c r="BH231" s="1348" t="s">
        <v>2710</v>
      </c>
      <c r="BI231" s="483">
        <v>213957</v>
      </c>
      <c r="BJ231" s="483">
        <v>218422</v>
      </c>
      <c r="BK231" s="483">
        <v>232107</v>
      </c>
      <c r="BL231" s="483">
        <v>244783</v>
      </c>
      <c r="BM231" s="483">
        <v>255731</v>
      </c>
      <c r="BN231" s="483">
        <v>238957</v>
      </c>
      <c r="BO231" s="483">
        <v>243422</v>
      </c>
      <c r="BP231" s="483">
        <v>257107</v>
      </c>
      <c r="BQ231" s="483">
        <v>269783</v>
      </c>
      <c r="BR231" s="1344">
        <v>280731</v>
      </c>
      <c r="BS231" s="1545"/>
      <c r="BU231" s="1545"/>
      <c r="BV231" s="1545"/>
      <c r="BW231" s="1545"/>
      <c r="BX231" s="1545"/>
      <c r="BY231" s="1545"/>
      <c r="BZ231" s="1545"/>
      <c r="CA231" s="1545"/>
      <c r="CB231" s="1545"/>
      <c r="CC231" s="1545"/>
      <c r="CD231" s="1348" t="s">
        <v>2710</v>
      </c>
      <c r="CE231" s="504">
        <v>158957</v>
      </c>
      <c r="CF231" s="504">
        <v>163422</v>
      </c>
      <c r="CG231" s="504">
        <v>177107</v>
      </c>
      <c r="CH231" s="504">
        <v>189783</v>
      </c>
      <c r="CI231" s="504">
        <v>200731</v>
      </c>
      <c r="CJ231" s="504">
        <v>173957</v>
      </c>
      <c r="CK231" s="504">
        <v>178422</v>
      </c>
      <c r="CL231" s="504">
        <v>192107</v>
      </c>
      <c r="CM231" s="504">
        <v>204783</v>
      </c>
      <c r="CN231" s="1347">
        <v>215731</v>
      </c>
    </row>
    <row r="232" spans="60:92" ht="18" customHeight="1">
      <c r="BH232" s="1348" t="s">
        <v>2711</v>
      </c>
      <c r="BI232" s="483">
        <v>223032</v>
      </c>
      <c r="BJ232" s="483">
        <v>228218</v>
      </c>
      <c r="BK232" s="483">
        <v>243775</v>
      </c>
      <c r="BL232" s="483">
        <v>258324</v>
      </c>
      <c r="BM232" s="483">
        <v>270856</v>
      </c>
      <c r="BN232" s="483">
        <v>248032</v>
      </c>
      <c r="BO232" s="483">
        <v>253218</v>
      </c>
      <c r="BP232" s="483">
        <v>268775</v>
      </c>
      <c r="BQ232" s="483">
        <v>283324</v>
      </c>
      <c r="BR232" s="1344">
        <v>295856</v>
      </c>
      <c r="BS232" s="1545"/>
      <c r="BU232" s="1545"/>
      <c r="BV232" s="1545"/>
      <c r="BW232" s="1545"/>
      <c r="BX232" s="1545"/>
      <c r="BY232" s="1545"/>
      <c r="BZ232" s="1545"/>
      <c r="CA232" s="1545"/>
      <c r="CB232" s="1545"/>
      <c r="CC232" s="1545"/>
      <c r="CD232" s="1348" t="s">
        <v>2711</v>
      </c>
      <c r="CE232" s="504">
        <v>168032</v>
      </c>
      <c r="CF232" s="504">
        <v>173218</v>
      </c>
      <c r="CG232" s="504">
        <v>188775</v>
      </c>
      <c r="CH232" s="504">
        <v>203324</v>
      </c>
      <c r="CI232" s="504">
        <v>215856</v>
      </c>
      <c r="CJ232" s="504">
        <v>183032</v>
      </c>
      <c r="CK232" s="504">
        <v>188218</v>
      </c>
      <c r="CL232" s="504">
        <v>203775</v>
      </c>
      <c r="CM232" s="504">
        <v>218324</v>
      </c>
      <c r="CN232" s="1347">
        <v>230856</v>
      </c>
    </row>
    <row r="233" spans="60:92" ht="18" customHeight="1">
      <c r="BH233" s="1348" t="s">
        <v>2712</v>
      </c>
      <c r="BI233" s="483">
        <v>232107</v>
      </c>
      <c r="BJ233" s="483">
        <v>238013</v>
      </c>
      <c r="BK233" s="483">
        <v>255443</v>
      </c>
      <c r="BL233" s="483">
        <v>271864</v>
      </c>
      <c r="BM233" s="483">
        <v>285981</v>
      </c>
      <c r="BN233" s="483">
        <v>257107</v>
      </c>
      <c r="BO233" s="483">
        <v>263013</v>
      </c>
      <c r="BP233" s="483">
        <v>280443</v>
      </c>
      <c r="BQ233" s="483">
        <v>296864</v>
      </c>
      <c r="BR233" s="1344">
        <v>310981</v>
      </c>
      <c r="BS233" s="1545"/>
      <c r="BU233" s="1545"/>
      <c r="BV233" s="1545"/>
      <c r="BW233" s="1545"/>
      <c r="BX233" s="1545"/>
      <c r="BY233" s="1545"/>
      <c r="BZ233" s="1545"/>
      <c r="CA233" s="1545"/>
      <c r="CB233" s="1545"/>
      <c r="CC233" s="1545"/>
      <c r="CD233" s="1348" t="s">
        <v>2712</v>
      </c>
      <c r="CE233" s="504">
        <v>177107</v>
      </c>
      <c r="CF233" s="504">
        <v>183013</v>
      </c>
      <c r="CG233" s="504">
        <v>200443</v>
      </c>
      <c r="CH233" s="504">
        <v>216864</v>
      </c>
      <c r="CI233" s="504">
        <v>230981</v>
      </c>
      <c r="CJ233" s="504">
        <v>192107</v>
      </c>
      <c r="CK233" s="504">
        <v>198013</v>
      </c>
      <c r="CL233" s="504">
        <v>215443</v>
      </c>
      <c r="CM233" s="504">
        <v>231864</v>
      </c>
      <c r="CN233" s="1347">
        <v>245981</v>
      </c>
    </row>
    <row r="234" spans="60:92" ht="18" customHeight="1">
      <c r="BH234" s="1343" t="s">
        <v>2713</v>
      </c>
      <c r="BI234" s="483">
        <v>150000</v>
      </c>
      <c r="BJ234" s="483">
        <v>150000</v>
      </c>
      <c r="BK234" s="483">
        <v>150000</v>
      </c>
      <c r="BL234" s="483">
        <v>150000</v>
      </c>
      <c r="BM234" s="483">
        <v>150000</v>
      </c>
      <c r="BN234" s="483">
        <v>175000</v>
      </c>
      <c r="BO234" s="483">
        <v>175000</v>
      </c>
      <c r="BP234" s="483">
        <v>175000</v>
      </c>
      <c r="BQ234" s="483">
        <v>175000</v>
      </c>
      <c r="BR234" s="1344">
        <v>175000</v>
      </c>
      <c r="BS234" s="1545"/>
      <c r="BU234" s="1545"/>
      <c r="BV234" s="1545"/>
      <c r="BW234" s="1545"/>
      <c r="BX234" s="1545"/>
      <c r="BY234" s="1545"/>
      <c r="BZ234" s="1545"/>
      <c r="CA234" s="1545"/>
      <c r="CB234" s="1545"/>
      <c r="CC234" s="1545"/>
      <c r="CD234" s="1343" t="s">
        <v>2713</v>
      </c>
      <c r="CE234" s="504">
        <v>95000</v>
      </c>
      <c r="CF234" s="504">
        <v>95000</v>
      </c>
      <c r="CG234" s="504">
        <v>95000</v>
      </c>
      <c r="CH234" s="504">
        <v>95000</v>
      </c>
      <c r="CI234" s="504">
        <v>95000</v>
      </c>
      <c r="CJ234" s="504">
        <v>110000</v>
      </c>
      <c r="CK234" s="504">
        <v>110000</v>
      </c>
      <c r="CL234" s="504">
        <v>110000</v>
      </c>
      <c r="CM234" s="504">
        <v>110000</v>
      </c>
      <c r="CN234" s="1347">
        <v>110000</v>
      </c>
    </row>
    <row r="235" spans="60:92" ht="18" customHeight="1">
      <c r="BH235" s="1348" t="s">
        <v>2714</v>
      </c>
      <c r="BI235" s="483">
        <v>158787</v>
      </c>
      <c r="BJ235" s="483">
        <v>159363</v>
      </c>
      <c r="BK235" s="483">
        <v>161380</v>
      </c>
      <c r="BL235" s="483">
        <v>163108</v>
      </c>
      <c r="BM235" s="483">
        <v>164549</v>
      </c>
      <c r="BN235" s="483">
        <v>183787</v>
      </c>
      <c r="BO235" s="483">
        <v>184363</v>
      </c>
      <c r="BP235" s="483">
        <v>186380</v>
      </c>
      <c r="BQ235" s="483">
        <v>188108</v>
      </c>
      <c r="BR235" s="1344">
        <v>189549</v>
      </c>
      <c r="BS235" s="1545"/>
      <c r="BU235" s="1545"/>
      <c r="BV235" s="1545"/>
      <c r="BW235" s="1545"/>
      <c r="BX235" s="1545"/>
      <c r="BY235" s="1545"/>
      <c r="BZ235" s="1545"/>
      <c r="CA235" s="1545"/>
      <c r="CB235" s="1545"/>
      <c r="CC235" s="1545"/>
      <c r="CD235" s="1348" t="s">
        <v>2714</v>
      </c>
      <c r="CE235" s="504">
        <v>103787</v>
      </c>
      <c r="CF235" s="504">
        <v>104363</v>
      </c>
      <c r="CG235" s="504">
        <v>106380</v>
      </c>
      <c r="CH235" s="504">
        <v>108108</v>
      </c>
      <c r="CI235" s="504">
        <v>109549</v>
      </c>
      <c r="CJ235" s="504">
        <v>118787</v>
      </c>
      <c r="CK235" s="504">
        <v>119363</v>
      </c>
      <c r="CL235" s="504">
        <v>121380</v>
      </c>
      <c r="CM235" s="504">
        <v>123108</v>
      </c>
      <c r="CN235" s="1347">
        <v>124549</v>
      </c>
    </row>
    <row r="236" spans="60:92" ht="18" customHeight="1">
      <c r="BH236" s="1348" t="s">
        <v>2715</v>
      </c>
      <c r="BI236" s="483">
        <v>167574</v>
      </c>
      <c r="BJ236" s="483">
        <v>168870</v>
      </c>
      <c r="BK236" s="483">
        <v>172615</v>
      </c>
      <c r="BL236" s="483">
        <v>176073</v>
      </c>
      <c r="BM236" s="483">
        <v>179098</v>
      </c>
      <c r="BN236" s="483">
        <v>192574</v>
      </c>
      <c r="BO236" s="483">
        <v>193870</v>
      </c>
      <c r="BP236" s="483">
        <v>197615</v>
      </c>
      <c r="BQ236" s="483">
        <v>201073</v>
      </c>
      <c r="BR236" s="1344">
        <v>204098</v>
      </c>
      <c r="BS236" s="1545"/>
      <c r="BU236" s="1545"/>
      <c r="BV236" s="1545"/>
      <c r="BW236" s="1545"/>
      <c r="BX236" s="1545"/>
      <c r="BY236" s="1545"/>
      <c r="BZ236" s="1545"/>
      <c r="CA236" s="1545"/>
      <c r="CB236" s="1545"/>
      <c r="CC236" s="1545"/>
      <c r="CD236" s="1348" t="s">
        <v>2715</v>
      </c>
      <c r="CE236" s="504">
        <v>112574</v>
      </c>
      <c r="CF236" s="504">
        <v>113870</v>
      </c>
      <c r="CG236" s="504">
        <v>117615</v>
      </c>
      <c r="CH236" s="504">
        <v>121073</v>
      </c>
      <c r="CI236" s="504">
        <v>124098</v>
      </c>
      <c r="CJ236" s="504">
        <v>127574</v>
      </c>
      <c r="CK236" s="504">
        <v>128870</v>
      </c>
      <c r="CL236" s="504">
        <v>132615</v>
      </c>
      <c r="CM236" s="504">
        <v>136073</v>
      </c>
      <c r="CN236" s="1347">
        <v>139098</v>
      </c>
    </row>
    <row r="237" spans="60:92" ht="18" customHeight="1">
      <c r="BH237" s="1348" t="s">
        <v>2716</v>
      </c>
      <c r="BI237" s="483">
        <v>176361</v>
      </c>
      <c r="BJ237" s="483">
        <v>178233</v>
      </c>
      <c r="BK237" s="483">
        <v>183995</v>
      </c>
      <c r="BL237" s="483">
        <v>189181</v>
      </c>
      <c r="BM237" s="483">
        <v>193646</v>
      </c>
      <c r="BN237" s="483">
        <v>201361</v>
      </c>
      <c r="BO237" s="483">
        <v>203233</v>
      </c>
      <c r="BP237" s="483">
        <v>208995</v>
      </c>
      <c r="BQ237" s="483">
        <v>214181</v>
      </c>
      <c r="BR237" s="1344">
        <v>218646</v>
      </c>
      <c r="BS237" s="1545"/>
      <c r="BU237" s="1545"/>
      <c r="BV237" s="1545"/>
      <c r="BW237" s="1545"/>
      <c r="BX237" s="1545"/>
      <c r="BY237" s="1545"/>
      <c r="BZ237" s="1545"/>
      <c r="CA237" s="1545"/>
      <c r="CB237" s="1545"/>
      <c r="CC237" s="1545"/>
      <c r="CD237" s="1348" t="s">
        <v>2716</v>
      </c>
      <c r="CE237" s="504">
        <v>121361</v>
      </c>
      <c r="CF237" s="504">
        <v>123233</v>
      </c>
      <c r="CG237" s="504">
        <v>128995</v>
      </c>
      <c r="CH237" s="504">
        <v>134181</v>
      </c>
      <c r="CI237" s="504">
        <v>138646</v>
      </c>
      <c r="CJ237" s="504">
        <v>136361</v>
      </c>
      <c r="CK237" s="504">
        <v>138233</v>
      </c>
      <c r="CL237" s="504">
        <v>143995</v>
      </c>
      <c r="CM237" s="504">
        <v>149181</v>
      </c>
      <c r="CN237" s="1347">
        <v>153646</v>
      </c>
    </row>
    <row r="238" spans="60:92" ht="18" customHeight="1">
      <c r="BH238" s="1348" t="s">
        <v>2717</v>
      </c>
      <c r="BI238" s="483">
        <v>185148</v>
      </c>
      <c r="BJ238" s="483">
        <v>187596</v>
      </c>
      <c r="BK238" s="483">
        <v>195231</v>
      </c>
      <c r="BL238" s="483">
        <v>202145</v>
      </c>
      <c r="BM238" s="483">
        <v>208195</v>
      </c>
      <c r="BN238" s="483">
        <v>210148</v>
      </c>
      <c r="BO238" s="483">
        <v>212596</v>
      </c>
      <c r="BP238" s="483">
        <v>220231</v>
      </c>
      <c r="BQ238" s="483">
        <v>227145</v>
      </c>
      <c r="BR238" s="1344">
        <v>233195</v>
      </c>
      <c r="BS238" s="1545"/>
      <c r="BU238" s="1545"/>
      <c r="BV238" s="1545"/>
      <c r="BW238" s="1545"/>
      <c r="BX238" s="1545"/>
      <c r="BY238" s="1545"/>
      <c r="BZ238" s="1545"/>
      <c r="CA238" s="1545"/>
      <c r="CB238" s="1545"/>
      <c r="CC238" s="1545"/>
      <c r="CD238" s="1348" t="s">
        <v>2717</v>
      </c>
      <c r="CE238" s="504">
        <v>130148</v>
      </c>
      <c r="CF238" s="504">
        <v>132596</v>
      </c>
      <c r="CG238" s="504">
        <v>140231</v>
      </c>
      <c r="CH238" s="504">
        <v>147145</v>
      </c>
      <c r="CI238" s="504">
        <v>153195</v>
      </c>
      <c r="CJ238" s="504">
        <v>145148</v>
      </c>
      <c r="CK238" s="504">
        <v>147596</v>
      </c>
      <c r="CL238" s="504">
        <v>155231</v>
      </c>
      <c r="CM238" s="504">
        <v>162145</v>
      </c>
      <c r="CN238" s="1347">
        <v>168195</v>
      </c>
    </row>
    <row r="239" spans="60:92" ht="18" customHeight="1">
      <c r="BH239" s="1348" t="s">
        <v>2718</v>
      </c>
      <c r="BI239" s="483">
        <v>193934</v>
      </c>
      <c r="BJ239" s="483">
        <v>197103</v>
      </c>
      <c r="BK239" s="483">
        <v>206611</v>
      </c>
      <c r="BL239" s="483">
        <v>215253</v>
      </c>
      <c r="BM239" s="483">
        <v>222888</v>
      </c>
      <c r="BN239" s="483">
        <v>218934</v>
      </c>
      <c r="BO239" s="483">
        <v>222103</v>
      </c>
      <c r="BP239" s="483">
        <v>231611</v>
      </c>
      <c r="BQ239" s="483">
        <v>240253</v>
      </c>
      <c r="BR239" s="1344">
        <v>247888</v>
      </c>
      <c r="BS239" s="1545"/>
      <c r="BU239" s="1545"/>
      <c r="BV239" s="1545"/>
      <c r="BW239" s="1545"/>
      <c r="BX239" s="1545"/>
      <c r="BY239" s="1545"/>
      <c r="BZ239" s="1545"/>
      <c r="CA239" s="1545"/>
      <c r="CB239" s="1545"/>
      <c r="CC239" s="1545"/>
      <c r="CD239" s="1348" t="s">
        <v>2718</v>
      </c>
      <c r="CE239" s="504">
        <v>138934</v>
      </c>
      <c r="CF239" s="504">
        <v>142103</v>
      </c>
      <c r="CG239" s="504">
        <v>151611</v>
      </c>
      <c r="CH239" s="504">
        <v>160253</v>
      </c>
      <c r="CI239" s="504">
        <v>167888</v>
      </c>
      <c r="CJ239" s="504">
        <v>153934</v>
      </c>
      <c r="CK239" s="504">
        <v>157103</v>
      </c>
      <c r="CL239" s="504">
        <v>166611</v>
      </c>
      <c r="CM239" s="504">
        <v>175253</v>
      </c>
      <c r="CN239" s="1347">
        <v>182888</v>
      </c>
    </row>
    <row r="240" spans="60:92" ht="18" customHeight="1">
      <c r="BH240" s="1348" t="s">
        <v>2719</v>
      </c>
      <c r="BI240" s="483">
        <v>202721</v>
      </c>
      <c r="BJ240" s="483">
        <v>206467</v>
      </c>
      <c r="BK240" s="483">
        <v>217846</v>
      </c>
      <c r="BL240" s="483">
        <v>228362</v>
      </c>
      <c r="BM240" s="483">
        <v>237437</v>
      </c>
      <c r="BN240" s="483">
        <v>227721</v>
      </c>
      <c r="BO240" s="483">
        <v>231467</v>
      </c>
      <c r="BP240" s="483">
        <v>242846</v>
      </c>
      <c r="BQ240" s="483">
        <v>253362</v>
      </c>
      <c r="BR240" s="1344">
        <v>262437</v>
      </c>
      <c r="BS240" s="1545"/>
      <c r="BU240" s="1545"/>
      <c r="BV240" s="1545"/>
      <c r="BW240" s="1545"/>
      <c r="BX240" s="1545"/>
      <c r="BY240" s="1545"/>
      <c r="BZ240" s="1545"/>
      <c r="CA240" s="1545"/>
      <c r="CB240" s="1545"/>
      <c r="CC240" s="1545"/>
      <c r="CD240" s="1348" t="s">
        <v>2719</v>
      </c>
      <c r="CE240" s="504">
        <v>147721</v>
      </c>
      <c r="CF240" s="504">
        <v>151467</v>
      </c>
      <c r="CG240" s="504">
        <v>162846</v>
      </c>
      <c r="CH240" s="504">
        <v>173362</v>
      </c>
      <c r="CI240" s="504">
        <v>182437</v>
      </c>
      <c r="CJ240" s="504">
        <v>162721</v>
      </c>
      <c r="CK240" s="504">
        <v>166467</v>
      </c>
      <c r="CL240" s="504">
        <v>177846</v>
      </c>
      <c r="CM240" s="504">
        <v>188362</v>
      </c>
      <c r="CN240" s="1347">
        <v>197437</v>
      </c>
    </row>
    <row r="241" spans="60:92" ht="18" customHeight="1">
      <c r="BH241" s="1348" t="s">
        <v>2720</v>
      </c>
      <c r="BI241" s="483">
        <v>211508</v>
      </c>
      <c r="BJ241" s="483">
        <v>215974</v>
      </c>
      <c r="BK241" s="483">
        <v>229226</v>
      </c>
      <c r="BL241" s="483">
        <v>241326</v>
      </c>
      <c r="BM241" s="483">
        <v>251985</v>
      </c>
      <c r="BN241" s="483">
        <v>236508</v>
      </c>
      <c r="BO241" s="483">
        <v>240974</v>
      </c>
      <c r="BP241" s="483">
        <v>254226</v>
      </c>
      <c r="BQ241" s="483">
        <v>266326</v>
      </c>
      <c r="BR241" s="1344">
        <v>276985</v>
      </c>
      <c r="BS241" s="1545"/>
      <c r="BU241" s="1545"/>
      <c r="BV241" s="1545"/>
      <c r="BW241" s="1545"/>
      <c r="BX241" s="1545"/>
      <c r="BY241" s="1545"/>
      <c r="BZ241" s="1545"/>
      <c r="CA241" s="1545"/>
      <c r="CB241" s="1545"/>
      <c r="CC241" s="1545"/>
      <c r="CD241" s="1348" t="s">
        <v>2720</v>
      </c>
      <c r="CE241" s="504">
        <v>156508</v>
      </c>
      <c r="CF241" s="504">
        <v>160974</v>
      </c>
      <c r="CG241" s="504">
        <v>174226</v>
      </c>
      <c r="CH241" s="504">
        <v>186326</v>
      </c>
      <c r="CI241" s="504">
        <v>196985</v>
      </c>
      <c r="CJ241" s="504">
        <v>171508</v>
      </c>
      <c r="CK241" s="504">
        <v>175974</v>
      </c>
      <c r="CL241" s="504">
        <v>189226</v>
      </c>
      <c r="CM241" s="504">
        <v>201326</v>
      </c>
      <c r="CN241" s="1347">
        <v>211985</v>
      </c>
    </row>
    <row r="242" spans="60:92" ht="18" customHeight="1">
      <c r="BH242" s="1348" t="s">
        <v>2721</v>
      </c>
      <c r="BI242" s="483">
        <v>220295</v>
      </c>
      <c r="BJ242" s="483">
        <v>225337</v>
      </c>
      <c r="BK242" s="483">
        <v>240462</v>
      </c>
      <c r="BL242" s="483">
        <v>254434</v>
      </c>
      <c r="BM242" s="483">
        <v>266534</v>
      </c>
      <c r="BN242" s="483">
        <v>245295</v>
      </c>
      <c r="BO242" s="483">
        <v>250337</v>
      </c>
      <c r="BP242" s="483">
        <v>265462</v>
      </c>
      <c r="BQ242" s="483">
        <v>279434</v>
      </c>
      <c r="BR242" s="1344">
        <v>291534</v>
      </c>
      <c r="BS242" s="1545"/>
      <c r="BU242" s="1545"/>
      <c r="BV242" s="1545"/>
      <c r="BW242" s="1545"/>
      <c r="BX242" s="1545"/>
      <c r="BY242" s="1545"/>
      <c r="BZ242" s="1545"/>
      <c r="CA242" s="1545"/>
      <c r="CB242" s="1545"/>
      <c r="CC242" s="1545"/>
      <c r="CD242" s="1348" t="s">
        <v>2721</v>
      </c>
      <c r="CE242" s="504">
        <v>165295</v>
      </c>
      <c r="CF242" s="504">
        <v>170337</v>
      </c>
      <c r="CG242" s="504">
        <v>185462</v>
      </c>
      <c r="CH242" s="504">
        <v>199434</v>
      </c>
      <c r="CI242" s="504">
        <v>211534</v>
      </c>
      <c r="CJ242" s="504">
        <v>180295</v>
      </c>
      <c r="CK242" s="504">
        <v>185337</v>
      </c>
      <c r="CL242" s="504">
        <v>200462</v>
      </c>
      <c r="CM242" s="504">
        <v>214434</v>
      </c>
      <c r="CN242" s="1347">
        <v>226534</v>
      </c>
    </row>
    <row r="243" spans="60:92" ht="18" customHeight="1">
      <c r="BH243" s="1348" t="s">
        <v>2722</v>
      </c>
      <c r="BI243" s="483">
        <v>229082</v>
      </c>
      <c r="BJ243" s="483">
        <v>234700</v>
      </c>
      <c r="BK243" s="483">
        <v>251841</v>
      </c>
      <c r="BL243" s="483">
        <v>267543</v>
      </c>
      <c r="BM243" s="483">
        <v>281083</v>
      </c>
      <c r="BN243" s="483">
        <v>254082</v>
      </c>
      <c r="BO243" s="483">
        <v>259700</v>
      </c>
      <c r="BP243" s="483">
        <v>276841</v>
      </c>
      <c r="BQ243" s="483">
        <v>292543</v>
      </c>
      <c r="BR243" s="1344">
        <v>306083</v>
      </c>
      <c r="BS243" s="1545"/>
      <c r="BU243" s="1545"/>
      <c r="BV243" s="1545"/>
      <c r="BW243" s="1545"/>
      <c r="BX243" s="1545"/>
      <c r="BY243" s="1545"/>
      <c r="BZ243" s="1545"/>
      <c r="CA243" s="1545"/>
      <c r="CB243" s="1545"/>
      <c r="CC243" s="1545"/>
      <c r="CD243" s="1348" t="s">
        <v>2722</v>
      </c>
      <c r="CE243" s="504">
        <v>174082</v>
      </c>
      <c r="CF243" s="504">
        <v>179700</v>
      </c>
      <c r="CG243" s="504">
        <v>196841</v>
      </c>
      <c r="CH243" s="504">
        <v>212543</v>
      </c>
      <c r="CI243" s="504">
        <v>226083</v>
      </c>
      <c r="CJ243" s="504">
        <v>189082</v>
      </c>
      <c r="CK243" s="504">
        <v>194700</v>
      </c>
      <c r="CL243" s="504">
        <v>211841</v>
      </c>
      <c r="CM243" s="504">
        <v>227543</v>
      </c>
      <c r="CN243" s="1347">
        <v>241083</v>
      </c>
    </row>
    <row r="244" spans="60:92" ht="18" customHeight="1">
      <c r="BH244" s="1343" t="s">
        <v>2723</v>
      </c>
      <c r="BI244" s="483">
        <v>150000</v>
      </c>
      <c r="BJ244" s="483">
        <v>150000</v>
      </c>
      <c r="BK244" s="483">
        <v>150000</v>
      </c>
      <c r="BL244" s="483">
        <v>150000</v>
      </c>
      <c r="BM244" s="483">
        <v>150000</v>
      </c>
      <c r="BN244" s="483">
        <v>175000</v>
      </c>
      <c r="BO244" s="483">
        <v>175000</v>
      </c>
      <c r="BP244" s="483">
        <v>175000</v>
      </c>
      <c r="BQ244" s="483">
        <v>175000</v>
      </c>
      <c r="BR244" s="1344">
        <v>175000</v>
      </c>
      <c r="BS244" s="1545"/>
      <c r="BU244" s="1545"/>
      <c r="BV244" s="1545"/>
      <c r="BW244" s="1545"/>
      <c r="BX244" s="1545"/>
      <c r="BY244" s="1545"/>
      <c r="BZ244" s="1545"/>
      <c r="CA244" s="1545"/>
      <c r="CB244" s="1545"/>
      <c r="CC244" s="1545"/>
      <c r="CD244" s="1343" t="s">
        <v>2723</v>
      </c>
      <c r="CE244" s="504">
        <v>95000</v>
      </c>
      <c r="CF244" s="504">
        <v>95000</v>
      </c>
      <c r="CG244" s="504">
        <v>95000</v>
      </c>
      <c r="CH244" s="504">
        <v>95000</v>
      </c>
      <c r="CI244" s="504">
        <v>95000</v>
      </c>
      <c r="CJ244" s="504">
        <v>110000</v>
      </c>
      <c r="CK244" s="504">
        <v>110000</v>
      </c>
      <c r="CL244" s="504">
        <v>110000</v>
      </c>
      <c r="CM244" s="504">
        <v>110000</v>
      </c>
      <c r="CN244" s="1347">
        <v>110000</v>
      </c>
    </row>
    <row r="245" spans="60:92" ht="18" customHeight="1">
      <c r="BH245" s="1348" t="s">
        <v>2724</v>
      </c>
      <c r="BI245" s="483">
        <v>158787</v>
      </c>
      <c r="BJ245" s="483">
        <v>159363</v>
      </c>
      <c r="BK245" s="483">
        <v>161380</v>
      </c>
      <c r="BL245" s="483">
        <v>163108</v>
      </c>
      <c r="BM245" s="483">
        <v>164549</v>
      </c>
      <c r="BN245" s="483">
        <v>183787</v>
      </c>
      <c r="BO245" s="483">
        <v>184363</v>
      </c>
      <c r="BP245" s="483">
        <v>186380</v>
      </c>
      <c r="BQ245" s="483">
        <v>188108</v>
      </c>
      <c r="BR245" s="1344">
        <v>189549</v>
      </c>
      <c r="BS245" s="1545"/>
      <c r="BU245" s="1545"/>
      <c r="BV245" s="1545"/>
      <c r="BW245" s="1545"/>
      <c r="BX245" s="1545"/>
      <c r="BY245" s="1545"/>
      <c r="BZ245" s="1545"/>
      <c r="CA245" s="1545"/>
      <c r="CB245" s="1545"/>
      <c r="CC245" s="1545"/>
      <c r="CD245" s="1348" t="s">
        <v>2724</v>
      </c>
      <c r="CE245" s="504">
        <v>103787</v>
      </c>
      <c r="CF245" s="504">
        <v>104363</v>
      </c>
      <c r="CG245" s="504">
        <v>106380</v>
      </c>
      <c r="CH245" s="504">
        <v>108108</v>
      </c>
      <c r="CI245" s="504">
        <v>109549</v>
      </c>
      <c r="CJ245" s="504">
        <v>118787</v>
      </c>
      <c r="CK245" s="504">
        <v>119363</v>
      </c>
      <c r="CL245" s="504">
        <v>121380</v>
      </c>
      <c r="CM245" s="504">
        <v>123108</v>
      </c>
      <c r="CN245" s="1347">
        <v>124549</v>
      </c>
    </row>
    <row r="246" spans="60:92" ht="18" customHeight="1">
      <c r="BH246" s="1348" t="s">
        <v>2725</v>
      </c>
      <c r="BI246" s="483">
        <v>167574</v>
      </c>
      <c r="BJ246" s="483">
        <v>168870</v>
      </c>
      <c r="BK246" s="483">
        <v>172615</v>
      </c>
      <c r="BL246" s="483">
        <v>176073</v>
      </c>
      <c r="BM246" s="483">
        <v>179098</v>
      </c>
      <c r="BN246" s="483">
        <v>192574</v>
      </c>
      <c r="BO246" s="483">
        <v>193870</v>
      </c>
      <c r="BP246" s="483">
        <v>197615</v>
      </c>
      <c r="BQ246" s="483">
        <v>201073</v>
      </c>
      <c r="BR246" s="1344">
        <v>204098</v>
      </c>
      <c r="BS246" s="1545"/>
      <c r="BU246" s="1545"/>
      <c r="BV246" s="1545"/>
      <c r="BW246" s="1545"/>
      <c r="BX246" s="1545"/>
      <c r="BY246" s="1545"/>
      <c r="BZ246" s="1545"/>
      <c r="CA246" s="1545"/>
      <c r="CB246" s="1545"/>
      <c r="CC246" s="1545"/>
      <c r="CD246" s="1348" t="s">
        <v>2725</v>
      </c>
      <c r="CE246" s="504">
        <v>112574</v>
      </c>
      <c r="CF246" s="504">
        <v>113870</v>
      </c>
      <c r="CG246" s="504">
        <v>117615</v>
      </c>
      <c r="CH246" s="504">
        <v>121073</v>
      </c>
      <c r="CI246" s="504">
        <v>124098</v>
      </c>
      <c r="CJ246" s="504">
        <v>127574</v>
      </c>
      <c r="CK246" s="504">
        <v>128870</v>
      </c>
      <c r="CL246" s="504">
        <v>132615</v>
      </c>
      <c r="CM246" s="504">
        <v>136073</v>
      </c>
      <c r="CN246" s="1347">
        <v>139098</v>
      </c>
    </row>
    <row r="247" spans="60:92" ht="18" customHeight="1">
      <c r="BH247" s="1348" t="s">
        <v>2726</v>
      </c>
      <c r="BI247" s="483">
        <v>176361</v>
      </c>
      <c r="BJ247" s="483">
        <v>178233</v>
      </c>
      <c r="BK247" s="483">
        <v>183995</v>
      </c>
      <c r="BL247" s="483">
        <v>189181</v>
      </c>
      <c r="BM247" s="483">
        <v>193646</v>
      </c>
      <c r="BN247" s="483">
        <v>201361</v>
      </c>
      <c r="BO247" s="483">
        <v>203233</v>
      </c>
      <c r="BP247" s="483">
        <v>208995</v>
      </c>
      <c r="BQ247" s="483">
        <v>214181</v>
      </c>
      <c r="BR247" s="1344">
        <v>218646</v>
      </c>
      <c r="BS247" s="1545"/>
      <c r="BU247" s="1545"/>
      <c r="BV247" s="1545"/>
      <c r="BW247" s="1545"/>
      <c r="BX247" s="1545"/>
      <c r="BY247" s="1545"/>
      <c r="BZ247" s="1545"/>
      <c r="CA247" s="1545"/>
      <c r="CB247" s="1545"/>
      <c r="CC247" s="1545"/>
      <c r="CD247" s="1348" t="s">
        <v>2726</v>
      </c>
      <c r="CE247" s="504">
        <v>121361</v>
      </c>
      <c r="CF247" s="504">
        <v>123233</v>
      </c>
      <c r="CG247" s="504">
        <v>128995</v>
      </c>
      <c r="CH247" s="504">
        <v>134181</v>
      </c>
      <c r="CI247" s="504">
        <v>138646</v>
      </c>
      <c r="CJ247" s="504">
        <v>136361</v>
      </c>
      <c r="CK247" s="504">
        <v>138233</v>
      </c>
      <c r="CL247" s="504">
        <v>143995</v>
      </c>
      <c r="CM247" s="504">
        <v>149181</v>
      </c>
      <c r="CN247" s="1347">
        <v>153646</v>
      </c>
    </row>
    <row r="248" spans="60:92" ht="18" customHeight="1">
      <c r="BH248" s="1348" t="s">
        <v>2727</v>
      </c>
      <c r="BI248" s="483">
        <v>185148</v>
      </c>
      <c r="BJ248" s="483">
        <v>187596</v>
      </c>
      <c r="BK248" s="483">
        <v>195231</v>
      </c>
      <c r="BL248" s="483">
        <v>202145</v>
      </c>
      <c r="BM248" s="483">
        <v>208195</v>
      </c>
      <c r="BN248" s="483">
        <v>210148</v>
      </c>
      <c r="BO248" s="483">
        <v>212596</v>
      </c>
      <c r="BP248" s="483">
        <v>220231</v>
      </c>
      <c r="BQ248" s="483">
        <v>227145</v>
      </c>
      <c r="BR248" s="1344">
        <v>233195</v>
      </c>
      <c r="BS248" s="1545"/>
      <c r="BU248" s="1545"/>
      <c r="BV248" s="1545"/>
      <c r="BW248" s="1545"/>
      <c r="BX248" s="1545"/>
      <c r="BY248" s="1545"/>
      <c r="BZ248" s="1545"/>
      <c r="CA248" s="1545"/>
      <c r="CB248" s="1545"/>
      <c r="CC248" s="1545"/>
      <c r="CD248" s="1348" t="s">
        <v>2727</v>
      </c>
      <c r="CE248" s="504">
        <v>130148</v>
      </c>
      <c r="CF248" s="504">
        <v>132596</v>
      </c>
      <c r="CG248" s="504">
        <v>140231</v>
      </c>
      <c r="CH248" s="504">
        <v>147145</v>
      </c>
      <c r="CI248" s="504">
        <v>153195</v>
      </c>
      <c r="CJ248" s="504">
        <v>145148</v>
      </c>
      <c r="CK248" s="504">
        <v>147596</v>
      </c>
      <c r="CL248" s="504">
        <v>155231</v>
      </c>
      <c r="CM248" s="504">
        <v>162145</v>
      </c>
      <c r="CN248" s="1347">
        <v>168195</v>
      </c>
    </row>
    <row r="249" spans="60:92" ht="18" customHeight="1">
      <c r="BH249" s="1348" t="s">
        <v>2728</v>
      </c>
      <c r="BI249" s="483">
        <v>193934</v>
      </c>
      <c r="BJ249" s="483">
        <v>197103</v>
      </c>
      <c r="BK249" s="483">
        <v>206611</v>
      </c>
      <c r="BL249" s="483">
        <v>215253</v>
      </c>
      <c r="BM249" s="483">
        <v>222888</v>
      </c>
      <c r="BN249" s="483">
        <v>218934</v>
      </c>
      <c r="BO249" s="483">
        <v>222103</v>
      </c>
      <c r="BP249" s="483">
        <v>231611</v>
      </c>
      <c r="BQ249" s="483">
        <v>240253</v>
      </c>
      <c r="BR249" s="1344">
        <v>247888</v>
      </c>
      <c r="BS249" s="1545"/>
      <c r="BU249" s="1545"/>
      <c r="BV249" s="1545"/>
      <c r="BW249" s="1545"/>
      <c r="BX249" s="1545"/>
      <c r="BY249" s="1545"/>
      <c r="BZ249" s="1545"/>
      <c r="CA249" s="1545"/>
      <c r="CB249" s="1545"/>
      <c r="CC249" s="1545"/>
      <c r="CD249" s="1348" t="s">
        <v>2728</v>
      </c>
      <c r="CE249" s="504">
        <v>138934</v>
      </c>
      <c r="CF249" s="504">
        <v>142103</v>
      </c>
      <c r="CG249" s="504">
        <v>151611</v>
      </c>
      <c r="CH249" s="504">
        <v>160253</v>
      </c>
      <c r="CI249" s="504">
        <v>167888</v>
      </c>
      <c r="CJ249" s="504">
        <v>153934</v>
      </c>
      <c r="CK249" s="504">
        <v>157103</v>
      </c>
      <c r="CL249" s="504">
        <v>166611</v>
      </c>
      <c r="CM249" s="504">
        <v>175253</v>
      </c>
      <c r="CN249" s="1347">
        <v>182888</v>
      </c>
    </row>
    <row r="250" spans="60:92" ht="18" customHeight="1">
      <c r="BH250" s="1348" t="s">
        <v>2729</v>
      </c>
      <c r="BI250" s="483">
        <v>202721</v>
      </c>
      <c r="BJ250" s="483">
        <v>206467</v>
      </c>
      <c r="BK250" s="483">
        <v>217846</v>
      </c>
      <c r="BL250" s="483">
        <v>228362</v>
      </c>
      <c r="BM250" s="483">
        <v>237437</v>
      </c>
      <c r="BN250" s="483">
        <v>227721</v>
      </c>
      <c r="BO250" s="483">
        <v>231467</v>
      </c>
      <c r="BP250" s="483">
        <v>242846</v>
      </c>
      <c r="BQ250" s="483">
        <v>253362</v>
      </c>
      <c r="BR250" s="1344">
        <v>262437</v>
      </c>
      <c r="BS250" s="1545"/>
      <c r="BU250" s="1545"/>
      <c r="BV250" s="1545"/>
      <c r="BW250" s="1545"/>
      <c r="BX250" s="1545"/>
      <c r="BY250" s="1545"/>
      <c r="BZ250" s="1545"/>
      <c r="CA250" s="1545"/>
      <c r="CB250" s="1545"/>
      <c r="CC250" s="1545"/>
      <c r="CD250" s="1348" t="s">
        <v>2729</v>
      </c>
      <c r="CE250" s="504">
        <v>147721</v>
      </c>
      <c r="CF250" s="504">
        <v>151467</v>
      </c>
      <c r="CG250" s="504">
        <v>162846</v>
      </c>
      <c r="CH250" s="504">
        <v>173362</v>
      </c>
      <c r="CI250" s="504">
        <v>182437</v>
      </c>
      <c r="CJ250" s="504">
        <v>162721</v>
      </c>
      <c r="CK250" s="504">
        <v>166467</v>
      </c>
      <c r="CL250" s="504">
        <v>177846</v>
      </c>
      <c r="CM250" s="504">
        <v>188362</v>
      </c>
      <c r="CN250" s="1347">
        <v>197437</v>
      </c>
    </row>
    <row r="251" spans="60:92" ht="18" customHeight="1">
      <c r="BH251" s="1348" t="s">
        <v>2730</v>
      </c>
      <c r="BI251" s="483">
        <v>211508</v>
      </c>
      <c r="BJ251" s="483">
        <v>215974</v>
      </c>
      <c r="BK251" s="483">
        <v>229226</v>
      </c>
      <c r="BL251" s="483">
        <v>241326</v>
      </c>
      <c r="BM251" s="483">
        <v>251985</v>
      </c>
      <c r="BN251" s="483">
        <v>236508</v>
      </c>
      <c r="BO251" s="483">
        <v>240974</v>
      </c>
      <c r="BP251" s="483">
        <v>254226</v>
      </c>
      <c r="BQ251" s="483">
        <v>266326</v>
      </c>
      <c r="BR251" s="1344">
        <v>276985</v>
      </c>
      <c r="BS251" s="1545"/>
      <c r="BU251" s="1545"/>
      <c r="BV251" s="1545"/>
      <c r="BW251" s="1545"/>
      <c r="BX251" s="1545"/>
      <c r="BY251" s="1545"/>
      <c r="BZ251" s="1545"/>
      <c r="CA251" s="1545"/>
      <c r="CB251" s="1545"/>
      <c r="CC251" s="1545"/>
      <c r="CD251" s="1348" t="s">
        <v>2730</v>
      </c>
      <c r="CE251" s="504">
        <v>156508</v>
      </c>
      <c r="CF251" s="504">
        <v>160974</v>
      </c>
      <c r="CG251" s="504">
        <v>174226</v>
      </c>
      <c r="CH251" s="504">
        <v>186326</v>
      </c>
      <c r="CI251" s="504">
        <v>196985</v>
      </c>
      <c r="CJ251" s="504">
        <v>171508</v>
      </c>
      <c r="CK251" s="504">
        <v>175974</v>
      </c>
      <c r="CL251" s="504">
        <v>189226</v>
      </c>
      <c r="CM251" s="504">
        <v>201326</v>
      </c>
      <c r="CN251" s="1347">
        <v>211985</v>
      </c>
    </row>
    <row r="252" spans="60:92" ht="18" customHeight="1">
      <c r="BH252" s="1348" t="s">
        <v>2731</v>
      </c>
      <c r="BI252" s="483">
        <v>220295</v>
      </c>
      <c r="BJ252" s="483">
        <v>225337</v>
      </c>
      <c r="BK252" s="483">
        <v>240462</v>
      </c>
      <c r="BL252" s="483">
        <v>254434</v>
      </c>
      <c r="BM252" s="483">
        <v>266534</v>
      </c>
      <c r="BN252" s="483">
        <v>245295</v>
      </c>
      <c r="BO252" s="483">
        <v>250337</v>
      </c>
      <c r="BP252" s="483">
        <v>265462</v>
      </c>
      <c r="BQ252" s="483">
        <v>279434</v>
      </c>
      <c r="BR252" s="1344">
        <v>291534</v>
      </c>
      <c r="BS252" s="1545"/>
      <c r="BU252" s="1545"/>
      <c r="BV252" s="1545"/>
      <c r="BW252" s="1545"/>
      <c r="BX252" s="1545"/>
      <c r="BY252" s="1545"/>
      <c r="BZ252" s="1545"/>
      <c r="CA252" s="1545"/>
      <c r="CB252" s="1545"/>
      <c r="CC252" s="1545"/>
      <c r="CD252" s="1348" t="s">
        <v>2731</v>
      </c>
      <c r="CE252" s="504">
        <v>165295</v>
      </c>
      <c r="CF252" s="504">
        <v>170337</v>
      </c>
      <c r="CG252" s="504">
        <v>185462</v>
      </c>
      <c r="CH252" s="504">
        <v>199434</v>
      </c>
      <c r="CI252" s="504">
        <v>211534</v>
      </c>
      <c r="CJ252" s="504">
        <v>180295</v>
      </c>
      <c r="CK252" s="504">
        <v>185337</v>
      </c>
      <c r="CL252" s="504">
        <v>200462</v>
      </c>
      <c r="CM252" s="504">
        <v>214434</v>
      </c>
      <c r="CN252" s="1347">
        <v>226534</v>
      </c>
    </row>
    <row r="253" spans="60:92" ht="18" customHeight="1">
      <c r="BH253" s="1348" t="s">
        <v>2732</v>
      </c>
      <c r="BI253" s="483">
        <v>229082</v>
      </c>
      <c r="BJ253" s="483">
        <v>234700</v>
      </c>
      <c r="BK253" s="483">
        <v>251841</v>
      </c>
      <c r="BL253" s="483">
        <v>267543</v>
      </c>
      <c r="BM253" s="483">
        <v>281083</v>
      </c>
      <c r="BN253" s="483">
        <v>254082</v>
      </c>
      <c r="BO253" s="483">
        <v>259700</v>
      </c>
      <c r="BP253" s="483">
        <v>276841</v>
      </c>
      <c r="BQ253" s="483">
        <v>292543</v>
      </c>
      <c r="BR253" s="1344">
        <v>306083</v>
      </c>
      <c r="BS253" s="1545"/>
      <c r="BU253" s="1545"/>
      <c r="BV253" s="1545"/>
      <c r="BW253" s="1545"/>
      <c r="BX253" s="1545"/>
      <c r="BY253" s="1545"/>
      <c r="BZ253" s="1545"/>
      <c r="CA253" s="1545"/>
      <c r="CB253" s="1545"/>
      <c r="CC253" s="1545"/>
      <c r="CD253" s="1348" t="s">
        <v>2732</v>
      </c>
      <c r="CE253" s="504">
        <v>174082</v>
      </c>
      <c r="CF253" s="504">
        <v>179700</v>
      </c>
      <c r="CG253" s="504">
        <v>196841</v>
      </c>
      <c r="CH253" s="504">
        <v>212543</v>
      </c>
      <c r="CI253" s="504">
        <v>226083</v>
      </c>
      <c r="CJ253" s="504">
        <v>189082</v>
      </c>
      <c r="CK253" s="504">
        <v>194700</v>
      </c>
      <c r="CL253" s="504">
        <v>211841</v>
      </c>
      <c r="CM253" s="504">
        <v>227543</v>
      </c>
      <c r="CN253" s="1347">
        <v>241083</v>
      </c>
    </row>
    <row r="254" spans="60:92" ht="18" customHeight="1">
      <c r="BH254" s="1343" t="s">
        <v>2733</v>
      </c>
      <c r="BI254" s="483">
        <v>150000</v>
      </c>
      <c r="BJ254" s="483">
        <v>150000</v>
      </c>
      <c r="BK254" s="483">
        <v>150000</v>
      </c>
      <c r="BL254" s="483">
        <v>150000</v>
      </c>
      <c r="BM254" s="483">
        <v>150000</v>
      </c>
      <c r="BN254" s="483">
        <v>175000</v>
      </c>
      <c r="BO254" s="483">
        <v>175000</v>
      </c>
      <c r="BP254" s="483">
        <v>175000</v>
      </c>
      <c r="BQ254" s="483">
        <v>175000</v>
      </c>
      <c r="BR254" s="1344">
        <v>175000</v>
      </c>
      <c r="BS254" s="1545"/>
      <c r="BU254" s="1545"/>
      <c r="BV254" s="1545"/>
      <c r="BW254" s="1545"/>
      <c r="BX254" s="1545"/>
      <c r="BY254" s="1545"/>
      <c r="BZ254" s="1545"/>
      <c r="CA254" s="1545"/>
      <c r="CB254" s="1545"/>
      <c r="CC254" s="1545"/>
      <c r="CD254" s="1343" t="s">
        <v>2733</v>
      </c>
      <c r="CE254" s="504">
        <v>95000</v>
      </c>
      <c r="CF254" s="504">
        <v>95000</v>
      </c>
      <c r="CG254" s="504">
        <v>95000</v>
      </c>
      <c r="CH254" s="504">
        <v>95000</v>
      </c>
      <c r="CI254" s="504">
        <v>95000</v>
      </c>
      <c r="CJ254" s="504">
        <v>110000</v>
      </c>
      <c r="CK254" s="504">
        <v>110000</v>
      </c>
      <c r="CL254" s="504">
        <v>110000</v>
      </c>
      <c r="CM254" s="504">
        <v>110000</v>
      </c>
      <c r="CN254" s="1347">
        <v>110000</v>
      </c>
    </row>
    <row r="255" spans="60:92" ht="18" customHeight="1">
      <c r="BH255" s="1348" t="s">
        <v>2734</v>
      </c>
      <c r="BI255" s="483">
        <v>159939</v>
      </c>
      <c r="BJ255" s="483">
        <v>160660</v>
      </c>
      <c r="BK255" s="483">
        <v>162820</v>
      </c>
      <c r="BL255" s="483">
        <v>164837</v>
      </c>
      <c r="BM255" s="483">
        <v>166565</v>
      </c>
      <c r="BN255" s="483">
        <v>184939</v>
      </c>
      <c r="BO255" s="483">
        <v>185660</v>
      </c>
      <c r="BP255" s="483">
        <v>187820</v>
      </c>
      <c r="BQ255" s="483">
        <v>189837</v>
      </c>
      <c r="BR255" s="1344">
        <v>191565</v>
      </c>
      <c r="BS255" s="1545"/>
      <c r="BU255" s="1545"/>
      <c r="BV255" s="1545"/>
      <c r="BW255" s="1545"/>
      <c r="BX255" s="1545"/>
      <c r="BY255" s="1545"/>
      <c r="BZ255" s="1545"/>
      <c r="CA255" s="1545"/>
      <c r="CB255" s="1545"/>
      <c r="CC255" s="1545"/>
      <c r="CD255" s="1348" t="s">
        <v>2734</v>
      </c>
      <c r="CE255" s="504">
        <v>104939</v>
      </c>
      <c r="CF255" s="504">
        <v>105660</v>
      </c>
      <c r="CG255" s="504">
        <v>107820</v>
      </c>
      <c r="CH255" s="504">
        <v>109837</v>
      </c>
      <c r="CI255" s="504">
        <v>111565</v>
      </c>
      <c r="CJ255" s="504">
        <v>119939</v>
      </c>
      <c r="CK255" s="504">
        <v>120660</v>
      </c>
      <c r="CL255" s="504">
        <v>122820</v>
      </c>
      <c r="CM255" s="504">
        <v>124837</v>
      </c>
      <c r="CN255" s="1347">
        <v>126565</v>
      </c>
    </row>
    <row r="256" spans="60:92" ht="18" customHeight="1">
      <c r="BH256" s="1348" t="s">
        <v>2735</v>
      </c>
      <c r="BI256" s="483">
        <v>169879</v>
      </c>
      <c r="BJ256" s="483">
        <v>171319</v>
      </c>
      <c r="BK256" s="483">
        <v>175640</v>
      </c>
      <c r="BL256" s="483">
        <v>179530</v>
      </c>
      <c r="BM256" s="483">
        <v>182987</v>
      </c>
      <c r="BN256" s="483">
        <v>194879</v>
      </c>
      <c r="BO256" s="483">
        <v>196319</v>
      </c>
      <c r="BP256" s="483">
        <v>200640</v>
      </c>
      <c r="BQ256" s="483">
        <v>204530</v>
      </c>
      <c r="BR256" s="1344">
        <v>207987</v>
      </c>
      <c r="BS256" s="1545"/>
      <c r="BU256" s="1545"/>
      <c r="BV256" s="1545"/>
      <c r="BW256" s="1545"/>
      <c r="BX256" s="1545"/>
      <c r="BY256" s="1545"/>
      <c r="BZ256" s="1545"/>
      <c r="CA256" s="1545"/>
      <c r="CB256" s="1545"/>
      <c r="CC256" s="1545"/>
      <c r="CD256" s="1348" t="s">
        <v>2735</v>
      </c>
      <c r="CE256" s="504">
        <v>114879</v>
      </c>
      <c r="CF256" s="504">
        <v>116319</v>
      </c>
      <c r="CG256" s="504">
        <v>120640</v>
      </c>
      <c r="CH256" s="504">
        <v>124530</v>
      </c>
      <c r="CI256" s="504">
        <v>127987</v>
      </c>
      <c r="CJ256" s="504">
        <v>129879</v>
      </c>
      <c r="CK256" s="504">
        <v>131319</v>
      </c>
      <c r="CL256" s="504">
        <v>135640</v>
      </c>
      <c r="CM256" s="504">
        <v>139530</v>
      </c>
      <c r="CN256" s="1347">
        <v>142987</v>
      </c>
    </row>
    <row r="257" spans="60:92" ht="18" customHeight="1">
      <c r="BH257" s="1348" t="s">
        <v>2736</v>
      </c>
      <c r="BI257" s="483">
        <v>179818</v>
      </c>
      <c r="BJ257" s="483">
        <v>181979</v>
      </c>
      <c r="BK257" s="483">
        <v>188461</v>
      </c>
      <c r="BL257" s="483">
        <v>194367</v>
      </c>
      <c r="BM257" s="483">
        <v>199552</v>
      </c>
      <c r="BN257" s="483">
        <v>204818</v>
      </c>
      <c r="BO257" s="483">
        <v>206979</v>
      </c>
      <c r="BP257" s="483">
        <v>213461</v>
      </c>
      <c r="BQ257" s="483">
        <v>219367</v>
      </c>
      <c r="BR257" s="1344">
        <v>224552</v>
      </c>
      <c r="BS257" s="1545"/>
      <c r="BU257" s="1545"/>
      <c r="BV257" s="1545"/>
      <c r="BW257" s="1545"/>
      <c r="BX257" s="1545"/>
      <c r="BY257" s="1545"/>
      <c r="BZ257" s="1545"/>
      <c r="CA257" s="1545"/>
      <c r="CB257" s="1545"/>
      <c r="CC257" s="1545"/>
      <c r="CD257" s="1348" t="s">
        <v>2736</v>
      </c>
      <c r="CE257" s="504">
        <v>124818</v>
      </c>
      <c r="CF257" s="504">
        <v>126979</v>
      </c>
      <c r="CG257" s="504">
        <v>133461</v>
      </c>
      <c r="CH257" s="504">
        <v>139367</v>
      </c>
      <c r="CI257" s="504">
        <v>144552</v>
      </c>
      <c r="CJ257" s="504">
        <v>139818</v>
      </c>
      <c r="CK257" s="504">
        <v>141979</v>
      </c>
      <c r="CL257" s="504">
        <v>148461</v>
      </c>
      <c r="CM257" s="504">
        <v>154367</v>
      </c>
      <c r="CN257" s="1347">
        <v>159552</v>
      </c>
    </row>
    <row r="258" spans="60:92" ht="18" customHeight="1">
      <c r="BH258" s="1348" t="s">
        <v>2737</v>
      </c>
      <c r="BI258" s="483">
        <v>189757</v>
      </c>
      <c r="BJ258" s="483">
        <v>192638</v>
      </c>
      <c r="BK258" s="483">
        <v>201137</v>
      </c>
      <c r="BL258" s="483">
        <v>209059</v>
      </c>
      <c r="BM258" s="483">
        <v>215974</v>
      </c>
      <c r="BN258" s="483">
        <v>214757</v>
      </c>
      <c r="BO258" s="483">
        <v>217638</v>
      </c>
      <c r="BP258" s="483">
        <v>226137</v>
      </c>
      <c r="BQ258" s="483">
        <v>234059</v>
      </c>
      <c r="BR258" s="1344">
        <v>240974</v>
      </c>
      <c r="BS258" s="1545"/>
      <c r="BU258" s="1545"/>
      <c r="BV258" s="1545"/>
      <c r="BW258" s="1545"/>
      <c r="BX258" s="1545"/>
      <c r="BY258" s="1545"/>
      <c r="BZ258" s="1545"/>
      <c r="CA258" s="1545"/>
      <c r="CB258" s="1545"/>
      <c r="CC258" s="1545"/>
      <c r="CD258" s="1348" t="s">
        <v>2737</v>
      </c>
      <c r="CE258" s="504">
        <v>134757</v>
      </c>
      <c r="CF258" s="504">
        <v>137638</v>
      </c>
      <c r="CG258" s="504">
        <v>146137</v>
      </c>
      <c r="CH258" s="504">
        <v>154059</v>
      </c>
      <c r="CI258" s="504">
        <v>160974</v>
      </c>
      <c r="CJ258" s="504">
        <v>149757</v>
      </c>
      <c r="CK258" s="504">
        <v>152638</v>
      </c>
      <c r="CL258" s="504">
        <v>161137</v>
      </c>
      <c r="CM258" s="504">
        <v>169059</v>
      </c>
      <c r="CN258" s="1347">
        <v>175974</v>
      </c>
    </row>
    <row r="259" spans="60:92" ht="18" customHeight="1">
      <c r="BH259" s="1348" t="s">
        <v>2738</v>
      </c>
      <c r="BI259" s="483">
        <v>199840</v>
      </c>
      <c r="BJ259" s="483">
        <v>203298</v>
      </c>
      <c r="BK259" s="483">
        <v>213957</v>
      </c>
      <c r="BL259" s="483">
        <v>223896</v>
      </c>
      <c r="BM259" s="483">
        <v>232539</v>
      </c>
      <c r="BN259" s="483">
        <v>224840</v>
      </c>
      <c r="BO259" s="483">
        <v>228298</v>
      </c>
      <c r="BP259" s="483">
        <v>238957</v>
      </c>
      <c r="BQ259" s="483">
        <v>248896</v>
      </c>
      <c r="BR259" s="1344">
        <v>257539</v>
      </c>
      <c r="BS259" s="1545"/>
      <c r="BU259" s="1545"/>
      <c r="BV259" s="1545"/>
      <c r="BW259" s="1545"/>
      <c r="BX259" s="1545"/>
      <c r="BY259" s="1545"/>
      <c r="BZ259" s="1545"/>
      <c r="CA259" s="1545"/>
      <c r="CB259" s="1545"/>
      <c r="CC259" s="1545"/>
      <c r="CD259" s="1348" t="s">
        <v>2738</v>
      </c>
      <c r="CE259" s="504">
        <v>144840</v>
      </c>
      <c r="CF259" s="504">
        <v>148298</v>
      </c>
      <c r="CG259" s="504">
        <v>158957</v>
      </c>
      <c r="CH259" s="504">
        <v>168896</v>
      </c>
      <c r="CI259" s="504">
        <v>177539</v>
      </c>
      <c r="CJ259" s="504">
        <v>159840</v>
      </c>
      <c r="CK259" s="504">
        <v>163298</v>
      </c>
      <c r="CL259" s="504">
        <v>173957</v>
      </c>
      <c r="CM259" s="504">
        <v>183896</v>
      </c>
      <c r="CN259" s="1347">
        <v>192539</v>
      </c>
    </row>
    <row r="260" spans="60:92" ht="18" customHeight="1">
      <c r="BH260" s="1348" t="s">
        <v>2739</v>
      </c>
      <c r="BI260" s="483">
        <v>209780</v>
      </c>
      <c r="BJ260" s="483">
        <v>213957</v>
      </c>
      <c r="BK260" s="483">
        <v>226777</v>
      </c>
      <c r="BL260" s="483">
        <v>238733</v>
      </c>
      <c r="BM260" s="483">
        <v>248960</v>
      </c>
      <c r="BN260" s="483">
        <v>234780</v>
      </c>
      <c r="BO260" s="483">
        <v>238957</v>
      </c>
      <c r="BP260" s="483">
        <v>251777</v>
      </c>
      <c r="BQ260" s="483">
        <v>263733</v>
      </c>
      <c r="BR260" s="1344">
        <v>273960</v>
      </c>
      <c r="BS260" s="1545"/>
      <c r="BU260" s="1545"/>
      <c r="BV260" s="1545"/>
      <c r="BW260" s="1545"/>
      <c r="BX260" s="1545"/>
      <c r="BY260" s="1545"/>
      <c r="BZ260" s="1545"/>
      <c r="CA260" s="1545"/>
      <c r="CB260" s="1545"/>
      <c r="CC260" s="1545"/>
      <c r="CD260" s="1348" t="s">
        <v>2739</v>
      </c>
      <c r="CE260" s="504">
        <v>154780</v>
      </c>
      <c r="CF260" s="504">
        <v>158957</v>
      </c>
      <c r="CG260" s="504">
        <v>171777</v>
      </c>
      <c r="CH260" s="504">
        <v>183733</v>
      </c>
      <c r="CI260" s="504">
        <v>193960</v>
      </c>
      <c r="CJ260" s="504">
        <v>169780</v>
      </c>
      <c r="CK260" s="504">
        <v>173957</v>
      </c>
      <c r="CL260" s="504">
        <v>186777</v>
      </c>
      <c r="CM260" s="504">
        <v>198733</v>
      </c>
      <c r="CN260" s="1347">
        <v>208960</v>
      </c>
    </row>
    <row r="261" spans="60:92" ht="18" customHeight="1">
      <c r="BH261" s="1348" t="s">
        <v>2740</v>
      </c>
      <c r="BI261" s="483">
        <v>219719</v>
      </c>
      <c r="BJ261" s="483">
        <v>224617</v>
      </c>
      <c r="BK261" s="483">
        <v>239597</v>
      </c>
      <c r="BL261" s="483">
        <v>253426</v>
      </c>
      <c r="BM261" s="483">
        <v>265526</v>
      </c>
      <c r="BN261" s="483">
        <v>244719</v>
      </c>
      <c r="BO261" s="483">
        <v>249617</v>
      </c>
      <c r="BP261" s="483">
        <v>264597</v>
      </c>
      <c r="BQ261" s="483">
        <v>278426</v>
      </c>
      <c r="BR261" s="1344">
        <v>290526</v>
      </c>
      <c r="BS261" s="1545"/>
      <c r="BU261" s="1545"/>
      <c r="BV261" s="1545"/>
      <c r="BW261" s="1545"/>
      <c r="BX261" s="1545"/>
      <c r="BY261" s="1545"/>
      <c r="BZ261" s="1545"/>
      <c r="CA261" s="1545"/>
      <c r="CB261" s="1545"/>
      <c r="CC261" s="1545"/>
      <c r="CD261" s="1348" t="s">
        <v>2740</v>
      </c>
      <c r="CE261" s="504">
        <v>164719</v>
      </c>
      <c r="CF261" s="504">
        <v>169617</v>
      </c>
      <c r="CG261" s="504">
        <v>184597</v>
      </c>
      <c r="CH261" s="504">
        <v>198426</v>
      </c>
      <c r="CI261" s="504">
        <v>210526</v>
      </c>
      <c r="CJ261" s="504">
        <v>179719</v>
      </c>
      <c r="CK261" s="504">
        <v>184617</v>
      </c>
      <c r="CL261" s="504">
        <v>199597</v>
      </c>
      <c r="CM261" s="504">
        <v>213426</v>
      </c>
      <c r="CN261" s="1347">
        <v>225526</v>
      </c>
    </row>
    <row r="262" spans="60:92" ht="18" customHeight="1">
      <c r="BH262" s="1348" t="s">
        <v>2741</v>
      </c>
      <c r="BI262" s="483">
        <v>229658</v>
      </c>
      <c r="BJ262" s="483">
        <v>235276</v>
      </c>
      <c r="BK262" s="483">
        <v>252418</v>
      </c>
      <c r="BL262" s="483">
        <v>268263</v>
      </c>
      <c r="BM262" s="483">
        <v>281947</v>
      </c>
      <c r="BN262" s="483">
        <v>254658</v>
      </c>
      <c r="BO262" s="483">
        <v>260276</v>
      </c>
      <c r="BP262" s="483">
        <v>277418</v>
      </c>
      <c r="BQ262" s="483">
        <v>293263</v>
      </c>
      <c r="BR262" s="1344">
        <v>306947</v>
      </c>
      <c r="BS262" s="1545"/>
      <c r="BU262" s="1545"/>
      <c r="BV262" s="1545"/>
      <c r="BW262" s="1545"/>
      <c r="BX262" s="1545"/>
      <c r="BY262" s="1545"/>
      <c r="BZ262" s="1545"/>
      <c r="CA262" s="1545"/>
      <c r="CB262" s="1545"/>
      <c r="CC262" s="1545"/>
      <c r="CD262" s="1348" t="s">
        <v>2741</v>
      </c>
      <c r="CE262" s="504">
        <v>174658</v>
      </c>
      <c r="CF262" s="504">
        <v>180276</v>
      </c>
      <c r="CG262" s="504">
        <v>197418</v>
      </c>
      <c r="CH262" s="504">
        <v>213263</v>
      </c>
      <c r="CI262" s="504">
        <v>226947</v>
      </c>
      <c r="CJ262" s="504">
        <v>189658</v>
      </c>
      <c r="CK262" s="504">
        <v>195276</v>
      </c>
      <c r="CL262" s="504">
        <v>212418</v>
      </c>
      <c r="CM262" s="504">
        <v>228263</v>
      </c>
      <c r="CN262" s="1347">
        <v>241947</v>
      </c>
    </row>
    <row r="263" spans="60:92" ht="18" customHeight="1">
      <c r="BH263" s="1348" t="s">
        <v>2742</v>
      </c>
      <c r="BI263" s="483">
        <v>239597</v>
      </c>
      <c r="BJ263" s="483">
        <v>245936</v>
      </c>
      <c r="BK263" s="483">
        <v>265238</v>
      </c>
      <c r="BL263" s="483">
        <v>283100</v>
      </c>
      <c r="BM263" s="483">
        <v>298513</v>
      </c>
      <c r="BN263" s="483">
        <v>264597</v>
      </c>
      <c r="BO263" s="483">
        <v>270936</v>
      </c>
      <c r="BP263" s="483">
        <v>290238</v>
      </c>
      <c r="BQ263" s="483">
        <v>308100</v>
      </c>
      <c r="BR263" s="1344">
        <v>323513</v>
      </c>
      <c r="BS263" s="1545"/>
      <c r="BU263" s="1545"/>
      <c r="BV263" s="1545"/>
      <c r="BW263" s="1545"/>
      <c r="BX263" s="1545"/>
      <c r="BY263" s="1545"/>
      <c r="BZ263" s="1545"/>
      <c r="CA263" s="1545"/>
      <c r="CB263" s="1545"/>
      <c r="CC263" s="1545"/>
      <c r="CD263" s="1348" t="s">
        <v>2742</v>
      </c>
      <c r="CE263" s="504">
        <v>184597</v>
      </c>
      <c r="CF263" s="504">
        <v>190936</v>
      </c>
      <c r="CG263" s="504">
        <v>210238</v>
      </c>
      <c r="CH263" s="504">
        <v>228100</v>
      </c>
      <c r="CI263" s="504">
        <v>243513</v>
      </c>
      <c r="CJ263" s="504">
        <v>199597</v>
      </c>
      <c r="CK263" s="504">
        <v>205936</v>
      </c>
      <c r="CL263" s="504">
        <v>225238</v>
      </c>
      <c r="CM263" s="504">
        <v>243100</v>
      </c>
      <c r="CN263" s="1347">
        <v>258513</v>
      </c>
    </row>
    <row r="264" spans="60:92" ht="18" customHeight="1">
      <c r="BH264" s="1343" t="s">
        <v>2743</v>
      </c>
      <c r="BI264" s="483">
        <v>150000</v>
      </c>
      <c r="BJ264" s="483">
        <v>150000</v>
      </c>
      <c r="BK264" s="483">
        <v>150000</v>
      </c>
      <c r="BL264" s="483">
        <v>150000</v>
      </c>
      <c r="BM264" s="483">
        <v>150000</v>
      </c>
      <c r="BN264" s="483">
        <v>175000</v>
      </c>
      <c r="BO264" s="483">
        <v>175000</v>
      </c>
      <c r="BP264" s="483">
        <v>175000</v>
      </c>
      <c r="BQ264" s="483">
        <v>175000</v>
      </c>
      <c r="BR264" s="1344">
        <v>175000</v>
      </c>
      <c r="BS264" s="1545"/>
      <c r="BU264" s="1545"/>
      <c r="BV264" s="1545"/>
      <c r="BW264" s="1545"/>
      <c r="BX264" s="1545"/>
      <c r="BY264" s="1545"/>
      <c r="BZ264" s="1545"/>
      <c r="CA264" s="1545"/>
      <c r="CB264" s="1545"/>
      <c r="CC264" s="1545"/>
      <c r="CD264" s="1343" t="s">
        <v>2743</v>
      </c>
      <c r="CE264" s="504">
        <v>95000</v>
      </c>
      <c r="CF264" s="504">
        <v>95000</v>
      </c>
      <c r="CG264" s="504">
        <v>95000</v>
      </c>
      <c r="CH264" s="504">
        <v>95000</v>
      </c>
      <c r="CI264" s="504">
        <v>95000</v>
      </c>
      <c r="CJ264" s="504">
        <v>110000</v>
      </c>
      <c r="CK264" s="504">
        <v>110000</v>
      </c>
      <c r="CL264" s="504">
        <v>110000</v>
      </c>
      <c r="CM264" s="504">
        <v>110000</v>
      </c>
      <c r="CN264" s="1347">
        <v>110000</v>
      </c>
    </row>
    <row r="265" spans="60:92" ht="18" customHeight="1">
      <c r="BH265" s="1348" t="s">
        <v>2744</v>
      </c>
      <c r="BI265" s="483">
        <v>162820</v>
      </c>
      <c r="BJ265" s="483">
        <v>163684</v>
      </c>
      <c r="BK265" s="483">
        <v>166565</v>
      </c>
      <c r="BL265" s="483">
        <v>169158</v>
      </c>
      <c r="BM265" s="483">
        <v>171319</v>
      </c>
      <c r="BN265" s="483">
        <v>187820</v>
      </c>
      <c r="BO265" s="483">
        <v>188684</v>
      </c>
      <c r="BP265" s="483">
        <v>191565</v>
      </c>
      <c r="BQ265" s="483">
        <v>194158</v>
      </c>
      <c r="BR265" s="1344">
        <v>196319</v>
      </c>
      <c r="BS265" s="1545"/>
      <c r="BU265" s="1545"/>
      <c r="BV265" s="1545"/>
      <c r="BW265" s="1545"/>
      <c r="BX265" s="1545"/>
      <c r="BY265" s="1545"/>
      <c r="BZ265" s="1545"/>
      <c r="CA265" s="1545"/>
      <c r="CB265" s="1545"/>
      <c r="CC265" s="1545"/>
      <c r="CD265" s="1348" t="s">
        <v>2744</v>
      </c>
      <c r="CE265" s="504">
        <v>107820</v>
      </c>
      <c r="CF265" s="504">
        <v>108684</v>
      </c>
      <c r="CG265" s="504">
        <v>111565</v>
      </c>
      <c r="CH265" s="504">
        <v>114158</v>
      </c>
      <c r="CI265" s="504">
        <v>116319</v>
      </c>
      <c r="CJ265" s="504">
        <v>122820</v>
      </c>
      <c r="CK265" s="504">
        <v>123684</v>
      </c>
      <c r="CL265" s="504">
        <v>126565</v>
      </c>
      <c r="CM265" s="504">
        <v>129158</v>
      </c>
      <c r="CN265" s="1347">
        <v>131319</v>
      </c>
    </row>
    <row r="266" spans="60:92" ht="18" customHeight="1">
      <c r="BH266" s="1348" t="s">
        <v>2745</v>
      </c>
      <c r="BI266" s="483">
        <v>175640</v>
      </c>
      <c r="BJ266" s="483">
        <v>177513</v>
      </c>
      <c r="BK266" s="483">
        <v>182987</v>
      </c>
      <c r="BL266" s="483">
        <v>188173</v>
      </c>
      <c r="BM266" s="483">
        <v>192494</v>
      </c>
      <c r="BN266" s="483">
        <v>200640</v>
      </c>
      <c r="BO266" s="483">
        <v>202513</v>
      </c>
      <c r="BP266" s="483">
        <v>207987</v>
      </c>
      <c r="BQ266" s="483">
        <v>213173</v>
      </c>
      <c r="BR266" s="1344">
        <v>217494</v>
      </c>
      <c r="BS266" s="1545"/>
      <c r="BU266" s="1545"/>
      <c r="BV266" s="1545"/>
      <c r="BW266" s="1545"/>
      <c r="BX266" s="1545"/>
      <c r="BY266" s="1545"/>
      <c r="BZ266" s="1545"/>
      <c r="CA266" s="1545"/>
      <c r="CB266" s="1545"/>
      <c r="CC266" s="1545"/>
      <c r="CD266" s="1348" t="s">
        <v>2745</v>
      </c>
      <c r="CE266" s="504">
        <v>120640</v>
      </c>
      <c r="CF266" s="504">
        <v>122513</v>
      </c>
      <c r="CG266" s="504">
        <v>127987</v>
      </c>
      <c r="CH266" s="504">
        <v>133173</v>
      </c>
      <c r="CI266" s="504">
        <v>137494</v>
      </c>
      <c r="CJ266" s="504">
        <v>135640</v>
      </c>
      <c r="CK266" s="504">
        <v>137513</v>
      </c>
      <c r="CL266" s="504">
        <v>142987</v>
      </c>
      <c r="CM266" s="504">
        <v>148173</v>
      </c>
      <c r="CN266" s="1347">
        <v>152494</v>
      </c>
    </row>
    <row r="267" spans="60:92" ht="18" customHeight="1">
      <c r="BH267" s="1348" t="s">
        <v>2746</v>
      </c>
      <c r="BI267" s="483">
        <v>188461</v>
      </c>
      <c r="BJ267" s="483">
        <v>191198</v>
      </c>
      <c r="BK267" s="483">
        <v>199552</v>
      </c>
      <c r="BL267" s="483">
        <v>207187</v>
      </c>
      <c r="BM267" s="483">
        <v>213813</v>
      </c>
      <c r="BN267" s="483">
        <v>213461</v>
      </c>
      <c r="BO267" s="483">
        <v>216198</v>
      </c>
      <c r="BP267" s="483">
        <v>224552</v>
      </c>
      <c r="BQ267" s="483">
        <v>232187</v>
      </c>
      <c r="BR267" s="1344">
        <v>238813</v>
      </c>
      <c r="BS267" s="1545"/>
      <c r="BU267" s="1545"/>
      <c r="BV267" s="1545"/>
      <c r="BW267" s="1545"/>
      <c r="BX267" s="1545"/>
      <c r="BY267" s="1545"/>
      <c r="BZ267" s="1545"/>
      <c r="CA267" s="1545"/>
      <c r="CB267" s="1545"/>
      <c r="CC267" s="1545"/>
      <c r="CD267" s="1348" t="s">
        <v>2746</v>
      </c>
      <c r="CE267" s="504">
        <v>133461</v>
      </c>
      <c r="CF267" s="504">
        <v>136198</v>
      </c>
      <c r="CG267" s="504">
        <v>144552</v>
      </c>
      <c r="CH267" s="504">
        <v>152187</v>
      </c>
      <c r="CI267" s="504">
        <v>158813</v>
      </c>
      <c r="CJ267" s="504">
        <v>148461</v>
      </c>
      <c r="CK267" s="504">
        <v>151198</v>
      </c>
      <c r="CL267" s="504">
        <v>159552</v>
      </c>
      <c r="CM267" s="504">
        <v>167187</v>
      </c>
      <c r="CN267" s="1347">
        <v>173813</v>
      </c>
    </row>
    <row r="268" spans="60:92" ht="18" customHeight="1">
      <c r="BH268" s="1348" t="s">
        <v>2747</v>
      </c>
      <c r="BI268" s="483">
        <v>201281</v>
      </c>
      <c r="BJ268" s="483">
        <v>204882</v>
      </c>
      <c r="BK268" s="483">
        <v>215974</v>
      </c>
      <c r="BL268" s="483">
        <v>226201</v>
      </c>
      <c r="BM268" s="483">
        <v>234988</v>
      </c>
      <c r="BN268" s="483">
        <v>226281</v>
      </c>
      <c r="BO268" s="483">
        <v>229882</v>
      </c>
      <c r="BP268" s="483">
        <v>240974</v>
      </c>
      <c r="BQ268" s="483">
        <v>251201</v>
      </c>
      <c r="BR268" s="1344">
        <v>259988</v>
      </c>
      <c r="BS268" s="1545"/>
      <c r="BU268" s="1545"/>
      <c r="BV268" s="1545"/>
      <c r="BW268" s="1545"/>
      <c r="BX268" s="1545"/>
      <c r="BY268" s="1545"/>
      <c r="BZ268" s="1545"/>
      <c r="CA268" s="1545"/>
      <c r="CB268" s="1545"/>
      <c r="CC268" s="1545"/>
      <c r="CD268" s="1348" t="s">
        <v>2747</v>
      </c>
      <c r="CE268" s="504">
        <v>146281</v>
      </c>
      <c r="CF268" s="504">
        <v>149882</v>
      </c>
      <c r="CG268" s="504">
        <v>160974</v>
      </c>
      <c r="CH268" s="504">
        <v>171201</v>
      </c>
      <c r="CI268" s="504">
        <v>179988</v>
      </c>
      <c r="CJ268" s="504">
        <v>161281</v>
      </c>
      <c r="CK268" s="504">
        <v>164882</v>
      </c>
      <c r="CL268" s="504">
        <v>175974</v>
      </c>
      <c r="CM268" s="504">
        <v>186201</v>
      </c>
      <c r="CN268" s="1347">
        <v>194988</v>
      </c>
    </row>
    <row r="269" spans="60:92" ht="18" customHeight="1">
      <c r="BH269" s="1348" t="s">
        <v>2748</v>
      </c>
      <c r="BI269" s="483">
        <v>214101</v>
      </c>
      <c r="BJ269" s="483">
        <v>218711</v>
      </c>
      <c r="BK269" s="483">
        <v>232539</v>
      </c>
      <c r="BL269" s="483">
        <v>245359</v>
      </c>
      <c r="BM269" s="483">
        <v>256307</v>
      </c>
      <c r="BN269" s="483">
        <v>239101</v>
      </c>
      <c r="BO269" s="483">
        <v>243711</v>
      </c>
      <c r="BP269" s="483">
        <v>257539</v>
      </c>
      <c r="BQ269" s="483">
        <v>270359</v>
      </c>
      <c r="BR269" s="1344">
        <v>281307</v>
      </c>
      <c r="BS269" s="1545"/>
      <c r="BU269" s="1545"/>
      <c r="BV269" s="1545"/>
      <c r="BW269" s="1545"/>
      <c r="BX269" s="1545"/>
      <c r="BY269" s="1545"/>
      <c r="BZ269" s="1545"/>
      <c r="CA269" s="1545"/>
      <c r="CB269" s="1545"/>
      <c r="CC269" s="1545"/>
      <c r="CD269" s="1348" t="s">
        <v>2748</v>
      </c>
      <c r="CE269" s="504">
        <v>159101</v>
      </c>
      <c r="CF269" s="504">
        <v>163711</v>
      </c>
      <c r="CG269" s="504">
        <v>177539</v>
      </c>
      <c r="CH269" s="504">
        <v>190359</v>
      </c>
      <c r="CI269" s="504">
        <v>201307</v>
      </c>
      <c r="CJ269" s="504">
        <v>174101</v>
      </c>
      <c r="CK269" s="504">
        <v>178711</v>
      </c>
      <c r="CL269" s="504">
        <v>192539</v>
      </c>
      <c r="CM269" s="504">
        <v>205359</v>
      </c>
      <c r="CN269" s="1347">
        <v>216307</v>
      </c>
    </row>
    <row r="270" spans="60:92" ht="18" customHeight="1">
      <c r="BH270" s="1348" t="s">
        <v>2749</v>
      </c>
      <c r="BI270" s="483">
        <v>226921</v>
      </c>
      <c r="BJ270" s="483">
        <v>232395</v>
      </c>
      <c r="BK270" s="483">
        <v>248960</v>
      </c>
      <c r="BL270" s="483">
        <v>264374</v>
      </c>
      <c r="BM270" s="483">
        <v>277482</v>
      </c>
      <c r="BN270" s="483">
        <v>251921</v>
      </c>
      <c r="BO270" s="483">
        <v>257395</v>
      </c>
      <c r="BP270" s="483">
        <v>273960</v>
      </c>
      <c r="BQ270" s="483">
        <v>289374</v>
      </c>
      <c r="BR270" s="1344">
        <v>302482</v>
      </c>
      <c r="BS270" s="1545"/>
      <c r="BU270" s="1545"/>
      <c r="BV270" s="1545"/>
      <c r="BW270" s="1545"/>
      <c r="BX270" s="1545"/>
      <c r="BY270" s="1545"/>
      <c r="BZ270" s="1545"/>
      <c r="CA270" s="1545"/>
      <c r="CB270" s="1545"/>
      <c r="CC270" s="1545"/>
      <c r="CD270" s="1348" t="s">
        <v>2749</v>
      </c>
      <c r="CE270" s="504">
        <v>171921</v>
      </c>
      <c r="CF270" s="504">
        <v>177395</v>
      </c>
      <c r="CG270" s="504">
        <v>193960</v>
      </c>
      <c r="CH270" s="504">
        <v>209374</v>
      </c>
      <c r="CI270" s="504">
        <v>222482</v>
      </c>
      <c r="CJ270" s="504">
        <v>186921</v>
      </c>
      <c r="CK270" s="504">
        <v>192395</v>
      </c>
      <c r="CL270" s="504">
        <v>208960</v>
      </c>
      <c r="CM270" s="504">
        <v>224374</v>
      </c>
      <c r="CN270" s="1347">
        <v>237482</v>
      </c>
    </row>
    <row r="271" spans="60:92" ht="18" customHeight="1">
      <c r="BH271" s="1348" t="s">
        <v>2750</v>
      </c>
      <c r="BI271" s="483">
        <v>239741</v>
      </c>
      <c r="BJ271" s="483">
        <v>246224</v>
      </c>
      <c r="BK271" s="483">
        <v>265526</v>
      </c>
      <c r="BL271" s="483">
        <v>283388</v>
      </c>
      <c r="BM271" s="483">
        <v>298801</v>
      </c>
      <c r="BN271" s="483">
        <v>264741</v>
      </c>
      <c r="BO271" s="483">
        <v>271224</v>
      </c>
      <c r="BP271" s="483">
        <v>290526</v>
      </c>
      <c r="BQ271" s="483">
        <v>308388</v>
      </c>
      <c r="BR271" s="1344">
        <v>323801</v>
      </c>
      <c r="BS271" s="1545"/>
      <c r="BU271" s="1545"/>
      <c r="BV271" s="1545"/>
      <c r="BW271" s="1545"/>
      <c r="BX271" s="1545"/>
      <c r="BY271" s="1545"/>
      <c r="BZ271" s="1545"/>
      <c r="CA271" s="1545"/>
      <c r="CB271" s="1545"/>
      <c r="CC271" s="1545"/>
      <c r="CD271" s="1348" t="s">
        <v>2750</v>
      </c>
      <c r="CE271" s="504">
        <v>184741</v>
      </c>
      <c r="CF271" s="504">
        <v>191224</v>
      </c>
      <c r="CG271" s="504">
        <v>210526</v>
      </c>
      <c r="CH271" s="504">
        <v>228388</v>
      </c>
      <c r="CI271" s="504">
        <v>243801</v>
      </c>
      <c r="CJ271" s="504">
        <v>199741</v>
      </c>
      <c r="CK271" s="504">
        <v>206224</v>
      </c>
      <c r="CL271" s="504">
        <v>225526</v>
      </c>
      <c r="CM271" s="504">
        <v>243388</v>
      </c>
      <c r="CN271" s="1347">
        <v>258801</v>
      </c>
    </row>
    <row r="272" spans="60:92" ht="18" customHeight="1">
      <c r="BH272" s="1348" t="s">
        <v>2751</v>
      </c>
      <c r="BI272" s="483">
        <v>252562</v>
      </c>
      <c r="BJ272" s="483">
        <v>259908</v>
      </c>
      <c r="BK272" s="483">
        <v>281947</v>
      </c>
      <c r="BL272" s="483">
        <v>302402</v>
      </c>
      <c r="BM272" s="483">
        <v>319976</v>
      </c>
      <c r="BN272" s="483">
        <v>277562</v>
      </c>
      <c r="BO272" s="483">
        <v>284908</v>
      </c>
      <c r="BP272" s="483">
        <v>306947</v>
      </c>
      <c r="BQ272" s="483">
        <v>327402</v>
      </c>
      <c r="BR272" s="1344">
        <v>344976</v>
      </c>
      <c r="BS272" s="1545"/>
      <c r="BU272" s="1545"/>
      <c r="BV272" s="1545"/>
      <c r="BW272" s="1545"/>
      <c r="BX272" s="1545"/>
      <c r="BY272" s="1545"/>
      <c r="BZ272" s="1545"/>
      <c r="CA272" s="1545"/>
      <c r="CB272" s="1545"/>
      <c r="CC272" s="1545"/>
      <c r="CD272" s="1348" t="s">
        <v>2751</v>
      </c>
      <c r="CE272" s="504">
        <v>197562</v>
      </c>
      <c r="CF272" s="504">
        <v>204908</v>
      </c>
      <c r="CG272" s="504">
        <v>226947</v>
      </c>
      <c r="CH272" s="504">
        <v>247402</v>
      </c>
      <c r="CI272" s="504">
        <v>264976</v>
      </c>
      <c r="CJ272" s="504">
        <v>212562</v>
      </c>
      <c r="CK272" s="504">
        <v>219908</v>
      </c>
      <c r="CL272" s="504">
        <v>241947</v>
      </c>
      <c r="CM272" s="504">
        <v>262402</v>
      </c>
      <c r="CN272" s="1347">
        <v>279976</v>
      </c>
    </row>
    <row r="273" spans="60:92" ht="18" customHeight="1">
      <c r="BH273" s="1348" t="s">
        <v>2752</v>
      </c>
      <c r="BI273" s="483">
        <v>265382</v>
      </c>
      <c r="BJ273" s="483">
        <v>273593</v>
      </c>
      <c r="BK273" s="483">
        <v>298513</v>
      </c>
      <c r="BL273" s="483">
        <v>321560</v>
      </c>
      <c r="BM273" s="483">
        <v>341295</v>
      </c>
      <c r="BN273" s="483">
        <v>290382</v>
      </c>
      <c r="BO273" s="483">
        <v>298593</v>
      </c>
      <c r="BP273" s="483">
        <v>323513</v>
      </c>
      <c r="BQ273" s="483">
        <v>346560</v>
      </c>
      <c r="BR273" s="1344">
        <v>366295</v>
      </c>
      <c r="BS273" s="1545"/>
      <c r="BU273" s="1545"/>
      <c r="BV273" s="1545"/>
      <c r="BW273" s="1545"/>
      <c r="BX273" s="1545"/>
      <c r="BY273" s="1545"/>
      <c r="BZ273" s="1545"/>
      <c r="CA273" s="1545"/>
      <c r="CB273" s="1545"/>
      <c r="CC273" s="1545"/>
      <c r="CD273" s="1348" t="s">
        <v>2752</v>
      </c>
      <c r="CE273" s="504">
        <v>210382</v>
      </c>
      <c r="CF273" s="504">
        <v>218593</v>
      </c>
      <c r="CG273" s="504">
        <v>243513</v>
      </c>
      <c r="CH273" s="504">
        <v>266560</v>
      </c>
      <c r="CI273" s="504">
        <v>286295</v>
      </c>
      <c r="CJ273" s="504">
        <v>225382</v>
      </c>
      <c r="CK273" s="504">
        <v>233593</v>
      </c>
      <c r="CL273" s="504">
        <v>258513</v>
      </c>
      <c r="CM273" s="504">
        <v>281560</v>
      </c>
      <c r="CN273" s="1347">
        <v>301295</v>
      </c>
    </row>
    <row r="274" spans="60:92" ht="18" customHeight="1">
      <c r="BH274" s="1343" t="s">
        <v>2753</v>
      </c>
      <c r="BI274" s="483">
        <v>150000</v>
      </c>
      <c r="BJ274" s="483">
        <v>150000</v>
      </c>
      <c r="BK274" s="483">
        <v>150000</v>
      </c>
      <c r="BL274" s="483">
        <v>150000</v>
      </c>
      <c r="BM274" s="483">
        <v>150000</v>
      </c>
      <c r="BN274" s="483">
        <v>175000</v>
      </c>
      <c r="BO274" s="483">
        <v>175000</v>
      </c>
      <c r="BP274" s="483">
        <v>175000</v>
      </c>
      <c r="BQ274" s="483">
        <v>175000</v>
      </c>
      <c r="BR274" s="1344">
        <v>175000</v>
      </c>
      <c r="BS274" s="1545"/>
      <c r="BU274" s="1545"/>
      <c r="BV274" s="1545"/>
      <c r="BW274" s="1545"/>
      <c r="BX274" s="1545"/>
      <c r="BY274" s="1545"/>
      <c r="BZ274" s="1545"/>
      <c r="CA274" s="1545"/>
      <c r="CB274" s="1545"/>
      <c r="CC274" s="1545"/>
      <c r="CD274" s="1343" t="s">
        <v>2753</v>
      </c>
      <c r="CE274" s="504">
        <v>95000</v>
      </c>
      <c r="CF274" s="504">
        <v>95000</v>
      </c>
      <c r="CG274" s="504">
        <v>95000</v>
      </c>
      <c r="CH274" s="504">
        <v>95000</v>
      </c>
      <c r="CI274" s="504">
        <v>95000</v>
      </c>
      <c r="CJ274" s="504">
        <v>110000</v>
      </c>
      <c r="CK274" s="504">
        <v>110000</v>
      </c>
      <c r="CL274" s="504">
        <v>110000</v>
      </c>
      <c r="CM274" s="504">
        <v>110000</v>
      </c>
      <c r="CN274" s="1347">
        <v>110000</v>
      </c>
    </row>
    <row r="275" spans="60:92" ht="18" customHeight="1">
      <c r="BH275" s="1348" t="s">
        <v>2754</v>
      </c>
      <c r="BI275" s="483">
        <v>164405</v>
      </c>
      <c r="BJ275" s="483">
        <v>165413</v>
      </c>
      <c r="BK275" s="483">
        <v>168438</v>
      </c>
      <c r="BL275" s="483">
        <v>171319</v>
      </c>
      <c r="BM275" s="483">
        <v>173768</v>
      </c>
      <c r="BN275" s="483">
        <v>189405</v>
      </c>
      <c r="BO275" s="483">
        <v>190413</v>
      </c>
      <c r="BP275" s="483">
        <v>193438</v>
      </c>
      <c r="BQ275" s="483">
        <v>196319</v>
      </c>
      <c r="BR275" s="1344">
        <v>198768</v>
      </c>
      <c r="BS275" s="1545"/>
      <c r="BU275" s="1545"/>
      <c r="BV275" s="1545"/>
      <c r="BW275" s="1545"/>
      <c r="BX275" s="1545"/>
      <c r="BY275" s="1545"/>
      <c r="BZ275" s="1545"/>
      <c r="CA275" s="1545"/>
      <c r="CB275" s="1545"/>
      <c r="CC275" s="1545"/>
      <c r="CD275" s="1348" t="s">
        <v>2754</v>
      </c>
      <c r="CE275" s="504">
        <v>109405</v>
      </c>
      <c r="CF275" s="504">
        <v>110413</v>
      </c>
      <c r="CG275" s="504">
        <v>113438</v>
      </c>
      <c r="CH275" s="504">
        <v>116319</v>
      </c>
      <c r="CI275" s="504">
        <v>118768</v>
      </c>
      <c r="CJ275" s="504">
        <v>124405</v>
      </c>
      <c r="CK275" s="504">
        <v>125413</v>
      </c>
      <c r="CL275" s="504">
        <v>128438</v>
      </c>
      <c r="CM275" s="504">
        <v>131319</v>
      </c>
      <c r="CN275" s="1347">
        <v>133768</v>
      </c>
    </row>
    <row r="276" spans="60:92" ht="18" customHeight="1">
      <c r="BH276" s="1348" t="s">
        <v>2755</v>
      </c>
      <c r="BI276" s="483">
        <v>178665</v>
      </c>
      <c r="BJ276" s="483">
        <v>180682</v>
      </c>
      <c r="BK276" s="483">
        <v>186876</v>
      </c>
      <c r="BL276" s="483">
        <v>192494</v>
      </c>
      <c r="BM276" s="483">
        <v>197536</v>
      </c>
      <c r="BN276" s="483">
        <v>203665</v>
      </c>
      <c r="BO276" s="483">
        <v>205682</v>
      </c>
      <c r="BP276" s="483">
        <v>211876</v>
      </c>
      <c r="BQ276" s="483">
        <v>217494</v>
      </c>
      <c r="BR276" s="1344">
        <v>222536</v>
      </c>
      <c r="BS276" s="1545"/>
      <c r="BU276" s="1545"/>
      <c r="BV276" s="1545"/>
      <c r="BW276" s="1545"/>
      <c r="BX276" s="1545"/>
      <c r="BY276" s="1545"/>
      <c r="BZ276" s="1545"/>
      <c r="CA276" s="1545"/>
      <c r="CB276" s="1545"/>
      <c r="CC276" s="1545"/>
      <c r="CD276" s="1348" t="s">
        <v>2755</v>
      </c>
      <c r="CE276" s="504">
        <v>123665</v>
      </c>
      <c r="CF276" s="504">
        <v>125682</v>
      </c>
      <c r="CG276" s="504">
        <v>131876</v>
      </c>
      <c r="CH276" s="504">
        <v>137494</v>
      </c>
      <c r="CI276" s="504">
        <v>142536</v>
      </c>
      <c r="CJ276" s="504">
        <v>138665</v>
      </c>
      <c r="CK276" s="504">
        <v>140682</v>
      </c>
      <c r="CL276" s="504">
        <v>146876</v>
      </c>
      <c r="CM276" s="504">
        <v>152494</v>
      </c>
      <c r="CN276" s="1347">
        <v>157536</v>
      </c>
    </row>
    <row r="277" spans="60:92" ht="18" customHeight="1">
      <c r="BH277" s="1348" t="s">
        <v>2756</v>
      </c>
      <c r="BI277" s="483">
        <v>193070</v>
      </c>
      <c r="BJ277" s="483">
        <v>196095</v>
      </c>
      <c r="BK277" s="483">
        <v>205314</v>
      </c>
      <c r="BL277" s="483">
        <v>213813</v>
      </c>
      <c r="BM277" s="483">
        <v>221303</v>
      </c>
      <c r="BN277" s="483">
        <v>218070</v>
      </c>
      <c r="BO277" s="483">
        <v>221095</v>
      </c>
      <c r="BP277" s="483">
        <v>230314</v>
      </c>
      <c r="BQ277" s="483">
        <v>238813</v>
      </c>
      <c r="BR277" s="1344">
        <v>246303</v>
      </c>
      <c r="BS277" s="1545"/>
      <c r="BU277" s="1545"/>
      <c r="BV277" s="1545"/>
      <c r="BW277" s="1545"/>
      <c r="BX277" s="1545"/>
      <c r="BY277" s="1545"/>
      <c r="BZ277" s="1545"/>
      <c r="CA277" s="1545"/>
      <c r="CB277" s="1545"/>
      <c r="CC277" s="1545"/>
      <c r="CD277" s="1348" t="s">
        <v>2756</v>
      </c>
      <c r="CE277" s="504">
        <v>138070</v>
      </c>
      <c r="CF277" s="504">
        <v>141095</v>
      </c>
      <c r="CG277" s="504">
        <v>150314</v>
      </c>
      <c r="CH277" s="504">
        <v>158813</v>
      </c>
      <c r="CI277" s="504">
        <v>166303</v>
      </c>
      <c r="CJ277" s="504">
        <v>153070</v>
      </c>
      <c r="CK277" s="504">
        <v>156095</v>
      </c>
      <c r="CL277" s="504">
        <v>165314</v>
      </c>
      <c r="CM277" s="504">
        <v>173813</v>
      </c>
      <c r="CN277" s="1347">
        <v>181303</v>
      </c>
    </row>
    <row r="278" spans="60:92" ht="18" customHeight="1">
      <c r="BH278" s="1348" t="s">
        <v>2757</v>
      </c>
      <c r="BI278" s="483">
        <v>207331</v>
      </c>
      <c r="BJ278" s="483">
        <v>211364</v>
      </c>
      <c r="BK278" s="483">
        <v>223752</v>
      </c>
      <c r="BL278" s="483">
        <v>235132</v>
      </c>
      <c r="BM278" s="483">
        <v>244927</v>
      </c>
      <c r="BN278" s="483">
        <v>232331</v>
      </c>
      <c r="BO278" s="483">
        <v>236364</v>
      </c>
      <c r="BP278" s="483">
        <v>248752</v>
      </c>
      <c r="BQ278" s="483">
        <v>260132</v>
      </c>
      <c r="BR278" s="1344">
        <v>269927</v>
      </c>
      <c r="BS278" s="1545"/>
      <c r="BU278" s="1545"/>
      <c r="BV278" s="1545"/>
      <c r="BW278" s="1545"/>
      <c r="BX278" s="1545"/>
      <c r="BY278" s="1545"/>
      <c r="BZ278" s="1545"/>
      <c r="CA278" s="1545"/>
      <c r="CB278" s="1545"/>
      <c r="CC278" s="1545"/>
      <c r="CD278" s="1348" t="s">
        <v>2757</v>
      </c>
      <c r="CE278" s="504">
        <v>152331</v>
      </c>
      <c r="CF278" s="504">
        <v>156364</v>
      </c>
      <c r="CG278" s="504">
        <v>168752</v>
      </c>
      <c r="CH278" s="504">
        <v>180132</v>
      </c>
      <c r="CI278" s="504">
        <v>189927</v>
      </c>
      <c r="CJ278" s="504">
        <v>167331</v>
      </c>
      <c r="CK278" s="504">
        <v>171364</v>
      </c>
      <c r="CL278" s="504">
        <v>183752</v>
      </c>
      <c r="CM278" s="504">
        <v>195132</v>
      </c>
      <c r="CN278" s="1347">
        <v>204927</v>
      </c>
    </row>
    <row r="279" spans="60:92" ht="18" customHeight="1">
      <c r="BH279" s="1348" t="s">
        <v>2758</v>
      </c>
      <c r="BI279" s="483">
        <v>221736</v>
      </c>
      <c r="BJ279" s="483">
        <v>226777</v>
      </c>
      <c r="BK279" s="483">
        <v>242190</v>
      </c>
      <c r="BL279" s="483">
        <v>256451</v>
      </c>
      <c r="BM279" s="483">
        <v>268695</v>
      </c>
      <c r="BN279" s="483">
        <v>246736</v>
      </c>
      <c r="BO279" s="483">
        <v>251777</v>
      </c>
      <c r="BP279" s="483">
        <v>267190</v>
      </c>
      <c r="BQ279" s="483">
        <v>281451</v>
      </c>
      <c r="BR279" s="1344">
        <v>293695</v>
      </c>
      <c r="BS279" s="1545"/>
      <c r="BU279" s="1545"/>
      <c r="BV279" s="1545"/>
      <c r="BW279" s="1545"/>
      <c r="BX279" s="1545"/>
      <c r="BY279" s="1545"/>
      <c r="BZ279" s="1545"/>
      <c r="CA279" s="1545"/>
      <c r="CB279" s="1545"/>
      <c r="CC279" s="1545"/>
      <c r="CD279" s="1348" t="s">
        <v>2758</v>
      </c>
      <c r="CE279" s="504">
        <v>166736</v>
      </c>
      <c r="CF279" s="504">
        <v>171777</v>
      </c>
      <c r="CG279" s="504">
        <v>187190</v>
      </c>
      <c r="CH279" s="504">
        <v>201451</v>
      </c>
      <c r="CI279" s="504">
        <v>213695</v>
      </c>
      <c r="CJ279" s="504">
        <v>181736</v>
      </c>
      <c r="CK279" s="504">
        <v>186777</v>
      </c>
      <c r="CL279" s="504">
        <v>202190</v>
      </c>
      <c r="CM279" s="504">
        <v>216451</v>
      </c>
      <c r="CN279" s="1347">
        <v>228695</v>
      </c>
    </row>
    <row r="280" spans="60:92" ht="18" customHeight="1">
      <c r="BH280" s="1348" t="s">
        <v>2759</v>
      </c>
      <c r="BI280" s="483">
        <v>235996</v>
      </c>
      <c r="BJ280" s="483">
        <v>242190</v>
      </c>
      <c r="BK280" s="483">
        <v>260628</v>
      </c>
      <c r="BL280" s="483">
        <v>277770</v>
      </c>
      <c r="BM280" s="483">
        <v>292463</v>
      </c>
      <c r="BN280" s="483">
        <v>260996</v>
      </c>
      <c r="BO280" s="483">
        <v>267190</v>
      </c>
      <c r="BP280" s="483">
        <v>285628</v>
      </c>
      <c r="BQ280" s="483">
        <v>302770</v>
      </c>
      <c r="BR280" s="1344">
        <v>317463</v>
      </c>
      <c r="BS280" s="1545"/>
      <c r="BU280" s="1545"/>
      <c r="BV280" s="1545"/>
      <c r="BW280" s="1545"/>
      <c r="BX280" s="1545"/>
      <c r="BY280" s="1545"/>
      <c r="BZ280" s="1545"/>
      <c r="CA280" s="1545"/>
      <c r="CB280" s="1545"/>
      <c r="CC280" s="1545"/>
      <c r="CD280" s="1348" t="s">
        <v>2759</v>
      </c>
      <c r="CE280" s="504">
        <v>180996</v>
      </c>
      <c r="CF280" s="504">
        <v>187190</v>
      </c>
      <c r="CG280" s="504">
        <v>205628</v>
      </c>
      <c r="CH280" s="504">
        <v>222770</v>
      </c>
      <c r="CI280" s="504">
        <v>237463</v>
      </c>
      <c r="CJ280" s="504">
        <v>195996</v>
      </c>
      <c r="CK280" s="504">
        <v>202190</v>
      </c>
      <c r="CL280" s="504">
        <v>220628</v>
      </c>
      <c r="CM280" s="504">
        <v>237770</v>
      </c>
      <c r="CN280" s="1347">
        <v>252463</v>
      </c>
    </row>
    <row r="281" spans="60:92" ht="18" customHeight="1">
      <c r="BH281" s="1348" t="s">
        <v>2760</v>
      </c>
      <c r="BI281" s="483">
        <v>250401</v>
      </c>
      <c r="BJ281" s="483">
        <v>257459</v>
      </c>
      <c r="BK281" s="483">
        <v>279066</v>
      </c>
      <c r="BL281" s="483">
        <v>298945</v>
      </c>
      <c r="BM281" s="483">
        <v>316231</v>
      </c>
      <c r="BN281" s="483">
        <v>275401</v>
      </c>
      <c r="BO281" s="483">
        <v>282459</v>
      </c>
      <c r="BP281" s="483">
        <v>304066</v>
      </c>
      <c r="BQ281" s="483">
        <v>323945</v>
      </c>
      <c r="BR281" s="1344">
        <v>341231</v>
      </c>
      <c r="BS281" s="1545"/>
      <c r="BU281" s="1545"/>
      <c r="BV281" s="1545"/>
      <c r="BW281" s="1545"/>
      <c r="BX281" s="1545"/>
      <c r="BY281" s="1545"/>
      <c r="BZ281" s="1545"/>
      <c r="CA281" s="1545"/>
      <c r="CB281" s="1545"/>
      <c r="CC281" s="1545"/>
      <c r="CD281" s="1348" t="s">
        <v>2760</v>
      </c>
      <c r="CE281" s="504">
        <v>195401</v>
      </c>
      <c r="CF281" s="504">
        <v>202459</v>
      </c>
      <c r="CG281" s="504">
        <v>224066</v>
      </c>
      <c r="CH281" s="504">
        <v>243945</v>
      </c>
      <c r="CI281" s="504">
        <v>261231</v>
      </c>
      <c r="CJ281" s="504">
        <v>210401</v>
      </c>
      <c r="CK281" s="504">
        <v>217459</v>
      </c>
      <c r="CL281" s="504">
        <v>239066</v>
      </c>
      <c r="CM281" s="504">
        <v>258945</v>
      </c>
      <c r="CN281" s="1347">
        <v>276231</v>
      </c>
    </row>
    <row r="282" spans="60:92" ht="18" customHeight="1">
      <c r="BH282" s="1348" t="s">
        <v>2761</v>
      </c>
      <c r="BI282" s="483">
        <v>264662</v>
      </c>
      <c r="BJ282" s="483">
        <v>272872</v>
      </c>
      <c r="BK282" s="483">
        <v>297504</v>
      </c>
      <c r="BL282" s="483">
        <v>320264</v>
      </c>
      <c r="BM282" s="483">
        <v>339998</v>
      </c>
      <c r="BN282" s="483">
        <v>289662</v>
      </c>
      <c r="BO282" s="483">
        <v>297872</v>
      </c>
      <c r="BP282" s="483">
        <v>322504</v>
      </c>
      <c r="BQ282" s="483">
        <v>345264</v>
      </c>
      <c r="BR282" s="1344">
        <v>364998</v>
      </c>
      <c r="BS282" s="1545"/>
      <c r="BU282" s="1545"/>
      <c r="BV282" s="1545"/>
      <c r="BW282" s="1545"/>
      <c r="BX282" s="1545"/>
      <c r="BY282" s="1545"/>
      <c r="BZ282" s="1545"/>
      <c r="CA282" s="1545"/>
      <c r="CB282" s="1545"/>
      <c r="CC282" s="1545"/>
      <c r="CD282" s="1348" t="s">
        <v>2761</v>
      </c>
      <c r="CE282" s="504">
        <v>209662</v>
      </c>
      <c r="CF282" s="504">
        <v>217872</v>
      </c>
      <c r="CG282" s="504">
        <v>242504</v>
      </c>
      <c r="CH282" s="504">
        <v>265264</v>
      </c>
      <c r="CI282" s="504">
        <v>284998</v>
      </c>
      <c r="CJ282" s="504">
        <v>224662</v>
      </c>
      <c r="CK282" s="504">
        <v>232872</v>
      </c>
      <c r="CL282" s="504">
        <v>257504</v>
      </c>
      <c r="CM282" s="504">
        <v>280264</v>
      </c>
      <c r="CN282" s="1347">
        <v>299998</v>
      </c>
    </row>
    <row r="283" spans="60:92" ht="18" customHeight="1">
      <c r="BH283" s="1348" t="s">
        <v>2762</v>
      </c>
      <c r="BI283" s="483">
        <v>279066</v>
      </c>
      <c r="BJ283" s="483">
        <v>288285</v>
      </c>
      <c r="BK283" s="483">
        <v>315942</v>
      </c>
      <c r="BL283" s="483">
        <v>341583</v>
      </c>
      <c r="BM283" s="483">
        <v>363766</v>
      </c>
      <c r="BN283" s="483">
        <v>304066</v>
      </c>
      <c r="BO283" s="483">
        <v>313285</v>
      </c>
      <c r="BP283" s="483">
        <v>340942</v>
      </c>
      <c r="BQ283" s="483">
        <v>366583</v>
      </c>
      <c r="BR283" s="1344">
        <v>388766</v>
      </c>
      <c r="BS283" s="1545"/>
      <c r="BU283" s="1545"/>
      <c r="BV283" s="1545"/>
      <c r="BW283" s="1545"/>
      <c r="BX283" s="1545"/>
      <c r="BY283" s="1545"/>
      <c r="BZ283" s="1545"/>
      <c r="CA283" s="1545"/>
      <c r="CB283" s="1545"/>
      <c r="CC283" s="1545"/>
      <c r="CD283" s="1348" t="s">
        <v>2762</v>
      </c>
      <c r="CE283" s="504">
        <v>224066</v>
      </c>
      <c r="CF283" s="504">
        <v>233285</v>
      </c>
      <c r="CG283" s="504">
        <v>260942</v>
      </c>
      <c r="CH283" s="504">
        <v>286583</v>
      </c>
      <c r="CI283" s="504">
        <v>308766</v>
      </c>
      <c r="CJ283" s="504">
        <v>239066</v>
      </c>
      <c r="CK283" s="504">
        <v>248285</v>
      </c>
      <c r="CL283" s="504">
        <v>275942</v>
      </c>
      <c r="CM283" s="504">
        <v>301583</v>
      </c>
      <c r="CN283" s="1347">
        <v>323766</v>
      </c>
    </row>
    <row r="284" spans="60:92" ht="18" customHeight="1">
      <c r="BH284" s="1343" t="s">
        <v>2763</v>
      </c>
      <c r="BI284" s="483">
        <v>150000</v>
      </c>
      <c r="BJ284" s="483">
        <v>150000</v>
      </c>
      <c r="BK284" s="483">
        <v>150000</v>
      </c>
      <c r="BL284" s="483">
        <v>150000</v>
      </c>
      <c r="BM284" s="483">
        <v>150000</v>
      </c>
      <c r="BN284" s="483">
        <v>175000</v>
      </c>
      <c r="BO284" s="483">
        <v>175000</v>
      </c>
      <c r="BP284" s="483">
        <v>175000</v>
      </c>
      <c r="BQ284" s="483">
        <v>175000</v>
      </c>
      <c r="BR284" s="1344">
        <v>175000</v>
      </c>
      <c r="BS284" s="1545"/>
      <c r="BU284" s="1545"/>
      <c r="BV284" s="1545"/>
      <c r="BW284" s="1545"/>
      <c r="BX284" s="1545"/>
      <c r="BY284" s="1545"/>
      <c r="BZ284" s="1545"/>
      <c r="CA284" s="1545"/>
      <c r="CB284" s="1545"/>
      <c r="CC284" s="1545"/>
      <c r="CD284" s="1343" t="s">
        <v>2763</v>
      </c>
      <c r="CE284" s="504">
        <v>95000</v>
      </c>
      <c r="CF284" s="504">
        <v>95000</v>
      </c>
      <c r="CG284" s="504">
        <v>95000</v>
      </c>
      <c r="CH284" s="504">
        <v>95000</v>
      </c>
      <c r="CI284" s="504">
        <v>95000</v>
      </c>
      <c r="CJ284" s="504">
        <v>110000</v>
      </c>
      <c r="CK284" s="504">
        <v>110000</v>
      </c>
      <c r="CL284" s="504">
        <v>110000</v>
      </c>
      <c r="CM284" s="504">
        <v>110000</v>
      </c>
      <c r="CN284" s="1347">
        <v>110000</v>
      </c>
    </row>
    <row r="285" spans="60:92" ht="18" customHeight="1">
      <c r="BH285" s="1348" t="s">
        <v>2764</v>
      </c>
      <c r="BI285" s="483">
        <v>161380</v>
      </c>
      <c r="BJ285" s="483">
        <v>162244</v>
      </c>
      <c r="BK285" s="483">
        <v>164549</v>
      </c>
      <c r="BL285" s="483">
        <v>166854</v>
      </c>
      <c r="BM285" s="483">
        <v>168870</v>
      </c>
      <c r="BN285" s="483">
        <v>186380</v>
      </c>
      <c r="BO285" s="483">
        <v>187244</v>
      </c>
      <c r="BP285" s="483">
        <v>189549</v>
      </c>
      <c r="BQ285" s="483">
        <v>191854</v>
      </c>
      <c r="BR285" s="1344">
        <v>193870</v>
      </c>
      <c r="BS285" s="1545"/>
      <c r="BU285" s="1545"/>
      <c r="BV285" s="1545"/>
      <c r="BW285" s="1545"/>
      <c r="BX285" s="1545"/>
      <c r="BY285" s="1545"/>
      <c r="BZ285" s="1545"/>
      <c r="CA285" s="1545"/>
      <c r="CB285" s="1545"/>
      <c r="CC285" s="1545"/>
      <c r="CD285" s="1348" t="s">
        <v>2764</v>
      </c>
      <c r="CE285" s="504">
        <v>106380</v>
      </c>
      <c r="CF285" s="504">
        <v>107244</v>
      </c>
      <c r="CG285" s="504">
        <v>109549</v>
      </c>
      <c r="CH285" s="504">
        <v>111854</v>
      </c>
      <c r="CI285" s="504">
        <v>113870</v>
      </c>
      <c r="CJ285" s="504">
        <v>121380</v>
      </c>
      <c r="CK285" s="504">
        <v>122244</v>
      </c>
      <c r="CL285" s="504">
        <v>124549</v>
      </c>
      <c r="CM285" s="504">
        <v>126854</v>
      </c>
      <c r="CN285" s="1347">
        <v>128870</v>
      </c>
    </row>
    <row r="286" spans="60:92" ht="18" customHeight="1">
      <c r="BH286" s="1348" t="s">
        <v>2765</v>
      </c>
      <c r="BI286" s="483">
        <v>172615</v>
      </c>
      <c r="BJ286" s="483">
        <v>174344</v>
      </c>
      <c r="BK286" s="483">
        <v>179098</v>
      </c>
      <c r="BL286" s="483">
        <v>183707</v>
      </c>
      <c r="BM286" s="483">
        <v>187596</v>
      </c>
      <c r="BN286" s="483">
        <v>197615</v>
      </c>
      <c r="BO286" s="483">
        <v>199344</v>
      </c>
      <c r="BP286" s="483">
        <v>204098</v>
      </c>
      <c r="BQ286" s="483">
        <v>208707</v>
      </c>
      <c r="BR286" s="1344">
        <v>212596</v>
      </c>
      <c r="BS286" s="1545"/>
      <c r="BU286" s="1545"/>
      <c r="BV286" s="1545"/>
      <c r="BW286" s="1545"/>
      <c r="BX286" s="1545"/>
      <c r="BY286" s="1545"/>
      <c r="BZ286" s="1545"/>
      <c r="CA286" s="1545"/>
      <c r="CB286" s="1545"/>
      <c r="CC286" s="1545"/>
      <c r="CD286" s="1348" t="s">
        <v>2765</v>
      </c>
      <c r="CE286" s="504">
        <v>117615</v>
      </c>
      <c r="CF286" s="504">
        <v>119344</v>
      </c>
      <c r="CG286" s="504">
        <v>124098</v>
      </c>
      <c r="CH286" s="504">
        <v>128707</v>
      </c>
      <c r="CI286" s="504">
        <v>132596</v>
      </c>
      <c r="CJ286" s="504">
        <v>132615</v>
      </c>
      <c r="CK286" s="504">
        <v>134344</v>
      </c>
      <c r="CL286" s="504">
        <v>139098</v>
      </c>
      <c r="CM286" s="504">
        <v>143707</v>
      </c>
      <c r="CN286" s="1347">
        <v>147596</v>
      </c>
    </row>
    <row r="287" spans="60:92" ht="18" customHeight="1">
      <c r="BH287" s="1348" t="s">
        <v>2766</v>
      </c>
      <c r="BI287" s="483">
        <v>183995</v>
      </c>
      <c r="BJ287" s="483">
        <v>186444</v>
      </c>
      <c r="BK287" s="483">
        <v>193646</v>
      </c>
      <c r="BL287" s="483">
        <v>200561</v>
      </c>
      <c r="BM287" s="483">
        <v>206322</v>
      </c>
      <c r="BN287" s="483">
        <v>208995</v>
      </c>
      <c r="BO287" s="483">
        <v>211444</v>
      </c>
      <c r="BP287" s="483">
        <v>218646</v>
      </c>
      <c r="BQ287" s="483">
        <v>225561</v>
      </c>
      <c r="BR287" s="1344">
        <v>231322</v>
      </c>
      <c r="BS287" s="1545"/>
      <c r="BU287" s="1545"/>
      <c r="BV287" s="1545"/>
      <c r="BW287" s="1545"/>
      <c r="BX287" s="1545"/>
      <c r="BY287" s="1545"/>
      <c r="BZ287" s="1545"/>
      <c r="CA287" s="1545"/>
      <c r="CB287" s="1545"/>
      <c r="CC287" s="1545"/>
      <c r="CD287" s="1348" t="s">
        <v>2766</v>
      </c>
      <c r="CE287" s="504">
        <v>128995</v>
      </c>
      <c r="CF287" s="504">
        <v>131444</v>
      </c>
      <c r="CG287" s="504">
        <v>138646</v>
      </c>
      <c r="CH287" s="504">
        <v>145561</v>
      </c>
      <c r="CI287" s="504">
        <v>151322</v>
      </c>
      <c r="CJ287" s="504">
        <v>143995</v>
      </c>
      <c r="CK287" s="504">
        <v>146444</v>
      </c>
      <c r="CL287" s="504">
        <v>153646</v>
      </c>
      <c r="CM287" s="504">
        <v>160561</v>
      </c>
      <c r="CN287" s="1347">
        <v>166322</v>
      </c>
    </row>
    <row r="288" spans="60:92" ht="18" customHeight="1">
      <c r="BH288" s="1348" t="s">
        <v>2767</v>
      </c>
      <c r="BI288" s="483">
        <v>195231</v>
      </c>
      <c r="BJ288" s="483">
        <v>198544</v>
      </c>
      <c r="BK288" s="483">
        <v>208195</v>
      </c>
      <c r="BL288" s="483">
        <v>217270</v>
      </c>
      <c r="BM288" s="483">
        <v>225049</v>
      </c>
      <c r="BN288" s="483">
        <v>220231</v>
      </c>
      <c r="BO288" s="483">
        <v>223544</v>
      </c>
      <c r="BP288" s="483">
        <v>233195</v>
      </c>
      <c r="BQ288" s="483">
        <v>242270</v>
      </c>
      <c r="BR288" s="1344">
        <v>250049</v>
      </c>
      <c r="BS288" s="1545"/>
      <c r="BU288" s="1545"/>
      <c r="BV288" s="1545"/>
      <c r="BW288" s="1545"/>
      <c r="BX288" s="1545"/>
      <c r="BY288" s="1545"/>
      <c r="BZ288" s="1545"/>
      <c r="CA288" s="1545"/>
      <c r="CB288" s="1545"/>
      <c r="CC288" s="1545"/>
      <c r="CD288" s="1348" t="s">
        <v>2767</v>
      </c>
      <c r="CE288" s="504">
        <v>140231</v>
      </c>
      <c r="CF288" s="504">
        <v>143544</v>
      </c>
      <c r="CG288" s="504">
        <v>153195</v>
      </c>
      <c r="CH288" s="504">
        <v>162270</v>
      </c>
      <c r="CI288" s="504">
        <v>170049</v>
      </c>
      <c r="CJ288" s="504">
        <v>155231</v>
      </c>
      <c r="CK288" s="504">
        <v>158544</v>
      </c>
      <c r="CL288" s="504">
        <v>168195</v>
      </c>
      <c r="CM288" s="504">
        <v>177270</v>
      </c>
      <c r="CN288" s="1347">
        <v>185049</v>
      </c>
    </row>
    <row r="289" spans="60:92" ht="18" customHeight="1">
      <c r="BH289" s="1348" t="s">
        <v>2768</v>
      </c>
      <c r="BI289" s="483">
        <v>206611</v>
      </c>
      <c r="BJ289" s="483">
        <v>210788</v>
      </c>
      <c r="BK289" s="483">
        <v>222888</v>
      </c>
      <c r="BL289" s="483">
        <v>234124</v>
      </c>
      <c r="BM289" s="483">
        <v>243919</v>
      </c>
      <c r="BN289" s="483">
        <v>231611</v>
      </c>
      <c r="BO289" s="483">
        <v>235788</v>
      </c>
      <c r="BP289" s="483">
        <v>247888</v>
      </c>
      <c r="BQ289" s="483">
        <v>259124</v>
      </c>
      <c r="BR289" s="1344">
        <v>268919</v>
      </c>
      <c r="BS289" s="1545"/>
      <c r="BU289" s="1545"/>
      <c r="BV289" s="1545"/>
      <c r="BW289" s="1545"/>
      <c r="BX289" s="1545"/>
      <c r="BY289" s="1545"/>
      <c r="BZ289" s="1545"/>
      <c r="CA289" s="1545"/>
      <c r="CB289" s="1545"/>
      <c r="CC289" s="1545"/>
      <c r="CD289" s="1348" t="s">
        <v>2768</v>
      </c>
      <c r="CE289" s="504">
        <v>151611</v>
      </c>
      <c r="CF289" s="504">
        <v>155788</v>
      </c>
      <c r="CG289" s="504">
        <v>167888</v>
      </c>
      <c r="CH289" s="504">
        <v>179124</v>
      </c>
      <c r="CI289" s="504">
        <v>188919</v>
      </c>
      <c r="CJ289" s="504">
        <v>166611</v>
      </c>
      <c r="CK289" s="504">
        <v>170788</v>
      </c>
      <c r="CL289" s="504">
        <v>182888</v>
      </c>
      <c r="CM289" s="504">
        <v>194124</v>
      </c>
      <c r="CN289" s="1347">
        <v>203919</v>
      </c>
    </row>
    <row r="290" spans="60:92" ht="18" customHeight="1">
      <c r="BH290" s="1348" t="s">
        <v>2769</v>
      </c>
      <c r="BI290" s="483">
        <v>217990</v>
      </c>
      <c r="BJ290" s="483">
        <v>222888</v>
      </c>
      <c r="BK290" s="483">
        <v>237437</v>
      </c>
      <c r="BL290" s="483">
        <v>250977</v>
      </c>
      <c r="BM290" s="483">
        <v>262645</v>
      </c>
      <c r="BN290" s="483">
        <v>242990</v>
      </c>
      <c r="BO290" s="483">
        <v>247888</v>
      </c>
      <c r="BP290" s="483">
        <v>262437</v>
      </c>
      <c r="BQ290" s="483">
        <v>275977</v>
      </c>
      <c r="BR290" s="1344">
        <v>287645</v>
      </c>
      <c r="BS290" s="1545"/>
      <c r="BU290" s="1545"/>
      <c r="BV290" s="1545"/>
      <c r="BW290" s="1545"/>
      <c r="BX290" s="1545"/>
      <c r="BY290" s="1545"/>
      <c r="BZ290" s="1545"/>
      <c r="CA290" s="1545"/>
      <c r="CB290" s="1545"/>
      <c r="CC290" s="1545"/>
      <c r="CD290" s="1348" t="s">
        <v>2769</v>
      </c>
      <c r="CE290" s="504">
        <v>162990</v>
      </c>
      <c r="CF290" s="504">
        <v>167888</v>
      </c>
      <c r="CG290" s="504">
        <v>182437</v>
      </c>
      <c r="CH290" s="504">
        <v>195977</v>
      </c>
      <c r="CI290" s="504">
        <v>207645</v>
      </c>
      <c r="CJ290" s="504">
        <v>177990</v>
      </c>
      <c r="CK290" s="504">
        <v>182888</v>
      </c>
      <c r="CL290" s="504">
        <v>197437</v>
      </c>
      <c r="CM290" s="504">
        <v>210977</v>
      </c>
      <c r="CN290" s="1347">
        <v>222645</v>
      </c>
    </row>
    <row r="291" spans="60:92" ht="18" customHeight="1">
      <c r="BH291" s="1348" t="s">
        <v>2770</v>
      </c>
      <c r="BI291" s="483">
        <v>229226</v>
      </c>
      <c r="BJ291" s="483">
        <v>234988</v>
      </c>
      <c r="BK291" s="483">
        <v>251985</v>
      </c>
      <c r="BL291" s="483">
        <v>267831</v>
      </c>
      <c r="BM291" s="483">
        <v>281371</v>
      </c>
      <c r="BN291" s="483">
        <v>254226</v>
      </c>
      <c r="BO291" s="483">
        <v>259988</v>
      </c>
      <c r="BP291" s="483">
        <v>276985</v>
      </c>
      <c r="BQ291" s="483">
        <v>292831</v>
      </c>
      <c r="BR291" s="1344">
        <v>306371</v>
      </c>
      <c r="BS291" s="1545"/>
      <c r="BU291" s="1545"/>
      <c r="BV291" s="1545"/>
      <c r="BW291" s="1545"/>
      <c r="BX291" s="1545"/>
      <c r="BY291" s="1545"/>
      <c r="BZ291" s="1545"/>
      <c r="CA291" s="1545"/>
      <c r="CB291" s="1545"/>
      <c r="CC291" s="1545"/>
      <c r="CD291" s="1348" t="s">
        <v>2770</v>
      </c>
      <c r="CE291" s="504">
        <v>174226</v>
      </c>
      <c r="CF291" s="504">
        <v>179988</v>
      </c>
      <c r="CG291" s="504">
        <v>196985</v>
      </c>
      <c r="CH291" s="504">
        <v>212831</v>
      </c>
      <c r="CI291" s="504">
        <v>226371</v>
      </c>
      <c r="CJ291" s="504">
        <v>189226</v>
      </c>
      <c r="CK291" s="504">
        <v>194988</v>
      </c>
      <c r="CL291" s="504">
        <v>211985</v>
      </c>
      <c r="CM291" s="504">
        <v>227831</v>
      </c>
      <c r="CN291" s="1347">
        <v>241371</v>
      </c>
    </row>
    <row r="292" spans="60:92" ht="18" customHeight="1">
      <c r="BH292" s="1348" t="s">
        <v>2771</v>
      </c>
      <c r="BI292" s="483">
        <v>240606</v>
      </c>
      <c r="BJ292" s="483">
        <v>247088</v>
      </c>
      <c r="BK292" s="483">
        <v>266534</v>
      </c>
      <c r="BL292" s="483">
        <v>284540</v>
      </c>
      <c r="BM292" s="483">
        <v>300097</v>
      </c>
      <c r="BN292" s="483">
        <v>265606</v>
      </c>
      <c r="BO292" s="483">
        <v>272088</v>
      </c>
      <c r="BP292" s="483">
        <v>291534</v>
      </c>
      <c r="BQ292" s="483">
        <v>309540</v>
      </c>
      <c r="BR292" s="1344">
        <v>325097</v>
      </c>
      <c r="BS292" s="1545"/>
      <c r="BU292" s="1545"/>
      <c r="BV292" s="1545"/>
      <c r="BW292" s="1545"/>
      <c r="BX292" s="1545"/>
      <c r="BY292" s="1545"/>
      <c r="BZ292" s="1545"/>
      <c r="CA292" s="1545"/>
      <c r="CB292" s="1545"/>
      <c r="CC292" s="1545"/>
      <c r="CD292" s="1348" t="s">
        <v>2771</v>
      </c>
      <c r="CE292" s="504">
        <v>185606</v>
      </c>
      <c r="CF292" s="504">
        <v>192088</v>
      </c>
      <c r="CG292" s="504">
        <v>211534</v>
      </c>
      <c r="CH292" s="504">
        <v>229540</v>
      </c>
      <c r="CI292" s="504">
        <v>245097</v>
      </c>
      <c r="CJ292" s="504">
        <v>200606</v>
      </c>
      <c r="CK292" s="504">
        <v>207088</v>
      </c>
      <c r="CL292" s="504">
        <v>226534</v>
      </c>
      <c r="CM292" s="504">
        <v>244540</v>
      </c>
      <c r="CN292" s="1347">
        <v>260097</v>
      </c>
    </row>
    <row r="293" spans="60:92" ht="18" customHeight="1">
      <c r="BH293" s="1348" t="s">
        <v>2772</v>
      </c>
      <c r="BI293" s="483">
        <v>251985</v>
      </c>
      <c r="BJ293" s="483">
        <v>259332</v>
      </c>
      <c r="BK293" s="483">
        <v>281083</v>
      </c>
      <c r="BL293" s="483">
        <v>301394</v>
      </c>
      <c r="BM293" s="483">
        <v>318967</v>
      </c>
      <c r="BN293" s="483">
        <v>276985</v>
      </c>
      <c r="BO293" s="483">
        <v>284332</v>
      </c>
      <c r="BP293" s="483">
        <v>306083</v>
      </c>
      <c r="BQ293" s="483">
        <v>326394</v>
      </c>
      <c r="BR293" s="1344">
        <v>343967</v>
      </c>
      <c r="BS293" s="1545"/>
      <c r="BU293" s="1545"/>
      <c r="BV293" s="1545"/>
      <c r="BW293" s="1545"/>
      <c r="BX293" s="1545"/>
      <c r="BY293" s="1545"/>
      <c r="BZ293" s="1545"/>
      <c r="CA293" s="1545"/>
      <c r="CB293" s="1545"/>
      <c r="CC293" s="1545"/>
      <c r="CD293" s="1348" t="s">
        <v>2772</v>
      </c>
      <c r="CE293" s="504">
        <v>196985</v>
      </c>
      <c r="CF293" s="504">
        <v>204332</v>
      </c>
      <c r="CG293" s="504">
        <v>226083</v>
      </c>
      <c r="CH293" s="504">
        <v>246394</v>
      </c>
      <c r="CI293" s="504">
        <v>263967</v>
      </c>
      <c r="CJ293" s="504">
        <v>211985</v>
      </c>
      <c r="CK293" s="504">
        <v>219332</v>
      </c>
      <c r="CL293" s="504">
        <v>241083</v>
      </c>
      <c r="CM293" s="504">
        <v>261394</v>
      </c>
      <c r="CN293" s="1347">
        <v>278967</v>
      </c>
    </row>
    <row r="294" spans="60:92" ht="18" customHeight="1">
      <c r="BH294" s="1343" t="s">
        <v>2773</v>
      </c>
      <c r="BI294" s="483">
        <v>150000</v>
      </c>
      <c r="BJ294" s="483">
        <v>150000</v>
      </c>
      <c r="BK294" s="483">
        <v>150000</v>
      </c>
      <c r="BL294" s="483">
        <v>150000</v>
      </c>
      <c r="BM294" s="483">
        <v>150000</v>
      </c>
      <c r="BN294" s="483">
        <v>175000</v>
      </c>
      <c r="BO294" s="483">
        <v>175000</v>
      </c>
      <c r="BP294" s="483">
        <v>175000</v>
      </c>
      <c r="BQ294" s="483">
        <v>175000</v>
      </c>
      <c r="BR294" s="1344">
        <v>175000</v>
      </c>
      <c r="BS294" s="1545"/>
      <c r="BU294" s="1545"/>
      <c r="BV294" s="1545"/>
      <c r="BW294" s="1545"/>
      <c r="BX294" s="1545"/>
      <c r="BY294" s="1545"/>
      <c r="BZ294" s="1545"/>
      <c r="CA294" s="1545"/>
      <c r="CB294" s="1545"/>
      <c r="CC294" s="1545"/>
      <c r="CD294" s="1343" t="s">
        <v>2773</v>
      </c>
      <c r="CE294" s="504">
        <v>95000</v>
      </c>
      <c r="CF294" s="504">
        <v>95000</v>
      </c>
      <c r="CG294" s="504">
        <v>95000</v>
      </c>
      <c r="CH294" s="504">
        <v>95000</v>
      </c>
      <c r="CI294" s="504">
        <v>95000</v>
      </c>
      <c r="CJ294" s="504">
        <v>110000</v>
      </c>
      <c r="CK294" s="504">
        <v>110000</v>
      </c>
      <c r="CL294" s="504">
        <v>110000</v>
      </c>
      <c r="CM294" s="504">
        <v>110000</v>
      </c>
      <c r="CN294" s="1347">
        <v>110000</v>
      </c>
    </row>
    <row r="295" spans="60:92" ht="18" customHeight="1">
      <c r="BH295" s="1348" t="s">
        <v>2774</v>
      </c>
      <c r="BI295" s="483">
        <v>166998</v>
      </c>
      <c r="BJ295" s="483">
        <v>168150</v>
      </c>
      <c r="BK295" s="483">
        <v>171751</v>
      </c>
      <c r="BL295" s="483">
        <v>175208</v>
      </c>
      <c r="BM295" s="483">
        <v>178089</v>
      </c>
      <c r="BN295" s="483">
        <v>191998</v>
      </c>
      <c r="BO295" s="483">
        <v>193150</v>
      </c>
      <c r="BP295" s="483">
        <v>196751</v>
      </c>
      <c r="BQ295" s="483">
        <v>200208</v>
      </c>
      <c r="BR295" s="1344">
        <v>203089</v>
      </c>
      <c r="BS295" s="1545"/>
      <c r="BU295" s="1545"/>
      <c r="BV295" s="1545"/>
      <c r="BW295" s="1545"/>
      <c r="BX295" s="1545"/>
      <c r="BY295" s="1545"/>
      <c r="BZ295" s="1545"/>
      <c r="CA295" s="1545"/>
      <c r="CB295" s="1545"/>
      <c r="CC295" s="1545"/>
      <c r="CD295" s="1348" t="s">
        <v>2774</v>
      </c>
      <c r="CE295" s="504">
        <v>111998</v>
      </c>
      <c r="CF295" s="504">
        <v>113150</v>
      </c>
      <c r="CG295" s="504">
        <v>116751</v>
      </c>
      <c r="CH295" s="504">
        <v>120208</v>
      </c>
      <c r="CI295" s="504">
        <v>123089</v>
      </c>
      <c r="CJ295" s="504">
        <v>126998</v>
      </c>
      <c r="CK295" s="504">
        <v>128150</v>
      </c>
      <c r="CL295" s="504">
        <v>131751</v>
      </c>
      <c r="CM295" s="504">
        <v>135208</v>
      </c>
      <c r="CN295" s="1347">
        <v>138089</v>
      </c>
    </row>
    <row r="296" spans="60:92" ht="18" customHeight="1">
      <c r="BH296" s="1348" t="s">
        <v>2775</v>
      </c>
      <c r="BI296" s="483">
        <v>183995</v>
      </c>
      <c r="BJ296" s="483">
        <v>186300</v>
      </c>
      <c r="BK296" s="483">
        <v>193646</v>
      </c>
      <c r="BL296" s="483">
        <v>200417</v>
      </c>
      <c r="BM296" s="483">
        <v>206178</v>
      </c>
      <c r="BN296" s="483">
        <v>208995</v>
      </c>
      <c r="BO296" s="483">
        <v>211300</v>
      </c>
      <c r="BP296" s="483">
        <v>218646</v>
      </c>
      <c r="BQ296" s="483">
        <v>225417</v>
      </c>
      <c r="BR296" s="1344">
        <v>231178</v>
      </c>
      <c r="BS296" s="1545"/>
      <c r="BU296" s="1545"/>
      <c r="BV296" s="1545"/>
      <c r="BW296" s="1545"/>
      <c r="BX296" s="1545"/>
      <c r="BY296" s="1545"/>
      <c r="BZ296" s="1545"/>
      <c r="CA296" s="1545"/>
      <c r="CB296" s="1545"/>
      <c r="CC296" s="1545"/>
      <c r="CD296" s="1348" t="s">
        <v>2775</v>
      </c>
      <c r="CE296" s="504">
        <v>128995</v>
      </c>
      <c r="CF296" s="504">
        <v>131300</v>
      </c>
      <c r="CG296" s="504">
        <v>138646</v>
      </c>
      <c r="CH296" s="504">
        <v>145417</v>
      </c>
      <c r="CI296" s="504">
        <v>151178</v>
      </c>
      <c r="CJ296" s="504">
        <v>143995</v>
      </c>
      <c r="CK296" s="504">
        <v>146300</v>
      </c>
      <c r="CL296" s="504">
        <v>153646</v>
      </c>
      <c r="CM296" s="504">
        <v>160417</v>
      </c>
      <c r="CN296" s="1347">
        <v>166178</v>
      </c>
    </row>
    <row r="297" spans="60:92" ht="18" customHeight="1">
      <c r="BH297" s="1348" t="s">
        <v>2776</v>
      </c>
      <c r="BI297" s="483">
        <v>200993</v>
      </c>
      <c r="BJ297" s="483">
        <v>204450</v>
      </c>
      <c r="BK297" s="483">
        <v>215397</v>
      </c>
      <c r="BL297" s="483">
        <v>225625</v>
      </c>
      <c r="BM297" s="483">
        <v>234268</v>
      </c>
      <c r="BN297" s="483">
        <v>225993</v>
      </c>
      <c r="BO297" s="483">
        <v>229450</v>
      </c>
      <c r="BP297" s="483">
        <v>240397</v>
      </c>
      <c r="BQ297" s="483">
        <v>250625</v>
      </c>
      <c r="BR297" s="1344">
        <v>259268</v>
      </c>
      <c r="BS297" s="1545"/>
      <c r="BU297" s="1545"/>
      <c r="BV297" s="1545"/>
      <c r="BW297" s="1545"/>
      <c r="BX297" s="1545"/>
      <c r="BY297" s="1545"/>
      <c r="BZ297" s="1545"/>
      <c r="CA297" s="1545"/>
      <c r="CB297" s="1545"/>
      <c r="CC297" s="1545"/>
      <c r="CD297" s="1348" t="s">
        <v>2776</v>
      </c>
      <c r="CE297" s="504">
        <v>145993</v>
      </c>
      <c r="CF297" s="504">
        <v>149450</v>
      </c>
      <c r="CG297" s="504">
        <v>160397</v>
      </c>
      <c r="CH297" s="504">
        <v>170625</v>
      </c>
      <c r="CI297" s="504">
        <v>179268</v>
      </c>
      <c r="CJ297" s="504">
        <v>160993</v>
      </c>
      <c r="CK297" s="504">
        <v>164450</v>
      </c>
      <c r="CL297" s="504">
        <v>175397</v>
      </c>
      <c r="CM297" s="504">
        <v>185625</v>
      </c>
      <c r="CN297" s="1347">
        <v>194268</v>
      </c>
    </row>
    <row r="298" spans="60:92" ht="18" customHeight="1">
      <c r="BH298" s="1348" t="s">
        <v>2777</v>
      </c>
      <c r="BI298" s="483">
        <v>217846</v>
      </c>
      <c r="BJ298" s="483">
        <v>222600</v>
      </c>
      <c r="BK298" s="483">
        <v>237149</v>
      </c>
      <c r="BL298" s="483">
        <v>250689</v>
      </c>
      <c r="BM298" s="483">
        <v>262357</v>
      </c>
      <c r="BN298" s="483">
        <v>242846</v>
      </c>
      <c r="BO298" s="483">
        <v>247600</v>
      </c>
      <c r="BP298" s="483">
        <v>262149</v>
      </c>
      <c r="BQ298" s="483">
        <v>275689</v>
      </c>
      <c r="BR298" s="1344">
        <v>287357</v>
      </c>
      <c r="BS298" s="1545"/>
      <c r="BU298" s="1545"/>
      <c r="BV298" s="1545"/>
      <c r="BW298" s="1545"/>
      <c r="BX298" s="1545"/>
      <c r="BY298" s="1545"/>
      <c r="BZ298" s="1545"/>
      <c r="CA298" s="1545"/>
      <c r="CB298" s="1545"/>
      <c r="CC298" s="1545"/>
      <c r="CD298" s="1348" t="s">
        <v>2777</v>
      </c>
      <c r="CE298" s="504">
        <v>162846</v>
      </c>
      <c r="CF298" s="504">
        <v>167600</v>
      </c>
      <c r="CG298" s="504">
        <v>182149</v>
      </c>
      <c r="CH298" s="504">
        <v>195689</v>
      </c>
      <c r="CI298" s="504">
        <v>207357</v>
      </c>
      <c r="CJ298" s="504">
        <v>177846</v>
      </c>
      <c r="CK298" s="504">
        <v>182600</v>
      </c>
      <c r="CL298" s="504">
        <v>197149</v>
      </c>
      <c r="CM298" s="504">
        <v>210689</v>
      </c>
      <c r="CN298" s="1347">
        <v>222357</v>
      </c>
    </row>
    <row r="299" spans="60:92" ht="18" customHeight="1">
      <c r="BH299" s="1348" t="s">
        <v>2778</v>
      </c>
      <c r="BI299" s="483">
        <v>234844</v>
      </c>
      <c r="BJ299" s="483">
        <v>240894</v>
      </c>
      <c r="BK299" s="483">
        <v>259044</v>
      </c>
      <c r="BL299" s="483">
        <v>275897</v>
      </c>
      <c r="BM299" s="483">
        <v>290590</v>
      </c>
      <c r="BN299" s="483">
        <v>259844</v>
      </c>
      <c r="BO299" s="483">
        <v>265894</v>
      </c>
      <c r="BP299" s="483">
        <v>284044</v>
      </c>
      <c r="BQ299" s="483">
        <v>300897</v>
      </c>
      <c r="BR299" s="1344">
        <v>315590</v>
      </c>
      <c r="BS299" s="1545"/>
      <c r="BU299" s="1545"/>
      <c r="BV299" s="1545"/>
      <c r="BW299" s="1545"/>
      <c r="BX299" s="1545"/>
      <c r="BY299" s="1545"/>
      <c r="BZ299" s="1545"/>
      <c r="CA299" s="1545"/>
      <c r="CB299" s="1545"/>
      <c r="CC299" s="1545"/>
      <c r="CD299" s="1348" t="s">
        <v>2778</v>
      </c>
      <c r="CE299" s="504">
        <v>179844</v>
      </c>
      <c r="CF299" s="504">
        <v>185894</v>
      </c>
      <c r="CG299" s="504">
        <v>204044</v>
      </c>
      <c r="CH299" s="504">
        <v>220897</v>
      </c>
      <c r="CI299" s="504">
        <v>235590</v>
      </c>
      <c r="CJ299" s="504">
        <v>194844</v>
      </c>
      <c r="CK299" s="504">
        <v>200894</v>
      </c>
      <c r="CL299" s="504">
        <v>219044</v>
      </c>
      <c r="CM299" s="504">
        <v>235897</v>
      </c>
      <c r="CN299" s="1347">
        <v>250590</v>
      </c>
    </row>
    <row r="300" spans="60:92" ht="18" customHeight="1">
      <c r="BH300" s="1348" t="s">
        <v>2779</v>
      </c>
      <c r="BI300" s="483">
        <v>251841</v>
      </c>
      <c r="BJ300" s="483">
        <v>259044</v>
      </c>
      <c r="BK300" s="483">
        <v>280795</v>
      </c>
      <c r="BL300" s="483">
        <v>301106</v>
      </c>
      <c r="BM300" s="483">
        <v>318679</v>
      </c>
      <c r="BN300" s="483">
        <v>276841</v>
      </c>
      <c r="BO300" s="483">
        <v>284044</v>
      </c>
      <c r="BP300" s="483">
        <v>305795</v>
      </c>
      <c r="BQ300" s="483">
        <v>326106</v>
      </c>
      <c r="BR300" s="1344">
        <v>343679</v>
      </c>
      <c r="BS300" s="1545"/>
      <c r="BU300" s="1545"/>
      <c r="BV300" s="1545"/>
      <c r="BW300" s="1545"/>
      <c r="BX300" s="1545"/>
      <c r="BY300" s="1545"/>
      <c r="BZ300" s="1545"/>
      <c r="CA300" s="1545"/>
      <c r="CB300" s="1545"/>
      <c r="CC300" s="1545"/>
      <c r="CD300" s="1348" t="s">
        <v>2779</v>
      </c>
      <c r="CE300" s="504">
        <v>196841</v>
      </c>
      <c r="CF300" s="504">
        <v>204044</v>
      </c>
      <c r="CG300" s="504">
        <v>225795</v>
      </c>
      <c r="CH300" s="504">
        <v>246106</v>
      </c>
      <c r="CI300" s="504">
        <v>263679</v>
      </c>
      <c r="CJ300" s="504">
        <v>211841</v>
      </c>
      <c r="CK300" s="504">
        <v>219044</v>
      </c>
      <c r="CL300" s="504">
        <v>240795</v>
      </c>
      <c r="CM300" s="504">
        <v>261106</v>
      </c>
      <c r="CN300" s="1347">
        <v>278679</v>
      </c>
    </row>
    <row r="301" spans="60:92" ht="18" customHeight="1">
      <c r="BH301" s="1348" t="s">
        <v>2780</v>
      </c>
      <c r="BI301" s="483">
        <v>268839</v>
      </c>
      <c r="BJ301" s="483">
        <v>277194</v>
      </c>
      <c r="BK301" s="483">
        <v>302690</v>
      </c>
      <c r="BL301" s="483">
        <v>326314</v>
      </c>
      <c r="BM301" s="483">
        <v>346769</v>
      </c>
      <c r="BN301" s="483">
        <v>293839</v>
      </c>
      <c r="BO301" s="483">
        <v>302194</v>
      </c>
      <c r="BP301" s="483">
        <v>327690</v>
      </c>
      <c r="BQ301" s="483">
        <v>351314</v>
      </c>
      <c r="BR301" s="1344">
        <v>371769</v>
      </c>
      <c r="BS301" s="1545"/>
      <c r="BU301" s="1545"/>
      <c r="BV301" s="1545"/>
      <c r="BW301" s="1545"/>
      <c r="BX301" s="1545"/>
      <c r="BY301" s="1545"/>
      <c r="BZ301" s="1545"/>
      <c r="CA301" s="1545"/>
      <c r="CB301" s="1545"/>
      <c r="CC301" s="1545"/>
      <c r="CD301" s="1348" t="s">
        <v>2780</v>
      </c>
      <c r="CE301" s="504">
        <v>213839</v>
      </c>
      <c r="CF301" s="504">
        <v>222194</v>
      </c>
      <c r="CG301" s="504">
        <v>247690</v>
      </c>
      <c r="CH301" s="504">
        <v>271314</v>
      </c>
      <c r="CI301" s="504">
        <v>291769</v>
      </c>
      <c r="CJ301" s="504">
        <v>228839</v>
      </c>
      <c r="CK301" s="504">
        <v>237194</v>
      </c>
      <c r="CL301" s="504">
        <v>262690</v>
      </c>
      <c r="CM301" s="504">
        <v>286314</v>
      </c>
      <c r="CN301" s="1347">
        <v>306769</v>
      </c>
    </row>
    <row r="302" spans="60:92" ht="18" customHeight="1">
      <c r="BH302" s="1348" t="s">
        <v>2781</v>
      </c>
      <c r="BI302" s="483">
        <v>285693</v>
      </c>
      <c r="BJ302" s="483">
        <v>295344</v>
      </c>
      <c r="BK302" s="483">
        <v>324441</v>
      </c>
      <c r="BL302" s="483">
        <v>351522</v>
      </c>
      <c r="BM302" s="483">
        <v>374858</v>
      </c>
      <c r="BN302" s="483">
        <v>310693</v>
      </c>
      <c r="BO302" s="483">
        <v>320344</v>
      </c>
      <c r="BP302" s="483">
        <v>349441</v>
      </c>
      <c r="BQ302" s="483">
        <v>376522</v>
      </c>
      <c r="BR302" s="1344">
        <v>399858</v>
      </c>
      <c r="BS302" s="1545"/>
      <c r="BU302" s="1545"/>
      <c r="BV302" s="1545"/>
      <c r="BW302" s="1545"/>
      <c r="BX302" s="1545"/>
      <c r="BY302" s="1545"/>
      <c r="BZ302" s="1545"/>
      <c r="CA302" s="1545"/>
      <c r="CB302" s="1545"/>
      <c r="CC302" s="1545"/>
      <c r="CD302" s="1348" t="s">
        <v>2781</v>
      </c>
      <c r="CE302" s="504">
        <v>230693</v>
      </c>
      <c r="CF302" s="504">
        <v>240344</v>
      </c>
      <c r="CG302" s="504">
        <v>269441</v>
      </c>
      <c r="CH302" s="504">
        <v>296522</v>
      </c>
      <c r="CI302" s="504">
        <v>319858</v>
      </c>
      <c r="CJ302" s="504">
        <v>245693</v>
      </c>
      <c r="CK302" s="504">
        <v>255344</v>
      </c>
      <c r="CL302" s="504">
        <v>284441</v>
      </c>
      <c r="CM302" s="504">
        <v>311522</v>
      </c>
      <c r="CN302" s="1347">
        <v>334858</v>
      </c>
    </row>
    <row r="303" spans="60:92" ht="18" customHeight="1">
      <c r="BH303" s="1348" t="s">
        <v>2782</v>
      </c>
      <c r="BI303" s="483">
        <v>302690</v>
      </c>
      <c r="BJ303" s="483">
        <v>313494</v>
      </c>
      <c r="BK303" s="483">
        <v>346192</v>
      </c>
      <c r="BL303" s="483">
        <v>376730</v>
      </c>
      <c r="BM303" s="483">
        <v>402947</v>
      </c>
      <c r="BN303" s="483">
        <v>327690</v>
      </c>
      <c r="BO303" s="483">
        <v>338494</v>
      </c>
      <c r="BP303" s="483">
        <v>371192</v>
      </c>
      <c r="BQ303" s="483">
        <v>401730</v>
      </c>
      <c r="BR303" s="1344">
        <v>427947</v>
      </c>
      <c r="BS303" s="1545"/>
      <c r="BU303" s="1545"/>
      <c r="BV303" s="1545"/>
      <c r="BW303" s="1545"/>
      <c r="BX303" s="1545"/>
      <c r="BY303" s="1545"/>
      <c r="BZ303" s="1545"/>
      <c r="CA303" s="1545"/>
      <c r="CB303" s="1545"/>
      <c r="CC303" s="1545"/>
      <c r="CD303" s="1348" t="s">
        <v>2782</v>
      </c>
      <c r="CE303" s="504">
        <v>247690</v>
      </c>
      <c r="CF303" s="504">
        <v>258494</v>
      </c>
      <c r="CG303" s="504">
        <v>291192</v>
      </c>
      <c r="CH303" s="504">
        <v>321730</v>
      </c>
      <c r="CI303" s="504">
        <v>347947</v>
      </c>
      <c r="CJ303" s="504">
        <v>262690</v>
      </c>
      <c r="CK303" s="504">
        <v>273494</v>
      </c>
      <c r="CL303" s="504">
        <v>306192</v>
      </c>
      <c r="CM303" s="504">
        <v>336730</v>
      </c>
      <c r="CN303" s="1347">
        <v>362947</v>
      </c>
    </row>
    <row r="304" spans="60:92" ht="18" customHeight="1">
      <c r="BH304" s="1343" t="s">
        <v>2783</v>
      </c>
      <c r="BI304" s="483">
        <v>150000</v>
      </c>
      <c r="BJ304" s="483">
        <v>150000</v>
      </c>
      <c r="BK304" s="483">
        <v>150000</v>
      </c>
      <c r="BL304" s="483">
        <v>150000</v>
      </c>
      <c r="BM304" s="483">
        <v>150000</v>
      </c>
      <c r="BN304" s="483">
        <v>175000</v>
      </c>
      <c r="BO304" s="483">
        <v>175000</v>
      </c>
      <c r="BP304" s="483">
        <v>175000</v>
      </c>
      <c r="BQ304" s="483">
        <v>175000</v>
      </c>
      <c r="BR304" s="1344">
        <v>175000</v>
      </c>
      <c r="BS304" s="1545"/>
      <c r="BU304" s="1545"/>
      <c r="BV304" s="1545"/>
      <c r="BW304" s="1545"/>
      <c r="BX304" s="1545"/>
      <c r="BY304" s="1545"/>
      <c r="BZ304" s="1545"/>
      <c r="CA304" s="1545"/>
      <c r="CB304" s="1545"/>
      <c r="CC304" s="1545"/>
      <c r="CD304" s="1343" t="s">
        <v>2783</v>
      </c>
      <c r="CE304" s="504">
        <v>95000</v>
      </c>
      <c r="CF304" s="504">
        <v>95000</v>
      </c>
      <c r="CG304" s="504">
        <v>95000</v>
      </c>
      <c r="CH304" s="504">
        <v>95000</v>
      </c>
      <c r="CI304" s="504">
        <v>95000</v>
      </c>
      <c r="CJ304" s="504">
        <v>110000</v>
      </c>
      <c r="CK304" s="504">
        <v>110000</v>
      </c>
      <c r="CL304" s="504">
        <v>110000</v>
      </c>
      <c r="CM304" s="504">
        <v>110000</v>
      </c>
      <c r="CN304" s="1347">
        <v>110000</v>
      </c>
    </row>
    <row r="305" spans="60:92" ht="18" customHeight="1">
      <c r="BH305" s="1348" t="s">
        <v>2784</v>
      </c>
      <c r="BI305" s="483">
        <v>161380</v>
      </c>
      <c r="BJ305" s="483">
        <v>162244</v>
      </c>
      <c r="BK305" s="483">
        <v>164693</v>
      </c>
      <c r="BL305" s="483">
        <v>166998</v>
      </c>
      <c r="BM305" s="483">
        <v>168870</v>
      </c>
      <c r="BN305" s="483">
        <v>186380</v>
      </c>
      <c r="BO305" s="483">
        <v>187244</v>
      </c>
      <c r="BP305" s="483">
        <v>189693</v>
      </c>
      <c r="BQ305" s="483">
        <v>191998</v>
      </c>
      <c r="BR305" s="1344">
        <v>193870</v>
      </c>
      <c r="BS305" s="1545"/>
      <c r="BU305" s="1545"/>
      <c r="BV305" s="1545"/>
      <c r="BW305" s="1545"/>
      <c r="BX305" s="1545"/>
      <c r="BY305" s="1545"/>
      <c r="BZ305" s="1545"/>
      <c r="CA305" s="1545"/>
      <c r="CB305" s="1545"/>
      <c r="CC305" s="1545"/>
      <c r="CD305" s="1348" t="s">
        <v>2784</v>
      </c>
      <c r="CE305" s="504">
        <v>106380</v>
      </c>
      <c r="CF305" s="504">
        <v>107244</v>
      </c>
      <c r="CG305" s="504">
        <v>109693</v>
      </c>
      <c r="CH305" s="504">
        <v>111998</v>
      </c>
      <c r="CI305" s="504">
        <v>113870</v>
      </c>
      <c r="CJ305" s="504">
        <v>121380</v>
      </c>
      <c r="CK305" s="504">
        <v>122244</v>
      </c>
      <c r="CL305" s="504">
        <v>124693</v>
      </c>
      <c r="CM305" s="504">
        <v>126998</v>
      </c>
      <c r="CN305" s="1347">
        <v>128870</v>
      </c>
    </row>
    <row r="306" spans="60:92" ht="18" customHeight="1">
      <c r="BH306" s="1348" t="s">
        <v>2785</v>
      </c>
      <c r="BI306" s="483">
        <v>172904</v>
      </c>
      <c r="BJ306" s="483">
        <v>174488</v>
      </c>
      <c r="BK306" s="483">
        <v>179386</v>
      </c>
      <c r="BL306" s="483">
        <v>183851</v>
      </c>
      <c r="BM306" s="483">
        <v>187884</v>
      </c>
      <c r="BN306" s="483">
        <v>197904</v>
      </c>
      <c r="BO306" s="483">
        <v>199488</v>
      </c>
      <c r="BP306" s="483">
        <v>204386</v>
      </c>
      <c r="BQ306" s="483">
        <v>208851</v>
      </c>
      <c r="BR306" s="1344">
        <v>212884</v>
      </c>
      <c r="BS306" s="1545"/>
      <c r="BU306" s="1545"/>
      <c r="BV306" s="1545"/>
      <c r="BW306" s="1545"/>
      <c r="BX306" s="1545"/>
      <c r="BY306" s="1545"/>
      <c r="BZ306" s="1545"/>
      <c r="CA306" s="1545"/>
      <c r="CB306" s="1545"/>
      <c r="CC306" s="1545"/>
      <c r="CD306" s="1348" t="s">
        <v>2785</v>
      </c>
      <c r="CE306" s="504">
        <v>117904</v>
      </c>
      <c r="CF306" s="504">
        <v>119488</v>
      </c>
      <c r="CG306" s="504">
        <v>124386</v>
      </c>
      <c r="CH306" s="504">
        <v>128851</v>
      </c>
      <c r="CI306" s="504">
        <v>132884</v>
      </c>
      <c r="CJ306" s="504">
        <v>132904</v>
      </c>
      <c r="CK306" s="504">
        <v>134488</v>
      </c>
      <c r="CL306" s="504">
        <v>139386</v>
      </c>
      <c r="CM306" s="504">
        <v>143851</v>
      </c>
      <c r="CN306" s="1347">
        <v>147884</v>
      </c>
    </row>
    <row r="307" spans="60:92" ht="18" customHeight="1">
      <c r="BH307" s="1348" t="s">
        <v>2786</v>
      </c>
      <c r="BI307" s="483">
        <v>184283</v>
      </c>
      <c r="BJ307" s="483">
        <v>186732</v>
      </c>
      <c r="BK307" s="483">
        <v>194078</v>
      </c>
      <c r="BL307" s="483">
        <v>200849</v>
      </c>
      <c r="BM307" s="483">
        <v>206755</v>
      </c>
      <c r="BN307" s="483">
        <v>209283</v>
      </c>
      <c r="BO307" s="483">
        <v>211732</v>
      </c>
      <c r="BP307" s="483">
        <v>219078</v>
      </c>
      <c r="BQ307" s="483">
        <v>225849</v>
      </c>
      <c r="BR307" s="1344">
        <v>231755</v>
      </c>
      <c r="BS307" s="1545"/>
      <c r="BU307" s="1545"/>
      <c r="BV307" s="1545"/>
      <c r="BW307" s="1545"/>
      <c r="BX307" s="1545"/>
      <c r="BY307" s="1545"/>
      <c r="BZ307" s="1545"/>
      <c r="CA307" s="1545"/>
      <c r="CB307" s="1545"/>
      <c r="CC307" s="1545"/>
      <c r="CD307" s="1348" t="s">
        <v>2786</v>
      </c>
      <c r="CE307" s="504">
        <v>129283</v>
      </c>
      <c r="CF307" s="504">
        <v>131732</v>
      </c>
      <c r="CG307" s="504">
        <v>139078</v>
      </c>
      <c r="CH307" s="504">
        <v>145849</v>
      </c>
      <c r="CI307" s="504">
        <v>151755</v>
      </c>
      <c r="CJ307" s="504">
        <v>144283</v>
      </c>
      <c r="CK307" s="504">
        <v>146732</v>
      </c>
      <c r="CL307" s="504">
        <v>154078</v>
      </c>
      <c r="CM307" s="504">
        <v>160849</v>
      </c>
      <c r="CN307" s="1347">
        <v>166755</v>
      </c>
    </row>
    <row r="308" spans="60:92" ht="18" customHeight="1">
      <c r="BH308" s="1348" t="s">
        <v>2787</v>
      </c>
      <c r="BI308" s="483">
        <v>195663</v>
      </c>
      <c r="BJ308" s="483">
        <v>198976</v>
      </c>
      <c r="BK308" s="483">
        <v>208771</v>
      </c>
      <c r="BL308" s="483">
        <v>217846</v>
      </c>
      <c r="BM308" s="483">
        <v>225625</v>
      </c>
      <c r="BN308" s="483">
        <v>220663</v>
      </c>
      <c r="BO308" s="483">
        <v>223976</v>
      </c>
      <c r="BP308" s="483">
        <v>233771</v>
      </c>
      <c r="BQ308" s="483">
        <v>242846</v>
      </c>
      <c r="BR308" s="1344">
        <v>250625</v>
      </c>
      <c r="BS308" s="1545"/>
      <c r="BU308" s="1545"/>
      <c r="BV308" s="1545"/>
      <c r="BW308" s="1545"/>
      <c r="BX308" s="1545"/>
      <c r="BY308" s="1545"/>
      <c r="BZ308" s="1545"/>
      <c r="CA308" s="1545"/>
      <c r="CB308" s="1545"/>
      <c r="CC308" s="1545"/>
      <c r="CD308" s="1348" t="s">
        <v>2787</v>
      </c>
      <c r="CE308" s="504">
        <v>140663</v>
      </c>
      <c r="CF308" s="504">
        <v>143976</v>
      </c>
      <c r="CG308" s="504">
        <v>153771</v>
      </c>
      <c r="CH308" s="504">
        <v>162846</v>
      </c>
      <c r="CI308" s="504">
        <v>170625</v>
      </c>
      <c r="CJ308" s="504">
        <v>155663</v>
      </c>
      <c r="CK308" s="504">
        <v>158976</v>
      </c>
      <c r="CL308" s="504">
        <v>168771</v>
      </c>
      <c r="CM308" s="504">
        <v>177846</v>
      </c>
      <c r="CN308" s="1347">
        <v>185625</v>
      </c>
    </row>
    <row r="309" spans="60:92" ht="18" customHeight="1">
      <c r="BH309" s="1348" t="s">
        <v>2788</v>
      </c>
      <c r="BI309" s="483">
        <v>207187</v>
      </c>
      <c r="BJ309" s="483">
        <v>211220</v>
      </c>
      <c r="BK309" s="483">
        <v>223464</v>
      </c>
      <c r="BL309" s="483">
        <v>234844</v>
      </c>
      <c r="BM309" s="483">
        <v>244639</v>
      </c>
      <c r="BN309" s="483">
        <v>232187</v>
      </c>
      <c r="BO309" s="483">
        <v>236220</v>
      </c>
      <c r="BP309" s="483">
        <v>248464</v>
      </c>
      <c r="BQ309" s="483">
        <v>259844</v>
      </c>
      <c r="BR309" s="1344">
        <v>269639</v>
      </c>
      <c r="BS309" s="1545"/>
      <c r="BU309" s="1545"/>
      <c r="BV309" s="1545"/>
      <c r="BW309" s="1545"/>
      <c r="BX309" s="1545"/>
      <c r="BY309" s="1545"/>
      <c r="BZ309" s="1545"/>
      <c r="CA309" s="1545"/>
      <c r="CB309" s="1545"/>
      <c r="CC309" s="1545"/>
      <c r="CD309" s="1348" t="s">
        <v>2788</v>
      </c>
      <c r="CE309" s="504">
        <v>152187</v>
      </c>
      <c r="CF309" s="504">
        <v>156220</v>
      </c>
      <c r="CG309" s="504">
        <v>168464</v>
      </c>
      <c r="CH309" s="504">
        <v>179844</v>
      </c>
      <c r="CI309" s="504">
        <v>189639</v>
      </c>
      <c r="CJ309" s="504">
        <v>167187</v>
      </c>
      <c r="CK309" s="504">
        <v>171220</v>
      </c>
      <c r="CL309" s="504">
        <v>183464</v>
      </c>
      <c r="CM309" s="504">
        <v>194844</v>
      </c>
      <c r="CN309" s="1347">
        <v>204639</v>
      </c>
    </row>
    <row r="310" spans="60:92" ht="18" customHeight="1">
      <c r="BH310" s="1348" t="s">
        <v>2789</v>
      </c>
      <c r="BI310" s="483">
        <v>218567</v>
      </c>
      <c r="BJ310" s="483">
        <v>223464</v>
      </c>
      <c r="BK310" s="483">
        <v>238157</v>
      </c>
      <c r="BL310" s="483">
        <v>251841</v>
      </c>
      <c r="BM310" s="483">
        <v>263509</v>
      </c>
      <c r="BN310" s="483">
        <v>243567</v>
      </c>
      <c r="BO310" s="483">
        <v>248464</v>
      </c>
      <c r="BP310" s="483">
        <v>263157</v>
      </c>
      <c r="BQ310" s="483">
        <v>276841</v>
      </c>
      <c r="BR310" s="1344">
        <v>288509</v>
      </c>
      <c r="BS310" s="1545"/>
      <c r="BU310" s="1545"/>
      <c r="BV310" s="1545"/>
      <c r="BW310" s="1545"/>
      <c r="BX310" s="1545"/>
      <c r="BY310" s="1545"/>
      <c r="BZ310" s="1545"/>
      <c r="CA310" s="1545"/>
      <c r="CB310" s="1545"/>
      <c r="CC310" s="1545"/>
      <c r="CD310" s="1348" t="s">
        <v>2789</v>
      </c>
      <c r="CE310" s="504">
        <v>163567</v>
      </c>
      <c r="CF310" s="504">
        <v>168464</v>
      </c>
      <c r="CG310" s="504">
        <v>183157</v>
      </c>
      <c r="CH310" s="504">
        <v>196841</v>
      </c>
      <c r="CI310" s="504">
        <v>208509</v>
      </c>
      <c r="CJ310" s="504">
        <v>178567</v>
      </c>
      <c r="CK310" s="504">
        <v>183464</v>
      </c>
      <c r="CL310" s="504">
        <v>198157</v>
      </c>
      <c r="CM310" s="504">
        <v>211841</v>
      </c>
      <c r="CN310" s="1347">
        <v>223509</v>
      </c>
    </row>
    <row r="311" spans="60:92" ht="18" customHeight="1">
      <c r="BH311" s="1348" t="s">
        <v>2790</v>
      </c>
      <c r="BI311" s="483">
        <v>230090</v>
      </c>
      <c r="BJ311" s="483">
        <v>235708</v>
      </c>
      <c r="BK311" s="483">
        <v>252850</v>
      </c>
      <c r="BL311" s="483">
        <v>268695</v>
      </c>
      <c r="BM311" s="483">
        <v>282524</v>
      </c>
      <c r="BN311" s="483">
        <v>255090</v>
      </c>
      <c r="BO311" s="483">
        <v>260708</v>
      </c>
      <c r="BP311" s="483">
        <v>277850</v>
      </c>
      <c r="BQ311" s="483">
        <v>293695</v>
      </c>
      <c r="BR311" s="1344">
        <v>307524</v>
      </c>
      <c r="BS311" s="1545"/>
      <c r="BU311" s="1545"/>
      <c r="BV311" s="1545"/>
      <c r="BW311" s="1545"/>
      <c r="BX311" s="1545"/>
      <c r="BY311" s="1545"/>
      <c r="BZ311" s="1545"/>
      <c r="CA311" s="1545"/>
      <c r="CB311" s="1545"/>
      <c r="CC311" s="1545"/>
      <c r="CD311" s="1348" t="s">
        <v>2790</v>
      </c>
      <c r="CE311" s="504">
        <v>175090</v>
      </c>
      <c r="CF311" s="504">
        <v>180708</v>
      </c>
      <c r="CG311" s="504">
        <v>197850</v>
      </c>
      <c r="CH311" s="504">
        <v>213695</v>
      </c>
      <c r="CI311" s="504">
        <v>227524</v>
      </c>
      <c r="CJ311" s="504">
        <v>190090</v>
      </c>
      <c r="CK311" s="504">
        <v>195708</v>
      </c>
      <c r="CL311" s="504">
        <v>212850</v>
      </c>
      <c r="CM311" s="504">
        <v>228695</v>
      </c>
      <c r="CN311" s="1347">
        <v>242524</v>
      </c>
    </row>
    <row r="312" spans="60:92" ht="18" customHeight="1">
      <c r="BH312" s="1348" t="s">
        <v>2791</v>
      </c>
      <c r="BI312" s="483">
        <v>241470</v>
      </c>
      <c r="BJ312" s="483">
        <v>247952</v>
      </c>
      <c r="BK312" s="483">
        <v>267543</v>
      </c>
      <c r="BL312" s="483">
        <v>285693</v>
      </c>
      <c r="BM312" s="483">
        <v>301394</v>
      </c>
      <c r="BN312" s="483">
        <v>266470</v>
      </c>
      <c r="BO312" s="483">
        <v>272952</v>
      </c>
      <c r="BP312" s="483">
        <v>292543</v>
      </c>
      <c r="BQ312" s="483">
        <v>310693</v>
      </c>
      <c r="BR312" s="1344">
        <v>326394</v>
      </c>
      <c r="BS312" s="1545"/>
      <c r="BU312" s="1545"/>
      <c r="BV312" s="1545"/>
      <c r="BW312" s="1545"/>
      <c r="BX312" s="1545"/>
      <c r="BY312" s="1545"/>
      <c r="BZ312" s="1545"/>
      <c r="CA312" s="1545"/>
      <c r="CB312" s="1545"/>
      <c r="CC312" s="1545"/>
      <c r="CD312" s="1348" t="s">
        <v>2791</v>
      </c>
      <c r="CE312" s="504">
        <v>186470</v>
      </c>
      <c r="CF312" s="504">
        <v>192952</v>
      </c>
      <c r="CG312" s="504">
        <v>212543</v>
      </c>
      <c r="CH312" s="504">
        <v>230693</v>
      </c>
      <c r="CI312" s="504">
        <v>246394</v>
      </c>
      <c r="CJ312" s="504">
        <v>201470</v>
      </c>
      <c r="CK312" s="504">
        <v>207952</v>
      </c>
      <c r="CL312" s="504">
        <v>227543</v>
      </c>
      <c r="CM312" s="504">
        <v>245693</v>
      </c>
      <c r="CN312" s="1347">
        <v>261394</v>
      </c>
    </row>
    <row r="313" spans="60:92" ht="18" customHeight="1">
      <c r="BH313" s="1348" t="s">
        <v>2792</v>
      </c>
      <c r="BI313" s="483">
        <v>252850</v>
      </c>
      <c r="BJ313" s="483">
        <v>260196</v>
      </c>
      <c r="BK313" s="483">
        <v>282235</v>
      </c>
      <c r="BL313" s="483">
        <v>302690</v>
      </c>
      <c r="BM313" s="483">
        <v>320264</v>
      </c>
      <c r="BN313" s="483">
        <v>277850</v>
      </c>
      <c r="BO313" s="483">
        <v>285196</v>
      </c>
      <c r="BP313" s="483">
        <v>307235</v>
      </c>
      <c r="BQ313" s="483">
        <v>327690</v>
      </c>
      <c r="BR313" s="1344">
        <v>345264</v>
      </c>
      <c r="BS313" s="1545"/>
      <c r="BU313" s="1545"/>
      <c r="BV313" s="1545"/>
      <c r="BW313" s="1545"/>
      <c r="BX313" s="1545"/>
      <c r="BY313" s="1545"/>
      <c r="BZ313" s="1545"/>
      <c r="CA313" s="1545"/>
      <c r="CB313" s="1545"/>
      <c r="CC313" s="1545"/>
      <c r="CD313" s="1348" t="s">
        <v>2792</v>
      </c>
      <c r="CE313" s="504">
        <v>197850</v>
      </c>
      <c r="CF313" s="504">
        <v>205196</v>
      </c>
      <c r="CG313" s="504">
        <v>227235</v>
      </c>
      <c r="CH313" s="504">
        <v>247690</v>
      </c>
      <c r="CI313" s="504">
        <v>265264</v>
      </c>
      <c r="CJ313" s="504">
        <v>212850</v>
      </c>
      <c r="CK313" s="504">
        <v>220196</v>
      </c>
      <c r="CL313" s="504">
        <v>242235</v>
      </c>
      <c r="CM313" s="504">
        <v>262690</v>
      </c>
      <c r="CN313" s="1347">
        <v>280264</v>
      </c>
    </row>
    <row r="314" spans="60:92" ht="18" customHeight="1">
      <c r="BH314" s="1343" t="s">
        <v>2793</v>
      </c>
      <c r="BI314" s="483">
        <v>150000</v>
      </c>
      <c r="BJ314" s="483">
        <v>150000</v>
      </c>
      <c r="BK314" s="483">
        <v>150000</v>
      </c>
      <c r="BL314" s="483">
        <v>150000</v>
      </c>
      <c r="BM314" s="483">
        <v>150000</v>
      </c>
      <c r="BN314" s="483">
        <v>175000</v>
      </c>
      <c r="BO314" s="483">
        <v>175000</v>
      </c>
      <c r="BP314" s="483">
        <v>175000</v>
      </c>
      <c r="BQ314" s="483">
        <v>175000</v>
      </c>
      <c r="BR314" s="1344">
        <v>175000</v>
      </c>
      <c r="BS314" s="1545"/>
      <c r="BU314" s="1545"/>
      <c r="BV314" s="1545"/>
      <c r="BW314" s="1545"/>
      <c r="BX314" s="1545"/>
      <c r="BY314" s="1545"/>
      <c r="BZ314" s="1545"/>
      <c r="CA314" s="1545"/>
      <c r="CB314" s="1545"/>
      <c r="CC314" s="1545"/>
      <c r="CD314" s="1343" t="s">
        <v>2793</v>
      </c>
      <c r="CE314" s="504">
        <v>95000</v>
      </c>
      <c r="CF314" s="504">
        <v>95000</v>
      </c>
      <c r="CG314" s="504">
        <v>95000</v>
      </c>
      <c r="CH314" s="504">
        <v>95000</v>
      </c>
      <c r="CI314" s="504">
        <v>95000</v>
      </c>
      <c r="CJ314" s="504">
        <v>110000</v>
      </c>
      <c r="CK314" s="504">
        <v>110000</v>
      </c>
      <c r="CL314" s="504">
        <v>110000</v>
      </c>
      <c r="CM314" s="504">
        <v>110000</v>
      </c>
      <c r="CN314" s="1347">
        <v>110000</v>
      </c>
    </row>
    <row r="315" spans="60:92" ht="18" customHeight="1">
      <c r="BH315" s="1348" t="s">
        <v>2794</v>
      </c>
      <c r="BI315" s="483">
        <v>159219</v>
      </c>
      <c r="BJ315" s="483">
        <v>159795</v>
      </c>
      <c r="BK315" s="483">
        <v>161956</v>
      </c>
      <c r="BL315" s="483">
        <v>163684</v>
      </c>
      <c r="BM315" s="483">
        <v>165269</v>
      </c>
      <c r="BN315" s="483">
        <v>184219</v>
      </c>
      <c r="BO315" s="483">
        <v>184795</v>
      </c>
      <c r="BP315" s="483">
        <v>186956</v>
      </c>
      <c r="BQ315" s="483">
        <v>188684</v>
      </c>
      <c r="BR315" s="1344">
        <v>190269</v>
      </c>
      <c r="BS315" s="1545"/>
      <c r="BU315" s="1545"/>
      <c r="BV315" s="1545"/>
      <c r="BW315" s="1545"/>
      <c r="BX315" s="1545"/>
      <c r="BY315" s="1545"/>
      <c r="BZ315" s="1545"/>
      <c r="CA315" s="1545"/>
      <c r="CB315" s="1545"/>
      <c r="CC315" s="1545"/>
      <c r="CD315" s="1348" t="s">
        <v>2794</v>
      </c>
      <c r="CE315" s="504">
        <v>104219</v>
      </c>
      <c r="CF315" s="504">
        <v>104795</v>
      </c>
      <c r="CG315" s="504">
        <v>106956</v>
      </c>
      <c r="CH315" s="504">
        <v>108684</v>
      </c>
      <c r="CI315" s="504">
        <v>110269</v>
      </c>
      <c r="CJ315" s="504">
        <v>119219</v>
      </c>
      <c r="CK315" s="504">
        <v>119795</v>
      </c>
      <c r="CL315" s="504">
        <v>121956</v>
      </c>
      <c r="CM315" s="504">
        <v>123684</v>
      </c>
      <c r="CN315" s="1347">
        <v>125269</v>
      </c>
    </row>
    <row r="316" spans="60:92" ht="18" customHeight="1">
      <c r="BH316" s="1348" t="s">
        <v>2795</v>
      </c>
      <c r="BI316" s="483">
        <v>168438</v>
      </c>
      <c r="BJ316" s="483">
        <v>169734</v>
      </c>
      <c r="BK316" s="483">
        <v>173768</v>
      </c>
      <c r="BL316" s="483">
        <v>177369</v>
      </c>
      <c r="BM316" s="483">
        <v>180538</v>
      </c>
      <c r="BN316" s="483">
        <v>193438</v>
      </c>
      <c r="BO316" s="483">
        <v>194734</v>
      </c>
      <c r="BP316" s="483">
        <v>198768</v>
      </c>
      <c r="BQ316" s="483">
        <v>202369</v>
      </c>
      <c r="BR316" s="1344">
        <v>205538</v>
      </c>
      <c r="BS316" s="1545"/>
      <c r="BU316" s="1545"/>
      <c r="BV316" s="1545"/>
      <c r="BW316" s="1545"/>
      <c r="BX316" s="1545"/>
      <c r="BY316" s="1545"/>
      <c r="BZ316" s="1545"/>
      <c r="CA316" s="1545"/>
      <c r="CB316" s="1545"/>
      <c r="CC316" s="1545"/>
      <c r="CD316" s="1348" t="s">
        <v>2795</v>
      </c>
      <c r="CE316" s="504">
        <v>113438</v>
      </c>
      <c r="CF316" s="504">
        <v>114734</v>
      </c>
      <c r="CG316" s="504">
        <v>118768</v>
      </c>
      <c r="CH316" s="504">
        <v>122369</v>
      </c>
      <c r="CI316" s="504">
        <v>125538</v>
      </c>
      <c r="CJ316" s="504">
        <v>128438</v>
      </c>
      <c r="CK316" s="504">
        <v>129734</v>
      </c>
      <c r="CL316" s="504">
        <v>133768</v>
      </c>
      <c r="CM316" s="504">
        <v>137369</v>
      </c>
      <c r="CN316" s="1347">
        <v>140538</v>
      </c>
    </row>
    <row r="317" spans="60:92" ht="18" customHeight="1">
      <c r="BH317" s="1348" t="s">
        <v>2796</v>
      </c>
      <c r="BI317" s="483">
        <v>177657</v>
      </c>
      <c r="BJ317" s="483">
        <v>179530</v>
      </c>
      <c r="BK317" s="483">
        <v>185580</v>
      </c>
      <c r="BL317" s="483">
        <v>191053</v>
      </c>
      <c r="BM317" s="483">
        <v>195807</v>
      </c>
      <c r="BN317" s="483">
        <v>202657</v>
      </c>
      <c r="BO317" s="483">
        <v>204530</v>
      </c>
      <c r="BP317" s="483">
        <v>210580</v>
      </c>
      <c r="BQ317" s="483">
        <v>216053</v>
      </c>
      <c r="BR317" s="1344">
        <v>220807</v>
      </c>
      <c r="BS317" s="1545"/>
      <c r="BU317" s="1545"/>
      <c r="BV317" s="1545"/>
      <c r="BW317" s="1545"/>
      <c r="BX317" s="1545"/>
      <c r="BY317" s="1545"/>
      <c r="BZ317" s="1545"/>
      <c r="CA317" s="1545"/>
      <c r="CB317" s="1545"/>
      <c r="CC317" s="1545"/>
      <c r="CD317" s="1348" t="s">
        <v>2796</v>
      </c>
      <c r="CE317" s="504">
        <v>122657</v>
      </c>
      <c r="CF317" s="504">
        <v>124530</v>
      </c>
      <c r="CG317" s="504">
        <v>130580</v>
      </c>
      <c r="CH317" s="504">
        <v>136053</v>
      </c>
      <c r="CI317" s="504">
        <v>140807</v>
      </c>
      <c r="CJ317" s="504">
        <v>137657</v>
      </c>
      <c r="CK317" s="504">
        <v>139530</v>
      </c>
      <c r="CL317" s="504">
        <v>145580</v>
      </c>
      <c r="CM317" s="504">
        <v>151053</v>
      </c>
      <c r="CN317" s="1347">
        <v>155807</v>
      </c>
    </row>
    <row r="318" spans="60:92" ht="18" customHeight="1">
      <c r="BH318" s="1348" t="s">
        <v>2797</v>
      </c>
      <c r="BI318" s="483">
        <v>186876</v>
      </c>
      <c r="BJ318" s="483">
        <v>189469</v>
      </c>
      <c r="BK318" s="483">
        <v>197392</v>
      </c>
      <c r="BL318" s="483">
        <v>204738</v>
      </c>
      <c r="BM318" s="483">
        <v>211076</v>
      </c>
      <c r="BN318" s="483">
        <v>211876</v>
      </c>
      <c r="BO318" s="483">
        <v>214469</v>
      </c>
      <c r="BP318" s="483">
        <v>222392</v>
      </c>
      <c r="BQ318" s="483">
        <v>229738</v>
      </c>
      <c r="BR318" s="1344">
        <v>236076</v>
      </c>
      <c r="BS318" s="1545"/>
      <c r="BU318" s="1545"/>
      <c r="BV318" s="1545"/>
      <c r="BW318" s="1545"/>
      <c r="BX318" s="1545"/>
      <c r="BY318" s="1545"/>
      <c r="BZ318" s="1545"/>
      <c r="CA318" s="1545"/>
      <c r="CB318" s="1545"/>
      <c r="CC318" s="1545"/>
      <c r="CD318" s="1348" t="s">
        <v>2797</v>
      </c>
      <c r="CE318" s="504">
        <v>131876</v>
      </c>
      <c r="CF318" s="504">
        <v>134469</v>
      </c>
      <c r="CG318" s="504">
        <v>142392</v>
      </c>
      <c r="CH318" s="504">
        <v>149738</v>
      </c>
      <c r="CI318" s="504">
        <v>156076</v>
      </c>
      <c r="CJ318" s="504">
        <v>146876</v>
      </c>
      <c r="CK318" s="504">
        <v>149469</v>
      </c>
      <c r="CL318" s="504">
        <v>157392</v>
      </c>
      <c r="CM318" s="504">
        <v>164738</v>
      </c>
      <c r="CN318" s="1347">
        <v>171076</v>
      </c>
    </row>
    <row r="319" spans="60:92" ht="18" customHeight="1">
      <c r="BH319" s="1348" t="s">
        <v>2798</v>
      </c>
      <c r="BI319" s="483">
        <v>196095</v>
      </c>
      <c r="BJ319" s="483">
        <v>199408</v>
      </c>
      <c r="BK319" s="483">
        <v>209347</v>
      </c>
      <c r="BL319" s="483">
        <v>218422</v>
      </c>
      <c r="BM319" s="483">
        <v>226345</v>
      </c>
      <c r="BN319" s="483">
        <v>221095</v>
      </c>
      <c r="BO319" s="483">
        <v>224408</v>
      </c>
      <c r="BP319" s="483">
        <v>234347</v>
      </c>
      <c r="BQ319" s="483">
        <v>243422</v>
      </c>
      <c r="BR319" s="1344">
        <v>251345</v>
      </c>
      <c r="BS319" s="1545"/>
      <c r="BU319" s="1545"/>
      <c r="BV319" s="1545"/>
      <c r="BW319" s="1545"/>
      <c r="BX319" s="1545"/>
      <c r="BY319" s="1545"/>
      <c r="BZ319" s="1545"/>
      <c r="CA319" s="1545"/>
      <c r="CB319" s="1545"/>
      <c r="CC319" s="1545"/>
      <c r="CD319" s="1348" t="s">
        <v>2798</v>
      </c>
      <c r="CE319" s="504">
        <v>141095</v>
      </c>
      <c r="CF319" s="504">
        <v>144408</v>
      </c>
      <c r="CG319" s="504">
        <v>154347</v>
      </c>
      <c r="CH319" s="504">
        <v>163422</v>
      </c>
      <c r="CI319" s="504">
        <v>171345</v>
      </c>
      <c r="CJ319" s="504">
        <v>156095</v>
      </c>
      <c r="CK319" s="504">
        <v>159408</v>
      </c>
      <c r="CL319" s="504">
        <v>169347</v>
      </c>
      <c r="CM319" s="504">
        <v>178422</v>
      </c>
      <c r="CN319" s="1347">
        <v>186345</v>
      </c>
    </row>
    <row r="320" spans="60:92" ht="18" customHeight="1">
      <c r="BH320" s="1348" t="s">
        <v>2799</v>
      </c>
      <c r="BI320" s="483">
        <v>205314</v>
      </c>
      <c r="BJ320" s="483">
        <v>209203</v>
      </c>
      <c r="BK320" s="483">
        <v>221159</v>
      </c>
      <c r="BL320" s="483">
        <v>232107</v>
      </c>
      <c r="BM320" s="483">
        <v>241614</v>
      </c>
      <c r="BN320" s="483">
        <v>230314</v>
      </c>
      <c r="BO320" s="483">
        <v>234203</v>
      </c>
      <c r="BP320" s="483">
        <v>246159</v>
      </c>
      <c r="BQ320" s="483">
        <v>257107</v>
      </c>
      <c r="BR320" s="1344">
        <v>266614</v>
      </c>
      <c r="BS320" s="1545"/>
      <c r="BU320" s="1545"/>
      <c r="BV320" s="1545"/>
      <c r="BW320" s="1545"/>
      <c r="BX320" s="1545"/>
      <c r="BY320" s="1545"/>
      <c r="BZ320" s="1545"/>
      <c r="CA320" s="1545"/>
      <c r="CB320" s="1545"/>
      <c r="CC320" s="1545"/>
      <c r="CD320" s="1348" t="s">
        <v>2799</v>
      </c>
      <c r="CE320" s="504">
        <v>150314</v>
      </c>
      <c r="CF320" s="504">
        <v>154203</v>
      </c>
      <c r="CG320" s="504">
        <v>166159</v>
      </c>
      <c r="CH320" s="504">
        <v>177107</v>
      </c>
      <c r="CI320" s="504">
        <v>186614</v>
      </c>
      <c r="CJ320" s="504">
        <v>165314</v>
      </c>
      <c r="CK320" s="504">
        <v>169203</v>
      </c>
      <c r="CL320" s="504">
        <v>181159</v>
      </c>
      <c r="CM320" s="504">
        <v>192107</v>
      </c>
      <c r="CN320" s="1347">
        <v>201614</v>
      </c>
    </row>
    <row r="321" spans="60:92" ht="18" customHeight="1">
      <c r="BH321" s="1348" t="s">
        <v>2800</v>
      </c>
      <c r="BI321" s="483">
        <v>214533</v>
      </c>
      <c r="BJ321" s="483">
        <v>219143</v>
      </c>
      <c r="BK321" s="483">
        <v>232971</v>
      </c>
      <c r="BL321" s="483">
        <v>245791</v>
      </c>
      <c r="BM321" s="483">
        <v>256883</v>
      </c>
      <c r="BN321" s="483">
        <v>239533</v>
      </c>
      <c r="BO321" s="483">
        <v>244143</v>
      </c>
      <c r="BP321" s="483">
        <v>257971</v>
      </c>
      <c r="BQ321" s="483">
        <v>270791</v>
      </c>
      <c r="BR321" s="1344">
        <v>281883</v>
      </c>
      <c r="BS321" s="1545"/>
      <c r="BU321" s="1545"/>
      <c r="BV321" s="1545"/>
      <c r="BW321" s="1545"/>
      <c r="BX321" s="1545"/>
      <c r="BY321" s="1545"/>
      <c r="BZ321" s="1545"/>
      <c r="CA321" s="1545"/>
      <c r="CB321" s="1545"/>
      <c r="CC321" s="1545"/>
      <c r="CD321" s="1348" t="s">
        <v>2800</v>
      </c>
      <c r="CE321" s="504">
        <v>159533</v>
      </c>
      <c r="CF321" s="504">
        <v>164143</v>
      </c>
      <c r="CG321" s="504">
        <v>177971</v>
      </c>
      <c r="CH321" s="504">
        <v>190791</v>
      </c>
      <c r="CI321" s="504">
        <v>201883</v>
      </c>
      <c r="CJ321" s="504">
        <v>174533</v>
      </c>
      <c r="CK321" s="504">
        <v>179143</v>
      </c>
      <c r="CL321" s="504">
        <v>192971</v>
      </c>
      <c r="CM321" s="504">
        <v>205791</v>
      </c>
      <c r="CN321" s="1347">
        <v>216883</v>
      </c>
    </row>
    <row r="322" spans="60:92" ht="18" customHeight="1">
      <c r="BH322" s="1348" t="s">
        <v>2801</v>
      </c>
      <c r="BI322" s="483">
        <v>223752</v>
      </c>
      <c r="BJ322" s="483">
        <v>228938</v>
      </c>
      <c r="BK322" s="483">
        <v>244783</v>
      </c>
      <c r="BL322" s="483">
        <v>259476</v>
      </c>
      <c r="BM322" s="483">
        <v>272152</v>
      </c>
      <c r="BN322" s="483">
        <v>248752</v>
      </c>
      <c r="BO322" s="483">
        <v>253938</v>
      </c>
      <c r="BP322" s="483">
        <v>269783</v>
      </c>
      <c r="BQ322" s="483">
        <v>284476</v>
      </c>
      <c r="BR322" s="1344">
        <v>297152</v>
      </c>
      <c r="BS322" s="1545"/>
      <c r="BU322" s="1545"/>
      <c r="BV322" s="1545"/>
      <c r="BW322" s="1545"/>
      <c r="BX322" s="1545"/>
      <c r="BY322" s="1545"/>
      <c r="BZ322" s="1545"/>
      <c r="CA322" s="1545"/>
      <c r="CB322" s="1545"/>
      <c r="CC322" s="1545"/>
      <c r="CD322" s="1348" t="s">
        <v>2801</v>
      </c>
      <c r="CE322" s="504">
        <v>168752</v>
      </c>
      <c r="CF322" s="504">
        <v>173938</v>
      </c>
      <c r="CG322" s="504">
        <v>189783</v>
      </c>
      <c r="CH322" s="504">
        <v>204476</v>
      </c>
      <c r="CI322" s="504">
        <v>217152</v>
      </c>
      <c r="CJ322" s="504">
        <v>183752</v>
      </c>
      <c r="CK322" s="504">
        <v>188938</v>
      </c>
      <c r="CL322" s="504">
        <v>204783</v>
      </c>
      <c r="CM322" s="504">
        <v>219476</v>
      </c>
      <c r="CN322" s="1347">
        <v>232152</v>
      </c>
    </row>
    <row r="323" spans="60:92" ht="18" customHeight="1">
      <c r="BH323" s="1348" t="s">
        <v>2802</v>
      </c>
      <c r="BI323" s="483">
        <v>232971</v>
      </c>
      <c r="BJ323" s="483">
        <v>238877</v>
      </c>
      <c r="BK323" s="483">
        <v>256739</v>
      </c>
      <c r="BL323" s="483">
        <v>273160</v>
      </c>
      <c r="BM323" s="483">
        <v>287421</v>
      </c>
      <c r="BN323" s="483">
        <v>257971</v>
      </c>
      <c r="BO323" s="483">
        <v>263877</v>
      </c>
      <c r="BP323" s="483">
        <v>281739</v>
      </c>
      <c r="BQ323" s="483">
        <v>298160</v>
      </c>
      <c r="BR323" s="1344">
        <v>312421</v>
      </c>
      <c r="BS323" s="1545"/>
      <c r="BU323" s="1545"/>
      <c r="BV323" s="1545"/>
      <c r="BW323" s="1545"/>
      <c r="BX323" s="1545"/>
      <c r="BY323" s="1545"/>
      <c r="BZ323" s="1545"/>
      <c r="CA323" s="1545"/>
      <c r="CB323" s="1545"/>
      <c r="CC323" s="1545"/>
      <c r="CD323" s="1348" t="s">
        <v>2802</v>
      </c>
      <c r="CE323" s="504">
        <v>177971</v>
      </c>
      <c r="CF323" s="504">
        <v>183877</v>
      </c>
      <c r="CG323" s="504">
        <v>201739</v>
      </c>
      <c r="CH323" s="504">
        <v>218160</v>
      </c>
      <c r="CI323" s="504">
        <v>232421</v>
      </c>
      <c r="CJ323" s="504">
        <v>192971</v>
      </c>
      <c r="CK323" s="504">
        <v>198877</v>
      </c>
      <c r="CL323" s="504">
        <v>216739</v>
      </c>
      <c r="CM323" s="504">
        <v>233160</v>
      </c>
      <c r="CN323" s="1347">
        <v>247421</v>
      </c>
    </row>
    <row r="324" spans="60:92" ht="18" customHeight="1">
      <c r="BH324" s="1343" t="s">
        <v>2803</v>
      </c>
      <c r="BI324" s="483">
        <v>150000</v>
      </c>
      <c r="BJ324" s="483">
        <v>150000</v>
      </c>
      <c r="BK324" s="483">
        <v>150000</v>
      </c>
      <c r="BL324" s="483">
        <v>150000</v>
      </c>
      <c r="BM324" s="483">
        <v>150000</v>
      </c>
      <c r="BN324" s="483">
        <v>175000</v>
      </c>
      <c r="BO324" s="483">
        <v>175000</v>
      </c>
      <c r="BP324" s="483">
        <v>175000</v>
      </c>
      <c r="BQ324" s="483">
        <v>175000</v>
      </c>
      <c r="BR324" s="1344">
        <v>175000</v>
      </c>
      <c r="BS324" s="1545"/>
      <c r="BU324" s="1545"/>
      <c r="BV324" s="1545"/>
      <c r="BW324" s="1545"/>
      <c r="BX324" s="1545"/>
      <c r="BY324" s="1545"/>
      <c r="BZ324" s="1545"/>
      <c r="CA324" s="1545"/>
      <c r="CB324" s="1545"/>
      <c r="CC324" s="1545"/>
      <c r="CD324" s="1343" t="s">
        <v>2803</v>
      </c>
      <c r="CE324" s="504">
        <v>95000</v>
      </c>
      <c r="CF324" s="504">
        <v>95000</v>
      </c>
      <c r="CG324" s="504">
        <v>95000</v>
      </c>
      <c r="CH324" s="504">
        <v>95000</v>
      </c>
      <c r="CI324" s="504">
        <v>95000</v>
      </c>
      <c r="CJ324" s="504">
        <v>110000</v>
      </c>
      <c r="CK324" s="504">
        <v>110000</v>
      </c>
      <c r="CL324" s="504">
        <v>110000</v>
      </c>
      <c r="CM324" s="504">
        <v>110000</v>
      </c>
      <c r="CN324" s="1347">
        <v>110000</v>
      </c>
    </row>
    <row r="325" spans="60:92" ht="18" customHeight="1">
      <c r="BH325" s="1348" t="s">
        <v>2804</v>
      </c>
      <c r="BI325" s="483">
        <v>159939</v>
      </c>
      <c r="BJ325" s="483">
        <v>160660</v>
      </c>
      <c r="BK325" s="483">
        <v>162820</v>
      </c>
      <c r="BL325" s="483">
        <v>164837</v>
      </c>
      <c r="BM325" s="483">
        <v>166565</v>
      </c>
      <c r="BN325" s="483">
        <v>184939</v>
      </c>
      <c r="BO325" s="483">
        <v>185660</v>
      </c>
      <c r="BP325" s="483">
        <v>187820</v>
      </c>
      <c r="BQ325" s="483">
        <v>189837</v>
      </c>
      <c r="BR325" s="1344">
        <v>191565</v>
      </c>
      <c r="BS325" s="1545"/>
      <c r="BU325" s="1545"/>
      <c r="BV325" s="1545"/>
      <c r="BW325" s="1545"/>
      <c r="BX325" s="1545"/>
      <c r="BY325" s="1545"/>
      <c r="BZ325" s="1545"/>
      <c r="CA325" s="1545"/>
      <c r="CB325" s="1545"/>
      <c r="CC325" s="1545"/>
      <c r="CD325" s="1348" t="s">
        <v>2804</v>
      </c>
      <c r="CE325" s="504">
        <v>104939</v>
      </c>
      <c r="CF325" s="504">
        <v>105660</v>
      </c>
      <c r="CG325" s="504">
        <v>107820</v>
      </c>
      <c r="CH325" s="504">
        <v>109837</v>
      </c>
      <c r="CI325" s="504">
        <v>111565</v>
      </c>
      <c r="CJ325" s="504">
        <v>119939</v>
      </c>
      <c r="CK325" s="504">
        <v>120660</v>
      </c>
      <c r="CL325" s="504">
        <v>122820</v>
      </c>
      <c r="CM325" s="504">
        <v>124837</v>
      </c>
      <c r="CN325" s="1347">
        <v>126565</v>
      </c>
    </row>
    <row r="326" spans="60:92" ht="18" customHeight="1">
      <c r="BH326" s="1348" t="s">
        <v>2805</v>
      </c>
      <c r="BI326" s="483">
        <v>169879</v>
      </c>
      <c r="BJ326" s="483">
        <v>171319</v>
      </c>
      <c r="BK326" s="483">
        <v>175640</v>
      </c>
      <c r="BL326" s="483">
        <v>179674</v>
      </c>
      <c r="BM326" s="483">
        <v>182987</v>
      </c>
      <c r="BN326" s="483">
        <v>194879</v>
      </c>
      <c r="BO326" s="483">
        <v>196319</v>
      </c>
      <c r="BP326" s="483">
        <v>200640</v>
      </c>
      <c r="BQ326" s="483">
        <v>204674</v>
      </c>
      <c r="BR326" s="1344">
        <v>207987</v>
      </c>
      <c r="BS326" s="1545"/>
      <c r="BU326" s="1545"/>
      <c r="BV326" s="1545"/>
      <c r="BW326" s="1545"/>
      <c r="BX326" s="1545"/>
      <c r="BY326" s="1545"/>
      <c r="BZ326" s="1545"/>
      <c r="CA326" s="1545"/>
      <c r="CB326" s="1545"/>
      <c r="CC326" s="1545"/>
      <c r="CD326" s="1348" t="s">
        <v>2805</v>
      </c>
      <c r="CE326" s="504">
        <v>114879</v>
      </c>
      <c r="CF326" s="504">
        <v>116319</v>
      </c>
      <c r="CG326" s="504">
        <v>120640</v>
      </c>
      <c r="CH326" s="504">
        <v>124674</v>
      </c>
      <c r="CI326" s="504">
        <v>127987</v>
      </c>
      <c r="CJ326" s="504">
        <v>129879</v>
      </c>
      <c r="CK326" s="504">
        <v>131319</v>
      </c>
      <c r="CL326" s="504">
        <v>135640</v>
      </c>
      <c r="CM326" s="504">
        <v>139674</v>
      </c>
      <c r="CN326" s="1347">
        <v>142987</v>
      </c>
    </row>
    <row r="327" spans="60:92" ht="18" customHeight="1">
      <c r="BH327" s="1348" t="s">
        <v>2806</v>
      </c>
      <c r="BI327" s="483">
        <v>179818</v>
      </c>
      <c r="BJ327" s="483">
        <v>181979</v>
      </c>
      <c r="BK327" s="483">
        <v>188461</v>
      </c>
      <c r="BL327" s="483">
        <v>194511</v>
      </c>
      <c r="BM327" s="483">
        <v>199552</v>
      </c>
      <c r="BN327" s="483">
        <v>204818</v>
      </c>
      <c r="BO327" s="483">
        <v>206979</v>
      </c>
      <c r="BP327" s="483">
        <v>213461</v>
      </c>
      <c r="BQ327" s="483">
        <v>219511</v>
      </c>
      <c r="BR327" s="1344">
        <v>224552</v>
      </c>
      <c r="BS327" s="1545"/>
      <c r="BU327" s="1545"/>
      <c r="BV327" s="1545"/>
      <c r="BW327" s="1545"/>
      <c r="BX327" s="1545"/>
      <c r="BY327" s="1545"/>
      <c r="BZ327" s="1545"/>
      <c r="CA327" s="1545"/>
      <c r="CB327" s="1545"/>
      <c r="CC327" s="1545"/>
      <c r="CD327" s="1348" t="s">
        <v>2806</v>
      </c>
      <c r="CE327" s="504">
        <v>124818</v>
      </c>
      <c r="CF327" s="504">
        <v>126979</v>
      </c>
      <c r="CG327" s="504">
        <v>133461</v>
      </c>
      <c r="CH327" s="504">
        <v>139511</v>
      </c>
      <c r="CI327" s="504">
        <v>144552</v>
      </c>
      <c r="CJ327" s="504">
        <v>139818</v>
      </c>
      <c r="CK327" s="504">
        <v>141979</v>
      </c>
      <c r="CL327" s="504">
        <v>148461</v>
      </c>
      <c r="CM327" s="504">
        <v>154511</v>
      </c>
      <c r="CN327" s="1347">
        <v>159552</v>
      </c>
    </row>
    <row r="328" spans="60:92" ht="18" customHeight="1">
      <c r="BH328" s="1348" t="s">
        <v>2807</v>
      </c>
      <c r="BI328" s="483">
        <v>189757</v>
      </c>
      <c r="BJ328" s="483">
        <v>192638</v>
      </c>
      <c r="BK328" s="483">
        <v>201137</v>
      </c>
      <c r="BL328" s="483">
        <v>209203</v>
      </c>
      <c r="BM328" s="483">
        <v>215974</v>
      </c>
      <c r="BN328" s="483">
        <v>214757</v>
      </c>
      <c r="BO328" s="483">
        <v>217638</v>
      </c>
      <c r="BP328" s="483">
        <v>226137</v>
      </c>
      <c r="BQ328" s="483">
        <v>234203</v>
      </c>
      <c r="BR328" s="1344">
        <v>240974</v>
      </c>
      <c r="BS328" s="1545"/>
      <c r="BU328" s="1545"/>
      <c r="BV328" s="1545"/>
      <c r="BW328" s="1545"/>
      <c r="BX328" s="1545"/>
      <c r="BY328" s="1545"/>
      <c r="BZ328" s="1545"/>
      <c r="CA328" s="1545"/>
      <c r="CB328" s="1545"/>
      <c r="CC328" s="1545"/>
      <c r="CD328" s="1348" t="s">
        <v>2807</v>
      </c>
      <c r="CE328" s="504">
        <v>134757</v>
      </c>
      <c r="CF328" s="504">
        <v>137638</v>
      </c>
      <c r="CG328" s="504">
        <v>146137</v>
      </c>
      <c r="CH328" s="504">
        <v>154203</v>
      </c>
      <c r="CI328" s="504">
        <v>160974</v>
      </c>
      <c r="CJ328" s="504">
        <v>149757</v>
      </c>
      <c r="CK328" s="504">
        <v>152638</v>
      </c>
      <c r="CL328" s="504">
        <v>161137</v>
      </c>
      <c r="CM328" s="504">
        <v>169203</v>
      </c>
      <c r="CN328" s="1347">
        <v>175974</v>
      </c>
    </row>
    <row r="329" spans="60:92" ht="18" customHeight="1">
      <c r="BH329" s="1348" t="s">
        <v>2808</v>
      </c>
      <c r="BI329" s="483">
        <v>199840</v>
      </c>
      <c r="BJ329" s="483">
        <v>203298</v>
      </c>
      <c r="BK329" s="483">
        <v>213957</v>
      </c>
      <c r="BL329" s="483">
        <v>224040</v>
      </c>
      <c r="BM329" s="483">
        <v>232539</v>
      </c>
      <c r="BN329" s="483">
        <v>224840</v>
      </c>
      <c r="BO329" s="483">
        <v>228298</v>
      </c>
      <c r="BP329" s="483">
        <v>238957</v>
      </c>
      <c r="BQ329" s="483">
        <v>249040</v>
      </c>
      <c r="BR329" s="1344">
        <v>257539</v>
      </c>
      <c r="BS329" s="1545"/>
      <c r="BU329" s="1545"/>
      <c r="BV329" s="1545"/>
      <c r="BW329" s="1545"/>
      <c r="BX329" s="1545"/>
      <c r="BY329" s="1545"/>
      <c r="BZ329" s="1545"/>
      <c r="CA329" s="1545"/>
      <c r="CB329" s="1545"/>
      <c r="CC329" s="1545"/>
      <c r="CD329" s="1348" t="s">
        <v>2808</v>
      </c>
      <c r="CE329" s="504">
        <v>144840</v>
      </c>
      <c r="CF329" s="504">
        <v>148298</v>
      </c>
      <c r="CG329" s="504">
        <v>158957</v>
      </c>
      <c r="CH329" s="504">
        <v>169040</v>
      </c>
      <c r="CI329" s="504">
        <v>177539</v>
      </c>
      <c r="CJ329" s="504">
        <v>159840</v>
      </c>
      <c r="CK329" s="504">
        <v>163298</v>
      </c>
      <c r="CL329" s="504">
        <v>173957</v>
      </c>
      <c r="CM329" s="504">
        <v>184040</v>
      </c>
      <c r="CN329" s="1347">
        <v>192539</v>
      </c>
    </row>
    <row r="330" spans="60:92" ht="18" customHeight="1">
      <c r="BH330" s="1348" t="s">
        <v>2809</v>
      </c>
      <c r="BI330" s="483">
        <v>209780</v>
      </c>
      <c r="BJ330" s="483">
        <v>213957</v>
      </c>
      <c r="BK330" s="483">
        <v>226777</v>
      </c>
      <c r="BL330" s="483">
        <v>238877</v>
      </c>
      <c r="BM330" s="483">
        <v>249105</v>
      </c>
      <c r="BN330" s="483">
        <v>234780</v>
      </c>
      <c r="BO330" s="483">
        <v>238957</v>
      </c>
      <c r="BP330" s="483">
        <v>251777</v>
      </c>
      <c r="BQ330" s="483">
        <v>263877</v>
      </c>
      <c r="BR330" s="1344">
        <v>274105</v>
      </c>
      <c r="BS330" s="1545"/>
      <c r="BU330" s="1545"/>
      <c r="BV330" s="1545"/>
      <c r="BW330" s="1545"/>
      <c r="BX330" s="1545"/>
      <c r="BY330" s="1545"/>
      <c r="BZ330" s="1545"/>
      <c r="CA330" s="1545"/>
      <c r="CB330" s="1545"/>
      <c r="CC330" s="1545"/>
      <c r="CD330" s="1348" t="s">
        <v>2809</v>
      </c>
      <c r="CE330" s="504">
        <v>154780</v>
      </c>
      <c r="CF330" s="504">
        <v>158957</v>
      </c>
      <c r="CG330" s="504">
        <v>171777</v>
      </c>
      <c r="CH330" s="504">
        <v>183877</v>
      </c>
      <c r="CI330" s="504">
        <v>194105</v>
      </c>
      <c r="CJ330" s="504">
        <v>169780</v>
      </c>
      <c r="CK330" s="504">
        <v>173957</v>
      </c>
      <c r="CL330" s="504">
        <v>186777</v>
      </c>
      <c r="CM330" s="504">
        <v>198877</v>
      </c>
      <c r="CN330" s="1347">
        <v>209105</v>
      </c>
    </row>
    <row r="331" spans="60:92" ht="18" customHeight="1">
      <c r="BH331" s="1348" t="s">
        <v>2810</v>
      </c>
      <c r="BI331" s="483">
        <v>219719</v>
      </c>
      <c r="BJ331" s="483">
        <v>224617</v>
      </c>
      <c r="BK331" s="483">
        <v>239597</v>
      </c>
      <c r="BL331" s="483">
        <v>253714</v>
      </c>
      <c r="BM331" s="483">
        <v>265526</v>
      </c>
      <c r="BN331" s="483">
        <v>244719</v>
      </c>
      <c r="BO331" s="483">
        <v>249617</v>
      </c>
      <c r="BP331" s="483">
        <v>264597</v>
      </c>
      <c r="BQ331" s="483">
        <v>278714</v>
      </c>
      <c r="BR331" s="1344">
        <v>290526</v>
      </c>
      <c r="BS331" s="1545"/>
      <c r="BU331" s="1545"/>
      <c r="BV331" s="1545"/>
      <c r="BW331" s="1545"/>
      <c r="BX331" s="1545"/>
      <c r="BY331" s="1545"/>
      <c r="BZ331" s="1545"/>
      <c r="CA331" s="1545"/>
      <c r="CB331" s="1545"/>
      <c r="CC331" s="1545"/>
      <c r="CD331" s="1348" t="s">
        <v>2810</v>
      </c>
      <c r="CE331" s="504">
        <v>164719</v>
      </c>
      <c r="CF331" s="504">
        <v>169617</v>
      </c>
      <c r="CG331" s="504">
        <v>184597</v>
      </c>
      <c r="CH331" s="504">
        <v>198714</v>
      </c>
      <c r="CI331" s="504">
        <v>210526</v>
      </c>
      <c r="CJ331" s="504">
        <v>179719</v>
      </c>
      <c r="CK331" s="504">
        <v>184617</v>
      </c>
      <c r="CL331" s="504">
        <v>199597</v>
      </c>
      <c r="CM331" s="504">
        <v>213714</v>
      </c>
      <c r="CN331" s="1347">
        <v>225526</v>
      </c>
    </row>
    <row r="332" spans="60:92" ht="18" customHeight="1">
      <c r="BH332" s="1348" t="s">
        <v>2811</v>
      </c>
      <c r="BI332" s="483">
        <v>229658</v>
      </c>
      <c r="BJ332" s="483">
        <v>235276</v>
      </c>
      <c r="BK332" s="483">
        <v>252418</v>
      </c>
      <c r="BL332" s="483">
        <v>268407</v>
      </c>
      <c r="BM332" s="483">
        <v>282091</v>
      </c>
      <c r="BN332" s="483">
        <v>254658</v>
      </c>
      <c r="BO332" s="483">
        <v>260276</v>
      </c>
      <c r="BP332" s="483">
        <v>277418</v>
      </c>
      <c r="BQ332" s="483">
        <v>293407</v>
      </c>
      <c r="BR332" s="1344">
        <v>307091</v>
      </c>
      <c r="BS332" s="1545"/>
      <c r="BU332" s="1545"/>
      <c r="BV332" s="1545"/>
      <c r="BW332" s="1545"/>
      <c r="BX332" s="1545"/>
      <c r="BY332" s="1545"/>
      <c r="BZ332" s="1545"/>
      <c r="CA332" s="1545"/>
      <c r="CB332" s="1545"/>
      <c r="CC332" s="1545"/>
      <c r="CD332" s="1348" t="s">
        <v>2811</v>
      </c>
      <c r="CE332" s="504">
        <v>174658</v>
      </c>
      <c r="CF332" s="504">
        <v>180276</v>
      </c>
      <c r="CG332" s="504">
        <v>197418</v>
      </c>
      <c r="CH332" s="504">
        <v>213407</v>
      </c>
      <c r="CI332" s="504">
        <v>227091</v>
      </c>
      <c r="CJ332" s="504">
        <v>189658</v>
      </c>
      <c r="CK332" s="504">
        <v>195276</v>
      </c>
      <c r="CL332" s="504">
        <v>212418</v>
      </c>
      <c r="CM332" s="504">
        <v>228407</v>
      </c>
      <c r="CN332" s="1347">
        <v>242091</v>
      </c>
    </row>
    <row r="333" spans="60:92" ht="18" customHeight="1">
      <c r="BH333" s="1348" t="s">
        <v>2812</v>
      </c>
      <c r="BI333" s="483">
        <v>239597</v>
      </c>
      <c r="BJ333" s="483">
        <v>245936</v>
      </c>
      <c r="BK333" s="483">
        <v>265238</v>
      </c>
      <c r="BL333" s="483">
        <v>283244</v>
      </c>
      <c r="BM333" s="483">
        <v>298657</v>
      </c>
      <c r="BN333" s="483">
        <v>264597</v>
      </c>
      <c r="BO333" s="483">
        <v>270936</v>
      </c>
      <c r="BP333" s="483">
        <v>290238</v>
      </c>
      <c r="BQ333" s="483">
        <v>308244</v>
      </c>
      <c r="BR333" s="1344">
        <v>323657</v>
      </c>
      <c r="BS333" s="1545"/>
      <c r="BU333" s="1545"/>
      <c r="BV333" s="1545"/>
      <c r="BW333" s="1545"/>
      <c r="BX333" s="1545"/>
      <c r="BY333" s="1545"/>
      <c r="BZ333" s="1545"/>
      <c r="CA333" s="1545"/>
      <c r="CB333" s="1545"/>
      <c r="CC333" s="1545"/>
      <c r="CD333" s="1348" t="s">
        <v>2812</v>
      </c>
      <c r="CE333" s="504">
        <v>184597</v>
      </c>
      <c r="CF333" s="504">
        <v>190936</v>
      </c>
      <c r="CG333" s="504">
        <v>210238</v>
      </c>
      <c r="CH333" s="504">
        <v>228244</v>
      </c>
      <c r="CI333" s="504">
        <v>243657</v>
      </c>
      <c r="CJ333" s="504">
        <v>199597</v>
      </c>
      <c r="CK333" s="504">
        <v>205936</v>
      </c>
      <c r="CL333" s="504">
        <v>225238</v>
      </c>
      <c r="CM333" s="504">
        <v>243244</v>
      </c>
      <c r="CN333" s="1347">
        <v>258657</v>
      </c>
    </row>
    <row r="334" spans="60:92" ht="18" customHeight="1">
      <c r="BH334" s="1343" t="s">
        <v>2813</v>
      </c>
      <c r="BI334" s="483">
        <v>150000</v>
      </c>
      <c r="BJ334" s="483">
        <v>150000</v>
      </c>
      <c r="BK334" s="483">
        <v>150000</v>
      </c>
      <c r="BL334" s="483">
        <v>150000</v>
      </c>
      <c r="BM334" s="483">
        <v>150000</v>
      </c>
      <c r="BN334" s="483">
        <v>175000</v>
      </c>
      <c r="BO334" s="483">
        <v>175000</v>
      </c>
      <c r="BP334" s="483">
        <v>175000</v>
      </c>
      <c r="BQ334" s="483">
        <v>175000</v>
      </c>
      <c r="BR334" s="1344">
        <v>175000</v>
      </c>
      <c r="BS334" s="1545"/>
      <c r="BU334" s="1545"/>
      <c r="BV334" s="1545"/>
      <c r="BW334" s="1545"/>
      <c r="BX334" s="1545"/>
      <c r="BY334" s="1545"/>
      <c r="BZ334" s="1545"/>
      <c r="CA334" s="1545"/>
      <c r="CB334" s="1545"/>
      <c r="CC334" s="1545"/>
      <c r="CD334" s="1343" t="s">
        <v>2813</v>
      </c>
      <c r="CE334" s="504">
        <v>95000</v>
      </c>
      <c r="CF334" s="504">
        <v>95000</v>
      </c>
      <c r="CG334" s="504">
        <v>95000</v>
      </c>
      <c r="CH334" s="504">
        <v>95000</v>
      </c>
      <c r="CI334" s="504">
        <v>95000</v>
      </c>
      <c r="CJ334" s="504">
        <v>110000</v>
      </c>
      <c r="CK334" s="504">
        <v>110000</v>
      </c>
      <c r="CL334" s="504">
        <v>110000</v>
      </c>
      <c r="CM334" s="504">
        <v>110000</v>
      </c>
      <c r="CN334" s="1347">
        <v>110000</v>
      </c>
    </row>
    <row r="335" spans="60:92" ht="18" customHeight="1">
      <c r="BH335" s="1348" t="s">
        <v>2814</v>
      </c>
      <c r="BI335" s="483">
        <v>161380</v>
      </c>
      <c r="BJ335" s="483">
        <v>162244</v>
      </c>
      <c r="BK335" s="483">
        <v>164693</v>
      </c>
      <c r="BL335" s="483">
        <v>166998</v>
      </c>
      <c r="BM335" s="483">
        <v>168870</v>
      </c>
      <c r="BN335" s="483">
        <v>186380</v>
      </c>
      <c r="BO335" s="483">
        <v>187244</v>
      </c>
      <c r="BP335" s="483">
        <v>189693</v>
      </c>
      <c r="BQ335" s="483">
        <v>191998</v>
      </c>
      <c r="BR335" s="1344">
        <v>193870</v>
      </c>
      <c r="BS335" s="1545"/>
      <c r="BU335" s="1545"/>
      <c r="BV335" s="1545"/>
      <c r="BW335" s="1545"/>
      <c r="BX335" s="1545"/>
      <c r="BY335" s="1545"/>
      <c r="BZ335" s="1545"/>
      <c r="CA335" s="1545"/>
      <c r="CB335" s="1545"/>
      <c r="CC335" s="1545"/>
      <c r="CD335" s="1348" t="s">
        <v>2814</v>
      </c>
      <c r="CE335" s="504">
        <v>106380</v>
      </c>
      <c r="CF335" s="504">
        <v>107244</v>
      </c>
      <c r="CG335" s="504">
        <v>109693</v>
      </c>
      <c r="CH335" s="504">
        <v>111998</v>
      </c>
      <c r="CI335" s="504">
        <v>113870</v>
      </c>
      <c r="CJ335" s="504">
        <v>121380</v>
      </c>
      <c r="CK335" s="504">
        <v>122244</v>
      </c>
      <c r="CL335" s="504">
        <v>124693</v>
      </c>
      <c r="CM335" s="504">
        <v>126998</v>
      </c>
      <c r="CN335" s="1347">
        <v>128870</v>
      </c>
    </row>
    <row r="336" spans="60:92" ht="18" customHeight="1">
      <c r="BH336" s="1348" t="s">
        <v>2815</v>
      </c>
      <c r="BI336" s="483">
        <v>172904</v>
      </c>
      <c r="BJ336" s="483">
        <v>174488</v>
      </c>
      <c r="BK336" s="483">
        <v>179386</v>
      </c>
      <c r="BL336" s="483">
        <v>183851</v>
      </c>
      <c r="BM336" s="483">
        <v>187884</v>
      </c>
      <c r="BN336" s="483">
        <v>197904</v>
      </c>
      <c r="BO336" s="483">
        <v>199488</v>
      </c>
      <c r="BP336" s="483">
        <v>204386</v>
      </c>
      <c r="BQ336" s="483">
        <v>208851</v>
      </c>
      <c r="BR336" s="1344">
        <v>212884</v>
      </c>
      <c r="BS336" s="1545"/>
      <c r="BU336" s="1545"/>
      <c r="BV336" s="1545"/>
      <c r="BW336" s="1545"/>
      <c r="BX336" s="1545"/>
      <c r="BY336" s="1545"/>
      <c r="BZ336" s="1545"/>
      <c r="CA336" s="1545"/>
      <c r="CB336" s="1545"/>
      <c r="CC336" s="1545"/>
      <c r="CD336" s="1348" t="s">
        <v>2815</v>
      </c>
      <c r="CE336" s="504">
        <v>117904</v>
      </c>
      <c r="CF336" s="504">
        <v>119488</v>
      </c>
      <c r="CG336" s="504">
        <v>124386</v>
      </c>
      <c r="CH336" s="504">
        <v>128851</v>
      </c>
      <c r="CI336" s="504">
        <v>132884</v>
      </c>
      <c r="CJ336" s="504">
        <v>132904</v>
      </c>
      <c r="CK336" s="504">
        <v>134488</v>
      </c>
      <c r="CL336" s="504">
        <v>139386</v>
      </c>
      <c r="CM336" s="504">
        <v>143851</v>
      </c>
      <c r="CN336" s="1347">
        <v>147884</v>
      </c>
    </row>
    <row r="337" spans="60:92" ht="18" customHeight="1">
      <c r="BH337" s="1348" t="s">
        <v>2816</v>
      </c>
      <c r="BI337" s="483">
        <v>184283</v>
      </c>
      <c r="BJ337" s="483">
        <v>186732</v>
      </c>
      <c r="BK337" s="483">
        <v>194078</v>
      </c>
      <c r="BL337" s="483">
        <v>200849</v>
      </c>
      <c r="BM337" s="483">
        <v>206755</v>
      </c>
      <c r="BN337" s="483">
        <v>209283</v>
      </c>
      <c r="BO337" s="483">
        <v>211732</v>
      </c>
      <c r="BP337" s="483">
        <v>219078</v>
      </c>
      <c r="BQ337" s="483">
        <v>225849</v>
      </c>
      <c r="BR337" s="1344">
        <v>231755</v>
      </c>
      <c r="BS337" s="1545"/>
      <c r="BU337" s="1545"/>
      <c r="BV337" s="1545"/>
      <c r="BW337" s="1545"/>
      <c r="BX337" s="1545"/>
      <c r="BY337" s="1545"/>
      <c r="BZ337" s="1545"/>
      <c r="CA337" s="1545"/>
      <c r="CB337" s="1545"/>
      <c r="CC337" s="1545"/>
      <c r="CD337" s="1348" t="s">
        <v>2816</v>
      </c>
      <c r="CE337" s="504">
        <v>129283</v>
      </c>
      <c r="CF337" s="504">
        <v>131732</v>
      </c>
      <c r="CG337" s="504">
        <v>139078</v>
      </c>
      <c r="CH337" s="504">
        <v>145849</v>
      </c>
      <c r="CI337" s="504">
        <v>151755</v>
      </c>
      <c r="CJ337" s="504">
        <v>144283</v>
      </c>
      <c r="CK337" s="504">
        <v>146732</v>
      </c>
      <c r="CL337" s="504">
        <v>154078</v>
      </c>
      <c r="CM337" s="504">
        <v>160849</v>
      </c>
      <c r="CN337" s="1347">
        <v>166755</v>
      </c>
    </row>
    <row r="338" spans="60:92" ht="18" customHeight="1">
      <c r="BH338" s="1348" t="s">
        <v>2817</v>
      </c>
      <c r="BI338" s="483">
        <v>195663</v>
      </c>
      <c r="BJ338" s="483">
        <v>198976</v>
      </c>
      <c r="BK338" s="483">
        <v>208771</v>
      </c>
      <c r="BL338" s="483">
        <v>217846</v>
      </c>
      <c r="BM338" s="483">
        <v>225625</v>
      </c>
      <c r="BN338" s="483">
        <v>220663</v>
      </c>
      <c r="BO338" s="483">
        <v>223976</v>
      </c>
      <c r="BP338" s="483">
        <v>233771</v>
      </c>
      <c r="BQ338" s="483">
        <v>242846</v>
      </c>
      <c r="BR338" s="1344">
        <v>250625</v>
      </c>
      <c r="BS338" s="1545"/>
      <c r="BU338" s="1545"/>
      <c r="BV338" s="1545"/>
      <c r="BW338" s="1545"/>
      <c r="BX338" s="1545"/>
      <c r="BY338" s="1545"/>
      <c r="BZ338" s="1545"/>
      <c r="CA338" s="1545"/>
      <c r="CB338" s="1545"/>
      <c r="CC338" s="1545"/>
      <c r="CD338" s="1348" t="s">
        <v>2817</v>
      </c>
      <c r="CE338" s="504">
        <v>140663</v>
      </c>
      <c r="CF338" s="504">
        <v>143976</v>
      </c>
      <c r="CG338" s="504">
        <v>153771</v>
      </c>
      <c r="CH338" s="504">
        <v>162846</v>
      </c>
      <c r="CI338" s="504">
        <v>170625</v>
      </c>
      <c r="CJ338" s="504">
        <v>155663</v>
      </c>
      <c r="CK338" s="504">
        <v>158976</v>
      </c>
      <c r="CL338" s="504">
        <v>168771</v>
      </c>
      <c r="CM338" s="504">
        <v>177846</v>
      </c>
      <c r="CN338" s="1347">
        <v>185625</v>
      </c>
    </row>
    <row r="339" spans="60:92" ht="18" customHeight="1">
      <c r="BH339" s="1348" t="s">
        <v>2818</v>
      </c>
      <c r="BI339" s="483">
        <v>207187</v>
      </c>
      <c r="BJ339" s="483">
        <v>211220</v>
      </c>
      <c r="BK339" s="483">
        <v>223464</v>
      </c>
      <c r="BL339" s="483">
        <v>234844</v>
      </c>
      <c r="BM339" s="483">
        <v>244639</v>
      </c>
      <c r="BN339" s="483">
        <v>232187</v>
      </c>
      <c r="BO339" s="483">
        <v>236220</v>
      </c>
      <c r="BP339" s="483">
        <v>248464</v>
      </c>
      <c r="BQ339" s="483">
        <v>259844</v>
      </c>
      <c r="BR339" s="1344">
        <v>269639</v>
      </c>
      <c r="BS339" s="1545"/>
      <c r="BU339" s="1545"/>
      <c r="BV339" s="1545"/>
      <c r="BW339" s="1545"/>
      <c r="BX339" s="1545"/>
      <c r="BY339" s="1545"/>
      <c r="BZ339" s="1545"/>
      <c r="CA339" s="1545"/>
      <c r="CB339" s="1545"/>
      <c r="CC339" s="1545"/>
      <c r="CD339" s="1348" t="s">
        <v>2818</v>
      </c>
      <c r="CE339" s="504">
        <v>152187</v>
      </c>
      <c r="CF339" s="504">
        <v>156220</v>
      </c>
      <c r="CG339" s="504">
        <v>168464</v>
      </c>
      <c r="CH339" s="504">
        <v>179844</v>
      </c>
      <c r="CI339" s="504">
        <v>189639</v>
      </c>
      <c r="CJ339" s="504">
        <v>167187</v>
      </c>
      <c r="CK339" s="504">
        <v>171220</v>
      </c>
      <c r="CL339" s="504">
        <v>183464</v>
      </c>
      <c r="CM339" s="504">
        <v>194844</v>
      </c>
      <c r="CN339" s="1347">
        <v>204639</v>
      </c>
    </row>
    <row r="340" spans="60:92" ht="18" customHeight="1">
      <c r="BH340" s="1348" t="s">
        <v>2819</v>
      </c>
      <c r="BI340" s="483">
        <v>218567</v>
      </c>
      <c r="BJ340" s="483">
        <v>223464</v>
      </c>
      <c r="BK340" s="483">
        <v>238157</v>
      </c>
      <c r="BL340" s="483">
        <v>251841</v>
      </c>
      <c r="BM340" s="483">
        <v>263509</v>
      </c>
      <c r="BN340" s="483">
        <v>243567</v>
      </c>
      <c r="BO340" s="483">
        <v>248464</v>
      </c>
      <c r="BP340" s="483">
        <v>263157</v>
      </c>
      <c r="BQ340" s="483">
        <v>276841</v>
      </c>
      <c r="BR340" s="1344">
        <v>288509</v>
      </c>
      <c r="BS340" s="1545"/>
      <c r="BU340" s="1545"/>
      <c r="BV340" s="1545"/>
      <c r="BW340" s="1545"/>
      <c r="BX340" s="1545"/>
      <c r="BY340" s="1545"/>
      <c r="BZ340" s="1545"/>
      <c r="CA340" s="1545"/>
      <c r="CB340" s="1545"/>
      <c r="CC340" s="1545"/>
      <c r="CD340" s="1348" t="s">
        <v>2819</v>
      </c>
      <c r="CE340" s="504">
        <v>163567</v>
      </c>
      <c r="CF340" s="504">
        <v>168464</v>
      </c>
      <c r="CG340" s="504">
        <v>183157</v>
      </c>
      <c r="CH340" s="504">
        <v>196841</v>
      </c>
      <c r="CI340" s="504">
        <v>208509</v>
      </c>
      <c r="CJ340" s="504">
        <v>178567</v>
      </c>
      <c r="CK340" s="504">
        <v>183464</v>
      </c>
      <c r="CL340" s="504">
        <v>198157</v>
      </c>
      <c r="CM340" s="504">
        <v>211841</v>
      </c>
      <c r="CN340" s="1347">
        <v>223509</v>
      </c>
    </row>
    <row r="341" spans="60:92" ht="18" customHeight="1">
      <c r="BH341" s="1348" t="s">
        <v>2820</v>
      </c>
      <c r="BI341" s="483">
        <v>230090</v>
      </c>
      <c r="BJ341" s="483">
        <v>235708</v>
      </c>
      <c r="BK341" s="483">
        <v>252850</v>
      </c>
      <c r="BL341" s="483">
        <v>268695</v>
      </c>
      <c r="BM341" s="483">
        <v>282524</v>
      </c>
      <c r="BN341" s="483">
        <v>255090</v>
      </c>
      <c r="BO341" s="483">
        <v>260708</v>
      </c>
      <c r="BP341" s="483">
        <v>277850</v>
      </c>
      <c r="BQ341" s="483">
        <v>293695</v>
      </c>
      <c r="BR341" s="1344">
        <v>307524</v>
      </c>
      <c r="BS341" s="1545"/>
      <c r="BU341" s="1545"/>
      <c r="BV341" s="1545"/>
      <c r="BW341" s="1545"/>
      <c r="BX341" s="1545"/>
      <c r="BY341" s="1545"/>
      <c r="BZ341" s="1545"/>
      <c r="CA341" s="1545"/>
      <c r="CB341" s="1545"/>
      <c r="CC341" s="1545"/>
      <c r="CD341" s="1348" t="s">
        <v>2820</v>
      </c>
      <c r="CE341" s="504">
        <v>175090</v>
      </c>
      <c r="CF341" s="504">
        <v>180708</v>
      </c>
      <c r="CG341" s="504">
        <v>197850</v>
      </c>
      <c r="CH341" s="504">
        <v>213695</v>
      </c>
      <c r="CI341" s="504">
        <v>227524</v>
      </c>
      <c r="CJ341" s="504">
        <v>190090</v>
      </c>
      <c r="CK341" s="504">
        <v>195708</v>
      </c>
      <c r="CL341" s="504">
        <v>212850</v>
      </c>
      <c r="CM341" s="504">
        <v>228695</v>
      </c>
      <c r="CN341" s="1347">
        <v>242524</v>
      </c>
    </row>
    <row r="342" spans="60:92" ht="18" customHeight="1">
      <c r="BH342" s="1348" t="s">
        <v>2821</v>
      </c>
      <c r="BI342" s="483">
        <v>241470</v>
      </c>
      <c r="BJ342" s="483">
        <v>247952</v>
      </c>
      <c r="BK342" s="483">
        <v>267543</v>
      </c>
      <c r="BL342" s="483">
        <v>285693</v>
      </c>
      <c r="BM342" s="483">
        <v>301394</v>
      </c>
      <c r="BN342" s="483">
        <v>266470</v>
      </c>
      <c r="BO342" s="483">
        <v>272952</v>
      </c>
      <c r="BP342" s="483">
        <v>292543</v>
      </c>
      <c r="BQ342" s="483">
        <v>310693</v>
      </c>
      <c r="BR342" s="1344">
        <v>326394</v>
      </c>
      <c r="BS342" s="1545"/>
      <c r="BU342" s="1545"/>
      <c r="BV342" s="1545"/>
      <c r="BW342" s="1545"/>
      <c r="BX342" s="1545"/>
      <c r="BY342" s="1545"/>
      <c r="BZ342" s="1545"/>
      <c r="CA342" s="1545"/>
      <c r="CB342" s="1545"/>
      <c r="CC342" s="1545"/>
      <c r="CD342" s="1348" t="s">
        <v>2821</v>
      </c>
      <c r="CE342" s="504">
        <v>186470</v>
      </c>
      <c r="CF342" s="504">
        <v>192952</v>
      </c>
      <c r="CG342" s="504">
        <v>212543</v>
      </c>
      <c r="CH342" s="504">
        <v>230693</v>
      </c>
      <c r="CI342" s="504">
        <v>246394</v>
      </c>
      <c r="CJ342" s="504">
        <v>201470</v>
      </c>
      <c r="CK342" s="504">
        <v>207952</v>
      </c>
      <c r="CL342" s="504">
        <v>227543</v>
      </c>
      <c r="CM342" s="504">
        <v>245693</v>
      </c>
      <c r="CN342" s="1347">
        <v>261394</v>
      </c>
    </row>
    <row r="343" spans="60:92" ht="18" customHeight="1">
      <c r="BH343" s="1348" t="s">
        <v>2822</v>
      </c>
      <c r="BI343" s="483">
        <v>252850</v>
      </c>
      <c r="BJ343" s="483">
        <v>260196</v>
      </c>
      <c r="BK343" s="483">
        <v>282235</v>
      </c>
      <c r="BL343" s="483">
        <v>302690</v>
      </c>
      <c r="BM343" s="483">
        <v>320264</v>
      </c>
      <c r="BN343" s="483">
        <v>277850</v>
      </c>
      <c r="BO343" s="483">
        <v>285196</v>
      </c>
      <c r="BP343" s="483">
        <v>307235</v>
      </c>
      <c r="BQ343" s="483">
        <v>327690</v>
      </c>
      <c r="BR343" s="1344">
        <v>345264</v>
      </c>
      <c r="BS343" s="1545"/>
      <c r="BU343" s="1545"/>
      <c r="BV343" s="1545"/>
      <c r="BW343" s="1545"/>
      <c r="BX343" s="1545"/>
      <c r="BY343" s="1545"/>
      <c r="BZ343" s="1545"/>
      <c r="CA343" s="1545"/>
      <c r="CB343" s="1545"/>
      <c r="CC343" s="1545"/>
      <c r="CD343" s="1348" t="s">
        <v>2822</v>
      </c>
      <c r="CE343" s="504">
        <v>197850</v>
      </c>
      <c r="CF343" s="504">
        <v>205196</v>
      </c>
      <c r="CG343" s="504">
        <v>227235</v>
      </c>
      <c r="CH343" s="504">
        <v>247690</v>
      </c>
      <c r="CI343" s="504">
        <v>265264</v>
      </c>
      <c r="CJ343" s="504">
        <v>212850</v>
      </c>
      <c r="CK343" s="504">
        <v>220196</v>
      </c>
      <c r="CL343" s="504">
        <v>242235</v>
      </c>
      <c r="CM343" s="504">
        <v>262690</v>
      </c>
      <c r="CN343" s="1347">
        <v>280264</v>
      </c>
    </row>
    <row r="344" spans="60:92" ht="18" customHeight="1">
      <c r="BH344" s="1343" t="s">
        <v>2823</v>
      </c>
      <c r="BI344" s="483">
        <v>150000</v>
      </c>
      <c r="BJ344" s="483">
        <v>150000</v>
      </c>
      <c r="BK344" s="483">
        <v>150000</v>
      </c>
      <c r="BL344" s="483">
        <v>150000</v>
      </c>
      <c r="BM344" s="483">
        <v>150000</v>
      </c>
      <c r="BN344" s="483">
        <v>175000</v>
      </c>
      <c r="BO344" s="483">
        <v>175000</v>
      </c>
      <c r="BP344" s="483">
        <v>175000</v>
      </c>
      <c r="BQ344" s="483">
        <v>175000</v>
      </c>
      <c r="BR344" s="1344">
        <v>175000</v>
      </c>
      <c r="BS344" s="1545"/>
      <c r="BU344" s="1545"/>
      <c r="BV344" s="1545"/>
      <c r="BW344" s="1545"/>
      <c r="BX344" s="1545"/>
      <c r="BY344" s="1545"/>
      <c r="BZ344" s="1545"/>
      <c r="CA344" s="1545"/>
      <c r="CB344" s="1545"/>
      <c r="CC344" s="1545"/>
      <c r="CD344" s="1343" t="s">
        <v>2823</v>
      </c>
      <c r="CE344" s="504">
        <v>95000</v>
      </c>
      <c r="CF344" s="504">
        <v>95000</v>
      </c>
      <c r="CG344" s="504">
        <v>95000</v>
      </c>
      <c r="CH344" s="504">
        <v>95000</v>
      </c>
      <c r="CI344" s="504">
        <v>95000</v>
      </c>
      <c r="CJ344" s="504">
        <v>110000</v>
      </c>
      <c r="CK344" s="504">
        <v>110000</v>
      </c>
      <c r="CL344" s="504">
        <v>110000</v>
      </c>
      <c r="CM344" s="504">
        <v>110000</v>
      </c>
      <c r="CN344" s="1347">
        <v>110000</v>
      </c>
    </row>
    <row r="345" spans="60:92" ht="18" customHeight="1">
      <c r="BH345" s="1348" t="s">
        <v>2824</v>
      </c>
      <c r="BI345" s="483">
        <v>162388</v>
      </c>
      <c r="BJ345" s="483">
        <v>163108</v>
      </c>
      <c r="BK345" s="483">
        <v>165845</v>
      </c>
      <c r="BL345" s="483">
        <v>168294</v>
      </c>
      <c r="BM345" s="483">
        <v>170455</v>
      </c>
      <c r="BN345" s="483">
        <v>187388</v>
      </c>
      <c r="BO345" s="483">
        <v>188108</v>
      </c>
      <c r="BP345" s="483">
        <v>190845</v>
      </c>
      <c r="BQ345" s="483">
        <v>193294</v>
      </c>
      <c r="BR345" s="1344">
        <v>195455</v>
      </c>
      <c r="BS345" s="1545"/>
      <c r="BU345" s="1545"/>
      <c r="BV345" s="1545"/>
      <c r="BW345" s="1545"/>
      <c r="BX345" s="1545"/>
      <c r="BY345" s="1545"/>
      <c r="BZ345" s="1545"/>
      <c r="CA345" s="1545"/>
      <c r="CB345" s="1545"/>
      <c r="CC345" s="1545"/>
      <c r="CD345" s="1348" t="s">
        <v>2824</v>
      </c>
      <c r="CE345" s="504">
        <v>107388</v>
      </c>
      <c r="CF345" s="504">
        <v>108108</v>
      </c>
      <c r="CG345" s="504">
        <v>110845</v>
      </c>
      <c r="CH345" s="504">
        <v>113294</v>
      </c>
      <c r="CI345" s="504">
        <v>115455</v>
      </c>
      <c r="CJ345" s="504">
        <v>122388</v>
      </c>
      <c r="CK345" s="504">
        <v>123108</v>
      </c>
      <c r="CL345" s="504">
        <v>125845</v>
      </c>
      <c r="CM345" s="504">
        <v>128294</v>
      </c>
      <c r="CN345" s="1347">
        <v>130455</v>
      </c>
    </row>
    <row r="346" spans="60:92" ht="18" customHeight="1">
      <c r="BH346" s="1348" t="s">
        <v>2825</v>
      </c>
      <c r="BI346" s="483">
        <v>174632</v>
      </c>
      <c r="BJ346" s="483">
        <v>176361</v>
      </c>
      <c r="BK346" s="483">
        <v>181690</v>
      </c>
      <c r="BL346" s="483">
        <v>186588</v>
      </c>
      <c r="BM346" s="483">
        <v>190765</v>
      </c>
      <c r="BN346" s="483">
        <v>199632</v>
      </c>
      <c r="BO346" s="483">
        <v>201361</v>
      </c>
      <c r="BP346" s="483">
        <v>206690</v>
      </c>
      <c r="BQ346" s="483">
        <v>211588</v>
      </c>
      <c r="BR346" s="1344">
        <v>215765</v>
      </c>
      <c r="BS346" s="1545"/>
      <c r="BU346" s="1545"/>
      <c r="BV346" s="1545"/>
      <c r="BW346" s="1545"/>
      <c r="BX346" s="1545"/>
      <c r="BY346" s="1545"/>
      <c r="BZ346" s="1545"/>
      <c r="CA346" s="1545"/>
      <c r="CB346" s="1545"/>
      <c r="CC346" s="1545"/>
      <c r="CD346" s="1348" t="s">
        <v>2825</v>
      </c>
      <c r="CE346" s="504">
        <v>119632</v>
      </c>
      <c r="CF346" s="504">
        <v>121361</v>
      </c>
      <c r="CG346" s="504">
        <v>126690</v>
      </c>
      <c r="CH346" s="504">
        <v>131588</v>
      </c>
      <c r="CI346" s="504">
        <v>135765</v>
      </c>
      <c r="CJ346" s="504">
        <v>134632</v>
      </c>
      <c r="CK346" s="504">
        <v>136361</v>
      </c>
      <c r="CL346" s="504">
        <v>141690</v>
      </c>
      <c r="CM346" s="504">
        <v>146588</v>
      </c>
      <c r="CN346" s="1347">
        <v>150765</v>
      </c>
    </row>
    <row r="347" spans="60:92" ht="18" customHeight="1">
      <c r="BH347" s="1348" t="s">
        <v>2826</v>
      </c>
      <c r="BI347" s="483">
        <v>187020</v>
      </c>
      <c r="BJ347" s="483">
        <v>189469</v>
      </c>
      <c r="BK347" s="483">
        <v>197536</v>
      </c>
      <c r="BL347" s="483">
        <v>204882</v>
      </c>
      <c r="BM347" s="483">
        <v>211220</v>
      </c>
      <c r="BN347" s="483">
        <v>212020</v>
      </c>
      <c r="BO347" s="483">
        <v>214469</v>
      </c>
      <c r="BP347" s="483">
        <v>222536</v>
      </c>
      <c r="BQ347" s="483">
        <v>229882</v>
      </c>
      <c r="BR347" s="1344">
        <v>236220</v>
      </c>
      <c r="BS347" s="1545"/>
      <c r="BU347" s="1545"/>
      <c r="BV347" s="1545"/>
      <c r="BW347" s="1545"/>
      <c r="BX347" s="1545"/>
      <c r="BY347" s="1545"/>
      <c r="BZ347" s="1545"/>
      <c r="CA347" s="1545"/>
      <c r="CB347" s="1545"/>
      <c r="CC347" s="1545"/>
      <c r="CD347" s="1348" t="s">
        <v>2826</v>
      </c>
      <c r="CE347" s="504">
        <v>132020</v>
      </c>
      <c r="CF347" s="504">
        <v>134469</v>
      </c>
      <c r="CG347" s="504">
        <v>142536</v>
      </c>
      <c r="CH347" s="504">
        <v>149882</v>
      </c>
      <c r="CI347" s="504">
        <v>156220</v>
      </c>
      <c r="CJ347" s="504">
        <v>147020</v>
      </c>
      <c r="CK347" s="504">
        <v>149469</v>
      </c>
      <c r="CL347" s="504">
        <v>157536</v>
      </c>
      <c r="CM347" s="504">
        <v>164882</v>
      </c>
      <c r="CN347" s="1347">
        <v>171220</v>
      </c>
    </row>
    <row r="348" spans="60:92" ht="18" customHeight="1">
      <c r="BH348" s="1348" t="s">
        <v>2827</v>
      </c>
      <c r="BI348" s="483">
        <v>199264</v>
      </c>
      <c r="BJ348" s="483">
        <v>202721</v>
      </c>
      <c r="BK348" s="483">
        <v>213237</v>
      </c>
      <c r="BL348" s="483">
        <v>223176</v>
      </c>
      <c r="BM348" s="483">
        <v>231531</v>
      </c>
      <c r="BN348" s="483">
        <v>224264</v>
      </c>
      <c r="BO348" s="483">
        <v>227721</v>
      </c>
      <c r="BP348" s="483">
        <v>238237</v>
      </c>
      <c r="BQ348" s="483">
        <v>248176</v>
      </c>
      <c r="BR348" s="1344">
        <v>256531</v>
      </c>
      <c r="BS348" s="1545"/>
      <c r="BU348" s="1545"/>
      <c r="BV348" s="1545"/>
      <c r="BW348" s="1545"/>
      <c r="BX348" s="1545"/>
      <c r="BY348" s="1545"/>
      <c r="BZ348" s="1545"/>
      <c r="CA348" s="1545"/>
      <c r="CB348" s="1545"/>
      <c r="CC348" s="1545"/>
      <c r="CD348" s="1348" t="s">
        <v>2827</v>
      </c>
      <c r="CE348" s="504">
        <v>144264</v>
      </c>
      <c r="CF348" s="504">
        <v>147721</v>
      </c>
      <c r="CG348" s="504">
        <v>158237</v>
      </c>
      <c r="CH348" s="504">
        <v>168176</v>
      </c>
      <c r="CI348" s="504">
        <v>176531</v>
      </c>
      <c r="CJ348" s="504">
        <v>159264</v>
      </c>
      <c r="CK348" s="504">
        <v>162721</v>
      </c>
      <c r="CL348" s="504">
        <v>173237</v>
      </c>
      <c r="CM348" s="504">
        <v>183176</v>
      </c>
      <c r="CN348" s="1347">
        <v>191531</v>
      </c>
    </row>
    <row r="349" spans="60:92" ht="18" customHeight="1">
      <c r="BH349" s="1348" t="s">
        <v>2828</v>
      </c>
      <c r="BI349" s="483">
        <v>211652</v>
      </c>
      <c r="BJ349" s="483">
        <v>215974</v>
      </c>
      <c r="BK349" s="483">
        <v>229082</v>
      </c>
      <c r="BL349" s="483">
        <v>241470</v>
      </c>
      <c r="BM349" s="483">
        <v>251985</v>
      </c>
      <c r="BN349" s="483">
        <v>236652</v>
      </c>
      <c r="BO349" s="483">
        <v>240974</v>
      </c>
      <c r="BP349" s="483">
        <v>254082</v>
      </c>
      <c r="BQ349" s="483">
        <v>266470</v>
      </c>
      <c r="BR349" s="1344">
        <v>276985</v>
      </c>
      <c r="BS349" s="1545"/>
      <c r="BU349" s="1545"/>
      <c r="BV349" s="1545"/>
      <c r="BW349" s="1545"/>
      <c r="BX349" s="1545"/>
      <c r="BY349" s="1545"/>
      <c r="BZ349" s="1545"/>
      <c r="CA349" s="1545"/>
      <c r="CB349" s="1545"/>
      <c r="CC349" s="1545"/>
      <c r="CD349" s="1348" t="s">
        <v>2828</v>
      </c>
      <c r="CE349" s="504">
        <v>156652</v>
      </c>
      <c r="CF349" s="504">
        <v>160974</v>
      </c>
      <c r="CG349" s="504">
        <v>174082</v>
      </c>
      <c r="CH349" s="504">
        <v>186470</v>
      </c>
      <c r="CI349" s="504">
        <v>196985</v>
      </c>
      <c r="CJ349" s="504">
        <v>171652</v>
      </c>
      <c r="CK349" s="504">
        <v>175974</v>
      </c>
      <c r="CL349" s="504">
        <v>189082</v>
      </c>
      <c r="CM349" s="504">
        <v>201470</v>
      </c>
      <c r="CN349" s="1347">
        <v>211985</v>
      </c>
    </row>
    <row r="350" spans="60:92" ht="18" customHeight="1">
      <c r="BH350" s="1348" t="s">
        <v>2829</v>
      </c>
      <c r="BI350" s="483">
        <v>223896</v>
      </c>
      <c r="BJ350" s="483">
        <v>229082</v>
      </c>
      <c r="BK350" s="483">
        <v>244927</v>
      </c>
      <c r="BL350" s="483">
        <v>259764</v>
      </c>
      <c r="BM350" s="483">
        <v>272440</v>
      </c>
      <c r="BN350" s="483">
        <v>248896</v>
      </c>
      <c r="BO350" s="483">
        <v>254082</v>
      </c>
      <c r="BP350" s="483">
        <v>269927</v>
      </c>
      <c r="BQ350" s="483">
        <v>284764</v>
      </c>
      <c r="BR350" s="1344">
        <v>297440</v>
      </c>
      <c r="BS350" s="1545"/>
      <c r="BU350" s="1545"/>
      <c r="BV350" s="1545"/>
      <c r="BW350" s="1545"/>
      <c r="BX350" s="1545"/>
      <c r="BY350" s="1545"/>
      <c r="BZ350" s="1545"/>
      <c r="CA350" s="1545"/>
      <c r="CB350" s="1545"/>
      <c r="CC350" s="1545"/>
      <c r="CD350" s="1348" t="s">
        <v>2829</v>
      </c>
      <c r="CE350" s="504">
        <v>168896</v>
      </c>
      <c r="CF350" s="504">
        <v>174082</v>
      </c>
      <c r="CG350" s="504">
        <v>189927</v>
      </c>
      <c r="CH350" s="504">
        <v>204764</v>
      </c>
      <c r="CI350" s="504">
        <v>217440</v>
      </c>
      <c r="CJ350" s="504">
        <v>183896</v>
      </c>
      <c r="CK350" s="504">
        <v>189082</v>
      </c>
      <c r="CL350" s="504">
        <v>204927</v>
      </c>
      <c r="CM350" s="504">
        <v>219764</v>
      </c>
      <c r="CN350" s="1347">
        <v>232440</v>
      </c>
    </row>
    <row r="351" spans="60:92" ht="18" customHeight="1">
      <c r="BH351" s="1348" t="s">
        <v>2830</v>
      </c>
      <c r="BI351" s="483">
        <v>236284</v>
      </c>
      <c r="BJ351" s="483">
        <v>242334</v>
      </c>
      <c r="BK351" s="483">
        <v>260772</v>
      </c>
      <c r="BL351" s="483">
        <v>278058</v>
      </c>
      <c r="BM351" s="483">
        <v>292751</v>
      </c>
      <c r="BN351" s="483">
        <v>261284</v>
      </c>
      <c r="BO351" s="483">
        <v>267334</v>
      </c>
      <c r="BP351" s="483">
        <v>285772</v>
      </c>
      <c r="BQ351" s="483">
        <v>303058</v>
      </c>
      <c r="BR351" s="1344">
        <v>317751</v>
      </c>
      <c r="BS351" s="1545"/>
      <c r="BU351" s="1545"/>
      <c r="BV351" s="1545"/>
      <c r="BW351" s="1545"/>
      <c r="BX351" s="1545"/>
      <c r="BY351" s="1545"/>
      <c r="BZ351" s="1545"/>
      <c r="CA351" s="1545"/>
      <c r="CB351" s="1545"/>
      <c r="CC351" s="1545"/>
      <c r="CD351" s="1348" t="s">
        <v>2830</v>
      </c>
      <c r="CE351" s="504">
        <v>181284</v>
      </c>
      <c r="CF351" s="504">
        <v>187334</v>
      </c>
      <c r="CG351" s="504">
        <v>205772</v>
      </c>
      <c r="CH351" s="504">
        <v>223058</v>
      </c>
      <c r="CI351" s="504">
        <v>237751</v>
      </c>
      <c r="CJ351" s="504">
        <v>196284</v>
      </c>
      <c r="CK351" s="504">
        <v>202334</v>
      </c>
      <c r="CL351" s="504">
        <v>220772</v>
      </c>
      <c r="CM351" s="504">
        <v>238058</v>
      </c>
      <c r="CN351" s="1347">
        <v>252751</v>
      </c>
    </row>
    <row r="352" spans="60:92" ht="18" customHeight="1">
      <c r="BH352" s="1348" t="s">
        <v>2831</v>
      </c>
      <c r="BI352" s="483">
        <v>248528</v>
      </c>
      <c r="BJ352" s="483">
        <v>255443</v>
      </c>
      <c r="BK352" s="483">
        <v>276618</v>
      </c>
      <c r="BL352" s="483">
        <v>296352</v>
      </c>
      <c r="BM352" s="483">
        <v>313206</v>
      </c>
      <c r="BN352" s="483">
        <v>273528</v>
      </c>
      <c r="BO352" s="483">
        <v>280443</v>
      </c>
      <c r="BP352" s="483">
        <v>301618</v>
      </c>
      <c r="BQ352" s="483">
        <v>321352</v>
      </c>
      <c r="BR352" s="1344">
        <v>338206</v>
      </c>
      <c r="BS352" s="1545"/>
      <c r="BU352" s="1545"/>
      <c r="BV352" s="1545"/>
      <c r="BW352" s="1545"/>
      <c r="BX352" s="1545"/>
      <c r="BY352" s="1545"/>
      <c r="BZ352" s="1545"/>
      <c r="CA352" s="1545"/>
      <c r="CB352" s="1545"/>
      <c r="CC352" s="1545"/>
      <c r="CD352" s="1348" t="s">
        <v>2831</v>
      </c>
      <c r="CE352" s="504">
        <v>193528</v>
      </c>
      <c r="CF352" s="504">
        <v>200443</v>
      </c>
      <c r="CG352" s="504">
        <v>221618</v>
      </c>
      <c r="CH352" s="504">
        <v>241352</v>
      </c>
      <c r="CI352" s="504">
        <v>258206</v>
      </c>
      <c r="CJ352" s="504">
        <v>208528</v>
      </c>
      <c r="CK352" s="504">
        <v>215443</v>
      </c>
      <c r="CL352" s="504">
        <v>236618</v>
      </c>
      <c r="CM352" s="504">
        <v>256352</v>
      </c>
      <c r="CN352" s="1347">
        <v>273206</v>
      </c>
    </row>
    <row r="353" spans="60:92" ht="18" customHeight="1">
      <c r="BH353" s="1348" t="s">
        <v>2832</v>
      </c>
      <c r="BI353" s="483">
        <v>260916</v>
      </c>
      <c r="BJ353" s="483">
        <v>268695</v>
      </c>
      <c r="BK353" s="483">
        <v>292463</v>
      </c>
      <c r="BL353" s="483">
        <v>314646</v>
      </c>
      <c r="BM353" s="483">
        <v>333660</v>
      </c>
      <c r="BN353" s="483">
        <v>285916</v>
      </c>
      <c r="BO353" s="483">
        <v>293695</v>
      </c>
      <c r="BP353" s="483">
        <v>317463</v>
      </c>
      <c r="BQ353" s="483">
        <v>339646</v>
      </c>
      <c r="BR353" s="1344">
        <v>358660</v>
      </c>
      <c r="BS353" s="1545"/>
      <c r="BU353" s="1545"/>
      <c r="BV353" s="1545"/>
      <c r="BW353" s="1545"/>
      <c r="BX353" s="1545"/>
      <c r="BY353" s="1545"/>
      <c r="BZ353" s="1545"/>
      <c r="CA353" s="1545"/>
      <c r="CB353" s="1545"/>
      <c r="CC353" s="1545"/>
      <c r="CD353" s="1348" t="s">
        <v>2832</v>
      </c>
      <c r="CE353" s="504">
        <v>205916</v>
      </c>
      <c r="CF353" s="504">
        <v>213695</v>
      </c>
      <c r="CG353" s="504">
        <v>237463</v>
      </c>
      <c r="CH353" s="504">
        <v>259646</v>
      </c>
      <c r="CI353" s="504">
        <v>278660</v>
      </c>
      <c r="CJ353" s="504">
        <v>220916</v>
      </c>
      <c r="CK353" s="504">
        <v>228695</v>
      </c>
      <c r="CL353" s="504">
        <v>252463</v>
      </c>
      <c r="CM353" s="504">
        <v>274646</v>
      </c>
      <c r="CN353" s="1347">
        <v>293660</v>
      </c>
    </row>
    <row r="354" spans="60:92" ht="18" customHeight="1">
      <c r="BH354" s="1343" t="s">
        <v>2833</v>
      </c>
      <c r="BI354" s="483">
        <v>150000</v>
      </c>
      <c r="BJ354" s="483">
        <v>150000</v>
      </c>
      <c r="BK354" s="483">
        <v>150000</v>
      </c>
      <c r="BL354" s="483">
        <v>150000</v>
      </c>
      <c r="BM354" s="483">
        <v>150000</v>
      </c>
      <c r="BN354" s="483">
        <v>175000</v>
      </c>
      <c r="BO354" s="483">
        <v>175000</v>
      </c>
      <c r="BP354" s="483">
        <v>175000</v>
      </c>
      <c r="BQ354" s="483">
        <v>175000</v>
      </c>
      <c r="BR354" s="1344">
        <v>175000</v>
      </c>
      <c r="BS354" s="1545"/>
      <c r="BU354" s="1545"/>
      <c r="BV354" s="1545"/>
      <c r="BW354" s="1545"/>
      <c r="BX354" s="1545"/>
      <c r="BY354" s="1545"/>
      <c r="BZ354" s="1545"/>
      <c r="CA354" s="1545"/>
      <c r="CB354" s="1545"/>
      <c r="CC354" s="1545"/>
      <c r="CD354" s="1343" t="s">
        <v>2833</v>
      </c>
      <c r="CE354" s="504">
        <v>95000</v>
      </c>
      <c r="CF354" s="504">
        <v>95000</v>
      </c>
      <c r="CG354" s="504">
        <v>95000</v>
      </c>
      <c r="CH354" s="504">
        <v>95000</v>
      </c>
      <c r="CI354" s="504">
        <v>95000</v>
      </c>
      <c r="CJ354" s="504">
        <v>110000</v>
      </c>
      <c r="CK354" s="504">
        <v>110000</v>
      </c>
      <c r="CL354" s="504">
        <v>110000</v>
      </c>
      <c r="CM354" s="504">
        <v>110000</v>
      </c>
      <c r="CN354" s="1347">
        <v>110000</v>
      </c>
    </row>
    <row r="355" spans="60:92" ht="18" customHeight="1">
      <c r="BH355" s="1348" t="s">
        <v>2834</v>
      </c>
      <c r="BI355" s="483">
        <v>159939</v>
      </c>
      <c r="BJ355" s="483">
        <v>160660</v>
      </c>
      <c r="BK355" s="483">
        <v>162820</v>
      </c>
      <c r="BL355" s="483">
        <v>164837</v>
      </c>
      <c r="BM355" s="483">
        <v>166565</v>
      </c>
      <c r="BN355" s="483">
        <v>184939</v>
      </c>
      <c r="BO355" s="483">
        <v>185660</v>
      </c>
      <c r="BP355" s="483">
        <v>187820</v>
      </c>
      <c r="BQ355" s="483">
        <v>189837</v>
      </c>
      <c r="BR355" s="1344">
        <v>191565</v>
      </c>
      <c r="BS355" s="1545"/>
      <c r="BU355" s="1545"/>
      <c r="BV355" s="1545"/>
      <c r="BW355" s="1545"/>
      <c r="BX355" s="1545"/>
      <c r="BY355" s="1545"/>
      <c r="BZ355" s="1545"/>
      <c r="CA355" s="1545"/>
      <c r="CB355" s="1545"/>
      <c r="CC355" s="1545"/>
      <c r="CD355" s="1348" t="s">
        <v>2834</v>
      </c>
      <c r="CE355" s="504">
        <v>104939</v>
      </c>
      <c r="CF355" s="504">
        <v>105660</v>
      </c>
      <c r="CG355" s="504">
        <v>107820</v>
      </c>
      <c r="CH355" s="504">
        <v>109837</v>
      </c>
      <c r="CI355" s="504">
        <v>111565</v>
      </c>
      <c r="CJ355" s="504">
        <v>119939</v>
      </c>
      <c r="CK355" s="504">
        <v>120660</v>
      </c>
      <c r="CL355" s="504">
        <v>122820</v>
      </c>
      <c r="CM355" s="504">
        <v>124837</v>
      </c>
      <c r="CN355" s="1347">
        <v>126565</v>
      </c>
    </row>
    <row r="356" spans="60:92" ht="18" customHeight="1">
      <c r="BH356" s="1348" t="s">
        <v>2835</v>
      </c>
      <c r="BI356" s="483">
        <v>169879</v>
      </c>
      <c r="BJ356" s="483">
        <v>171319</v>
      </c>
      <c r="BK356" s="483">
        <v>175640</v>
      </c>
      <c r="BL356" s="483">
        <v>179674</v>
      </c>
      <c r="BM356" s="483">
        <v>182987</v>
      </c>
      <c r="BN356" s="483">
        <v>194879</v>
      </c>
      <c r="BO356" s="483">
        <v>196319</v>
      </c>
      <c r="BP356" s="483">
        <v>200640</v>
      </c>
      <c r="BQ356" s="483">
        <v>204674</v>
      </c>
      <c r="BR356" s="1344">
        <v>207987</v>
      </c>
      <c r="BS356" s="1545"/>
      <c r="BU356" s="1545"/>
      <c r="BV356" s="1545"/>
      <c r="BW356" s="1545"/>
      <c r="BX356" s="1545"/>
      <c r="BY356" s="1545"/>
      <c r="BZ356" s="1545"/>
      <c r="CA356" s="1545"/>
      <c r="CB356" s="1545"/>
      <c r="CC356" s="1545"/>
      <c r="CD356" s="1348" t="s">
        <v>2835</v>
      </c>
      <c r="CE356" s="504">
        <v>114879</v>
      </c>
      <c r="CF356" s="504">
        <v>116319</v>
      </c>
      <c r="CG356" s="504">
        <v>120640</v>
      </c>
      <c r="CH356" s="504">
        <v>124674</v>
      </c>
      <c r="CI356" s="504">
        <v>127987</v>
      </c>
      <c r="CJ356" s="504">
        <v>129879</v>
      </c>
      <c r="CK356" s="504">
        <v>131319</v>
      </c>
      <c r="CL356" s="504">
        <v>135640</v>
      </c>
      <c r="CM356" s="504">
        <v>139674</v>
      </c>
      <c r="CN356" s="1347">
        <v>142987</v>
      </c>
    </row>
    <row r="357" spans="60:92" ht="18" customHeight="1">
      <c r="BH357" s="1348" t="s">
        <v>2836</v>
      </c>
      <c r="BI357" s="483">
        <v>179818</v>
      </c>
      <c r="BJ357" s="483">
        <v>181979</v>
      </c>
      <c r="BK357" s="483">
        <v>188461</v>
      </c>
      <c r="BL357" s="483">
        <v>194511</v>
      </c>
      <c r="BM357" s="483">
        <v>199552</v>
      </c>
      <c r="BN357" s="483">
        <v>204818</v>
      </c>
      <c r="BO357" s="483">
        <v>206979</v>
      </c>
      <c r="BP357" s="483">
        <v>213461</v>
      </c>
      <c r="BQ357" s="483">
        <v>219511</v>
      </c>
      <c r="BR357" s="1344">
        <v>224552</v>
      </c>
      <c r="BS357" s="1545"/>
      <c r="BU357" s="1545"/>
      <c r="BV357" s="1545"/>
      <c r="BW357" s="1545"/>
      <c r="BX357" s="1545"/>
      <c r="BY357" s="1545"/>
      <c r="BZ357" s="1545"/>
      <c r="CA357" s="1545"/>
      <c r="CB357" s="1545"/>
      <c r="CC357" s="1545"/>
      <c r="CD357" s="1348" t="s">
        <v>2836</v>
      </c>
      <c r="CE357" s="504">
        <v>124818</v>
      </c>
      <c r="CF357" s="504">
        <v>126979</v>
      </c>
      <c r="CG357" s="504">
        <v>133461</v>
      </c>
      <c r="CH357" s="504">
        <v>139511</v>
      </c>
      <c r="CI357" s="504">
        <v>144552</v>
      </c>
      <c r="CJ357" s="504">
        <v>139818</v>
      </c>
      <c r="CK357" s="504">
        <v>141979</v>
      </c>
      <c r="CL357" s="504">
        <v>148461</v>
      </c>
      <c r="CM357" s="504">
        <v>154511</v>
      </c>
      <c r="CN357" s="1347">
        <v>159552</v>
      </c>
    </row>
    <row r="358" spans="60:92" ht="18" customHeight="1">
      <c r="BH358" s="1348" t="s">
        <v>2837</v>
      </c>
      <c r="BI358" s="483">
        <v>189757</v>
      </c>
      <c r="BJ358" s="483">
        <v>192638</v>
      </c>
      <c r="BK358" s="483">
        <v>201137</v>
      </c>
      <c r="BL358" s="483">
        <v>209203</v>
      </c>
      <c r="BM358" s="483">
        <v>215974</v>
      </c>
      <c r="BN358" s="483">
        <v>214757</v>
      </c>
      <c r="BO358" s="483">
        <v>217638</v>
      </c>
      <c r="BP358" s="483">
        <v>226137</v>
      </c>
      <c r="BQ358" s="483">
        <v>234203</v>
      </c>
      <c r="BR358" s="1344">
        <v>240974</v>
      </c>
      <c r="BS358" s="1545"/>
      <c r="BU358" s="1545"/>
      <c r="BV358" s="1545"/>
      <c r="BW358" s="1545"/>
      <c r="BX358" s="1545"/>
      <c r="BY358" s="1545"/>
      <c r="BZ358" s="1545"/>
      <c r="CA358" s="1545"/>
      <c r="CB358" s="1545"/>
      <c r="CC358" s="1545"/>
      <c r="CD358" s="1348" t="s">
        <v>2837</v>
      </c>
      <c r="CE358" s="504">
        <v>134757</v>
      </c>
      <c r="CF358" s="504">
        <v>137638</v>
      </c>
      <c r="CG358" s="504">
        <v>146137</v>
      </c>
      <c r="CH358" s="504">
        <v>154203</v>
      </c>
      <c r="CI358" s="504">
        <v>160974</v>
      </c>
      <c r="CJ358" s="504">
        <v>149757</v>
      </c>
      <c r="CK358" s="504">
        <v>152638</v>
      </c>
      <c r="CL358" s="504">
        <v>161137</v>
      </c>
      <c r="CM358" s="504">
        <v>169203</v>
      </c>
      <c r="CN358" s="1347">
        <v>175974</v>
      </c>
    </row>
    <row r="359" spans="60:92" ht="18" customHeight="1">
      <c r="BH359" s="1348" t="s">
        <v>2838</v>
      </c>
      <c r="BI359" s="483">
        <v>199840</v>
      </c>
      <c r="BJ359" s="483">
        <v>203298</v>
      </c>
      <c r="BK359" s="483">
        <v>213957</v>
      </c>
      <c r="BL359" s="483">
        <v>224040</v>
      </c>
      <c r="BM359" s="483">
        <v>232539</v>
      </c>
      <c r="BN359" s="483">
        <v>224840</v>
      </c>
      <c r="BO359" s="483">
        <v>228298</v>
      </c>
      <c r="BP359" s="483">
        <v>238957</v>
      </c>
      <c r="BQ359" s="483">
        <v>249040</v>
      </c>
      <c r="BR359" s="1344">
        <v>257539</v>
      </c>
      <c r="BS359" s="1545"/>
      <c r="BU359" s="1545"/>
      <c r="BV359" s="1545"/>
      <c r="BW359" s="1545"/>
      <c r="BX359" s="1545"/>
      <c r="BY359" s="1545"/>
      <c r="BZ359" s="1545"/>
      <c r="CA359" s="1545"/>
      <c r="CB359" s="1545"/>
      <c r="CC359" s="1545"/>
      <c r="CD359" s="1348" t="s">
        <v>2838</v>
      </c>
      <c r="CE359" s="504">
        <v>144840</v>
      </c>
      <c r="CF359" s="504">
        <v>148298</v>
      </c>
      <c r="CG359" s="504">
        <v>158957</v>
      </c>
      <c r="CH359" s="504">
        <v>169040</v>
      </c>
      <c r="CI359" s="504">
        <v>177539</v>
      </c>
      <c r="CJ359" s="504">
        <v>159840</v>
      </c>
      <c r="CK359" s="504">
        <v>163298</v>
      </c>
      <c r="CL359" s="504">
        <v>173957</v>
      </c>
      <c r="CM359" s="504">
        <v>184040</v>
      </c>
      <c r="CN359" s="1347">
        <v>192539</v>
      </c>
    </row>
    <row r="360" spans="60:92" ht="18" customHeight="1">
      <c r="BH360" s="1348" t="s">
        <v>2839</v>
      </c>
      <c r="BI360" s="483">
        <v>209780</v>
      </c>
      <c r="BJ360" s="483">
        <v>213957</v>
      </c>
      <c r="BK360" s="483">
        <v>226777</v>
      </c>
      <c r="BL360" s="483">
        <v>238877</v>
      </c>
      <c r="BM360" s="483">
        <v>249105</v>
      </c>
      <c r="BN360" s="483">
        <v>234780</v>
      </c>
      <c r="BO360" s="483">
        <v>238957</v>
      </c>
      <c r="BP360" s="483">
        <v>251777</v>
      </c>
      <c r="BQ360" s="483">
        <v>263877</v>
      </c>
      <c r="BR360" s="1344">
        <v>274105</v>
      </c>
      <c r="BS360" s="1545"/>
      <c r="BU360" s="1545"/>
      <c r="BV360" s="1545"/>
      <c r="BW360" s="1545"/>
      <c r="BX360" s="1545"/>
      <c r="BY360" s="1545"/>
      <c r="BZ360" s="1545"/>
      <c r="CA360" s="1545"/>
      <c r="CB360" s="1545"/>
      <c r="CC360" s="1545"/>
      <c r="CD360" s="1348" t="s">
        <v>2839</v>
      </c>
      <c r="CE360" s="504">
        <v>154780</v>
      </c>
      <c r="CF360" s="504">
        <v>158957</v>
      </c>
      <c r="CG360" s="504">
        <v>171777</v>
      </c>
      <c r="CH360" s="504">
        <v>183877</v>
      </c>
      <c r="CI360" s="504">
        <v>194105</v>
      </c>
      <c r="CJ360" s="504">
        <v>169780</v>
      </c>
      <c r="CK360" s="504">
        <v>173957</v>
      </c>
      <c r="CL360" s="504">
        <v>186777</v>
      </c>
      <c r="CM360" s="504">
        <v>198877</v>
      </c>
      <c r="CN360" s="1347">
        <v>209105</v>
      </c>
    </row>
    <row r="361" spans="60:92" ht="18" customHeight="1">
      <c r="BH361" s="1348" t="s">
        <v>2840</v>
      </c>
      <c r="BI361" s="483">
        <v>219719</v>
      </c>
      <c r="BJ361" s="483">
        <v>224617</v>
      </c>
      <c r="BK361" s="483">
        <v>239597</v>
      </c>
      <c r="BL361" s="483">
        <v>253714</v>
      </c>
      <c r="BM361" s="483">
        <v>265526</v>
      </c>
      <c r="BN361" s="483">
        <v>244719</v>
      </c>
      <c r="BO361" s="483">
        <v>249617</v>
      </c>
      <c r="BP361" s="483">
        <v>264597</v>
      </c>
      <c r="BQ361" s="483">
        <v>278714</v>
      </c>
      <c r="BR361" s="1344">
        <v>290526</v>
      </c>
      <c r="BS361" s="1545"/>
      <c r="BU361" s="1545"/>
      <c r="BV361" s="1545"/>
      <c r="BW361" s="1545"/>
      <c r="BX361" s="1545"/>
      <c r="BY361" s="1545"/>
      <c r="BZ361" s="1545"/>
      <c r="CA361" s="1545"/>
      <c r="CB361" s="1545"/>
      <c r="CC361" s="1545"/>
      <c r="CD361" s="1348" t="s">
        <v>2840</v>
      </c>
      <c r="CE361" s="504">
        <v>164719</v>
      </c>
      <c r="CF361" s="504">
        <v>169617</v>
      </c>
      <c r="CG361" s="504">
        <v>184597</v>
      </c>
      <c r="CH361" s="504">
        <v>198714</v>
      </c>
      <c r="CI361" s="504">
        <v>210526</v>
      </c>
      <c r="CJ361" s="504">
        <v>179719</v>
      </c>
      <c r="CK361" s="504">
        <v>184617</v>
      </c>
      <c r="CL361" s="504">
        <v>199597</v>
      </c>
      <c r="CM361" s="504">
        <v>213714</v>
      </c>
      <c r="CN361" s="1347">
        <v>225526</v>
      </c>
    </row>
    <row r="362" spans="60:92" ht="18" customHeight="1">
      <c r="BH362" s="1348" t="s">
        <v>2841</v>
      </c>
      <c r="BI362" s="483">
        <v>229658</v>
      </c>
      <c r="BJ362" s="483">
        <v>235276</v>
      </c>
      <c r="BK362" s="483">
        <v>252418</v>
      </c>
      <c r="BL362" s="483">
        <v>268407</v>
      </c>
      <c r="BM362" s="483">
        <v>282091</v>
      </c>
      <c r="BN362" s="483">
        <v>254658</v>
      </c>
      <c r="BO362" s="483">
        <v>260276</v>
      </c>
      <c r="BP362" s="483">
        <v>277418</v>
      </c>
      <c r="BQ362" s="483">
        <v>293407</v>
      </c>
      <c r="BR362" s="1344">
        <v>307091</v>
      </c>
      <c r="BS362" s="1545"/>
      <c r="BU362" s="1545"/>
      <c r="BV362" s="1545"/>
      <c r="BW362" s="1545"/>
      <c r="BX362" s="1545"/>
      <c r="BY362" s="1545"/>
      <c r="BZ362" s="1545"/>
      <c r="CA362" s="1545"/>
      <c r="CB362" s="1545"/>
      <c r="CC362" s="1545"/>
      <c r="CD362" s="1348" t="s">
        <v>2841</v>
      </c>
      <c r="CE362" s="504">
        <v>174658</v>
      </c>
      <c r="CF362" s="504">
        <v>180276</v>
      </c>
      <c r="CG362" s="504">
        <v>197418</v>
      </c>
      <c r="CH362" s="504">
        <v>213407</v>
      </c>
      <c r="CI362" s="504">
        <v>227091</v>
      </c>
      <c r="CJ362" s="504">
        <v>189658</v>
      </c>
      <c r="CK362" s="504">
        <v>195276</v>
      </c>
      <c r="CL362" s="504">
        <v>212418</v>
      </c>
      <c r="CM362" s="504">
        <v>228407</v>
      </c>
      <c r="CN362" s="1347">
        <v>242091</v>
      </c>
    </row>
    <row r="363" spans="60:92" ht="18" customHeight="1">
      <c r="BH363" s="1348" t="s">
        <v>2842</v>
      </c>
      <c r="BI363" s="483">
        <v>239597</v>
      </c>
      <c r="BJ363" s="483">
        <v>245936</v>
      </c>
      <c r="BK363" s="483">
        <v>265238</v>
      </c>
      <c r="BL363" s="483">
        <v>283244</v>
      </c>
      <c r="BM363" s="483">
        <v>298657</v>
      </c>
      <c r="BN363" s="483">
        <v>264597</v>
      </c>
      <c r="BO363" s="483">
        <v>270936</v>
      </c>
      <c r="BP363" s="483">
        <v>290238</v>
      </c>
      <c r="BQ363" s="483">
        <v>308244</v>
      </c>
      <c r="BR363" s="1344">
        <v>323657</v>
      </c>
      <c r="BS363" s="1545"/>
      <c r="BU363" s="1545"/>
      <c r="BV363" s="1545"/>
      <c r="BW363" s="1545"/>
      <c r="BX363" s="1545"/>
      <c r="BY363" s="1545"/>
      <c r="BZ363" s="1545"/>
      <c r="CA363" s="1545"/>
      <c r="CB363" s="1545"/>
      <c r="CC363" s="1545"/>
      <c r="CD363" s="1348" t="s">
        <v>2842</v>
      </c>
      <c r="CE363" s="504">
        <v>184597</v>
      </c>
      <c r="CF363" s="504">
        <v>190936</v>
      </c>
      <c r="CG363" s="504">
        <v>210238</v>
      </c>
      <c r="CH363" s="504">
        <v>228244</v>
      </c>
      <c r="CI363" s="504">
        <v>243657</v>
      </c>
      <c r="CJ363" s="504">
        <v>199597</v>
      </c>
      <c r="CK363" s="504">
        <v>205936</v>
      </c>
      <c r="CL363" s="504">
        <v>225238</v>
      </c>
      <c r="CM363" s="504">
        <v>243244</v>
      </c>
      <c r="CN363" s="1347">
        <v>258657</v>
      </c>
    </row>
    <row r="364" spans="60:92" ht="18" customHeight="1">
      <c r="BH364" s="1343" t="s">
        <v>2843</v>
      </c>
      <c r="BI364" s="483">
        <v>150000</v>
      </c>
      <c r="BJ364" s="483">
        <v>150000</v>
      </c>
      <c r="BK364" s="483">
        <v>150000</v>
      </c>
      <c r="BL364" s="483">
        <v>150000</v>
      </c>
      <c r="BM364" s="483">
        <v>150000</v>
      </c>
      <c r="BN364" s="483">
        <v>175000</v>
      </c>
      <c r="BO364" s="483">
        <v>175000</v>
      </c>
      <c r="BP364" s="483">
        <v>175000</v>
      </c>
      <c r="BQ364" s="483">
        <v>175000</v>
      </c>
      <c r="BR364" s="1344">
        <v>175000</v>
      </c>
      <c r="BS364" s="1545"/>
      <c r="BU364" s="1545"/>
      <c r="BV364" s="1545"/>
      <c r="BW364" s="1545"/>
      <c r="BX364" s="1545"/>
      <c r="BY364" s="1545"/>
      <c r="BZ364" s="1545"/>
      <c r="CA364" s="1545"/>
      <c r="CB364" s="1545"/>
      <c r="CC364" s="1545"/>
      <c r="CD364" s="1343" t="s">
        <v>2843</v>
      </c>
      <c r="CE364" s="504">
        <v>95000</v>
      </c>
      <c r="CF364" s="504">
        <v>95000</v>
      </c>
      <c r="CG364" s="504">
        <v>95000</v>
      </c>
      <c r="CH364" s="504">
        <v>95000</v>
      </c>
      <c r="CI364" s="504">
        <v>95000</v>
      </c>
      <c r="CJ364" s="504">
        <v>110000</v>
      </c>
      <c r="CK364" s="504">
        <v>110000</v>
      </c>
      <c r="CL364" s="504">
        <v>110000</v>
      </c>
      <c r="CM364" s="504">
        <v>110000</v>
      </c>
      <c r="CN364" s="1347">
        <v>110000</v>
      </c>
    </row>
    <row r="365" spans="60:92" ht="18" customHeight="1">
      <c r="BH365" s="1348" t="s">
        <v>2844</v>
      </c>
      <c r="BI365" s="483">
        <v>165269</v>
      </c>
      <c r="BJ365" s="483">
        <v>166421</v>
      </c>
      <c r="BK365" s="483">
        <v>169590</v>
      </c>
      <c r="BL365" s="483">
        <v>172615</v>
      </c>
      <c r="BM365" s="483">
        <v>175352</v>
      </c>
      <c r="BN365" s="483">
        <v>190269</v>
      </c>
      <c r="BO365" s="483">
        <v>191421</v>
      </c>
      <c r="BP365" s="483">
        <v>194590</v>
      </c>
      <c r="BQ365" s="483">
        <v>197615</v>
      </c>
      <c r="BR365" s="1344">
        <v>200352</v>
      </c>
      <c r="BS365" s="1545"/>
      <c r="BU365" s="1545"/>
      <c r="BV365" s="1545"/>
      <c r="BW365" s="1545"/>
      <c r="BX365" s="1545"/>
      <c r="BY365" s="1545"/>
      <c r="BZ365" s="1545"/>
      <c r="CA365" s="1545"/>
      <c r="CB365" s="1545"/>
      <c r="CC365" s="1545"/>
      <c r="CD365" s="1348" t="s">
        <v>2844</v>
      </c>
      <c r="CE365" s="504">
        <v>110269</v>
      </c>
      <c r="CF365" s="504">
        <v>111421</v>
      </c>
      <c r="CG365" s="504">
        <v>114590</v>
      </c>
      <c r="CH365" s="504">
        <v>117615</v>
      </c>
      <c r="CI365" s="504">
        <v>120352</v>
      </c>
      <c r="CJ365" s="504">
        <v>125269</v>
      </c>
      <c r="CK365" s="504">
        <v>126421</v>
      </c>
      <c r="CL365" s="504">
        <v>129590</v>
      </c>
      <c r="CM365" s="504">
        <v>132615</v>
      </c>
      <c r="CN365" s="1347">
        <v>135352</v>
      </c>
    </row>
    <row r="366" spans="60:92" ht="18" customHeight="1">
      <c r="BH366" s="1348" t="s">
        <v>2845</v>
      </c>
      <c r="BI366" s="483">
        <v>180538</v>
      </c>
      <c r="BJ366" s="483">
        <v>182843</v>
      </c>
      <c r="BK366" s="483">
        <v>189325</v>
      </c>
      <c r="BL366" s="483">
        <v>195375</v>
      </c>
      <c r="BM366" s="483">
        <v>200705</v>
      </c>
      <c r="BN366" s="483">
        <v>205538</v>
      </c>
      <c r="BO366" s="483">
        <v>207843</v>
      </c>
      <c r="BP366" s="483">
        <v>214325</v>
      </c>
      <c r="BQ366" s="483">
        <v>220375</v>
      </c>
      <c r="BR366" s="1344">
        <v>225705</v>
      </c>
      <c r="BS366" s="1545"/>
      <c r="BU366" s="1545"/>
      <c r="BV366" s="1545"/>
      <c r="BW366" s="1545"/>
      <c r="BX366" s="1545"/>
      <c r="BY366" s="1545"/>
      <c r="BZ366" s="1545"/>
      <c r="CA366" s="1545"/>
      <c r="CB366" s="1545"/>
      <c r="CC366" s="1545"/>
      <c r="CD366" s="1348" t="s">
        <v>2845</v>
      </c>
      <c r="CE366" s="504">
        <v>125538</v>
      </c>
      <c r="CF366" s="504">
        <v>127843</v>
      </c>
      <c r="CG366" s="504">
        <v>134325</v>
      </c>
      <c r="CH366" s="504">
        <v>140375</v>
      </c>
      <c r="CI366" s="504">
        <v>145705</v>
      </c>
      <c r="CJ366" s="504">
        <v>140538</v>
      </c>
      <c r="CK366" s="504">
        <v>142843</v>
      </c>
      <c r="CL366" s="504">
        <v>149325</v>
      </c>
      <c r="CM366" s="504">
        <v>155375</v>
      </c>
      <c r="CN366" s="1347">
        <v>160705</v>
      </c>
    </row>
    <row r="367" spans="60:92" ht="18" customHeight="1">
      <c r="BH367" s="1348" t="s">
        <v>2846</v>
      </c>
      <c r="BI367" s="483">
        <v>195807</v>
      </c>
      <c r="BJ367" s="483">
        <v>199120</v>
      </c>
      <c r="BK367" s="483">
        <v>208915</v>
      </c>
      <c r="BL367" s="483">
        <v>217990</v>
      </c>
      <c r="BM367" s="483">
        <v>226057</v>
      </c>
      <c r="BN367" s="483">
        <v>220807</v>
      </c>
      <c r="BO367" s="483">
        <v>224120</v>
      </c>
      <c r="BP367" s="483">
        <v>233915</v>
      </c>
      <c r="BQ367" s="483">
        <v>242990</v>
      </c>
      <c r="BR367" s="1344">
        <v>251057</v>
      </c>
      <c r="BS367" s="1545"/>
      <c r="BU367" s="1545"/>
      <c r="BV367" s="1545"/>
      <c r="BW367" s="1545"/>
      <c r="BX367" s="1545"/>
      <c r="BY367" s="1545"/>
      <c r="BZ367" s="1545"/>
      <c r="CA367" s="1545"/>
      <c r="CB367" s="1545"/>
      <c r="CC367" s="1545"/>
      <c r="CD367" s="1348" t="s">
        <v>2846</v>
      </c>
      <c r="CE367" s="504">
        <v>140807</v>
      </c>
      <c r="CF367" s="504">
        <v>144120</v>
      </c>
      <c r="CG367" s="504">
        <v>153915</v>
      </c>
      <c r="CH367" s="504">
        <v>162990</v>
      </c>
      <c r="CI367" s="504">
        <v>171057</v>
      </c>
      <c r="CJ367" s="504">
        <v>155807</v>
      </c>
      <c r="CK367" s="504">
        <v>159120</v>
      </c>
      <c r="CL367" s="504">
        <v>168915</v>
      </c>
      <c r="CM367" s="504">
        <v>177990</v>
      </c>
      <c r="CN367" s="1347">
        <v>186057</v>
      </c>
    </row>
    <row r="368" spans="60:92" ht="18" customHeight="1">
      <c r="BH368" s="1348" t="s">
        <v>2847</v>
      </c>
      <c r="BI368" s="483">
        <v>211076</v>
      </c>
      <c r="BJ368" s="483">
        <v>215542</v>
      </c>
      <c r="BK368" s="483">
        <v>228506</v>
      </c>
      <c r="BL368" s="483">
        <v>240750</v>
      </c>
      <c r="BM368" s="483">
        <v>251265</v>
      </c>
      <c r="BN368" s="483">
        <v>236076</v>
      </c>
      <c r="BO368" s="483">
        <v>240542</v>
      </c>
      <c r="BP368" s="483">
        <v>253506</v>
      </c>
      <c r="BQ368" s="483">
        <v>265750</v>
      </c>
      <c r="BR368" s="1344">
        <v>276265</v>
      </c>
      <c r="BS368" s="1545"/>
      <c r="BU368" s="1545"/>
      <c r="BV368" s="1545"/>
      <c r="BW368" s="1545"/>
      <c r="BX368" s="1545"/>
      <c r="BY368" s="1545"/>
      <c r="BZ368" s="1545"/>
      <c r="CA368" s="1545"/>
      <c r="CB368" s="1545"/>
      <c r="CC368" s="1545"/>
      <c r="CD368" s="1348" t="s">
        <v>2847</v>
      </c>
      <c r="CE368" s="504">
        <v>156076</v>
      </c>
      <c r="CF368" s="504">
        <v>160542</v>
      </c>
      <c r="CG368" s="504">
        <v>173506</v>
      </c>
      <c r="CH368" s="504">
        <v>185750</v>
      </c>
      <c r="CI368" s="504">
        <v>196265</v>
      </c>
      <c r="CJ368" s="504">
        <v>171076</v>
      </c>
      <c r="CK368" s="504">
        <v>175542</v>
      </c>
      <c r="CL368" s="504">
        <v>188506</v>
      </c>
      <c r="CM368" s="504">
        <v>200750</v>
      </c>
      <c r="CN368" s="1347">
        <v>211265</v>
      </c>
    </row>
    <row r="369" spans="60:92" ht="18" customHeight="1">
      <c r="BH369" s="1348" t="s">
        <v>2848</v>
      </c>
      <c r="BI369" s="483">
        <v>226489</v>
      </c>
      <c r="BJ369" s="483">
        <v>231963</v>
      </c>
      <c r="BK369" s="483">
        <v>248240</v>
      </c>
      <c r="BL369" s="483">
        <v>263509</v>
      </c>
      <c r="BM369" s="483">
        <v>276618</v>
      </c>
      <c r="BN369" s="483">
        <v>251489</v>
      </c>
      <c r="BO369" s="483">
        <v>256963</v>
      </c>
      <c r="BP369" s="483">
        <v>273240</v>
      </c>
      <c r="BQ369" s="483">
        <v>288509</v>
      </c>
      <c r="BR369" s="1344">
        <v>301618</v>
      </c>
      <c r="BS369" s="1545"/>
      <c r="BU369" s="1545"/>
      <c r="BV369" s="1545"/>
      <c r="BW369" s="1545"/>
      <c r="BX369" s="1545"/>
      <c r="BY369" s="1545"/>
      <c r="BZ369" s="1545"/>
      <c r="CA369" s="1545"/>
      <c r="CB369" s="1545"/>
      <c r="CC369" s="1545"/>
      <c r="CD369" s="1348" t="s">
        <v>2848</v>
      </c>
      <c r="CE369" s="504">
        <v>171489</v>
      </c>
      <c r="CF369" s="504">
        <v>176963</v>
      </c>
      <c r="CG369" s="504">
        <v>193240</v>
      </c>
      <c r="CH369" s="504">
        <v>208509</v>
      </c>
      <c r="CI369" s="504">
        <v>221618</v>
      </c>
      <c r="CJ369" s="504">
        <v>186489</v>
      </c>
      <c r="CK369" s="504">
        <v>191963</v>
      </c>
      <c r="CL369" s="504">
        <v>208240</v>
      </c>
      <c r="CM369" s="504">
        <v>223509</v>
      </c>
      <c r="CN369" s="1347">
        <v>236618</v>
      </c>
    </row>
    <row r="370" spans="60:92" ht="18" customHeight="1">
      <c r="BH370" s="1348" t="s">
        <v>2849</v>
      </c>
      <c r="BI370" s="483">
        <v>241758</v>
      </c>
      <c r="BJ370" s="483">
        <v>248240</v>
      </c>
      <c r="BK370" s="483">
        <v>267831</v>
      </c>
      <c r="BL370" s="483">
        <v>286125</v>
      </c>
      <c r="BM370" s="483">
        <v>301970</v>
      </c>
      <c r="BN370" s="483">
        <v>266758</v>
      </c>
      <c r="BO370" s="483">
        <v>273240</v>
      </c>
      <c r="BP370" s="483">
        <v>292831</v>
      </c>
      <c r="BQ370" s="483">
        <v>311125</v>
      </c>
      <c r="BR370" s="1344">
        <v>326970</v>
      </c>
      <c r="BS370" s="1545"/>
      <c r="BU370" s="1545"/>
      <c r="BV370" s="1545"/>
      <c r="BW370" s="1545"/>
      <c r="BX370" s="1545"/>
      <c r="BY370" s="1545"/>
      <c r="BZ370" s="1545"/>
      <c r="CA370" s="1545"/>
      <c r="CB370" s="1545"/>
      <c r="CC370" s="1545"/>
      <c r="CD370" s="1348" t="s">
        <v>2849</v>
      </c>
      <c r="CE370" s="504">
        <v>186758</v>
      </c>
      <c r="CF370" s="504">
        <v>193240</v>
      </c>
      <c r="CG370" s="504">
        <v>212831</v>
      </c>
      <c r="CH370" s="504">
        <v>231125</v>
      </c>
      <c r="CI370" s="504">
        <v>246970</v>
      </c>
      <c r="CJ370" s="504">
        <v>201758</v>
      </c>
      <c r="CK370" s="504">
        <v>208240</v>
      </c>
      <c r="CL370" s="504">
        <v>227831</v>
      </c>
      <c r="CM370" s="504">
        <v>246125</v>
      </c>
      <c r="CN370" s="1347">
        <v>261970</v>
      </c>
    </row>
    <row r="371" spans="60:92" ht="18" customHeight="1">
      <c r="BH371" s="1348" t="s">
        <v>2850</v>
      </c>
      <c r="BI371" s="483">
        <v>257027</v>
      </c>
      <c r="BJ371" s="483">
        <v>264662</v>
      </c>
      <c r="BK371" s="483">
        <v>287565</v>
      </c>
      <c r="BL371" s="483">
        <v>308884</v>
      </c>
      <c r="BM371" s="483">
        <v>327322</v>
      </c>
      <c r="BN371" s="483">
        <v>282027</v>
      </c>
      <c r="BO371" s="483">
        <v>289662</v>
      </c>
      <c r="BP371" s="483">
        <v>312565</v>
      </c>
      <c r="BQ371" s="483">
        <v>333884</v>
      </c>
      <c r="BR371" s="1344">
        <v>352322</v>
      </c>
      <c r="BS371" s="1545"/>
      <c r="BU371" s="1545"/>
      <c r="BV371" s="1545"/>
      <c r="BW371" s="1545"/>
      <c r="BX371" s="1545"/>
      <c r="BY371" s="1545"/>
      <c r="BZ371" s="1545"/>
      <c r="CA371" s="1545"/>
      <c r="CB371" s="1545"/>
      <c r="CC371" s="1545"/>
      <c r="CD371" s="1348" t="s">
        <v>2850</v>
      </c>
      <c r="CE371" s="504">
        <v>202027</v>
      </c>
      <c r="CF371" s="504">
        <v>209662</v>
      </c>
      <c r="CG371" s="504">
        <v>232565</v>
      </c>
      <c r="CH371" s="504">
        <v>253884</v>
      </c>
      <c r="CI371" s="504">
        <v>272322</v>
      </c>
      <c r="CJ371" s="504">
        <v>217027</v>
      </c>
      <c r="CK371" s="504">
        <v>224662</v>
      </c>
      <c r="CL371" s="504">
        <v>247565</v>
      </c>
      <c r="CM371" s="504">
        <v>268884</v>
      </c>
      <c r="CN371" s="1347">
        <v>287322</v>
      </c>
    </row>
    <row r="372" spans="60:92" ht="18" customHeight="1">
      <c r="BH372" s="1348" t="s">
        <v>2851</v>
      </c>
      <c r="BI372" s="483">
        <v>272296</v>
      </c>
      <c r="BJ372" s="483">
        <v>281083</v>
      </c>
      <c r="BK372" s="483">
        <v>307156</v>
      </c>
      <c r="BL372" s="483">
        <v>331500</v>
      </c>
      <c r="BM372" s="483">
        <v>352531</v>
      </c>
      <c r="BN372" s="483">
        <v>297296</v>
      </c>
      <c r="BO372" s="483">
        <v>306083</v>
      </c>
      <c r="BP372" s="483">
        <v>332156</v>
      </c>
      <c r="BQ372" s="483">
        <v>356500</v>
      </c>
      <c r="BR372" s="1344">
        <v>377531</v>
      </c>
      <c r="BS372" s="1545"/>
      <c r="BU372" s="1545"/>
      <c r="BV372" s="1545"/>
      <c r="BW372" s="1545"/>
      <c r="BX372" s="1545"/>
      <c r="BY372" s="1545"/>
      <c r="BZ372" s="1545"/>
      <c r="CA372" s="1545"/>
      <c r="CB372" s="1545"/>
      <c r="CC372" s="1545"/>
      <c r="CD372" s="1348" t="s">
        <v>2851</v>
      </c>
      <c r="CE372" s="504">
        <v>217296</v>
      </c>
      <c r="CF372" s="504">
        <v>226083</v>
      </c>
      <c r="CG372" s="504">
        <v>252156</v>
      </c>
      <c r="CH372" s="504">
        <v>276500</v>
      </c>
      <c r="CI372" s="504">
        <v>297531</v>
      </c>
      <c r="CJ372" s="504">
        <v>232296</v>
      </c>
      <c r="CK372" s="504">
        <v>241083</v>
      </c>
      <c r="CL372" s="504">
        <v>267156</v>
      </c>
      <c r="CM372" s="504">
        <v>291500</v>
      </c>
      <c r="CN372" s="1347">
        <v>312531</v>
      </c>
    </row>
    <row r="373" spans="60:92" ht="18" customHeight="1">
      <c r="BH373" s="1348" t="s">
        <v>2852</v>
      </c>
      <c r="BI373" s="483">
        <v>287565</v>
      </c>
      <c r="BJ373" s="483">
        <v>297360</v>
      </c>
      <c r="BK373" s="483">
        <v>326746</v>
      </c>
      <c r="BL373" s="483">
        <v>354259</v>
      </c>
      <c r="BM373" s="483">
        <v>377883</v>
      </c>
      <c r="BN373" s="483">
        <v>312565</v>
      </c>
      <c r="BO373" s="483">
        <v>322360</v>
      </c>
      <c r="BP373" s="483">
        <v>351746</v>
      </c>
      <c r="BQ373" s="483">
        <v>379259</v>
      </c>
      <c r="BR373" s="1344">
        <v>402883</v>
      </c>
      <c r="BS373" s="1545"/>
      <c r="BU373" s="1545"/>
      <c r="BV373" s="1545"/>
      <c r="BW373" s="1545"/>
      <c r="BX373" s="1545"/>
      <c r="BY373" s="1545"/>
      <c r="BZ373" s="1545"/>
      <c r="CA373" s="1545"/>
      <c r="CB373" s="1545"/>
      <c r="CC373" s="1545"/>
      <c r="CD373" s="1348" t="s">
        <v>2852</v>
      </c>
      <c r="CE373" s="504">
        <v>232565</v>
      </c>
      <c r="CF373" s="504">
        <v>242360</v>
      </c>
      <c r="CG373" s="504">
        <v>271746</v>
      </c>
      <c r="CH373" s="504">
        <v>299259</v>
      </c>
      <c r="CI373" s="504">
        <v>322883</v>
      </c>
      <c r="CJ373" s="504">
        <v>247565</v>
      </c>
      <c r="CK373" s="504">
        <v>257360</v>
      </c>
      <c r="CL373" s="504">
        <v>286746</v>
      </c>
      <c r="CM373" s="504">
        <v>314259</v>
      </c>
      <c r="CN373" s="1347">
        <v>337883</v>
      </c>
    </row>
    <row r="374" spans="60:92" ht="18" customHeight="1">
      <c r="BH374" s="1343" t="s">
        <v>2853</v>
      </c>
      <c r="BI374" s="483">
        <v>150000</v>
      </c>
      <c r="BJ374" s="483">
        <v>150000</v>
      </c>
      <c r="BK374" s="483">
        <v>150000</v>
      </c>
      <c r="BL374" s="483">
        <v>150000</v>
      </c>
      <c r="BM374" s="483">
        <v>150000</v>
      </c>
      <c r="BN374" s="483">
        <v>175000</v>
      </c>
      <c r="BO374" s="483">
        <v>175000</v>
      </c>
      <c r="BP374" s="483">
        <v>175000</v>
      </c>
      <c r="BQ374" s="483">
        <v>175000</v>
      </c>
      <c r="BR374" s="1344">
        <v>175000</v>
      </c>
      <c r="BS374" s="1545"/>
      <c r="BU374" s="1545"/>
      <c r="BV374" s="1545"/>
      <c r="BW374" s="1545"/>
      <c r="BX374" s="1545"/>
      <c r="BY374" s="1545"/>
      <c r="BZ374" s="1545"/>
      <c r="CA374" s="1545"/>
      <c r="CB374" s="1545"/>
      <c r="CC374" s="1545"/>
      <c r="CD374" s="1343" t="s">
        <v>2853</v>
      </c>
      <c r="CE374" s="504">
        <v>95000</v>
      </c>
      <c r="CF374" s="504">
        <v>95000</v>
      </c>
      <c r="CG374" s="504">
        <v>95000</v>
      </c>
      <c r="CH374" s="504">
        <v>95000</v>
      </c>
      <c r="CI374" s="504">
        <v>95000</v>
      </c>
      <c r="CJ374" s="504">
        <v>110000</v>
      </c>
      <c r="CK374" s="504">
        <v>110000</v>
      </c>
      <c r="CL374" s="504">
        <v>110000</v>
      </c>
      <c r="CM374" s="504">
        <v>110000</v>
      </c>
      <c r="CN374" s="1347">
        <v>110000</v>
      </c>
    </row>
    <row r="375" spans="60:92" ht="18" customHeight="1">
      <c r="BH375" s="1348" t="s">
        <v>2854</v>
      </c>
      <c r="BI375" s="483">
        <v>173048</v>
      </c>
      <c r="BJ375" s="483">
        <v>174632</v>
      </c>
      <c r="BK375" s="483">
        <v>179674</v>
      </c>
      <c r="BL375" s="483">
        <v>184139</v>
      </c>
      <c r="BM375" s="483">
        <v>188173</v>
      </c>
      <c r="BN375" s="483">
        <v>198048</v>
      </c>
      <c r="BO375" s="483">
        <v>199632</v>
      </c>
      <c r="BP375" s="483">
        <v>204674</v>
      </c>
      <c r="BQ375" s="483">
        <v>209139</v>
      </c>
      <c r="BR375" s="1344">
        <v>213173</v>
      </c>
      <c r="BS375" s="1545"/>
      <c r="BU375" s="1545"/>
      <c r="BV375" s="1545"/>
      <c r="BW375" s="1545"/>
      <c r="BX375" s="1545"/>
      <c r="BY375" s="1545"/>
      <c r="BZ375" s="1545"/>
      <c r="CA375" s="1545"/>
      <c r="CB375" s="1545"/>
      <c r="CC375" s="1545"/>
      <c r="CD375" s="1348" t="s">
        <v>2854</v>
      </c>
      <c r="CE375" s="504">
        <v>118048</v>
      </c>
      <c r="CF375" s="504">
        <v>119632</v>
      </c>
      <c r="CG375" s="504">
        <v>124674</v>
      </c>
      <c r="CH375" s="504">
        <v>129139</v>
      </c>
      <c r="CI375" s="504">
        <v>133173</v>
      </c>
      <c r="CJ375" s="504">
        <v>133048</v>
      </c>
      <c r="CK375" s="504">
        <v>134632</v>
      </c>
      <c r="CL375" s="504">
        <v>139674</v>
      </c>
      <c r="CM375" s="504">
        <v>144139</v>
      </c>
      <c r="CN375" s="1347">
        <v>148173</v>
      </c>
    </row>
    <row r="376" spans="60:92" ht="18" customHeight="1">
      <c r="BH376" s="1348" t="s">
        <v>2855</v>
      </c>
      <c r="BI376" s="483">
        <v>196095</v>
      </c>
      <c r="BJ376" s="483">
        <v>199264</v>
      </c>
      <c r="BK376" s="483">
        <v>209203</v>
      </c>
      <c r="BL376" s="483">
        <v>218422</v>
      </c>
      <c r="BM376" s="483">
        <v>226345</v>
      </c>
      <c r="BN376" s="483">
        <v>221095</v>
      </c>
      <c r="BO376" s="483">
        <v>224264</v>
      </c>
      <c r="BP376" s="483">
        <v>234203</v>
      </c>
      <c r="BQ376" s="483">
        <v>243422</v>
      </c>
      <c r="BR376" s="1344">
        <v>251345</v>
      </c>
      <c r="BS376" s="1545"/>
      <c r="BU376" s="1545"/>
      <c r="BV376" s="1545"/>
      <c r="BW376" s="1545"/>
      <c r="BX376" s="1545"/>
      <c r="BY376" s="1545"/>
      <c r="BZ376" s="1545"/>
      <c r="CA376" s="1545"/>
      <c r="CB376" s="1545"/>
      <c r="CC376" s="1545"/>
      <c r="CD376" s="1348" t="s">
        <v>2855</v>
      </c>
      <c r="CE376" s="504">
        <v>141095</v>
      </c>
      <c r="CF376" s="504">
        <v>144264</v>
      </c>
      <c r="CG376" s="504">
        <v>154203</v>
      </c>
      <c r="CH376" s="504">
        <v>163422</v>
      </c>
      <c r="CI376" s="504">
        <v>171345</v>
      </c>
      <c r="CJ376" s="504">
        <v>156095</v>
      </c>
      <c r="CK376" s="504">
        <v>159264</v>
      </c>
      <c r="CL376" s="504">
        <v>169203</v>
      </c>
      <c r="CM376" s="504">
        <v>178422</v>
      </c>
      <c r="CN376" s="1347">
        <v>186345</v>
      </c>
    </row>
    <row r="377" spans="60:92" ht="18" customHeight="1">
      <c r="BH377" s="1348" t="s">
        <v>2856</v>
      </c>
      <c r="BI377" s="483">
        <v>219143</v>
      </c>
      <c r="BJ377" s="483">
        <v>224040</v>
      </c>
      <c r="BK377" s="483">
        <v>238877</v>
      </c>
      <c r="BL377" s="483">
        <v>252562</v>
      </c>
      <c r="BM377" s="483">
        <v>264518</v>
      </c>
      <c r="BN377" s="483">
        <v>244143</v>
      </c>
      <c r="BO377" s="483">
        <v>249040</v>
      </c>
      <c r="BP377" s="483">
        <v>263877</v>
      </c>
      <c r="BQ377" s="483">
        <v>277562</v>
      </c>
      <c r="BR377" s="1344">
        <v>289518</v>
      </c>
      <c r="BS377" s="1545"/>
      <c r="BU377" s="1545"/>
      <c r="BV377" s="1545"/>
      <c r="BW377" s="1545"/>
      <c r="BX377" s="1545"/>
      <c r="BY377" s="1545"/>
      <c r="BZ377" s="1545"/>
      <c r="CA377" s="1545"/>
      <c r="CB377" s="1545"/>
      <c r="CC377" s="1545"/>
      <c r="CD377" s="1348" t="s">
        <v>2856</v>
      </c>
      <c r="CE377" s="504">
        <v>164143</v>
      </c>
      <c r="CF377" s="504">
        <v>169040</v>
      </c>
      <c r="CG377" s="504">
        <v>183877</v>
      </c>
      <c r="CH377" s="504">
        <v>197562</v>
      </c>
      <c r="CI377" s="504">
        <v>209518</v>
      </c>
      <c r="CJ377" s="504">
        <v>179143</v>
      </c>
      <c r="CK377" s="504">
        <v>184040</v>
      </c>
      <c r="CL377" s="504">
        <v>198877</v>
      </c>
      <c r="CM377" s="504">
        <v>212562</v>
      </c>
      <c r="CN377" s="1347">
        <v>224518</v>
      </c>
    </row>
    <row r="378" spans="60:92" ht="18" customHeight="1">
      <c r="BH378" s="1348" t="s">
        <v>2857</v>
      </c>
      <c r="BI378" s="483">
        <v>242046</v>
      </c>
      <c r="BJ378" s="483">
        <v>248672</v>
      </c>
      <c r="BK378" s="483">
        <v>268407</v>
      </c>
      <c r="BL378" s="483">
        <v>286845</v>
      </c>
      <c r="BM378" s="483">
        <v>302690</v>
      </c>
      <c r="BN378" s="483">
        <v>267046</v>
      </c>
      <c r="BO378" s="483">
        <v>273672</v>
      </c>
      <c r="BP378" s="483">
        <v>293407</v>
      </c>
      <c r="BQ378" s="483">
        <v>311845</v>
      </c>
      <c r="BR378" s="1344">
        <v>327690</v>
      </c>
      <c r="BS378" s="1545"/>
      <c r="BU378" s="1545"/>
      <c r="BV378" s="1545"/>
      <c r="BW378" s="1545"/>
      <c r="BX378" s="1545"/>
      <c r="BY378" s="1545"/>
      <c r="BZ378" s="1545"/>
      <c r="CA378" s="1545"/>
      <c r="CB378" s="1545"/>
      <c r="CC378" s="1545"/>
      <c r="CD378" s="1348" t="s">
        <v>2857</v>
      </c>
      <c r="CE378" s="504">
        <v>187046</v>
      </c>
      <c r="CF378" s="504">
        <v>193672</v>
      </c>
      <c r="CG378" s="504">
        <v>213407</v>
      </c>
      <c r="CH378" s="504">
        <v>231845</v>
      </c>
      <c r="CI378" s="504">
        <v>247690</v>
      </c>
      <c r="CJ378" s="504">
        <v>202046</v>
      </c>
      <c r="CK378" s="504">
        <v>208672</v>
      </c>
      <c r="CL378" s="504">
        <v>228407</v>
      </c>
      <c r="CM378" s="504">
        <v>246845</v>
      </c>
      <c r="CN378" s="1347">
        <v>262690</v>
      </c>
    </row>
    <row r="379" spans="60:92" ht="18" customHeight="1">
      <c r="BH379" s="1348" t="s">
        <v>2858</v>
      </c>
      <c r="BI379" s="483">
        <v>265094</v>
      </c>
      <c r="BJ379" s="483">
        <v>273304</v>
      </c>
      <c r="BK379" s="483">
        <v>298081</v>
      </c>
      <c r="BL379" s="483">
        <v>321128</v>
      </c>
      <c r="BM379" s="483">
        <v>340863</v>
      </c>
      <c r="BN379" s="483">
        <v>290094</v>
      </c>
      <c r="BO379" s="483">
        <v>298304</v>
      </c>
      <c r="BP379" s="483">
        <v>323081</v>
      </c>
      <c r="BQ379" s="483">
        <v>346128</v>
      </c>
      <c r="BR379" s="1344">
        <v>365863</v>
      </c>
      <c r="BS379" s="1545"/>
      <c r="BU379" s="1545"/>
      <c r="BV379" s="1545"/>
      <c r="BW379" s="1545"/>
      <c r="BX379" s="1545"/>
      <c r="BY379" s="1545"/>
      <c r="BZ379" s="1545"/>
      <c r="CA379" s="1545"/>
      <c r="CB379" s="1545"/>
      <c r="CC379" s="1545"/>
      <c r="CD379" s="1348" t="s">
        <v>2858</v>
      </c>
      <c r="CE379" s="504">
        <v>210094</v>
      </c>
      <c r="CF379" s="504">
        <v>218304</v>
      </c>
      <c r="CG379" s="504">
        <v>243081</v>
      </c>
      <c r="CH379" s="504">
        <v>266128</v>
      </c>
      <c r="CI379" s="504">
        <v>285863</v>
      </c>
      <c r="CJ379" s="504">
        <v>225094</v>
      </c>
      <c r="CK379" s="504">
        <v>233304</v>
      </c>
      <c r="CL379" s="504">
        <v>258081</v>
      </c>
      <c r="CM379" s="504">
        <v>281128</v>
      </c>
      <c r="CN379" s="1347">
        <v>300863</v>
      </c>
    </row>
    <row r="380" spans="60:92" ht="18" customHeight="1">
      <c r="BH380" s="1348" t="s">
        <v>2859</v>
      </c>
      <c r="BI380" s="483">
        <v>288141</v>
      </c>
      <c r="BJ380" s="483">
        <v>298081</v>
      </c>
      <c r="BK380" s="483">
        <v>327754</v>
      </c>
      <c r="BL380" s="483">
        <v>355267</v>
      </c>
      <c r="BM380" s="483">
        <v>379035</v>
      </c>
      <c r="BN380" s="483">
        <v>313141</v>
      </c>
      <c r="BO380" s="483">
        <v>323081</v>
      </c>
      <c r="BP380" s="483">
        <v>352754</v>
      </c>
      <c r="BQ380" s="483">
        <v>380267</v>
      </c>
      <c r="BR380" s="1344">
        <v>404035</v>
      </c>
      <c r="BS380" s="1545"/>
      <c r="BU380" s="1545"/>
      <c r="BV380" s="1545"/>
      <c r="BW380" s="1545"/>
      <c r="BX380" s="1545"/>
      <c r="BY380" s="1545"/>
      <c r="BZ380" s="1545"/>
      <c r="CA380" s="1545"/>
      <c r="CB380" s="1545"/>
      <c r="CC380" s="1545"/>
      <c r="CD380" s="1348" t="s">
        <v>2859</v>
      </c>
      <c r="CE380" s="504">
        <v>233141</v>
      </c>
      <c r="CF380" s="504">
        <v>243081</v>
      </c>
      <c r="CG380" s="504">
        <v>272754</v>
      </c>
      <c r="CH380" s="504">
        <v>300267</v>
      </c>
      <c r="CI380" s="504">
        <v>324035</v>
      </c>
      <c r="CJ380" s="504">
        <v>248141</v>
      </c>
      <c r="CK380" s="504">
        <v>258081</v>
      </c>
      <c r="CL380" s="504">
        <v>287754</v>
      </c>
      <c r="CM380" s="504">
        <v>315267</v>
      </c>
      <c r="CN380" s="1347">
        <v>339035</v>
      </c>
    </row>
    <row r="381" spans="60:92" ht="18" customHeight="1">
      <c r="BH381" s="1348" t="s">
        <v>2860</v>
      </c>
      <c r="BI381" s="483">
        <v>311189</v>
      </c>
      <c r="BJ381" s="483">
        <v>322713</v>
      </c>
      <c r="BK381" s="483">
        <v>357284</v>
      </c>
      <c r="BL381" s="483">
        <v>389551</v>
      </c>
      <c r="BM381" s="483">
        <v>417208</v>
      </c>
      <c r="BN381" s="483">
        <v>336189</v>
      </c>
      <c r="BO381" s="483">
        <v>347713</v>
      </c>
      <c r="BP381" s="483">
        <v>382284</v>
      </c>
      <c r="BQ381" s="483">
        <v>414551</v>
      </c>
      <c r="BR381" s="1344">
        <v>442208</v>
      </c>
      <c r="BS381" s="1545"/>
      <c r="BU381" s="1545"/>
      <c r="BV381" s="1545"/>
      <c r="BW381" s="1545"/>
      <c r="BX381" s="1545"/>
      <c r="BY381" s="1545"/>
      <c r="BZ381" s="1545"/>
      <c r="CA381" s="1545"/>
      <c r="CB381" s="1545"/>
      <c r="CC381" s="1545"/>
      <c r="CD381" s="1348" t="s">
        <v>2860</v>
      </c>
      <c r="CE381" s="504">
        <v>256189</v>
      </c>
      <c r="CF381" s="504">
        <v>267713</v>
      </c>
      <c r="CG381" s="504">
        <v>302284</v>
      </c>
      <c r="CH381" s="504">
        <v>334551</v>
      </c>
      <c r="CI381" s="504">
        <v>362208</v>
      </c>
      <c r="CJ381" s="504">
        <v>271189</v>
      </c>
      <c r="CK381" s="504">
        <v>282713</v>
      </c>
      <c r="CL381" s="504">
        <v>317284</v>
      </c>
      <c r="CM381" s="504">
        <v>349551</v>
      </c>
      <c r="CN381" s="1347">
        <v>377208</v>
      </c>
    </row>
    <row r="382" spans="60:92" ht="18" customHeight="1">
      <c r="BH382" s="1348" t="s">
        <v>2861</v>
      </c>
      <c r="BI382" s="483">
        <v>334237</v>
      </c>
      <c r="BJ382" s="483">
        <v>347345</v>
      </c>
      <c r="BK382" s="483">
        <v>386958</v>
      </c>
      <c r="BL382" s="483">
        <v>423690</v>
      </c>
      <c r="BM382" s="483">
        <v>455380</v>
      </c>
      <c r="BN382" s="483">
        <v>359237</v>
      </c>
      <c r="BO382" s="483">
        <v>372345</v>
      </c>
      <c r="BP382" s="483">
        <v>411958</v>
      </c>
      <c r="BQ382" s="483">
        <v>448690</v>
      </c>
      <c r="BR382" s="1344">
        <v>480380</v>
      </c>
      <c r="BS382" s="1545"/>
      <c r="BU382" s="1545"/>
      <c r="BV382" s="1545"/>
      <c r="BW382" s="1545"/>
      <c r="BX382" s="1545"/>
      <c r="BY382" s="1545"/>
      <c r="BZ382" s="1545"/>
      <c r="CA382" s="1545"/>
      <c r="CB382" s="1545"/>
      <c r="CC382" s="1545"/>
      <c r="CD382" s="1348" t="s">
        <v>2861</v>
      </c>
      <c r="CE382" s="504">
        <v>279237</v>
      </c>
      <c r="CF382" s="504">
        <v>292345</v>
      </c>
      <c r="CG382" s="504">
        <v>331958</v>
      </c>
      <c r="CH382" s="504">
        <v>368690</v>
      </c>
      <c r="CI382" s="504">
        <v>400380</v>
      </c>
      <c r="CJ382" s="504">
        <v>294237</v>
      </c>
      <c r="CK382" s="504">
        <v>307345</v>
      </c>
      <c r="CL382" s="504">
        <v>346958</v>
      </c>
      <c r="CM382" s="504">
        <v>383690</v>
      </c>
      <c r="CN382" s="1347">
        <v>415380</v>
      </c>
    </row>
    <row r="383" spans="60:92" ht="18" customHeight="1">
      <c r="BH383" s="1348" t="s">
        <v>2862</v>
      </c>
      <c r="BI383" s="483">
        <v>357284</v>
      </c>
      <c r="BJ383" s="483">
        <v>372121</v>
      </c>
      <c r="BK383" s="483">
        <v>416632</v>
      </c>
      <c r="BL383" s="483">
        <v>457973</v>
      </c>
      <c r="BM383" s="483">
        <v>493553</v>
      </c>
      <c r="BN383" s="483">
        <v>382284</v>
      </c>
      <c r="BO383" s="483">
        <v>397121</v>
      </c>
      <c r="BP383" s="483">
        <v>441632</v>
      </c>
      <c r="BQ383" s="483">
        <v>482973</v>
      </c>
      <c r="BR383" s="1344">
        <v>518553</v>
      </c>
      <c r="BS383" s="1545"/>
      <c r="BU383" s="1545"/>
      <c r="BV383" s="1545"/>
      <c r="BW383" s="1545"/>
      <c r="BX383" s="1545"/>
      <c r="BY383" s="1545"/>
      <c r="BZ383" s="1545"/>
      <c r="CA383" s="1545"/>
      <c r="CB383" s="1545"/>
      <c r="CC383" s="1545"/>
      <c r="CD383" s="1348" t="s">
        <v>2862</v>
      </c>
      <c r="CE383" s="504">
        <v>302284</v>
      </c>
      <c r="CF383" s="504">
        <v>317121</v>
      </c>
      <c r="CG383" s="504">
        <v>361632</v>
      </c>
      <c r="CH383" s="504">
        <v>402973</v>
      </c>
      <c r="CI383" s="504">
        <v>438553</v>
      </c>
      <c r="CJ383" s="504">
        <v>317284</v>
      </c>
      <c r="CK383" s="504">
        <v>332121</v>
      </c>
      <c r="CL383" s="504">
        <v>376632</v>
      </c>
      <c r="CM383" s="504">
        <v>417973</v>
      </c>
      <c r="CN383" s="1347">
        <v>453553</v>
      </c>
    </row>
    <row r="384" spans="60:92" ht="18" customHeight="1">
      <c r="BH384" s="1343" t="s">
        <v>2863</v>
      </c>
      <c r="BI384" s="483">
        <v>150000</v>
      </c>
      <c r="BJ384" s="483">
        <v>150000</v>
      </c>
      <c r="BK384" s="483">
        <v>150000</v>
      </c>
      <c r="BL384" s="483">
        <v>150000</v>
      </c>
      <c r="BM384" s="483">
        <v>150000</v>
      </c>
      <c r="BN384" s="483">
        <v>175000</v>
      </c>
      <c r="BO384" s="483">
        <v>175000</v>
      </c>
      <c r="BP384" s="483">
        <v>175000</v>
      </c>
      <c r="BQ384" s="483">
        <v>175000</v>
      </c>
      <c r="BR384" s="1344">
        <v>175000</v>
      </c>
      <c r="BS384" s="1545"/>
      <c r="BU384" s="1545"/>
      <c r="BV384" s="1545"/>
      <c r="BW384" s="1545"/>
      <c r="BX384" s="1545"/>
      <c r="BY384" s="1545"/>
      <c r="BZ384" s="1545"/>
      <c r="CA384" s="1545"/>
      <c r="CB384" s="1545"/>
      <c r="CC384" s="1545"/>
      <c r="CD384" s="1343" t="s">
        <v>2863</v>
      </c>
      <c r="CE384" s="504">
        <v>95000</v>
      </c>
      <c r="CF384" s="504">
        <v>95000</v>
      </c>
      <c r="CG384" s="504">
        <v>95000</v>
      </c>
      <c r="CH384" s="504">
        <v>95000</v>
      </c>
      <c r="CI384" s="504">
        <v>95000</v>
      </c>
      <c r="CJ384" s="504">
        <v>110000</v>
      </c>
      <c r="CK384" s="504">
        <v>110000</v>
      </c>
      <c r="CL384" s="504">
        <v>110000</v>
      </c>
      <c r="CM384" s="504">
        <v>110000</v>
      </c>
      <c r="CN384" s="1347">
        <v>110000</v>
      </c>
    </row>
    <row r="385" spans="60:92" ht="18" customHeight="1">
      <c r="BH385" s="1348" t="s">
        <v>2864</v>
      </c>
      <c r="BI385" s="483">
        <v>159363</v>
      </c>
      <c r="BJ385" s="483">
        <v>159939</v>
      </c>
      <c r="BK385" s="483">
        <v>162100</v>
      </c>
      <c r="BL385" s="483">
        <v>163973</v>
      </c>
      <c r="BM385" s="483">
        <v>165413</v>
      </c>
      <c r="BN385" s="483">
        <v>184363</v>
      </c>
      <c r="BO385" s="483">
        <v>184939</v>
      </c>
      <c r="BP385" s="483">
        <v>187100</v>
      </c>
      <c r="BQ385" s="483">
        <v>188973</v>
      </c>
      <c r="BR385" s="1344">
        <v>190413</v>
      </c>
      <c r="BS385" s="1545"/>
      <c r="BU385" s="1545"/>
      <c r="BV385" s="1545"/>
      <c r="BW385" s="1545"/>
      <c r="BX385" s="1545"/>
      <c r="BY385" s="1545"/>
      <c r="BZ385" s="1545"/>
      <c r="CA385" s="1545"/>
      <c r="CB385" s="1545"/>
      <c r="CC385" s="1545"/>
      <c r="CD385" s="1348" t="s">
        <v>2864</v>
      </c>
      <c r="CE385" s="504">
        <v>104363</v>
      </c>
      <c r="CF385" s="504">
        <v>104939</v>
      </c>
      <c r="CG385" s="504">
        <v>107100</v>
      </c>
      <c r="CH385" s="504">
        <v>108973</v>
      </c>
      <c r="CI385" s="504">
        <v>110413</v>
      </c>
      <c r="CJ385" s="504">
        <v>119363</v>
      </c>
      <c r="CK385" s="504">
        <v>119939</v>
      </c>
      <c r="CL385" s="504">
        <v>122100</v>
      </c>
      <c r="CM385" s="504">
        <v>123973</v>
      </c>
      <c r="CN385" s="1347">
        <v>125413</v>
      </c>
    </row>
    <row r="386" spans="60:92" ht="18" customHeight="1">
      <c r="BH386" s="1348" t="s">
        <v>2865</v>
      </c>
      <c r="BI386" s="483">
        <v>168726</v>
      </c>
      <c r="BJ386" s="483">
        <v>170023</v>
      </c>
      <c r="BK386" s="483">
        <v>174056</v>
      </c>
      <c r="BL386" s="483">
        <v>177801</v>
      </c>
      <c r="BM386" s="483">
        <v>180970</v>
      </c>
      <c r="BN386" s="483">
        <v>193726</v>
      </c>
      <c r="BO386" s="483">
        <v>195023</v>
      </c>
      <c r="BP386" s="483">
        <v>199056</v>
      </c>
      <c r="BQ386" s="483">
        <v>202801</v>
      </c>
      <c r="BR386" s="1344">
        <v>205970</v>
      </c>
      <c r="BS386" s="1545"/>
      <c r="BU386" s="1545"/>
      <c r="BV386" s="1545"/>
      <c r="BW386" s="1545"/>
      <c r="BX386" s="1545"/>
      <c r="BY386" s="1545"/>
      <c r="BZ386" s="1545"/>
      <c r="CA386" s="1545"/>
      <c r="CB386" s="1545"/>
      <c r="CC386" s="1545"/>
      <c r="CD386" s="1348" t="s">
        <v>2865</v>
      </c>
      <c r="CE386" s="504">
        <v>113726</v>
      </c>
      <c r="CF386" s="504">
        <v>115023</v>
      </c>
      <c r="CG386" s="504">
        <v>119056</v>
      </c>
      <c r="CH386" s="504">
        <v>122801</v>
      </c>
      <c r="CI386" s="504">
        <v>125970</v>
      </c>
      <c r="CJ386" s="504">
        <v>128726</v>
      </c>
      <c r="CK386" s="504">
        <v>130023</v>
      </c>
      <c r="CL386" s="504">
        <v>134056</v>
      </c>
      <c r="CM386" s="504">
        <v>137801</v>
      </c>
      <c r="CN386" s="1347">
        <v>140970</v>
      </c>
    </row>
    <row r="387" spans="60:92" ht="18" customHeight="1">
      <c r="BH387" s="1348" t="s">
        <v>2866</v>
      </c>
      <c r="BI387" s="483">
        <v>178089</v>
      </c>
      <c r="BJ387" s="483">
        <v>179962</v>
      </c>
      <c r="BK387" s="483">
        <v>186012</v>
      </c>
      <c r="BL387" s="483">
        <v>191630</v>
      </c>
      <c r="BM387" s="483">
        <v>196383</v>
      </c>
      <c r="BN387" s="483">
        <v>203089</v>
      </c>
      <c r="BO387" s="483">
        <v>204962</v>
      </c>
      <c r="BP387" s="483">
        <v>211012</v>
      </c>
      <c r="BQ387" s="483">
        <v>216630</v>
      </c>
      <c r="BR387" s="1344">
        <v>221383</v>
      </c>
      <c r="BS387" s="1545"/>
      <c r="BU387" s="1545"/>
      <c r="BV387" s="1545"/>
      <c r="BW387" s="1545"/>
      <c r="BX387" s="1545"/>
      <c r="BY387" s="1545"/>
      <c r="BZ387" s="1545"/>
      <c r="CA387" s="1545"/>
      <c r="CB387" s="1545"/>
      <c r="CC387" s="1545"/>
      <c r="CD387" s="1348" t="s">
        <v>2866</v>
      </c>
      <c r="CE387" s="504">
        <v>123089</v>
      </c>
      <c r="CF387" s="504">
        <v>124962</v>
      </c>
      <c r="CG387" s="504">
        <v>131012</v>
      </c>
      <c r="CH387" s="504">
        <v>136630</v>
      </c>
      <c r="CI387" s="504">
        <v>141383</v>
      </c>
      <c r="CJ387" s="504">
        <v>138089</v>
      </c>
      <c r="CK387" s="504">
        <v>139962</v>
      </c>
      <c r="CL387" s="504">
        <v>146012</v>
      </c>
      <c r="CM387" s="504">
        <v>151630</v>
      </c>
      <c r="CN387" s="1347">
        <v>156383</v>
      </c>
    </row>
    <row r="388" spans="60:92" ht="18" customHeight="1">
      <c r="BH388" s="1348" t="s">
        <v>2867</v>
      </c>
      <c r="BI388" s="483">
        <v>187308</v>
      </c>
      <c r="BJ388" s="483">
        <v>189901</v>
      </c>
      <c r="BK388" s="483">
        <v>197968</v>
      </c>
      <c r="BL388" s="483">
        <v>205458</v>
      </c>
      <c r="BM388" s="483">
        <v>211796</v>
      </c>
      <c r="BN388" s="483">
        <v>212308</v>
      </c>
      <c r="BO388" s="483">
        <v>214901</v>
      </c>
      <c r="BP388" s="483">
        <v>222968</v>
      </c>
      <c r="BQ388" s="483">
        <v>230458</v>
      </c>
      <c r="BR388" s="1344">
        <v>236796</v>
      </c>
      <c r="BS388" s="1545"/>
      <c r="BU388" s="1545"/>
      <c r="BV388" s="1545"/>
      <c r="BW388" s="1545"/>
      <c r="BX388" s="1545"/>
      <c r="BY388" s="1545"/>
      <c r="BZ388" s="1545"/>
      <c r="CA388" s="1545"/>
      <c r="CB388" s="1545"/>
      <c r="CC388" s="1545"/>
      <c r="CD388" s="1348" t="s">
        <v>2867</v>
      </c>
      <c r="CE388" s="504">
        <v>132308</v>
      </c>
      <c r="CF388" s="504">
        <v>134901</v>
      </c>
      <c r="CG388" s="504">
        <v>142968</v>
      </c>
      <c r="CH388" s="504">
        <v>150458</v>
      </c>
      <c r="CI388" s="504">
        <v>156796</v>
      </c>
      <c r="CJ388" s="504">
        <v>147308</v>
      </c>
      <c r="CK388" s="504">
        <v>149901</v>
      </c>
      <c r="CL388" s="504">
        <v>157968</v>
      </c>
      <c r="CM388" s="504">
        <v>165458</v>
      </c>
      <c r="CN388" s="1347">
        <v>171796</v>
      </c>
    </row>
    <row r="389" spans="60:92" ht="18" customHeight="1">
      <c r="BH389" s="1348" t="s">
        <v>2868</v>
      </c>
      <c r="BI389" s="483">
        <v>196671</v>
      </c>
      <c r="BJ389" s="483">
        <v>199984</v>
      </c>
      <c r="BK389" s="483">
        <v>210068</v>
      </c>
      <c r="BL389" s="483">
        <v>219431</v>
      </c>
      <c r="BM389" s="483">
        <v>227353</v>
      </c>
      <c r="BN389" s="483">
        <v>221671</v>
      </c>
      <c r="BO389" s="483">
        <v>224984</v>
      </c>
      <c r="BP389" s="483">
        <v>235068</v>
      </c>
      <c r="BQ389" s="483">
        <v>244431</v>
      </c>
      <c r="BR389" s="1344">
        <v>252353</v>
      </c>
      <c r="BS389" s="1545"/>
      <c r="BU389" s="1545"/>
      <c r="BV389" s="1545"/>
      <c r="BW389" s="1545"/>
      <c r="BX389" s="1545"/>
      <c r="BY389" s="1545"/>
      <c r="BZ389" s="1545"/>
      <c r="CA389" s="1545"/>
      <c r="CB389" s="1545"/>
      <c r="CC389" s="1545"/>
      <c r="CD389" s="1348" t="s">
        <v>2868</v>
      </c>
      <c r="CE389" s="504">
        <v>141671</v>
      </c>
      <c r="CF389" s="504">
        <v>144984</v>
      </c>
      <c r="CG389" s="504">
        <v>155068</v>
      </c>
      <c r="CH389" s="504">
        <v>164431</v>
      </c>
      <c r="CI389" s="504">
        <v>172353</v>
      </c>
      <c r="CJ389" s="504">
        <v>156671</v>
      </c>
      <c r="CK389" s="504">
        <v>159984</v>
      </c>
      <c r="CL389" s="504">
        <v>170068</v>
      </c>
      <c r="CM389" s="504">
        <v>179431</v>
      </c>
      <c r="CN389" s="1347">
        <v>187353</v>
      </c>
    </row>
    <row r="390" spans="60:92" ht="18" customHeight="1">
      <c r="BH390" s="1348" t="s">
        <v>2869</v>
      </c>
      <c r="BI390" s="483">
        <v>206034</v>
      </c>
      <c r="BJ390" s="483">
        <v>209924</v>
      </c>
      <c r="BK390" s="483">
        <v>222024</v>
      </c>
      <c r="BL390" s="483">
        <v>233259</v>
      </c>
      <c r="BM390" s="483">
        <v>242766</v>
      </c>
      <c r="BN390" s="483">
        <v>231034</v>
      </c>
      <c r="BO390" s="483">
        <v>234924</v>
      </c>
      <c r="BP390" s="483">
        <v>247024</v>
      </c>
      <c r="BQ390" s="483">
        <v>258259</v>
      </c>
      <c r="BR390" s="1344">
        <v>267766</v>
      </c>
      <c r="BS390" s="1545"/>
      <c r="BU390" s="1545"/>
      <c r="BV390" s="1545"/>
      <c r="BW390" s="1545"/>
      <c r="BX390" s="1545"/>
      <c r="BY390" s="1545"/>
      <c r="BZ390" s="1545"/>
      <c r="CA390" s="1545"/>
      <c r="CB390" s="1545"/>
      <c r="CC390" s="1545"/>
      <c r="CD390" s="1348" t="s">
        <v>2869</v>
      </c>
      <c r="CE390" s="504">
        <v>151034</v>
      </c>
      <c r="CF390" s="504">
        <v>154924</v>
      </c>
      <c r="CG390" s="504">
        <v>167024</v>
      </c>
      <c r="CH390" s="504">
        <v>178259</v>
      </c>
      <c r="CI390" s="504">
        <v>187766</v>
      </c>
      <c r="CJ390" s="504">
        <v>166034</v>
      </c>
      <c r="CK390" s="504">
        <v>169924</v>
      </c>
      <c r="CL390" s="504">
        <v>182024</v>
      </c>
      <c r="CM390" s="504">
        <v>193259</v>
      </c>
      <c r="CN390" s="1347">
        <v>202766</v>
      </c>
    </row>
    <row r="391" spans="60:92" ht="18" customHeight="1">
      <c r="BH391" s="1348" t="s">
        <v>2870</v>
      </c>
      <c r="BI391" s="483">
        <v>215397</v>
      </c>
      <c r="BJ391" s="483">
        <v>220007</v>
      </c>
      <c r="BK391" s="483">
        <v>233980</v>
      </c>
      <c r="BL391" s="483">
        <v>247088</v>
      </c>
      <c r="BM391" s="483">
        <v>258324</v>
      </c>
      <c r="BN391" s="483">
        <v>240397</v>
      </c>
      <c r="BO391" s="483">
        <v>245007</v>
      </c>
      <c r="BP391" s="483">
        <v>258980</v>
      </c>
      <c r="BQ391" s="483">
        <v>272088</v>
      </c>
      <c r="BR391" s="1344">
        <v>283324</v>
      </c>
      <c r="BS391" s="1545"/>
      <c r="BU391" s="1545"/>
      <c r="BV391" s="1545"/>
      <c r="BW391" s="1545"/>
      <c r="BX391" s="1545"/>
      <c r="BY391" s="1545"/>
      <c r="BZ391" s="1545"/>
      <c r="CA391" s="1545"/>
      <c r="CB391" s="1545"/>
      <c r="CC391" s="1545"/>
      <c r="CD391" s="1348" t="s">
        <v>2870</v>
      </c>
      <c r="CE391" s="504">
        <v>160397</v>
      </c>
      <c r="CF391" s="504">
        <v>165007</v>
      </c>
      <c r="CG391" s="504">
        <v>178980</v>
      </c>
      <c r="CH391" s="504">
        <v>192088</v>
      </c>
      <c r="CI391" s="504">
        <v>203324</v>
      </c>
      <c r="CJ391" s="504">
        <v>175397</v>
      </c>
      <c r="CK391" s="504">
        <v>180007</v>
      </c>
      <c r="CL391" s="504">
        <v>193980</v>
      </c>
      <c r="CM391" s="504">
        <v>207088</v>
      </c>
      <c r="CN391" s="1347">
        <v>218324</v>
      </c>
    </row>
    <row r="392" spans="60:92" ht="18" customHeight="1">
      <c r="BH392" s="1348" t="s">
        <v>2871</v>
      </c>
      <c r="BI392" s="483">
        <v>224617</v>
      </c>
      <c r="BJ392" s="483">
        <v>229946</v>
      </c>
      <c r="BK392" s="483">
        <v>245936</v>
      </c>
      <c r="BL392" s="483">
        <v>260916</v>
      </c>
      <c r="BM392" s="483">
        <v>273737</v>
      </c>
      <c r="BN392" s="483">
        <v>249617</v>
      </c>
      <c r="BO392" s="483">
        <v>254946</v>
      </c>
      <c r="BP392" s="483">
        <v>270936</v>
      </c>
      <c r="BQ392" s="483">
        <v>285916</v>
      </c>
      <c r="BR392" s="1344">
        <v>298737</v>
      </c>
      <c r="BS392" s="1545"/>
      <c r="BU392" s="1545"/>
      <c r="BV392" s="1545"/>
      <c r="BW392" s="1545"/>
      <c r="BX392" s="1545"/>
      <c r="BY392" s="1545"/>
      <c r="BZ392" s="1545"/>
      <c r="CA392" s="1545"/>
      <c r="CB392" s="1545"/>
      <c r="CC392" s="1545"/>
      <c r="CD392" s="1348" t="s">
        <v>2871</v>
      </c>
      <c r="CE392" s="504">
        <v>169617</v>
      </c>
      <c r="CF392" s="504">
        <v>174946</v>
      </c>
      <c r="CG392" s="504">
        <v>190936</v>
      </c>
      <c r="CH392" s="504">
        <v>205916</v>
      </c>
      <c r="CI392" s="504">
        <v>218737</v>
      </c>
      <c r="CJ392" s="504">
        <v>184617</v>
      </c>
      <c r="CK392" s="504">
        <v>189946</v>
      </c>
      <c r="CL392" s="504">
        <v>205936</v>
      </c>
      <c r="CM392" s="504">
        <v>220916</v>
      </c>
      <c r="CN392" s="1347">
        <v>233737</v>
      </c>
    </row>
    <row r="393" spans="60:92" ht="18" customHeight="1">
      <c r="BH393" s="1348" t="s">
        <v>2872</v>
      </c>
      <c r="BI393" s="483">
        <v>233980</v>
      </c>
      <c r="BJ393" s="483">
        <v>239886</v>
      </c>
      <c r="BK393" s="483">
        <v>258035</v>
      </c>
      <c r="BL393" s="483">
        <v>274889</v>
      </c>
      <c r="BM393" s="483">
        <v>289150</v>
      </c>
      <c r="BN393" s="483">
        <v>258980</v>
      </c>
      <c r="BO393" s="483">
        <v>264886</v>
      </c>
      <c r="BP393" s="483">
        <v>283035</v>
      </c>
      <c r="BQ393" s="483">
        <v>299889</v>
      </c>
      <c r="BR393" s="1344">
        <v>314150</v>
      </c>
      <c r="BS393" s="1545"/>
      <c r="BU393" s="1545"/>
      <c r="BV393" s="1545"/>
      <c r="BW393" s="1545"/>
      <c r="BX393" s="1545"/>
      <c r="BY393" s="1545"/>
      <c r="BZ393" s="1545"/>
      <c r="CA393" s="1545"/>
      <c r="CB393" s="1545"/>
      <c r="CC393" s="1545"/>
      <c r="CD393" s="1348" t="s">
        <v>2872</v>
      </c>
      <c r="CE393" s="504">
        <v>178980</v>
      </c>
      <c r="CF393" s="504">
        <v>184886</v>
      </c>
      <c r="CG393" s="504">
        <v>203035</v>
      </c>
      <c r="CH393" s="504">
        <v>219889</v>
      </c>
      <c r="CI393" s="504">
        <v>234150</v>
      </c>
      <c r="CJ393" s="504">
        <v>193980</v>
      </c>
      <c r="CK393" s="504">
        <v>199886</v>
      </c>
      <c r="CL393" s="504">
        <v>218035</v>
      </c>
      <c r="CM393" s="504">
        <v>234889</v>
      </c>
      <c r="CN393" s="1347">
        <v>249150</v>
      </c>
    </row>
    <row r="394" spans="60:92" ht="18" customHeight="1">
      <c r="BH394" s="1343" t="s">
        <v>2873</v>
      </c>
      <c r="BI394" s="483">
        <v>150000</v>
      </c>
      <c r="BJ394" s="483">
        <v>150000</v>
      </c>
      <c r="BK394" s="483">
        <v>150000</v>
      </c>
      <c r="BL394" s="483">
        <v>150000</v>
      </c>
      <c r="BM394" s="483">
        <v>150000</v>
      </c>
      <c r="BN394" s="483">
        <v>175000</v>
      </c>
      <c r="BO394" s="483">
        <v>175000</v>
      </c>
      <c r="BP394" s="483">
        <v>175000</v>
      </c>
      <c r="BQ394" s="483">
        <v>175000</v>
      </c>
      <c r="BR394" s="1344">
        <v>175000</v>
      </c>
      <c r="BS394" s="1545"/>
      <c r="BU394" s="1545"/>
      <c r="BV394" s="1545"/>
      <c r="BW394" s="1545"/>
      <c r="BX394" s="1545"/>
      <c r="BY394" s="1545"/>
      <c r="BZ394" s="1545"/>
      <c r="CA394" s="1545"/>
      <c r="CB394" s="1545"/>
      <c r="CC394" s="1545"/>
      <c r="CD394" s="1343" t="s">
        <v>2873</v>
      </c>
      <c r="CE394" s="504">
        <v>95000</v>
      </c>
      <c r="CF394" s="504">
        <v>95000</v>
      </c>
      <c r="CG394" s="504">
        <v>95000</v>
      </c>
      <c r="CH394" s="504">
        <v>95000</v>
      </c>
      <c r="CI394" s="504">
        <v>95000</v>
      </c>
      <c r="CJ394" s="504">
        <v>110000</v>
      </c>
      <c r="CK394" s="504">
        <v>110000</v>
      </c>
      <c r="CL394" s="504">
        <v>110000</v>
      </c>
      <c r="CM394" s="504">
        <v>110000</v>
      </c>
      <c r="CN394" s="1347">
        <v>110000</v>
      </c>
    </row>
    <row r="395" spans="60:92" ht="18" customHeight="1">
      <c r="BH395" s="1348" t="s">
        <v>2874</v>
      </c>
      <c r="BI395" s="483">
        <v>162388</v>
      </c>
      <c r="BJ395" s="483">
        <v>163252</v>
      </c>
      <c r="BK395" s="483">
        <v>165845</v>
      </c>
      <c r="BL395" s="483">
        <v>168294</v>
      </c>
      <c r="BM395" s="483">
        <v>170455</v>
      </c>
      <c r="BN395" s="483">
        <v>187388</v>
      </c>
      <c r="BO395" s="483">
        <v>188252</v>
      </c>
      <c r="BP395" s="483">
        <v>190845</v>
      </c>
      <c r="BQ395" s="483">
        <v>193294</v>
      </c>
      <c r="BR395" s="1344">
        <v>195455</v>
      </c>
      <c r="BS395" s="1545"/>
      <c r="BU395" s="1545"/>
      <c r="BV395" s="1545"/>
      <c r="BW395" s="1545"/>
      <c r="BX395" s="1545"/>
      <c r="BY395" s="1545"/>
      <c r="BZ395" s="1545"/>
      <c r="CA395" s="1545"/>
      <c r="CB395" s="1545"/>
      <c r="CC395" s="1545"/>
      <c r="CD395" s="1348" t="s">
        <v>2874</v>
      </c>
      <c r="CE395" s="504">
        <v>107388</v>
      </c>
      <c r="CF395" s="504">
        <v>108252</v>
      </c>
      <c r="CG395" s="504">
        <v>110845</v>
      </c>
      <c r="CH395" s="504">
        <v>113294</v>
      </c>
      <c r="CI395" s="504">
        <v>115455</v>
      </c>
      <c r="CJ395" s="504">
        <v>122388</v>
      </c>
      <c r="CK395" s="504">
        <v>123252</v>
      </c>
      <c r="CL395" s="504">
        <v>125845</v>
      </c>
      <c r="CM395" s="504">
        <v>128294</v>
      </c>
      <c r="CN395" s="1347">
        <v>130455</v>
      </c>
    </row>
    <row r="396" spans="60:92" ht="18" customHeight="1">
      <c r="BH396" s="1348" t="s">
        <v>2875</v>
      </c>
      <c r="BI396" s="483">
        <v>174632</v>
      </c>
      <c r="BJ396" s="483">
        <v>176505</v>
      </c>
      <c r="BK396" s="483">
        <v>181690</v>
      </c>
      <c r="BL396" s="483">
        <v>186732</v>
      </c>
      <c r="BM396" s="483">
        <v>190909</v>
      </c>
      <c r="BN396" s="483">
        <v>199632</v>
      </c>
      <c r="BO396" s="483">
        <v>201505</v>
      </c>
      <c r="BP396" s="483">
        <v>206690</v>
      </c>
      <c r="BQ396" s="483">
        <v>211732</v>
      </c>
      <c r="BR396" s="1344">
        <v>215909</v>
      </c>
      <c r="BS396" s="1545"/>
      <c r="BU396" s="1545"/>
      <c r="BV396" s="1545"/>
      <c r="BW396" s="1545"/>
      <c r="BX396" s="1545"/>
      <c r="BY396" s="1545"/>
      <c r="BZ396" s="1545"/>
      <c r="CA396" s="1545"/>
      <c r="CB396" s="1545"/>
      <c r="CC396" s="1545"/>
      <c r="CD396" s="1348" t="s">
        <v>2875</v>
      </c>
      <c r="CE396" s="504">
        <v>119632</v>
      </c>
      <c r="CF396" s="504">
        <v>121505</v>
      </c>
      <c r="CG396" s="504">
        <v>126690</v>
      </c>
      <c r="CH396" s="504">
        <v>131732</v>
      </c>
      <c r="CI396" s="504">
        <v>135909</v>
      </c>
      <c r="CJ396" s="504">
        <v>134632</v>
      </c>
      <c r="CK396" s="504">
        <v>136505</v>
      </c>
      <c r="CL396" s="504">
        <v>141690</v>
      </c>
      <c r="CM396" s="504">
        <v>146732</v>
      </c>
      <c r="CN396" s="1347">
        <v>150909</v>
      </c>
    </row>
    <row r="397" spans="60:92" ht="18" customHeight="1">
      <c r="BH397" s="1348" t="s">
        <v>2876</v>
      </c>
      <c r="BI397" s="483">
        <v>187020</v>
      </c>
      <c r="BJ397" s="483">
        <v>189757</v>
      </c>
      <c r="BK397" s="483">
        <v>197536</v>
      </c>
      <c r="BL397" s="483">
        <v>205026</v>
      </c>
      <c r="BM397" s="483">
        <v>211364</v>
      </c>
      <c r="BN397" s="483">
        <v>212020</v>
      </c>
      <c r="BO397" s="483">
        <v>214757</v>
      </c>
      <c r="BP397" s="483">
        <v>222536</v>
      </c>
      <c r="BQ397" s="483">
        <v>230026</v>
      </c>
      <c r="BR397" s="1344">
        <v>236364</v>
      </c>
      <c r="BS397" s="1545"/>
      <c r="BU397" s="1545"/>
      <c r="BV397" s="1545"/>
      <c r="BW397" s="1545"/>
      <c r="BX397" s="1545"/>
      <c r="BY397" s="1545"/>
      <c r="BZ397" s="1545"/>
      <c r="CA397" s="1545"/>
      <c r="CB397" s="1545"/>
      <c r="CC397" s="1545"/>
      <c r="CD397" s="1348" t="s">
        <v>2876</v>
      </c>
      <c r="CE397" s="504">
        <v>132020</v>
      </c>
      <c r="CF397" s="504">
        <v>134757</v>
      </c>
      <c r="CG397" s="504">
        <v>142536</v>
      </c>
      <c r="CH397" s="504">
        <v>150026</v>
      </c>
      <c r="CI397" s="504">
        <v>156364</v>
      </c>
      <c r="CJ397" s="504">
        <v>147020</v>
      </c>
      <c r="CK397" s="504">
        <v>149757</v>
      </c>
      <c r="CL397" s="504">
        <v>157536</v>
      </c>
      <c r="CM397" s="504">
        <v>165026</v>
      </c>
      <c r="CN397" s="1347">
        <v>171364</v>
      </c>
    </row>
    <row r="398" spans="60:92" ht="18" customHeight="1">
      <c r="BH398" s="1348" t="s">
        <v>2877</v>
      </c>
      <c r="BI398" s="483">
        <v>199264</v>
      </c>
      <c r="BJ398" s="483">
        <v>202865</v>
      </c>
      <c r="BK398" s="483">
        <v>213381</v>
      </c>
      <c r="BL398" s="483">
        <v>223320</v>
      </c>
      <c r="BM398" s="483">
        <v>231675</v>
      </c>
      <c r="BN398" s="483">
        <v>224264</v>
      </c>
      <c r="BO398" s="483">
        <v>227865</v>
      </c>
      <c r="BP398" s="483">
        <v>238381</v>
      </c>
      <c r="BQ398" s="483">
        <v>248320</v>
      </c>
      <c r="BR398" s="1344">
        <v>256675</v>
      </c>
      <c r="BS398" s="1545"/>
      <c r="BU398" s="1545"/>
      <c r="BV398" s="1545"/>
      <c r="BW398" s="1545"/>
      <c r="BX398" s="1545"/>
      <c r="BY398" s="1545"/>
      <c r="BZ398" s="1545"/>
      <c r="CA398" s="1545"/>
      <c r="CB398" s="1545"/>
      <c r="CC398" s="1545"/>
      <c r="CD398" s="1348" t="s">
        <v>2877</v>
      </c>
      <c r="CE398" s="504">
        <v>144264</v>
      </c>
      <c r="CF398" s="504">
        <v>147865</v>
      </c>
      <c r="CG398" s="504">
        <v>158381</v>
      </c>
      <c r="CH398" s="504">
        <v>168320</v>
      </c>
      <c r="CI398" s="504">
        <v>176675</v>
      </c>
      <c r="CJ398" s="504">
        <v>159264</v>
      </c>
      <c r="CK398" s="504">
        <v>162865</v>
      </c>
      <c r="CL398" s="504">
        <v>173381</v>
      </c>
      <c r="CM398" s="504">
        <v>183320</v>
      </c>
      <c r="CN398" s="1347">
        <v>191675</v>
      </c>
    </row>
    <row r="399" spans="60:92" ht="18" customHeight="1">
      <c r="BH399" s="1348" t="s">
        <v>2878</v>
      </c>
      <c r="BI399" s="483">
        <v>211652</v>
      </c>
      <c r="BJ399" s="483">
        <v>216118</v>
      </c>
      <c r="BK399" s="483">
        <v>229370</v>
      </c>
      <c r="BL399" s="483">
        <v>241614</v>
      </c>
      <c r="BM399" s="483">
        <v>252130</v>
      </c>
      <c r="BN399" s="483">
        <v>236652</v>
      </c>
      <c r="BO399" s="483">
        <v>241118</v>
      </c>
      <c r="BP399" s="483">
        <v>254370</v>
      </c>
      <c r="BQ399" s="483">
        <v>266614</v>
      </c>
      <c r="BR399" s="1344">
        <v>277130</v>
      </c>
      <c r="BS399" s="1545"/>
      <c r="BU399" s="1545"/>
      <c r="BV399" s="1545"/>
      <c r="BW399" s="1545"/>
      <c r="BX399" s="1545"/>
      <c r="BY399" s="1545"/>
      <c r="BZ399" s="1545"/>
      <c r="CA399" s="1545"/>
      <c r="CB399" s="1545"/>
      <c r="CC399" s="1545"/>
      <c r="CD399" s="1348" t="s">
        <v>2878</v>
      </c>
      <c r="CE399" s="504">
        <v>156652</v>
      </c>
      <c r="CF399" s="504">
        <v>161118</v>
      </c>
      <c r="CG399" s="504">
        <v>174370</v>
      </c>
      <c r="CH399" s="504">
        <v>186614</v>
      </c>
      <c r="CI399" s="504">
        <v>197130</v>
      </c>
      <c r="CJ399" s="504">
        <v>171652</v>
      </c>
      <c r="CK399" s="504">
        <v>176118</v>
      </c>
      <c r="CL399" s="504">
        <v>189370</v>
      </c>
      <c r="CM399" s="504">
        <v>201614</v>
      </c>
      <c r="CN399" s="1347">
        <v>212130</v>
      </c>
    </row>
    <row r="400" spans="60:92" ht="18" customHeight="1">
      <c r="BH400" s="1348" t="s">
        <v>2879</v>
      </c>
      <c r="BI400" s="483">
        <v>224040</v>
      </c>
      <c r="BJ400" s="483">
        <v>229370</v>
      </c>
      <c r="BK400" s="483">
        <v>245215</v>
      </c>
      <c r="BL400" s="483">
        <v>259908</v>
      </c>
      <c r="BM400" s="483">
        <v>272584</v>
      </c>
      <c r="BN400" s="483">
        <v>249040</v>
      </c>
      <c r="BO400" s="483">
        <v>254370</v>
      </c>
      <c r="BP400" s="483">
        <v>270215</v>
      </c>
      <c r="BQ400" s="483">
        <v>284908</v>
      </c>
      <c r="BR400" s="1344">
        <v>297584</v>
      </c>
      <c r="BS400" s="1545"/>
      <c r="BU400" s="1545"/>
      <c r="BV400" s="1545"/>
      <c r="BW400" s="1545"/>
      <c r="BX400" s="1545"/>
      <c r="BY400" s="1545"/>
      <c r="BZ400" s="1545"/>
      <c r="CA400" s="1545"/>
      <c r="CB400" s="1545"/>
      <c r="CC400" s="1545"/>
      <c r="CD400" s="1348" t="s">
        <v>2879</v>
      </c>
      <c r="CE400" s="504">
        <v>169040</v>
      </c>
      <c r="CF400" s="504">
        <v>174370</v>
      </c>
      <c r="CG400" s="504">
        <v>190215</v>
      </c>
      <c r="CH400" s="504">
        <v>204908</v>
      </c>
      <c r="CI400" s="504">
        <v>217584</v>
      </c>
      <c r="CJ400" s="504">
        <v>184040</v>
      </c>
      <c r="CK400" s="504">
        <v>189370</v>
      </c>
      <c r="CL400" s="504">
        <v>205215</v>
      </c>
      <c r="CM400" s="504">
        <v>219908</v>
      </c>
      <c r="CN400" s="1347">
        <v>232584</v>
      </c>
    </row>
    <row r="401" spans="60:92" ht="18" customHeight="1">
      <c r="BH401" s="1348" t="s">
        <v>2880</v>
      </c>
      <c r="BI401" s="483">
        <v>236284</v>
      </c>
      <c r="BJ401" s="483">
        <v>242622</v>
      </c>
      <c r="BK401" s="483">
        <v>261060</v>
      </c>
      <c r="BL401" s="483">
        <v>278346</v>
      </c>
      <c r="BM401" s="483">
        <v>293039</v>
      </c>
      <c r="BN401" s="483">
        <v>261284</v>
      </c>
      <c r="BO401" s="483">
        <v>267622</v>
      </c>
      <c r="BP401" s="483">
        <v>286060</v>
      </c>
      <c r="BQ401" s="483">
        <v>303346</v>
      </c>
      <c r="BR401" s="1344">
        <v>318039</v>
      </c>
      <c r="BS401" s="1545"/>
      <c r="BU401" s="1545"/>
      <c r="BV401" s="1545"/>
      <c r="BW401" s="1545"/>
      <c r="BX401" s="1545"/>
      <c r="BY401" s="1545"/>
      <c r="BZ401" s="1545"/>
      <c r="CA401" s="1545"/>
      <c r="CB401" s="1545"/>
      <c r="CC401" s="1545"/>
      <c r="CD401" s="1348" t="s">
        <v>2880</v>
      </c>
      <c r="CE401" s="504">
        <v>181284</v>
      </c>
      <c r="CF401" s="504">
        <v>187622</v>
      </c>
      <c r="CG401" s="504">
        <v>206060</v>
      </c>
      <c r="CH401" s="504">
        <v>223346</v>
      </c>
      <c r="CI401" s="504">
        <v>238039</v>
      </c>
      <c r="CJ401" s="504">
        <v>196284</v>
      </c>
      <c r="CK401" s="504">
        <v>202622</v>
      </c>
      <c r="CL401" s="504">
        <v>221060</v>
      </c>
      <c r="CM401" s="504">
        <v>238346</v>
      </c>
      <c r="CN401" s="1347">
        <v>253039</v>
      </c>
    </row>
    <row r="402" spans="60:92" ht="18" customHeight="1">
      <c r="BH402" s="1348" t="s">
        <v>2881</v>
      </c>
      <c r="BI402" s="483">
        <v>248672</v>
      </c>
      <c r="BJ402" s="483">
        <v>255731</v>
      </c>
      <c r="BK402" s="483">
        <v>276906</v>
      </c>
      <c r="BL402" s="483">
        <v>296640</v>
      </c>
      <c r="BM402" s="483">
        <v>313494</v>
      </c>
      <c r="BN402" s="483">
        <v>273672</v>
      </c>
      <c r="BO402" s="483">
        <v>280731</v>
      </c>
      <c r="BP402" s="483">
        <v>301906</v>
      </c>
      <c r="BQ402" s="483">
        <v>321640</v>
      </c>
      <c r="BR402" s="1344">
        <v>338494</v>
      </c>
      <c r="BS402" s="1545"/>
      <c r="BU402" s="1545"/>
      <c r="BV402" s="1545"/>
      <c r="BW402" s="1545"/>
      <c r="BX402" s="1545"/>
      <c r="BY402" s="1545"/>
      <c r="BZ402" s="1545"/>
      <c r="CA402" s="1545"/>
      <c r="CB402" s="1545"/>
      <c r="CC402" s="1545"/>
      <c r="CD402" s="1348" t="s">
        <v>2881</v>
      </c>
      <c r="CE402" s="504">
        <v>193672</v>
      </c>
      <c r="CF402" s="504">
        <v>200731</v>
      </c>
      <c r="CG402" s="504">
        <v>221906</v>
      </c>
      <c r="CH402" s="504">
        <v>241640</v>
      </c>
      <c r="CI402" s="504">
        <v>258494</v>
      </c>
      <c r="CJ402" s="504">
        <v>208672</v>
      </c>
      <c r="CK402" s="504">
        <v>215731</v>
      </c>
      <c r="CL402" s="504">
        <v>236906</v>
      </c>
      <c r="CM402" s="504">
        <v>256640</v>
      </c>
      <c r="CN402" s="1347">
        <v>273494</v>
      </c>
    </row>
    <row r="403" spans="60:92" ht="18" customHeight="1">
      <c r="BH403" s="1348" t="s">
        <v>2882</v>
      </c>
      <c r="BI403" s="483">
        <v>261060</v>
      </c>
      <c r="BJ403" s="483">
        <v>268983</v>
      </c>
      <c r="BK403" s="483">
        <v>292751</v>
      </c>
      <c r="BL403" s="483">
        <v>314934</v>
      </c>
      <c r="BM403" s="483">
        <v>333948</v>
      </c>
      <c r="BN403" s="483">
        <v>286060</v>
      </c>
      <c r="BO403" s="483">
        <v>293983</v>
      </c>
      <c r="BP403" s="483">
        <v>317751</v>
      </c>
      <c r="BQ403" s="483">
        <v>339934</v>
      </c>
      <c r="BR403" s="1344">
        <v>358948</v>
      </c>
      <c r="BS403" s="1545"/>
      <c r="BU403" s="1545"/>
      <c r="BV403" s="1545"/>
      <c r="BW403" s="1545"/>
      <c r="BX403" s="1545"/>
      <c r="BY403" s="1545"/>
      <c r="BZ403" s="1545"/>
      <c r="CA403" s="1545"/>
      <c r="CB403" s="1545"/>
      <c r="CC403" s="1545"/>
      <c r="CD403" s="1348" t="s">
        <v>2882</v>
      </c>
      <c r="CE403" s="504">
        <v>206060</v>
      </c>
      <c r="CF403" s="504">
        <v>213983</v>
      </c>
      <c r="CG403" s="504">
        <v>237751</v>
      </c>
      <c r="CH403" s="504">
        <v>259934</v>
      </c>
      <c r="CI403" s="504">
        <v>278948</v>
      </c>
      <c r="CJ403" s="504">
        <v>221060</v>
      </c>
      <c r="CK403" s="504">
        <v>228983</v>
      </c>
      <c r="CL403" s="504">
        <v>252751</v>
      </c>
      <c r="CM403" s="504">
        <v>274934</v>
      </c>
      <c r="CN403" s="1347">
        <v>293948</v>
      </c>
    </row>
    <row r="404" spans="60:92" ht="18" customHeight="1">
      <c r="BH404" s="1343" t="s">
        <v>2883</v>
      </c>
      <c r="BI404" s="483">
        <v>150000</v>
      </c>
      <c r="BJ404" s="483">
        <v>150000</v>
      </c>
      <c r="BK404" s="483">
        <v>150000</v>
      </c>
      <c r="BL404" s="483">
        <v>150000</v>
      </c>
      <c r="BM404" s="483">
        <v>150000</v>
      </c>
      <c r="BN404" s="483">
        <v>175000</v>
      </c>
      <c r="BO404" s="483">
        <v>175000</v>
      </c>
      <c r="BP404" s="483">
        <v>175000</v>
      </c>
      <c r="BQ404" s="483">
        <v>175000</v>
      </c>
      <c r="BR404" s="1344">
        <v>175000</v>
      </c>
      <c r="BS404" s="1545"/>
      <c r="BU404" s="1545"/>
      <c r="BV404" s="1545"/>
      <c r="BW404" s="1545"/>
      <c r="BX404" s="1545"/>
      <c r="BY404" s="1545"/>
      <c r="BZ404" s="1545"/>
      <c r="CA404" s="1545"/>
      <c r="CB404" s="1545"/>
      <c r="CC404" s="1545"/>
      <c r="CD404" s="1343" t="s">
        <v>2883</v>
      </c>
      <c r="CE404" s="504">
        <v>95000</v>
      </c>
      <c r="CF404" s="504">
        <v>95000</v>
      </c>
      <c r="CG404" s="504">
        <v>95000</v>
      </c>
      <c r="CH404" s="504">
        <v>95000</v>
      </c>
      <c r="CI404" s="504">
        <v>95000</v>
      </c>
      <c r="CJ404" s="504">
        <v>110000</v>
      </c>
      <c r="CK404" s="504">
        <v>110000</v>
      </c>
      <c r="CL404" s="504">
        <v>110000</v>
      </c>
      <c r="CM404" s="504">
        <v>110000</v>
      </c>
      <c r="CN404" s="1347">
        <v>110000</v>
      </c>
    </row>
    <row r="405" spans="60:92" ht="18" customHeight="1">
      <c r="BH405" s="1348" t="s">
        <v>2884</v>
      </c>
      <c r="BI405" s="483">
        <v>173048</v>
      </c>
      <c r="BJ405" s="483">
        <v>174632</v>
      </c>
      <c r="BK405" s="483">
        <v>179674</v>
      </c>
      <c r="BL405" s="483">
        <v>184139</v>
      </c>
      <c r="BM405" s="483">
        <v>188173</v>
      </c>
      <c r="BN405" s="483">
        <v>198048</v>
      </c>
      <c r="BO405" s="483">
        <v>199632</v>
      </c>
      <c r="BP405" s="483">
        <v>204674</v>
      </c>
      <c r="BQ405" s="483">
        <v>209139</v>
      </c>
      <c r="BR405" s="1344">
        <v>213173</v>
      </c>
      <c r="BS405" s="1545"/>
      <c r="BU405" s="1545"/>
      <c r="BV405" s="1545"/>
      <c r="BW405" s="1545"/>
      <c r="BX405" s="1545"/>
      <c r="BY405" s="1545"/>
      <c r="BZ405" s="1545"/>
      <c r="CA405" s="1545"/>
      <c r="CB405" s="1545"/>
      <c r="CC405" s="1545"/>
      <c r="CD405" s="1348" t="s">
        <v>2884</v>
      </c>
      <c r="CE405" s="504">
        <v>118048</v>
      </c>
      <c r="CF405" s="504">
        <v>119632</v>
      </c>
      <c r="CG405" s="504">
        <v>124674</v>
      </c>
      <c r="CH405" s="504">
        <v>129139</v>
      </c>
      <c r="CI405" s="504">
        <v>133173</v>
      </c>
      <c r="CJ405" s="504">
        <v>133048</v>
      </c>
      <c r="CK405" s="504">
        <v>134632</v>
      </c>
      <c r="CL405" s="504">
        <v>139674</v>
      </c>
      <c r="CM405" s="504">
        <v>144139</v>
      </c>
      <c r="CN405" s="1347">
        <v>148173</v>
      </c>
    </row>
    <row r="406" spans="60:92" ht="18" customHeight="1">
      <c r="BH406" s="1348" t="s">
        <v>2885</v>
      </c>
      <c r="BI406" s="483">
        <v>196095</v>
      </c>
      <c r="BJ406" s="483">
        <v>199264</v>
      </c>
      <c r="BK406" s="483">
        <v>209203</v>
      </c>
      <c r="BL406" s="483">
        <v>218422</v>
      </c>
      <c r="BM406" s="483">
        <v>226345</v>
      </c>
      <c r="BN406" s="483">
        <v>221095</v>
      </c>
      <c r="BO406" s="483">
        <v>224264</v>
      </c>
      <c r="BP406" s="483">
        <v>234203</v>
      </c>
      <c r="BQ406" s="483">
        <v>243422</v>
      </c>
      <c r="BR406" s="1344">
        <v>251345</v>
      </c>
      <c r="BS406" s="1545"/>
      <c r="BU406" s="1545"/>
      <c r="BV406" s="1545"/>
      <c r="BW406" s="1545"/>
      <c r="BX406" s="1545"/>
      <c r="BY406" s="1545"/>
      <c r="BZ406" s="1545"/>
      <c r="CA406" s="1545"/>
      <c r="CB406" s="1545"/>
      <c r="CC406" s="1545"/>
      <c r="CD406" s="1348" t="s">
        <v>2885</v>
      </c>
      <c r="CE406" s="504">
        <v>141095</v>
      </c>
      <c r="CF406" s="504">
        <v>144264</v>
      </c>
      <c r="CG406" s="504">
        <v>154203</v>
      </c>
      <c r="CH406" s="504">
        <v>163422</v>
      </c>
      <c r="CI406" s="504">
        <v>171345</v>
      </c>
      <c r="CJ406" s="504">
        <v>156095</v>
      </c>
      <c r="CK406" s="504">
        <v>159264</v>
      </c>
      <c r="CL406" s="504">
        <v>169203</v>
      </c>
      <c r="CM406" s="504">
        <v>178422</v>
      </c>
      <c r="CN406" s="1347">
        <v>186345</v>
      </c>
    </row>
    <row r="407" spans="60:92" ht="18" customHeight="1">
      <c r="BH407" s="1348" t="s">
        <v>2886</v>
      </c>
      <c r="BI407" s="483">
        <v>219143</v>
      </c>
      <c r="BJ407" s="483">
        <v>224040</v>
      </c>
      <c r="BK407" s="483">
        <v>238877</v>
      </c>
      <c r="BL407" s="483">
        <v>252562</v>
      </c>
      <c r="BM407" s="483">
        <v>264518</v>
      </c>
      <c r="BN407" s="483">
        <v>244143</v>
      </c>
      <c r="BO407" s="483">
        <v>249040</v>
      </c>
      <c r="BP407" s="483">
        <v>263877</v>
      </c>
      <c r="BQ407" s="483">
        <v>277562</v>
      </c>
      <c r="BR407" s="1344">
        <v>289518</v>
      </c>
      <c r="BS407" s="1545"/>
      <c r="BU407" s="1545"/>
      <c r="BV407" s="1545"/>
      <c r="BW407" s="1545"/>
      <c r="BX407" s="1545"/>
      <c r="BY407" s="1545"/>
      <c r="BZ407" s="1545"/>
      <c r="CA407" s="1545"/>
      <c r="CB407" s="1545"/>
      <c r="CC407" s="1545"/>
      <c r="CD407" s="1348" t="s">
        <v>2886</v>
      </c>
      <c r="CE407" s="504">
        <v>164143</v>
      </c>
      <c r="CF407" s="504">
        <v>169040</v>
      </c>
      <c r="CG407" s="504">
        <v>183877</v>
      </c>
      <c r="CH407" s="504">
        <v>197562</v>
      </c>
      <c r="CI407" s="504">
        <v>209518</v>
      </c>
      <c r="CJ407" s="504">
        <v>179143</v>
      </c>
      <c r="CK407" s="504">
        <v>184040</v>
      </c>
      <c r="CL407" s="504">
        <v>198877</v>
      </c>
      <c r="CM407" s="504">
        <v>212562</v>
      </c>
      <c r="CN407" s="1347">
        <v>224518</v>
      </c>
    </row>
    <row r="408" spans="60:92" ht="18" customHeight="1">
      <c r="BH408" s="1348" t="s">
        <v>2887</v>
      </c>
      <c r="BI408" s="483">
        <v>242046</v>
      </c>
      <c r="BJ408" s="483">
        <v>248672</v>
      </c>
      <c r="BK408" s="483">
        <v>268407</v>
      </c>
      <c r="BL408" s="483">
        <v>286845</v>
      </c>
      <c r="BM408" s="483">
        <v>302690</v>
      </c>
      <c r="BN408" s="483">
        <v>267046</v>
      </c>
      <c r="BO408" s="483">
        <v>273672</v>
      </c>
      <c r="BP408" s="483">
        <v>293407</v>
      </c>
      <c r="BQ408" s="483">
        <v>311845</v>
      </c>
      <c r="BR408" s="1344">
        <v>327690</v>
      </c>
      <c r="BS408" s="1545"/>
      <c r="BU408" s="1545"/>
      <c r="BV408" s="1545"/>
      <c r="BW408" s="1545"/>
      <c r="BX408" s="1545"/>
      <c r="BY408" s="1545"/>
      <c r="BZ408" s="1545"/>
      <c r="CA408" s="1545"/>
      <c r="CB408" s="1545"/>
      <c r="CC408" s="1545"/>
      <c r="CD408" s="1348" t="s">
        <v>2887</v>
      </c>
      <c r="CE408" s="504">
        <v>187046</v>
      </c>
      <c r="CF408" s="504">
        <v>193672</v>
      </c>
      <c r="CG408" s="504">
        <v>213407</v>
      </c>
      <c r="CH408" s="504">
        <v>231845</v>
      </c>
      <c r="CI408" s="504">
        <v>247690</v>
      </c>
      <c r="CJ408" s="504">
        <v>202046</v>
      </c>
      <c r="CK408" s="504">
        <v>208672</v>
      </c>
      <c r="CL408" s="504">
        <v>228407</v>
      </c>
      <c r="CM408" s="504">
        <v>246845</v>
      </c>
      <c r="CN408" s="1347">
        <v>262690</v>
      </c>
    </row>
    <row r="409" spans="60:92" ht="18" customHeight="1">
      <c r="BH409" s="1348" t="s">
        <v>2888</v>
      </c>
      <c r="BI409" s="483">
        <v>265094</v>
      </c>
      <c r="BJ409" s="483">
        <v>273304</v>
      </c>
      <c r="BK409" s="483">
        <v>298081</v>
      </c>
      <c r="BL409" s="483">
        <v>321128</v>
      </c>
      <c r="BM409" s="483">
        <v>340863</v>
      </c>
      <c r="BN409" s="483">
        <v>290094</v>
      </c>
      <c r="BO409" s="483">
        <v>298304</v>
      </c>
      <c r="BP409" s="483">
        <v>323081</v>
      </c>
      <c r="BQ409" s="483">
        <v>346128</v>
      </c>
      <c r="BR409" s="1344">
        <v>365863</v>
      </c>
      <c r="BS409" s="1545"/>
      <c r="BU409" s="1545"/>
      <c r="BV409" s="1545"/>
      <c r="BW409" s="1545"/>
      <c r="BX409" s="1545"/>
      <c r="BY409" s="1545"/>
      <c r="BZ409" s="1545"/>
      <c r="CA409" s="1545"/>
      <c r="CB409" s="1545"/>
      <c r="CC409" s="1545"/>
      <c r="CD409" s="1348" t="s">
        <v>2888</v>
      </c>
      <c r="CE409" s="504">
        <v>210094</v>
      </c>
      <c r="CF409" s="504">
        <v>218304</v>
      </c>
      <c r="CG409" s="504">
        <v>243081</v>
      </c>
      <c r="CH409" s="504">
        <v>266128</v>
      </c>
      <c r="CI409" s="504">
        <v>285863</v>
      </c>
      <c r="CJ409" s="504">
        <v>225094</v>
      </c>
      <c r="CK409" s="504">
        <v>233304</v>
      </c>
      <c r="CL409" s="504">
        <v>258081</v>
      </c>
      <c r="CM409" s="504">
        <v>281128</v>
      </c>
      <c r="CN409" s="1347">
        <v>300863</v>
      </c>
    </row>
    <row r="410" spans="60:92" ht="18" customHeight="1">
      <c r="BH410" s="1348" t="s">
        <v>2889</v>
      </c>
      <c r="BI410" s="483">
        <v>288141</v>
      </c>
      <c r="BJ410" s="483">
        <v>298081</v>
      </c>
      <c r="BK410" s="483">
        <v>327754</v>
      </c>
      <c r="BL410" s="483">
        <v>355267</v>
      </c>
      <c r="BM410" s="483">
        <v>379035</v>
      </c>
      <c r="BN410" s="483">
        <v>313141</v>
      </c>
      <c r="BO410" s="483">
        <v>323081</v>
      </c>
      <c r="BP410" s="483">
        <v>352754</v>
      </c>
      <c r="BQ410" s="483">
        <v>380267</v>
      </c>
      <c r="BR410" s="1344">
        <v>404035</v>
      </c>
      <c r="BS410" s="1545"/>
      <c r="BU410" s="1545"/>
      <c r="BV410" s="1545"/>
      <c r="BW410" s="1545"/>
      <c r="BX410" s="1545"/>
      <c r="BY410" s="1545"/>
      <c r="BZ410" s="1545"/>
      <c r="CA410" s="1545"/>
      <c r="CB410" s="1545"/>
      <c r="CC410" s="1545"/>
      <c r="CD410" s="1348" t="s">
        <v>2889</v>
      </c>
      <c r="CE410" s="504">
        <v>233141</v>
      </c>
      <c r="CF410" s="504">
        <v>243081</v>
      </c>
      <c r="CG410" s="504">
        <v>272754</v>
      </c>
      <c r="CH410" s="504">
        <v>300267</v>
      </c>
      <c r="CI410" s="504">
        <v>324035</v>
      </c>
      <c r="CJ410" s="504">
        <v>248141</v>
      </c>
      <c r="CK410" s="504">
        <v>258081</v>
      </c>
      <c r="CL410" s="504">
        <v>287754</v>
      </c>
      <c r="CM410" s="504">
        <v>315267</v>
      </c>
      <c r="CN410" s="1347">
        <v>339035</v>
      </c>
    </row>
    <row r="411" spans="60:92" ht="18" customHeight="1">
      <c r="BH411" s="1348" t="s">
        <v>2890</v>
      </c>
      <c r="BI411" s="483">
        <v>311189</v>
      </c>
      <c r="BJ411" s="483">
        <v>322713</v>
      </c>
      <c r="BK411" s="483">
        <v>357284</v>
      </c>
      <c r="BL411" s="483">
        <v>389551</v>
      </c>
      <c r="BM411" s="483">
        <v>417208</v>
      </c>
      <c r="BN411" s="483">
        <v>336189</v>
      </c>
      <c r="BO411" s="483">
        <v>347713</v>
      </c>
      <c r="BP411" s="483">
        <v>382284</v>
      </c>
      <c r="BQ411" s="483">
        <v>414551</v>
      </c>
      <c r="BR411" s="1344">
        <v>442208</v>
      </c>
      <c r="BS411" s="1545"/>
      <c r="BU411" s="1545"/>
      <c r="BV411" s="1545"/>
      <c r="BW411" s="1545"/>
      <c r="BX411" s="1545"/>
      <c r="BY411" s="1545"/>
      <c r="BZ411" s="1545"/>
      <c r="CA411" s="1545"/>
      <c r="CB411" s="1545"/>
      <c r="CC411" s="1545"/>
      <c r="CD411" s="1348" t="s">
        <v>2890</v>
      </c>
      <c r="CE411" s="504">
        <v>256189</v>
      </c>
      <c r="CF411" s="504">
        <v>267713</v>
      </c>
      <c r="CG411" s="504">
        <v>302284</v>
      </c>
      <c r="CH411" s="504">
        <v>334551</v>
      </c>
      <c r="CI411" s="504">
        <v>362208</v>
      </c>
      <c r="CJ411" s="504">
        <v>271189</v>
      </c>
      <c r="CK411" s="504">
        <v>282713</v>
      </c>
      <c r="CL411" s="504">
        <v>317284</v>
      </c>
      <c r="CM411" s="504">
        <v>349551</v>
      </c>
      <c r="CN411" s="1347">
        <v>377208</v>
      </c>
    </row>
    <row r="412" spans="60:92" ht="18" customHeight="1">
      <c r="BH412" s="1348" t="s">
        <v>2891</v>
      </c>
      <c r="BI412" s="483">
        <v>334237</v>
      </c>
      <c r="BJ412" s="483">
        <v>347345</v>
      </c>
      <c r="BK412" s="483">
        <v>386958</v>
      </c>
      <c r="BL412" s="483">
        <v>423690</v>
      </c>
      <c r="BM412" s="483">
        <v>455380</v>
      </c>
      <c r="BN412" s="483">
        <v>359237</v>
      </c>
      <c r="BO412" s="483">
        <v>372345</v>
      </c>
      <c r="BP412" s="483">
        <v>411958</v>
      </c>
      <c r="BQ412" s="483">
        <v>448690</v>
      </c>
      <c r="BR412" s="1344">
        <v>480380</v>
      </c>
      <c r="BS412" s="1545"/>
      <c r="BU412" s="1545"/>
      <c r="BV412" s="1545"/>
      <c r="BW412" s="1545"/>
      <c r="BX412" s="1545"/>
      <c r="BY412" s="1545"/>
      <c r="BZ412" s="1545"/>
      <c r="CA412" s="1545"/>
      <c r="CB412" s="1545"/>
      <c r="CC412" s="1545"/>
      <c r="CD412" s="1348" t="s">
        <v>2891</v>
      </c>
      <c r="CE412" s="504">
        <v>279237</v>
      </c>
      <c r="CF412" s="504">
        <v>292345</v>
      </c>
      <c r="CG412" s="504">
        <v>331958</v>
      </c>
      <c r="CH412" s="504">
        <v>368690</v>
      </c>
      <c r="CI412" s="504">
        <v>400380</v>
      </c>
      <c r="CJ412" s="504">
        <v>294237</v>
      </c>
      <c r="CK412" s="504">
        <v>307345</v>
      </c>
      <c r="CL412" s="504">
        <v>346958</v>
      </c>
      <c r="CM412" s="504">
        <v>383690</v>
      </c>
      <c r="CN412" s="1347">
        <v>415380</v>
      </c>
    </row>
    <row r="413" spans="60:92" ht="18" customHeight="1">
      <c r="BH413" s="1348" t="s">
        <v>2892</v>
      </c>
      <c r="BI413" s="483">
        <v>357284</v>
      </c>
      <c r="BJ413" s="483">
        <v>372121</v>
      </c>
      <c r="BK413" s="483">
        <v>416632</v>
      </c>
      <c r="BL413" s="483">
        <v>457973</v>
      </c>
      <c r="BM413" s="483">
        <v>493553</v>
      </c>
      <c r="BN413" s="483">
        <v>382284</v>
      </c>
      <c r="BO413" s="483">
        <v>397121</v>
      </c>
      <c r="BP413" s="483">
        <v>441632</v>
      </c>
      <c r="BQ413" s="483">
        <v>482973</v>
      </c>
      <c r="BR413" s="1344">
        <v>518553</v>
      </c>
      <c r="BS413" s="1545"/>
      <c r="BU413" s="1545"/>
      <c r="BV413" s="1545"/>
      <c r="BW413" s="1545"/>
      <c r="BX413" s="1545"/>
      <c r="BY413" s="1545"/>
      <c r="BZ413" s="1545"/>
      <c r="CA413" s="1545"/>
      <c r="CB413" s="1545"/>
      <c r="CC413" s="1545"/>
      <c r="CD413" s="1348" t="s">
        <v>2892</v>
      </c>
      <c r="CE413" s="504">
        <v>302284</v>
      </c>
      <c r="CF413" s="504">
        <v>317121</v>
      </c>
      <c r="CG413" s="504">
        <v>361632</v>
      </c>
      <c r="CH413" s="504">
        <v>402973</v>
      </c>
      <c r="CI413" s="504">
        <v>438553</v>
      </c>
      <c r="CJ413" s="504">
        <v>317284</v>
      </c>
      <c r="CK413" s="504">
        <v>332121</v>
      </c>
      <c r="CL413" s="504">
        <v>376632</v>
      </c>
      <c r="CM413" s="504">
        <v>417973</v>
      </c>
      <c r="CN413" s="1347">
        <v>453553</v>
      </c>
    </row>
    <row r="414" spans="60:92" ht="18" customHeight="1">
      <c r="BH414" s="1343" t="s">
        <v>2893</v>
      </c>
      <c r="BI414" s="483">
        <v>150000</v>
      </c>
      <c r="BJ414" s="483">
        <v>150000</v>
      </c>
      <c r="BK414" s="483">
        <v>150000</v>
      </c>
      <c r="BL414" s="483">
        <v>150000</v>
      </c>
      <c r="BM414" s="483">
        <v>150000</v>
      </c>
      <c r="BN414" s="483">
        <v>175000</v>
      </c>
      <c r="BO414" s="483">
        <v>175000</v>
      </c>
      <c r="BP414" s="483">
        <v>175000</v>
      </c>
      <c r="BQ414" s="483">
        <v>175000</v>
      </c>
      <c r="BR414" s="1344">
        <v>175000</v>
      </c>
      <c r="BS414" s="1545"/>
      <c r="BU414" s="1545"/>
      <c r="BV414" s="1545"/>
      <c r="BW414" s="1545"/>
      <c r="BX414" s="1545"/>
      <c r="BY414" s="1545"/>
      <c r="BZ414" s="1545"/>
      <c r="CA414" s="1545"/>
      <c r="CB414" s="1545"/>
      <c r="CC414" s="1545"/>
      <c r="CD414" s="1343" t="s">
        <v>2893</v>
      </c>
      <c r="CE414" s="504">
        <v>95000</v>
      </c>
      <c r="CF414" s="504">
        <v>95000</v>
      </c>
      <c r="CG414" s="504">
        <v>95000</v>
      </c>
      <c r="CH414" s="504">
        <v>95000</v>
      </c>
      <c r="CI414" s="504">
        <v>95000</v>
      </c>
      <c r="CJ414" s="504">
        <v>110000</v>
      </c>
      <c r="CK414" s="504">
        <v>110000</v>
      </c>
      <c r="CL414" s="504">
        <v>110000</v>
      </c>
      <c r="CM414" s="504">
        <v>110000</v>
      </c>
      <c r="CN414" s="1347">
        <v>110000</v>
      </c>
    </row>
    <row r="415" spans="60:92" ht="18" customHeight="1">
      <c r="BH415" s="1348" t="s">
        <v>2894</v>
      </c>
      <c r="BI415" s="483">
        <v>165701</v>
      </c>
      <c r="BJ415" s="483">
        <v>166854</v>
      </c>
      <c r="BK415" s="483">
        <v>170311</v>
      </c>
      <c r="BL415" s="483">
        <v>173336</v>
      </c>
      <c r="BM415" s="483">
        <v>176073</v>
      </c>
      <c r="BN415" s="483">
        <v>190701</v>
      </c>
      <c r="BO415" s="483">
        <v>191854</v>
      </c>
      <c r="BP415" s="483">
        <v>195311</v>
      </c>
      <c r="BQ415" s="483">
        <v>198336</v>
      </c>
      <c r="BR415" s="1344">
        <v>201073</v>
      </c>
      <c r="BS415" s="1545"/>
      <c r="BU415" s="1545"/>
      <c r="BV415" s="1545"/>
      <c r="BW415" s="1545"/>
      <c r="BX415" s="1545"/>
      <c r="BY415" s="1545"/>
      <c r="BZ415" s="1545"/>
      <c r="CA415" s="1545"/>
      <c r="CB415" s="1545"/>
      <c r="CC415" s="1545"/>
      <c r="CD415" s="1348" t="s">
        <v>2894</v>
      </c>
      <c r="CE415" s="504">
        <v>110701</v>
      </c>
      <c r="CF415" s="504">
        <v>111854</v>
      </c>
      <c r="CG415" s="504">
        <v>115311</v>
      </c>
      <c r="CH415" s="504">
        <v>118336</v>
      </c>
      <c r="CI415" s="504">
        <v>121073</v>
      </c>
      <c r="CJ415" s="504">
        <v>125701</v>
      </c>
      <c r="CK415" s="504">
        <v>126854</v>
      </c>
      <c r="CL415" s="504">
        <v>130311</v>
      </c>
      <c r="CM415" s="504">
        <v>133336</v>
      </c>
      <c r="CN415" s="1347">
        <v>136073</v>
      </c>
    </row>
    <row r="416" spans="60:92" ht="18" customHeight="1">
      <c r="BH416" s="1348" t="s">
        <v>2895</v>
      </c>
      <c r="BI416" s="483">
        <v>181546</v>
      </c>
      <c r="BJ416" s="483">
        <v>183851</v>
      </c>
      <c r="BK416" s="483">
        <v>190477</v>
      </c>
      <c r="BL416" s="483">
        <v>196815</v>
      </c>
      <c r="BM416" s="483">
        <v>202145</v>
      </c>
      <c r="BN416" s="483">
        <v>206546</v>
      </c>
      <c r="BO416" s="483">
        <v>208851</v>
      </c>
      <c r="BP416" s="483">
        <v>215477</v>
      </c>
      <c r="BQ416" s="483">
        <v>221815</v>
      </c>
      <c r="BR416" s="1344">
        <v>227145</v>
      </c>
      <c r="BS416" s="1545"/>
      <c r="BU416" s="1545"/>
      <c r="BV416" s="1545"/>
      <c r="BW416" s="1545"/>
      <c r="BX416" s="1545"/>
      <c r="BY416" s="1545"/>
      <c r="BZ416" s="1545"/>
      <c r="CA416" s="1545"/>
      <c r="CB416" s="1545"/>
      <c r="CC416" s="1545"/>
      <c r="CD416" s="1348" t="s">
        <v>2895</v>
      </c>
      <c r="CE416" s="504">
        <v>126546</v>
      </c>
      <c r="CF416" s="504">
        <v>128851</v>
      </c>
      <c r="CG416" s="504">
        <v>135477</v>
      </c>
      <c r="CH416" s="504">
        <v>141815</v>
      </c>
      <c r="CI416" s="504">
        <v>147145</v>
      </c>
      <c r="CJ416" s="504">
        <v>141546</v>
      </c>
      <c r="CK416" s="504">
        <v>143851</v>
      </c>
      <c r="CL416" s="504">
        <v>150477</v>
      </c>
      <c r="CM416" s="504">
        <v>156815</v>
      </c>
      <c r="CN416" s="1347">
        <v>162145</v>
      </c>
    </row>
    <row r="417" spans="60:92" ht="18" customHeight="1">
      <c r="BH417" s="1348" t="s">
        <v>2896</v>
      </c>
      <c r="BI417" s="483">
        <v>197248</v>
      </c>
      <c r="BJ417" s="483">
        <v>200705</v>
      </c>
      <c r="BK417" s="483">
        <v>210788</v>
      </c>
      <c r="BL417" s="483">
        <v>220151</v>
      </c>
      <c r="BM417" s="483">
        <v>228218</v>
      </c>
      <c r="BN417" s="483">
        <v>222248</v>
      </c>
      <c r="BO417" s="483">
        <v>225705</v>
      </c>
      <c r="BP417" s="483">
        <v>235788</v>
      </c>
      <c r="BQ417" s="483">
        <v>245151</v>
      </c>
      <c r="BR417" s="1344">
        <v>253218</v>
      </c>
      <c r="BS417" s="1545"/>
      <c r="BU417" s="1545"/>
      <c r="BV417" s="1545"/>
      <c r="BW417" s="1545"/>
      <c r="BX417" s="1545"/>
      <c r="BY417" s="1545"/>
      <c r="BZ417" s="1545"/>
      <c r="CA417" s="1545"/>
      <c r="CB417" s="1545"/>
      <c r="CC417" s="1545"/>
      <c r="CD417" s="1348" t="s">
        <v>2896</v>
      </c>
      <c r="CE417" s="504">
        <v>142248</v>
      </c>
      <c r="CF417" s="504">
        <v>145705</v>
      </c>
      <c r="CG417" s="504">
        <v>155788</v>
      </c>
      <c r="CH417" s="504">
        <v>165151</v>
      </c>
      <c r="CI417" s="504">
        <v>173218</v>
      </c>
      <c r="CJ417" s="504">
        <v>157248</v>
      </c>
      <c r="CK417" s="504">
        <v>160705</v>
      </c>
      <c r="CL417" s="504">
        <v>170788</v>
      </c>
      <c r="CM417" s="504">
        <v>180151</v>
      </c>
      <c r="CN417" s="1347">
        <v>188218</v>
      </c>
    </row>
    <row r="418" spans="60:92" ht="18" customHeight="1">
      <c r="BH418" s="1348" t="s">
        <v>2897</v>
      </c>
      <c r="BI418" s="483">
        <v>212949</v>
      </c>
      <c r="BJ418" s="483">
        <v>217558</v>
      </c>
      <c r="BK418" s="483">
        <v>230955</v>
      </c>
      <c r="BL418" s="483">
        <v>243487</v>
      </c>
      <c r="BM418" s="483">
        <v>254290</v>
      </c>
      <c r="BN418" s="483">
        <v>237949</v>
      </c>
      <c r="BO418" s="483">
        <v>242558</v>
      </c>
      <c r="BP418" s="483">
        <v>255955</v>
      </c>
      <c r="BQ418" s="483">
        <v>268487</v>
      </c>
      <c r="BR418" s="1344">
        <v>279290</v>
      </c>
      <c r="BS418" s="1545"/>
      <c r="BU418" s="1545"/>
      <c r="BV418" s="1545"/>
      <c r="BW418" s="1545"/>
      <c r="BX418" s="1545"/>
      <c r="BY418" s="1545"/>
      <c r="BZ418" s="1545"/>
      <c r="CA418" s="1545"/>
      <c r="CB418" s="1545"/>
      <c r="CC418" s="1545"/>
      <c r="CD418" s="1348" t="s">
        <v>2897</v>
      </c>
      <c r="CE418" s="504">
        <v>157949</v>
      </c>
      <c r="CF418" s="504">
        <v>162558</v>
      </c>
      <c r="CG418" s="504">
        <v>175955</v>
      </c>
      <c r="CH418" s="504">
        <v>188487</v>
      </c>
      <c r="CI418" s="504">
        <v>199290</v>
      </c>
      <c r="CJ418" s="504">
        <v>172949</v>
      </c>
      <c r="CK418" s="504">
        <v>177558</v>
      </c>
      <c r="CL418" s="504">
        <v>190955</v>
      </c>
      <c r="CM418" s="504">
        <v>203487</v>
      </c>
      <c r="CN418" s="1347">
        <v>214290</v>
      </c>
    </row>
    <row r="419" spans="60:92" ht="18" customHeight="1">
      <c r="BH419" s="1348" t="s">
        <v>2898</v>
      </c>
      <c r="BI419" s="483">
        <v>228794</v>
      </c>
      <c r="BJ419" s="483">
        <v>234412</v>
      </c>
      <c r="BK419" s="483">
        <v>251265</v>
      </c>
      <c r="BL419" s="483">
        <v>266966</v>
      </c>
      <c r="BM419" s="483">
        <v>280507</v>
      </c>
      <c r="BN419" s="483">
        <v>253794</v>
      </c>
      <c r="BO419" s="483">
        <v>259412</v>
      </c>
      <c r="BP419" s="483">
        <v>276265</v>
      </c>
      <c r="BQ419" s="483">
        <v>291966</v>
      </c>
      <c r="BR419" s="1344">
        <v>305507</v>
      </c>
      <c r="BS419" s="1545"/>
      <c r="BU419" s="1545"/>
      <c r="BV419" s="1545"/>
      <c r="BW419" s="1545"/>
      <c r="BX419" s="1545"/>
      <c r="BY419" s="1545"/>
      <c r="BZ419" s="1545"/>
      <c r="CA419" s="1545"/>
      <c r="CB419" s="1545"/>
      <c r="CC419" s="1545"/>
      <c r="CD419" s="1348" t="s">
        <v>2898</v>
      </c>
      <c r="CE419" s="504">
        <v>173794</v>
      </c>
      <c r="CF419" s="504">
        <v>179412</v>
      </c>
      <c r="CG419" s="504">
        <v>196265</v>
      </c>
      <c r="CH419" s="504">
        <v>211966</v>
      </c>
      <c r="CI419" s="504">
        <v>225507</v>
      </c>
      <c r="CJ419" s="504">
        <v>188794</v>
      </c>
      <c r="CK419" s="504">
        <v>194412</v>
      </c>
      <c r="CL419" s="504">
        <v>211265</v>
      </c>
      <c r="CM419" s="504">
        <v>226966</v>
      </c>
      <c r="CN419" s="1347">
        <v>240507</v>
      </c>
    </row>
    <row r="420" spans="60:92" ht="18" customHeight="1">
      <c r="BH420" s="1348" t="s">
        <v>2899</v>
      </c>
      <c r="BI420" s="483">
        <v>244495</v>
      </c>
      <c r="BJ420" s="483">
        <v>251265</v>
      </c>
      <c r="BK420" s="483">
        <v>271576</v>
      </c>
      <c r="BL420" s="483">
        <v>290302</v>
      </c>
      <c r="BM420" s="483">
        <v>306579</v>
      </c>
      <c r="BN420" s="483">
        <v>269495</v>
      </c>
      <c r="BO420" s="483">
        <v>276265</v>
      </c>
      <c r="BP420" s="483">
        <v>296576</v>
      </c>
      <c r="BQ420" s="483">
        <v>315302</v>
      </c>
      <c r="BR420" s="1344">
        <v>331579</v>
      </c>
      <c r="BS420" s="1545"/>
      <c r="BU420" s="1545"/>
      <c r="BV420" s="1545"/>
      <c r="BW420" s="1545"/>
      <c r="BX420" s="1545"/>
      <c r="BY420" s="1545"/>
      <c r="BZ420" s="1545"/>
      <c r="CA420" s="1545"/>
      <c r="CB420" s="1545"/>
      <c r="CC420" s="1545"/>
      <c r="CD420" s="1348" t="s">
        <v>2899</v>
      </c>
      <c r="CE420" s="504">
        <v>189495</v>
      </c>
      <c r="CF420" s="504">
        <v>196265</v>
      </c>
      <c r="CG420" s="504">
        <v>216576</v>
      </c>
      <c r="CH420" s="504">
        <v>235302</v>
      </c>
      <c r="CI420" s="504">
        <v>251579</v>
      </c>
      <c r="CJ420" s="504">
        <v>204495</v>
      </c>
      <c r="CK420" s="504">
        <v>211265</v>
      </c>
      <c r="CL420" s="504">
        <v>231576</v>
      </c>
      <c r="CM420" s="504">
        <v>250302</v>
      </c>
      <c r="CN420" s="1347">
        <v>266579</v>
      </c>
    </row>
    <row r="421" spans="60:92" ht="18" customHeight="1">
      <c r="BH421" s="1348" t="s">
        <v>2900</v>
      </c>
      <c r="BI421" s="483">
        <v>260340</v>
      </c>
      <c r="BJ421" s="483">
        <v>268263</v>
      </c>
      <c r="BK421" s="483">
        <v>291743</v>
      </c>
      <c r="BL421" s="483">
        <v>313782</v>
      </c>
      <c r="BM421" s="483">
        <v>332652</v>
      </c>
      <c r="BN421" s="483">
        <v>285340</v>
      </c>
      <c r="BO421" s="483">
        <v>293263</v>
      </c>
      <c r="BP421" s="483">
        <v>316743</v>
      </c>
      <c r="BQ421" s="483">
        <v>338782</v>
      </c>
      <c r="BR421" s="1344">
        <v>357652</v>
      </c>
      <c r="BS421" s="1545"/>
      <c r="BU421" s="1545"/>
      <c r="BV421" s="1545"/>
      <c r="BW421" s="1545"/>
      <c r="BX421" s="1545"/>
      <c r="BY421" s="1545"/>
      <c r="BZ421" s="1545"/>
      <c r="CA421" s="1545"/>
      <c r="CB421" s="1545"/>
      <c r="CC421" s="1545"/>
      <c r="CD421" s="1348" t="s">
        <v>2900</v>
      </c>
      <c r="CE421" s="504">
        <v>205340</v>
      </c>
      <c r="CF421" s="504">
        <v>213263</v>
      </c>
      <c r="CG421" s="504">
        <v>236743</v>
      </c>
      <c r="CH421" s="504">
        <v>258782</v>
      </c>
      <c r="CI421" s="504">
        <v>277652</v>
      </c>
      <c r="CJ421" s="504">
        <v>220340</v>
      </c>
      <c r="CK421" s="504">
        <v>228263</v>
      </c>
      <c r="CL421" s="504">
        <v>251743</v>
      </c>
      <c r="CM421" s="504">
        <v>273782</v>
      </c>
      <c r="CN421" s="1347">
        <v>292652</v>
      </c>
    </row>
    <row r="422" spans="60:92" ht="18" customHeight="1">
      <c r="BH422" s="1348" t="s">
        <v>2901</v>
      </c>
      <c r="BI422" s="483">
        <v>276041</v>
      </c>
      <c r="BJ422" s="483">
        <v>285116</v>
      </c>
      <c r="BK422" s="483">
        <v>312053</v>
      </c>
      <c r="BL422" s="483">
        <v>337117</v>
      </c>
      <c r="BM422" s="483">
        <v>358725</v>
      </c>
      <c r="BN422" s="483">
        <v>301041</v>
      </c>
      <c r="BO422" s="483">
        <v>310116</v>
      </c>
      <c r="BP422" s="483">
        <v>337053</v>
      </c>
      <c r="BQ422" s="483">
        <v>362117</v>
      </c>
      <c r="BR422" s="1344">
        <v>383725</v>
      </c>
      <c r="BS422" s="1545"/>
      <c r="BU422" s="1545"/>
      <c r="BV422" s="1545"/>
      <c r="BW422" s="1545"/>
      <c r="BX422" s="1545"/>
      <c r="BY422" s="1545"/>
      <c r="BZ422" s="1545"/>
      <c r="CA422" s="1545"/>
      <c r="CB422" s="1545"/>
      <c r="CC422" s="1545"/>
      <c r="CD422" s="1348" t="s">
        <v>2901</v>
      </c>
      <c r="CE422" s="504">
        <v>221041</v>
      </c>
      <c r="CF422" s="504">
        <v>230116</v>
      </c>
      <c r="CG422" s="504">
        <v>257053</v>
      </c>
      <c r="CH422" s="504">
        <v>282117</v>
      </c>
      <c r="CI422" s="504">
        <v>303725</v>
      </c>
      <c r="CJ422" s="504">
        <v>236041</v>
      </c>
      <c r="CK422" s="504">
        <v>245116</v>
      </c>
      <c r="CL422" s="504">
        <v>272053</v>
      </c>
      <c r="CM422" s="504">
        <v>297117</v>
      </c>
      <c r="CN422" s="1347">
        <v>318725</v>
      </c>
    </row>
    <row r="423" spans="60:92" ht="18" customHeight="1">
      <c r="BH423" s="1348" t="s">
        <v>2902</v>
      </c>
      <c r="BI423" s="483">
        <v>291743</v>
      </c>
      <c r="BJ423" s="483">
        <v>301970</v>
      </c>
      <c r="BK423" s="483">
        <v>332364</v>
      </c>
      <c r="BL423" s="483">
        <v>360453</v>
      </c>
      <c r="BM423" s="483">
        <v>384797</v>
      </c>
      <c r="BN423" s="483">
        <v>316743</v>
      </c>
      <c r="BO423" s="483">
        <v>326970</v>
      </c>
      <c r="BP423" s="483">
        <v>357364</v>
      </c>
      <c r="BQ423" s="483">
        <v>385453</v>
      </c>
      <c r="BR423" s="1344">
        <v>409797</v>
      </c>
      <c r="BS423" s="1545"/>
      <c r="BU423" s="1545"/>
      <c r="BV423" s="1545"/>
      <c r="BW423" s="1545"/>
      <c r="BX423" s="1545"/>
      <c r="BY423" s="1545"/>
      <c r="BZ423" s="1545"/>
      <c r="CA423" s="1545"/>
      <c r="CB423" s="1545"/>
      <c r="CC423" s="1545"/>
      <c r="CD423" s="1348" t="s">
        <v>2902</v>
      </c>
      <c r="CE423" s="504">
        <v>236743</v>
      </c>
      <c r="CF423" s="504">
        <v>246970</v>
      </c>
      <c r="CG423" s="504">
        <v>277364</v>
      </c>
      <c r="CH423" s="504">
        <v>305453</v>
      </c>
      <c r="CI423" s="504">
        <v>329797</v>
      </c>
      <c r="CJ423" s="504">
        <v>251743</v>
      </c>
      <c r="CK423" s="504">
        <v>261970</v>
      </c>
      <c r="CL423" s="504">
        <v>292364</v>
      </c>
      <c r="CM423" s="504">
        <v>320453</v>
      </c>
      <c r="CN423" s="1347">
        <v>344797</v>
      </c>
    </row>
    <row r="424" spans="60:92" ht="18" customHeight="1">
      <c r="BH424" s="1343" t="s">
        <v>2903</v>
      </c>
      <c r="BI424" s="483">
        <v>150000</v>
      </c>
      <c r="BJ424" s="483">
        <v>150000</v>
      </c>
      <c r="BK424" s="483">
        <v>150000</v>
      </c>
      <c r="BL424" s="483">
        <v>150000</v>
      </c>
      <c r="BM424" s="483">
        <v>150000</v>
      </c>
      <c r="BN424" s="483">
        <v>175000</v>
      </c>
      <c r="BO424" s="483">
        <v>175000</v>
      </c>
      <c r="BP424" s="483">
        <v>175000</v>
      </c>
      <c r="BQ424" s="483">
        <v>175000</v>
      </c>
      <c r="BR424" s="1344">
        <v>175000</v>
      </c>
      <c r="BS424" s="1545"/>
      <c r="BU424" s="1545"/>
      <c r="BV424" s="1545"/>
      <c r="BW424" s="1545"/>
      <c r="BX424" s="1545"/>
      <c r="BY424" s="1545"/>
      <c r="BZ424" s="1545"/>
      <c r="CA424" s="1545"/>
      <c r="CB424" s="1545"/>
      <c r="CC424" s="1545"/>
      <c r="CD424" s="1343" t="s">
        <v>2903</v>
      </c>
      <c r="CE424" s="504">
        <v>95000</v>
      </c>
      <c r="CF424" s="504">
        <v>95000</v>
      </c>
      <c r="CG424" s="504">
        <v>95000</v>
      </c>
      <c r="CH424" s="504">
        <v>95000</v>
      </c>
      <c r="CI424" s="504">
        <v>95000</v>
      </c>
      <c r="CJ424" s="504">
        <v>110000</v>
      </c>
      <c r="CK424" s="504">
        <v>110000</v>
      </c>
      <c r="CL424" s="504">
        <v>110000</v>
      </c>
      <c r="CM424" s="504">
        <v>110000</v>
      </c>
      <c r="CN424" s="1347">
        <v>110000</v>
      </c>
    </row>
    <row r="425" spans="60:92" ht="18" customHeight="1">
      <c r="BH425" s="1348" t="s">
        <v>2904</v>
      </c>
      <c r="BI425" s="483">
        <v>170887</v>
      </c>
      <c r="BJ425" s="483">
        <v>172327</v>
      </c>
      <c r="BK425" s="483">
        <v>176937</v>
      </c>
      <c r="BL425" s="483">
        <v>181114</v>
      </c>
      <c r="BM425" s="483">
        <v>184571</v>
      </c>
      <c r="BN425" s="483">
        <v>195887</v>
      </c>
      <c r="BO425" s="483">
        <v>197327</v>
      </c>
      <c r="BP425" s="483">
        <v>201937</v>
      </c>
      <c r="BQ425" s="483">
        <v>206114</v>
      </c>
      <c r="BR425" s="1344">
        <v>209571</v>
      </c>
      <c r="BS425" s="1545"/>
      <c r="BU425" s="1545"/>
      <c r="BV425" s="1545"/>
      <c r="BW425" s="1545"/>
      <c r="BX425" s="1545"/>
      <c r="BY425" s="1545"/>
      <c r="BZ425" s="1545"/>
      <c r="CA425" s="1545"/>
      <c r="CB425" s="1545"/>
      <c r="CC425" s="1545"/>
      <c r="CD425" s="1348" t="s">
        <v>2904</v>
      </c>
      <c r="CE425" s="504">
        <v>115887</v>
      </c>
      <c r="CF425" s="504">
        <v>117327</v>
      </c>
      <c r="CG425" s="504">
        <v>121937</v>
      </c>
      <c r="CH425" s="504">
        <v>126114</v>
      </c>
      <c r="CI425" s="504">
        <v>129571</v>
      </c>
      <c r="CJ425" s="504">
        <v>130887</v>
      </c>
      <c r="CK425" s="504">
        <v>132327</v>
      </c>
      <c r="CL425" s="504">
        <v>136937</v>
      </c>
      <c r="CM425" s="504">
        <v>141114</v>
      </c>
      <c r="CN425" s="1347">
        <v>144571</v>
      </c>
    </row>
    <row r="426" spans="60:92" ht="18" customHeight="1">
      <c r="BH426" s="1348" t="s">
        <v>2905</v>
      </c>
      <c r="BI426" s="483">
        <v>191774</v>
      </c>
      <c r="BJ426" s="483">
        <v>194799</v>
      </c>
      <c r="BK426" s="483">
        <v>203730</v>
      </c>
      <c r="BL426" s="483">
        <v>212084</v>
      </c>
      <c r="BM426" s="483">
        <v>219287</v>
      </c>
      <c r="BN426" s="483">
        <v>216774</v>
      </c>
      <c r="BO426" s="483">
        <v>219799</v>
      </c>
      <c r="BP426" s="483">
        <v>228730</v>
      </c>
      <c r="BQ426" s="483">
        <v>237084</v>
      </c>
      <c r="BR426" s="1344">
        <v>244287</v>
      </c>
      <c r="BS426" s="1545"/>
      <c r="BU426" s="1545"/>
      <c r="BV426" s="1545"/>
      <c r="BW426" s="1545"/>
      <c r="BX426" s="1545"/>
      <c r="BY426" s="1545"/>
      <c r="BZ426" s="1545"/>
      <c r="CA426" s="1545"/>
      <c r="CB426" s="1545"/>
      <c r="CC426" s="1545"/>
      <c r="CD426" s="1348" t="s">
        <v>2905</v>
      </c>
      <c r="CE426" s="504">
        <v>136774</v>
      </c>
      <c r="CF426" s="504">
        <v>139799</v>
      </c>
      <c r="CG426" s="504">
        <v>148730</v>
      </c>
      <c r="CH426" s="504">
        <v>157084</v>
      </c>
      <c r="CI426" s="504">
        <v>164287</v>
      </c>
      <c r="CJ426" s="504">
        <v>151774</v>
      </c>
      <c r="CK426" s="504">
        <v>154799</v>
      </c>
      <c r="CL426" s="504">
        <v>163730</v>
      </c>
      <c r="CM426" s="504">
        <v>172084</v>
      </c>
      <c r="CN426" s="1347">
        <v>179287</v>
      </c>
    </row>
    <row r="427" spans="60:92" ht="18" customHeight="1">
      <c r="BH427" s="1348" t="s">
        <v>2906</v>
      </c>
      <c r="BI427" s="483">
        <v>212661</v>
      </c>
      <c r="BJ427" s="483">
        <v>217126</v>
      </c>
      <c r="BK427" s="483">
        <v>230666</v>
      </c>
      <c r="BL427" s="483">
        <v>243199</v>
      </c>
      <c r="BM427" s="483">
        <v>253858</v>
      </c>
      <c r="BN427" s="483">
        <v>237661</v>
      </c>
      <c r="BO427" s="483">
        <v>242126</v>
      </c>
      <c r="BP427" s="483">
        <v>255666</v>
      </c>
      <c r="BQ427" s="483">
        <v>268199</v>
      </c>
      <c r="BR427" s="1344">
        <v>278858</v>
      </c>
      <c r="BS427" s="1545"/>
      <c r="BU427" s="1545"/>
      <c r="BV427" s="1545"/>
      <c r="BW427" s="1545"/>
      <c r="BX427" s="1545"/>
      <c r="BY427" s="1545"/>
      <c r="BZ427" s="1545"/>
      <c r="CA427" s="1545"/>
      <c r="CB427" s="1545"/>
      <c r="CC427" s="1545"/>
      <c r="CD427" s="1348" t="s">
        <v>2906</v>
      </c>
      <c r="CE427" s="504">
        <v>157661</v>
      </c>
      <c r="CF427" s="504">
        <v>162126</v>
      </c>
      <c r="CG427" s="504">
        <v>175666</v>
      </c>
      <c r="CH427" s="504">
        <v>188199</v>
      </c>
      <c r="CI427" s="504">
        <v>198858</v>
      </c>
      <c r="CJ427" s="504">
        <v>172661</v>
      </c>
      <c r="CK427" s="504">
        <v>177126</v>
      </c>
      <c r="CL427" s="504">
        <v>190666</v>
      </c>
      <c r="CM427" s="504">
        <v>203199</v>
      </c>
      <c r="CN427" s="1347">
        <v>213858</v>
      </c>
    </row>
    <row r="428" spans="60:92" ht="18" customHeight="1">
      <c r="BH428" s="1348" t="s">
        <v>2907</v>
      </c>
      <c r="BI428" s="483">
        <v>233547</v>
      </c>
      <c r="BJ428" s="483">
        <v>239453</v>
      </c>
      <c r="BK428" s="483">
        <v>257459</v>
      </c>
      <c r="BL428" s="483">
        <v>274169</v>
      </c>
      <c r="BM428" s="483">
        <v>288429</v>
      </c>
      <c r="BN428" s="483">
        <v>258547</v>
      </c>
      <c r="BO428" s="483">
        <v>264453</v>
      </c>
      <c r="BP428" s="483">
        <v>282459</v>
      </c>
      <c r="BQ428" s="483">
        <v>299169</v>
      </c>
      <c r="BR428" s="1344">
        <v>313429</v>
      </c>
      <c r="BS428" s="1545"/>
      <c r="BU428" s="1545"/>
      <c r="BV428" s="1545"/>
      <c r="BW428" s="1545"/>
      <c r="BX428" s="1545"/>
      <c r="BY428" s="1545"/>
      <c r="BZ428" s="1545"/>
      <c r="CA428" s="1545"/>
      <c r="CB428" s="1545"/>
      <c r="CC428" s="1545"/>
      <c r="CD428" s="1348" t="s">
        <v>2907</v>
      </c>
      <c r="CE428" s="504">
        <v>178547</v>
      </c>
      <c r="CF428" s="504">
        <v>184453</v>
      </c>
      <c r="CG428" s="504">
        <v>202459</v>
      </c>
      <c r="CH428" s="504">
        <v>219169</v>
      </c>
      <c r="CI428" s="504">
        <v>233429</v>
      </c>
      <c r="CJ428" s="504">
        <v>193547</v>
      </c>
      <c r="CK428" s="504">
        <v>199453</v>
      </c>
      <c r="CL428" s="504">
        <v>217459</v>
      </c>
      <c r="CM428" s="504">
        <v>234169</v>
      </c>
      <c r="CN428" s="1347">
        <v>248429</v>
      </c>
    </row>
    <row r="429" spans="60:92" ht="18" customHeight="1">
      <c r="BH429" s="1348" t="s">
        <v>2908</v>
      </c>
      <c r="BI429" s="483">
        <v>254434</v>
      </c>
      <c r="BJ429" s="483">
        <v>261925</v>
      </c>
      <c r="BK429" s="483">
        <v>284396</v>
      </c>
      <c r="BL429" s="483">
        <v>305139</v>
      </c>
      <c r="BM429" s="483">
        <v>323145</v>
      </c>
      <c r="BN429" s="483">
        <v>279434</v>
      </c>
      <c r="BO429" s="483">
        <v>286925</v>
      </c>
      <c r="BP429" s="483">
        <v>309396</v>
      </c>
      <c r="BQ429" s="483">
        <v>330139</v>
      </c>
      <c r="BR429" s="1344">
        <v>348145</v>
      </c>
      <c r="BS429" s="1545"/>
      <c r="BU429" s="1545"/>
      <c r="BV429" s="1545"/>
      <c r="BW429" s="1545"/>
      <c r="BX429" s="1545"/>
      <c r="BY429" s="1545"/>
      <c r="BZ429" s="1545"/>
      <c r="CA429" s="1545"/>
      <c r="CB429" s="1545"/>
      <c r="CC429" s="1545"/>
      <c r="CD429" s="1348" t="s">
        <v>2908</v>
      </c>
      <c r="CE429" s="504">
        <v>199434</v>
      </c>
      <c r="CF429" s="504">
        <v>206925</v>
      </c>
      <c r="CG429" s="504">
        <v>229396</v>
      </c>
      <c r="CH429" s="504">
        <v>250139</v>
      </c>
      <c r="CI429" s="504">
        <v>268145</v>
      </c>
      <c r="CJ429" s="504">
        <v>214434</v>
      </c>
      <c r="CK429" s="504">
        <v>221925</v>
      </c>
      <c r="CL429" s="504">
        <v>244396</v>
      </c>
      <c r="CM429" s="504">
        <v>265139</v>
      </c>
      <c r="CN429" s="1347">
        <v>283145</v>
      </c>
    </row>
    <row r="430" spans="60:92" ht="18" customHeight="1">
      <c r="BH430" s="1348" t="s">
        <v>2909</v>
      </c>
      <c r="BI430" s="483">
        <v>275321</v>
      </c>
      <c r="BJ430" s="483">
        <v>284252</v>
      </c>
      <c r="BK430" s="483">
        <v>311189</v>
      </c>
      <c r="BL430" s="483">
        <v>336253</v>
      </c>
      <c r="BM430" s="483">
        <v>357716</v>
      </c>
      <c r="BN430" s="483">
        <v>300321</v>
      </c>
      <c r="BO430" s="483">
        <v>309252</v>
      </c>
      <c r="BP430" s="483">
        <v>336189</v>
      </c>
      <c r="BQ430" s="483">
        <v>361253</v>
      </c>
      <c r="BR430" s="1344">
        <v>382716</v>
      </c>
      <c r="BS430" s="1545"/>
      <c r="BU430" s="1545"/>
      <c r="BV430" s="1545"/>
      <c r="BW430" s="1545"/>
      <c r="BX430" s="1545"/>
      <c r="BY430" s="1545"/>
      <c r="BZ430" s="1545"/>
      <c r="CA430" s="1545"/>
      <c r="CB430" s="1545"/>
      <c r="CC430" s="1545"/>
      <c r="CD430" s="1348" t="s">
        <v>2909</v>
      </c>
      <c r="CE430" s="504">
        <v>220321</v>
      </c>
      <c r="CF430" s="504">
        <v>229252</v>
      </c>
      <c r="CG430" s="504">
        <v>256189</v>
      </c>
      <c r="CH430" s="504">
        <v>281253</v>
      </c>
      <c r="CI430" s="504">
        <v>302716</v>
      </c>
      <c r="CJ430" s="504">
        <v>235321</v>
      </c>
      <c r="CK430" s="504">
        <v>244252</v>
      </c>
      <c r="CL430" s="504">
        <v>271189</v>
      </c>
      <c r="CM430" s="504">
        <v>296253</v>
      </c>
      <c r="CN430" s="1347">
        <v>317716</v>
      </c>
    </row>
    <row r="431" spans="60:92" ht="18" customHeight="1">
      <c r="BH431" s="1348" t="s">
        <v>2910</v>
      </c>
      <c r="BI431" s="483">
        <v>296208</v>
      </c>
      <c r="BJ431" s="483">
        <v>306723</v>
      </c>
      <c r="BK431" s="483">
        <v>338126</v>
      </c>
      <c r="BL431" s="483">
        <v>367223</v>
      </c>
      <c r="BM431" s="483">
        <v>392432</v>
      </c>
      <c r="BN431" s="483">
        <v>321208</v>
      </c>
      <c r="BO431" s="483">
        <v>331723</v>
      </c>
      <c r="BP431" s="483">
        <v>363126</v>
      </c>
      <c r="BQ431" s="483">
        <v>392223</v>
      </c>
      <c r="BR431" s="1344">
        <v>417432</v>
      </c>
      <c r="BS431" s="1545"/>
      <c r="BU431" s="1545"/>
      <c r="BV431" s="1545"/>
      <c r="BW431" s="1545"/>
      <c r="BX431" s="1545"/>
      <c r="BY431" s="1545"/>
      <c r="BZ431" s="1545"/>
      <c r="CA431" s="1545"/>
      <c r="CB431" s="1545"/>
      <c r="CC431" s="1545"/>
      <c r="CD431" s="1348" t="s">
        <v>2910</v>
      </c>
      <c r="CE431" s="504">
        <v>241208</v>
      </c>
      <c r="CF431" s="504">
        <v>251723</v>
      </c>
      <c r="CG431" s="504">
        <v>283126</v>
      </c>
      <c r="CH431" s="504">
        <v>312223</v>
      </c>
      <c r="CI431" s="504">
        <v>337432</v>
      </c>
      <c r="CJ431" s="504">
        <v>256208</v>
      </c>
      <c r="CK431" s="504">
        <v>266723</v>
      </c>
      <c r="CL431" s="504">
        <v>298126</v>
      </c>
      <c r="CM431" s="504">
        <v>327223</v>
      </c>
      <c r="CN431" s="1347">
        <v>352432</v>
      </c>
    </row>
    <row r="432" spans="60:92" ht="18" customHeight="1">
      <c r="BH432" s="1348" t="s">
        <v>2911</v>
      </c>
      <c r="BI432" s="483">
        <v>317095</v>
      </c>
      <c r="BJ432" s="483">
        <v>329051</v>
      </c>
      <c r="BK432" s="483">
        <v>364919</v>
      </c>
      <c r="BL432" s="483">
        <v>398338</v>
      </c>
      <c r="BM432" s="483">
        <v>427003</v>
      </c>
      <c r="BN432" s="483">
        <v>342095</v>
      </c>
      <c r="BO432" s="483">
        <v>354051</v>
      </c>
      <c r="BP432" s="483">
        <v>389919</v>
      </c>
      <c r="BQ432" s="483">
        <v>423338</v>
      </c>
      <c r="BR432" s="1344">
        <v>452003</v>
      </c>
      <c r="BS432" s="1545"/>
      <c r="BU432" s="1545"/>
      <c r="BV432" s="1545"/>
      <c r="BW432" s="1545"/>
      <c r="BX432" s="1545"/>
      <c r="BY432" s="1545"/>
      <c r="BZ432" s="1545"/>
      <c r="CA432" s="1545"/>
      <c r="CB432" s="1545"/>
      <c r="CC432" s="1545"/>
      <c r="CD432" s="1348" t="s">
        <v>2911</v>
      </c>
      <c r="CE432" s="504">
        <v>262095</v>
      </c>
      <c r="CF432" s="504">
        <v>274051</v>
      </c>
      <c r="CG432" s="504">
        <v>309919</v>
      </c>
      <c r="CH432" s="504">
        <v>343338</v>
      </c>
      <c r="CI432" s="504">
        <v>372003</v>
      </c>
      <c r="CJ432" s="504">
        <v>277095</v>
      </c>
      <c r="CK432" s="504">
        <v>289051</v>
      </c>
      <c r="CL432" s="504">
        <v>324919</v>
      </c>
      <c r="CM432" s="504">
        <v>358338</v>
      </c>
      <c r="CN432" s="1347">
        <v>387003</v>
      </c>
    </row>
    <row r="433" spans="60:92" ht="18" customHeight="1">
      <c r="BH433" s="1348" t="s">
        <v>2912</v>
      </c>
      <c r="BI433" s="483">
        <v>337982</v>
      </c>
      <c r="BJ433" s="483">
        <v>351378</v>
      </c>
      <c r="BK433" s="483">
        <v>391855</v>
      </c>
      <c r="BL433" s="483">
        <v>429308</v>
      </c>
      <c r="BM433" s="483">
        <v>461574</v>
      </c>
      <c r="BN433" s="483">
        <v>362982</v>
      </c>
      <c r="BO433" s="483">
        <v>376378</v>
      </c>
      <c r="BP433" s="483">
        <v>416855</v>
      </c>
      <c r="BQ433" s="483">
        <v>454308</v>
      </c>
      <c r="BR433" s="1344">
        <v>486574</v>
      </c>
      <c r="BS433" s="1545"/>
      <c r="BU433" s="1545"/>
      <c r="BV433" s="1545"/>
      <c r="BW433" s="1545"/>
      <c r="BX433" s="1545"/>
      <c r="BY433" s="1545"/>
      <c r="BZ433" s="1545"/>
      <c r="CA433" s="1545"/>
      <c r="CB433" s="1545"/>
      <c r="CC433" s="1545"/>
      <c r="CD433" s="1348" t="s">
        <v>2912</v>
      </c>
      <c r="CE433" s="504">
        <v>282982</v>
      </c>
      <c r="CF433" s="504">
        <v>296378</v>
      </c>
      <c r="CG433" s="504">
        <v>336855</v>
      </c>
      <c r="CH433" s="504">
        <v>374308</v>
      </c>
      <c r="CI433" s="504">
        <v>406574</v>
      </c>
      <c r="CJ433" s="504">
        <v>297982</v>
      </c>
      <c r="CK433" s="504">
        <v>311378</v>
      </c>
      <c r="CL433" s="504">
        <v>351855</v>
      </c>
      <c r="CM433" s="504">
        <v>389308</v>
      </c>
      <c r="CN433" s="1347">
        <v>421574</v>
      </c>
    </row>
    <row r="434" spans="60:92" ht="18" customHeight="1">
      <c r="BH434" s="1343" t="s">
        <v>2913</v>
      </c>
      <c r="BI434" s="483">
        <v>150000</v>
      </c>
      <c r="BJ434" s="483">
        <v>150000</v>
      </c>
      <c r="BK434" s="483">
        <v>150000</v>
      </c>
      <c r="BL434" s="483">
        <v>150000</v>
      </c>
      <c r="BM434" s="483">
        <v>150000</v>
      </c>
      <c r="BN434" s="483">
        <v>175000</v>
      </c>
      <c r="BO434" s="483">
        <v>175000</v>
      </c>
      <c r="BP434" s="483">
        <v>175000</v>
      </c>
      <c r="BQ434" s="483">
        <v>175000</v>
      </c>
      <c r="BR434" s="1344">
        <v>175000</v>
      </c>
      <c r="BS434" s="1545"/>
      <c r="BU434" s="1545"/>
      <c r="BV434" s="1545"/>
      <c r="BW434" s="1545"/>
      <c r="BX434" s="1545"/>
      <c r="BY434" s="1545"/>
      <c r="BZ434" s="1545"/>
      <c r="CA434" s="1545"/>
      <c r="CB434" s="1545"/>
      <c r="CC434" s="1545"/>
      <c r="CD434" s="1343" t="s">
        <v>2913</v>
      </c>
      <c r="CE434" s="504">
        <v>95000</v>
      </c>
      <c r="CF434" s="504">
        <v>95000</v>
      </c>
      <c r="CG434" s="504">
        <v>95000</v>
      </c>
      <c r="CH434" s="504">
        <v>95000</v>
      </c>
      <c r="CI434" s="504">
        <v>95000</v>
      </c>
      <c r="CJ434" s="504">
        <v>110000</v>
      </c>
      <c r="CK434" s="504">
        <v>110000</v>
      </c>
      <c r="CL434" s="504">
        <v>110000</v>
      </c>
      <c r="CM434" s="504">
        <v>110000</v>
      </c>
      <c r="CN434" s="1347">
        <v>110000</v>
      </c>
    </row>
    <row r="435" spans="60:92" ht="18" customHeight="1">
      <c r="BH435" s="1348" t="s">
        <v>2914</v>
      </c>
      <c r="BI435" s="483">
        <v>167574</v>
      </c>
      <c r="BJ435" s="483">
        <v>168726</v>
      </c>
      <c r="BK435" s="483">
        <v>172471</v>
      </c>
      <c r="BL435" s="483">
        <v>176073</v>
      </c>
      <c r="BM435" s="483">
        <v>179098</v>
      </c>
      <c r="BN435" s="483">
        <v>192574</v>
      </c>
      <c r="BO435" s="483">
        <v>193726</v>
      </c>
      <c r="BP435" s="483">
        <v>197471</v>
      </c>
      <c r="BQ435" s="483">
        <v>201073</v>
      </c>
      <c r="BR435" s="1344">
        <v>204098</v>
      </c>
      <c r="BS435" s="1545"/>
      <c r="BU435" s="1545"/>
      <c r="BV435" s="1545"/>
      <c r="BW435" s="1545"/>
      <c r="BX435" s="1545"/>
      <c r="BY435" s="1545"/>
      <c r="BZ435" s="1545"/>
      <c r="CA435" s="1545"/>
      <c r="CB435" s="1545"/>
      <c r="CC435" s="1545"/>
      <c r="CD435" s="1348" t="s">
        <v>2914</v>
      </c>
      <c r="CE435" s="504">
        <v>112574</v>
      </c>
      <c r="CF435" s="504">
        <v>113726</v>
      </c>
      <c r="CG435" s="504">
        <v>117471</v>
      </c>
      <c r="CH435" s="504">
        <v>121073</v>
      </c>
      <c r="CI435" s="504">
        <v>124098</v>
      </c>
      <c r="CJ435" s="504">
        <v>127574</v>
      </c>
      <c r="CK435" s="504">
        <v>128726</v>
      </c>
      <c r="CL435" s="504">
        <v>132471</v>
      </c>
      <c r="CM435" s="504">
        <v>136073</v>
      </c>
      <c r="CN435" s="1347">
        <v>139098</v>
      </c>
    </row>
    <row r="436" spans="60:92" ht="18" customHeight="1">
      <c r="BH436" s="1348" t="s">
        <v>2915</v>
      </c>
      <c r="BI436" s="483">
        <v>185003</v>
      </c>
      <c r="BJ436" s="483">
        <v>187452</v>
      </c>
      <c r="BK436" s="483">
        <v>195087</v>
      </c>
      <c r="BL436" s="483">
        <v>202145</v>
      </c>
      <c r="BM436" s="483">
        <v>208051</v>
      </c>
      <c r="BN436" s="483">
        <v>210003</v>
      </c>
      <c r="BO436" s="483">
        <v>212452</v>
      </c>
      <c r="BP436" s="483">
        <v>220087</v>
      </c>
      <c r="BQ436" s="483">
        <v>227145</v>
      </c>
      <c r="BR436" s="1344">
        <v>233051</v>
      </c>
      <c r="BS436" s="1545"/>
      <c r="BU436" s="1545"/>
      <c r="BV436" s="1545"/>
      <c r="BW436" s="1545"/>
      <c r="BX436" s="1545"/>
      <c r="BY436" s="1545"/>
      <c r="BZ436" s="1545"/>
      <c r="CA436" s="1545"/>
      <c r="CB436" s="1545"/>
      <c r="CC436" s="1545"/>
      <c r="CD436" s="1348" t="s">
        <v>2915</v>
      </c>
      <c r="CE436" s="504">
        <v>130003</v>
      </c>
      <c r="CF436" s="504">
        <v>132452</v>
      </c>
      <c r="CG436" s="504">
        <v>140087</v>
      </c>
      <c r="CH436" s="504">
        <v>147145</v>
      </c>
      <c r="CI436" s="504">
        <v>153051</v>
      </c>
      <c r="CJ436" s="504">
        <v>145003</v>
      </c>
      <c r="CK436" s="504">
        <v>147452</v>
      </c>
      <c r="CL436" s="504">
        <v>155087</v>
      </c>
      <c r="CM436" s="504">
        <v>162145</v>
      </c>
      <c r="CN436" s="1347">
        <v>168051</v>
      </c>
    </row>
    <row r="437" spans="60:92" ht="18" customHeight="1">
      <c r="BH437" s="1348" t="s">
        <v>2916</v>
      </c>
      <c r="BI437" s="483">
        <v>202577</v>
      </c>
      <c r="BJ437" s="483">
        <v>206322</v>
      </c>
      <c r="BK437" s="483">
        <v>217558</v>
      </c>
      <c r="BL437" s="483">
        <v>228218</v>
      </c>
      <c r="BM437" s="483">
        <v>237149</v>
      </c>
      <c r="BN437" s="483">
        <v>227577</v>
      </c>
      <c r="BO437" s="483">
        <v>231322</v>
      </c>
      <c r="BP437" s="483">
        <v>242558</v>
      </c>
      <c r="BQ437" s="483">
        <v>253218</v>
      </c>
      <c r="BR437" s="1344">
        <v>262149</v>
      </c>
      <c r="BS437" s="1545"/>
      <c r="BU437" s="1545"/>
      <c r="BV437" s="1545"/>
      <c r="BW437" s="1545"/>
      <c r="BX437" s="1545"/>
      <c r="BY437" s="1545"/>
      <c r="BZ437" s="1545"/>
      <c r="CA437" s="1545"/>
      <c r="CB437" s="1545"/>
      <c r="CC437" s="1545"/>
      <c r="CD437" s="1348" t="s">
        <v>2916</v>
      </c>
      <c r="CE437" s="504">
        <v>147577</v>
      </c>
      <c r="CF437" s="504">
        <v>151322</v>
      </c>
      <c r="CG437" s="504">
        <v>162558</v>
      </c>
      <c r="CH437" s="504">
        <v>173218</v>
      </c>
      <c r="CI437" s="504">
        <v>182149</v>
      </c>
      <c r="CJ437" s="504">
        <v>162577</v>
      </c>
      <c r="CK437" s="504">
        <v>166322</v>
      </c>
      <c r="CL437" s="504">
        <v>177558</v>
      </c>
      <c r="CM437" s="504">
        <v>188218</v>
      </c>
      <c r="CN437" s="1347">
        <v>197149</v>
      </c>
    </row>
    <row r="438" spans="60:92" ht="18" customHeight="1">
      <c r="BH438" s="1348" t="s">
        <v>2917</v>
      </c>
      <c r="BI438" s="483">
        <v>220007</v>
      </c>
      <c r="BJ438" s="483">
        <v>225049</v>
      </c>
      <c r="BK438" s="483">
        <v>240030</v>
      </c>
      <c r="BL438" s="483">
        <v>254146</v>
      </c>
      <c r="BM438" s="483">
        <v>266102</v>
      </c>
      <c r="BN438" s="483">
        <v>245007</v>
      </c>
      <c r="BO438" s="483">
        <v>250049</v>
      </c>
      <c r="BP438" s="483">
        <v>265030</v>
      </c>
      <c r="BQ438" s="483">
        <v>279146</v>
      </c>
      <c r="BR438" s="1344">
        <v>291102</v>
      </c>
      <c r="BS438" s="1545"/>
      <c r="BU438" s="1545"/>
      <c r="BV438" s="1545"/>
      <c r="BW438" s="1545"/>
      <c r="BX438" s="1545"/>
      <c r="BY438" s="1545"/>
      <c r="BZ438" s="1545"/>
      <c r="CA438" s="1545"/>
      <c r="CB438" s="1545"/>
      <c r="CC438" s="1545"/>
      <c r="CD438" s="1348" t="s">
        <v>2917</v>
      </c>
      <c r="CE438" s="504">
        <v>165007</v>
      </c>
      <c r="CF438" s="504">
        <v>170049</v>
      </c>
      <c r="CG438" s="504">
        <v>185030</v>
      </c>
      <c r="CH438" s="504">
        <v>199146</v>
      </c>
      <c r="CI438" s="504">
        <v>211102</v>
      </c>
      <c r="CJ438" s="504">
        <v>180007</v>
      </c>
      <c r="CK438" s="504">
        <v>185049</v>
      </c>
      <c r="CL438" s="504">
        <v>200030</v>
      </c>
      <c r="CM438" s="504">
        <v>214146</v>
      </c>
      <c r="CN438" s="1347">
        <v>226102</v>
      </c>
    </row>
    <row r="439" spans="60:92" ht="18" customHeight="1">
      <c r="BH439" s="1348" t="s">
        <v>2918</v>
      </c>
      <c r="BI439" s="483">
        <v>237581</v>
      </c>
      <c r="BJ439" s="483">
        <v>243775</v>
      </c>
      <c r="BK439" s="483">
        <v>262645</v>
      </c>
      <c r="BL439" s="483">
        <v>280219</v>
      </c>
      <c r="BM439" s="483">
        <v>295200</v>
      </c>
      <c r="BN439" s="483">
        <v>262581</v>
      </c>
      <c r="BO439" s="483">
        <v>268775</v>
      </c>
      <c r="BP439" s="483">
        <v>287645</v>
      </c>
      <c r="BQ439" s="483">
        <v>305219</v>
      </c>
      <c r="BR439" s="1344">
        <v>320200</v>
      </c>
      <c r="BS439" s="1545"/>
      <c r="BU439" s="1545"/>
      <c r="BV439" s="1545"/>
      <c r="BW439" s="1545"/>
      <c r="BX439" s="1545"/>
      <c r="BY439" s="1545"/>
      <c r="BZ439" s="1545"/>
      <c r="CA439" s="1545"/>
      <c r="CB439" s="1545"/>
      <c r="CC439" s="1545"/>
      <c r="CD439" s="1348" t="s">
        <v>2918</v>
      </c>
      <c r="CE439" s="504">
        <v>182581</v>
      </c>
      <c r="CF439" s="504">
        <v>188775</v>
      </c>
      <c r="CG439" s="504">
        <v>207645</v>
      </c>
      <c r="CH439" s="504">
        <v>225219</v>
      </c>
      <c r="CI439" s="504">
        <v>240200</v>
      </c>
      <c r="CJ439" s="504">
        <v>197581</v>
      </c>
      <c r="CK439" s="504">
        <v>203775</v>
      </c>
      <c r="CL439" s="504">
        <v>222645</v>
      </c>
      <c r="CM439" s="504">
        <v>240219</v>
      </c>
      <c r="CN439" s="1347">
        <v>255200</v>
      </c>
    </row>
    <row r="440" spans="60:92" ht="18" customHeight="1">
      <c r="BH440" s="1348" t="s">
        <v>2919</v>
      </c>
      <c r="BI440" s="483">
        <v>255155</v>
      </c>
      <c r="BJ440" s="483">
        <v>262645</v>
      </c>
      <c r="BK440" s="483">
        <v>285116</v>
      </c>
      <c r="BL440" s="483">
        <v>306291</v>
      </c>
      <c r="BM440" s="483">
        <v>324297</v>
      </c>
      <c r="BN440" s="483">
        <v>280155</v>
      </c>
      <c r="BO440" s="483">
        <v>287645</v>
      </c>
      <c r="BP440" s="483">
        <v>310116</v>
      </c>
      <c r="BQ440" s="483">
        <v>331291</v>
      </c>
      <c r="BR440" s="1344">
        <v>349297</v>
      </c>
      <c r="BS440" s="1545"/>
      <c r="BU440" s="1545"/>
      <c r="BV440" s="1545"/>
      <c r="BW440" s="1545"/>
      <c r="BX440" s="1545"/>
      <c r="BY440" s="1545"/>
      <c r="BZ440" s="1545"/>
      <c r="CA440" s="1545"/>
      <c r="CB440" s="1545"/>
      <c r="CC440" s="1545"/>
      <c r="CD440" s="1348" t="s">
        <v>2919</v>
      </c>
      <c r="CE440" s="504">
        <v>200155</v>
      </c>
      <c r="CF440" s="504">
        <v>207645</v>
      </c>
      <c r="CG440" s="504">
        <v>230116</v>
      </c>
      <c r="CH440" s="504">
        <v>251291</v>
      </c>
      <c r="CI440" s="504">
        <v>269297</v>
      </c>
      <c r="CJ440" s="504">
        <v>215155</v>
      </c>
      <c r="CK440" s="504">
        <v>222645</v>
      </c>
      <c r="CL440" s="504">
        <v>245116</v>
      </c>
      <c r="CM440" s="504">
        <v>266291</v>
      </c>
      <c r="CN440" s="1347">
        <v>284297</v>
      </c>
    </row>
    <row r="441" spans="60:92" ht="18" customHeight="1">
      <c r="BH441" s="1348" t="s">
        <v>2920</v>
      </c>
      <c r="BI441" s="483">
        <v>272584</v>
      </c>
      <c r="BJ441" s="483">
        <v>281371</v>
      </c>
      <c r="BK441" s="483">
        <v>307732</v>
      </c>
      <c r="BL441" s="483">
        <v>332364</v>
      </c>
      <c r="BM441" s="483">
        <v>353251</v>
      </c>
      <c r="BN441" s="483">
        <v>297584</v>
      </c>
      <c r="BO441" s="483">
        <v>306371</v>
      </c>
      <c r="BP441" s="483">
        <v>332732</v>
      </c>
      <c r="BQ441" s="483">
        <v>357364</v>
      </c>
      <c r="BR441" s="1344">
        <v>378251</v>
      </c>
      <c r="BS441" s="1545"/>
      <c r="BU441" s="1545"/>
      <c r="BV441" s="1545"/>
      <c r="BW441" s="1545"/>
      <c r="BX441" s="1545"/>
      <c r="BY441" s="1545"/>
      <c r="BZ441" s="1545"/>
      <c r="CA441" s="1545"/>
      <c r="CB441" s="1545"/>
      <c r="CC441" s="1545"/>
      <c r="CD441" s="1348" t="s">
        <v>2920</v>
      </c>
      <c r="CE441" s="504">
        <v>217584</v>
      </c>
      <c r="CF441" s="504">
        <v>226371</v>
      </c>
      <c r="CG441" s="504">
        <v>252732</v>
      </c>
      <c r="CH441" s="504">
        <v>277364</v>
      </c>
      <c r="CI441" s="504">
        <v>298251</v>
      </c>
      <c r="CJ441" s="504">
        <v>232584</v>
      </c>
      <c r="CK441" s="504">
        <v>241371</v>
      </c>
      <c r="CL441" s="504">
        <v>267732</v>
      </c>
      <c r="CM441" s="504">
        <v>292364</v>
      </c>
      <c r="CN441" s="1347">
        <v>313251</v>
      </c>
    </row>
    <row r="442" spans="60:92" ht="18" customHeight="1">
      <c r="BH442" s="1348" t="s">
        <v>2921</v>
      </c>
      <c r="BI442" s="483">
        <v>290158</v>
      </c>
      <c r="BJ442" s="483">
        <v>300097</v>
      </c>
      <c r="BK442" s="483">
        <v>330203</v>
      </c>
      <c r="BL442" s="483">
        <v>358292</v>
      </c>
      <c r="BM442" s="483">
        <v>382348</v>
      </c>
      <c r="BN442" s="483">
        <v>315158</v>
      </c>
      <c r="BO442" s="483">
        <v>325097</v>
      </c>
      <c r="BP442" s="483">
        <v>355203</v>
      </c>
      <c r="BQ442" s="483">
        <v>383292</v>
      </c>
      <c r="BR442" s="1344">
        <v>407348</v>
      </c>
      <c r="BS442" s="1545"/>
      <c r="BU442" s="1545"/>
      <c r="BV442" s="1545"/>
      <c r="BW442" s="1545"/>
      <c r="BX442" s="1545"/>
      <c r="BY442" s="1545"/>
      <c r="BZ442" s="1545"/>
      <c r="CA442" s="1545"/>
      <c r="CB442" s="1545"/>
      <c r="CC442" s="1545"/>
      <c r="CD442" s="1348" t="s">
        <v>2921</v>
      </c>
      <c r="CE442" s="504">
        <v>235158</v>
      </c>
      <c r="CF442" s="504">
        <v>245097</v>
      </c>
      <c r="CG442" s="504">
        <v>275203</v>
      </c>
      <c r="CH442" s="504">
        <v>303292</v>
      </c>
      <c r="CI442" s="504">
        <v>327348</v>
      </c>
      <c r="CJ442" s="504">
        <v>250158</v>
      </c>
      <c r="CK442" s="504">
        <v>260097</v>
      </c>
      <c r="CL442" s="504">
        <v>290203</v>
      </c>
      <c r="CM442" s="504">
        <v>318292</v>
      </c>
      <c r="CN442" s="1347">
        <v>342348</v>
      </c>
    </row>
    <row r="443" spans="60:92" ht="18" customHeight="1">
      <c r="BH443" s="1348" t="s">
        <v>2922</v>
      </c>
      <c r="BI443" s="483">
        <v>307732</v>
      </c>
      <c r="BJ443" s="483">
        <v>318967</v>
      </c>
      <c r="BK443" s="483">
        <v>352675</v>
      </c>
      <c r="BL443" s="483">
        <v>384365</v>
      </c>
      <c r="BM443" s="483">
        <v>411446</v>
      </c>
      <c r="BN443" s="483">
        <v>332732</v>
      </c>
      <c r="BO443" s="483">
        <v>343967</v>
      </c>
      <c r="BP443" s="483">
        <v>377675</v>
      </c>
      <c r="BQ443" s="483">
        <v>409365</v>
      </c>
      <c r="BR443" s="1344">
        <v>436446</v>
      </c>
      <c r="BS443" s="1545"/>
      <c r="BU443" s="1545"/>
      <c r="BV443" s="1545"/>
      <c r="BW443" s="1545"/>
      <c r="BX443" s="1545"/>
      <c r="BY443" s="1545"/>
      <c r="BZ443" s="1545"/>
      <c r="CA443" s="1545"/>
      <c r="CB443" s="1545"/>
      <c r="CC443" s="1545"/>
      <c r="CD443" s="1348" t="s">
        <v>2922</v>
      </c>
      <c r="CE443" s="504">
        <v>252732</v>
      </c>
      <c r="CF443" s="504">
        <v>263967</v>
      </c>
      <c r="CG443" s="504">
        <v>297675</v>
      </c>
      <c r="CH443" s="504">
        <v>329365</v>
      </c>
      <c r="CI443" s="504">
        <v>356446</v>
      </c>
      <c r="CJ443" s="504">
        <v>267732</v>
      </c>
      <c r="CK443" s="504">
        <v>278967</v>
      </c>
      <c r="CL443" s="504">
        <v>312675</v>
      </c>
      <c r="CM443" s="504">
        <v>344365</v>
      </c>
      <c r="CN443" s="1347">
        <v>371446</v>
      </c>
    </row>
    <row r="444" spans="60:92" ht="18" customHeight="1">
      <c r="BH444" s="1343" t="s">
        <v>2923</v>
      </c>
      <c r="BI444" s="483">
        <v>150000</v>
      </c>
      <c r="BJ444" s="483">
        <v>150000</v>
      </c>
      <c r="BK444" s="483">
        <v>150000</v>
      </c>
      <c r="BL444" s="483">
        <v>150000</v>
      </c>
      <c r="BM444" s="483">
        <v>150000</v>
      </c>
      <c r="BN444" s="483">
        <v>175000</v>
      </c>
      <c r="BO444" s="483">
        <v>175000</v>
      </c>
      <c r="BP444" s="483">
        <v>175000</v>
      </c>
      <c r="BQ444" s="483">
        <v>175000</v>
      </c>
      <c r="BR444" s="1344">
        <v>175000</v>
      </c>
      <c r="BS444" s="1545"/>
      <c r="BU444" s="1545"/>
      <c r="BV444" s="1545"/>
      <c r="BW444" s="1545"/>
      <c r="BX444" s="1545"/>
      <c r="BY444" s="1545"/>
      <c r="BZ444" s="1545"/>
      <c r="CA444" s="1545"/>
      <c r="CB444" s="1545"/>
      <c r="CC444" s="1545"/>
      <c r="CD444" s="1343" t="s">
        <v>2923</v>
      </c>
      <c r="CE444" s="504">
        <v>95000</v>
      </c>
      <c r="CF444" s="504">
        <v>95000</v>
      </c>
      <c r="CG444" s="504">
        <v>95000</v>
      </c>
      <c r="CH444" s="504">
        <v>95000</v>
      </c>
      <c r="CI444" s="504">
        <v>95000</v>
      </c>
      <c r="CJ444" s="504">
        <v>110000</v>
      </c>
      <c r="CK444" s="504">
        <v>110000</v>
      </c>
      <c r="CL444" s="504">
        <v>110000</v>
      </c>
      <c r="CM444" s="504">
        <v>110000</v>
      </c>
      <c r="CN444" s="1347">
        <v>110000</v>
      </c>
    </row>
    <row r="445" spans="60:92" ht="18" customHeight="1">
      <c r="BH445" s="1348" t="s">
        <v>2924</v>
      </c>
      <c r="BI445" s="483">
        <v>158931</v>
      </c>
      <c r="BJ445" s="483">
        <v>159507</v>
      </c>
      <c r="BK445" s="483">
        <v>161524</v>
      </c>
      <c r="BL445" s="483">
        <v>163252</v>
      </c>
      <c r="BM445" s="483">
        <v>164837</v>
      </c>
      <c r="BN445" s="483">
        <v>183931</v>
      </c>
      <c r="BO445" s="483">
        <v>184507</v>
      </c>
      <c r="BP445" s="483">
        <v>186524</v>
      </c>
      <c r="BQ445" s="483">
        <v>188252</v>
      </c>
      <c r="BR445" s="1344">
        <v>189837</v>
      </c>
      <c r="BS445" s="1545"/>
      <c r="BU445" s="1545"/>
      <c r="BV445" s="1545"/>
      <c r="BW445" s="1545"/>
      <c r="BX445" s="1545"/>
      <c r="BY445" s="1545"/>
      <c r="BZ445" s="1545"/>
      <c r="CA445" s="1545"/>
      <c r="CB445" s="1545"/>
      <c r="CC445" s="1545"/>
      <c r="CD445" s="1348" t="s">
        <v>2924</v>
      </c>
      <c r="CE445" s="504">
        <v>103931</v>
      </c>
      <c r="CF445" s="504">
        <v>104507</v>
      </c>
      <c r="CG445" s="504">
        <v>106524</v>
      </c>
      <c r="CH445" s="504">
        <v>108252</v>
      </c>
      <c r="CI445" s="504">
        <v>109837</v>
      </c>
      <c r="CJ445" s="504">
        <v>118931</v>
      </c>
      <c r="CK445" s="504">
        <v>119507</v>
      </c>
      <c r="CL445" s="504">
        <v>121524</v>
      </c>
      <c r="CM445" s="504">
        <v>123252</v>
      </c>
      <c r="CN445" s="1347">
        <v>124837</v>
      </c>
    </row>
    <row r="446" spans="60:92" ht="18" customHeight="1">
      <c r="BH446" s="1348" t="s">
        <v>2925</v>
      </c>
      <c r="BI446" s="483">
        <v>167862</v>
      </c>
      <c r="BJ446" s="483">
        <v>169158</v>
      </c>
      <c r="BK446" s="483">
        <v>173048</v>
      </c>
      <c r="BL446" s="483">
        <v>176505</v>
      </c>
      <c r="BM446" s="483">
        <v>179674</v>
      </c>
      <c r="BN446" s="483">
        <v>192862</v>
      </c>
      <c r="BO446" s="483">
        <v>194158</v>
      </c>
      <c r="BP446" s="483">
        <v>198048</v>
      </c>
      <c r="BQ446" s="483">
        <v>201505</v>
      </c>
      <c r="BR446" s="1344">
        <v>204674</v>
      </c>
      <c r="BS446" s="1545"/>
      <c r="BU446" s="1545"/>
      <c r="BV446" s="1545"/>
      <c r="BW446" s="1545"/>
      <c r="BX446" s="1545"/>
      <c r="BY446" s="1545"/>
      <c r="BZ446" s="1545"/>
      <c r="CA446" s="1545"/>
      <c r="CB446" s="1545"/>
      <c r="CC446" s="1545"/>
      <c r="CD446" s="1348" t="s">
        <v>2925</v>
      </c>
      <c r="CE446" s="504">
        <v>112862</v>
      </c>
      <c r="CF446" s="504">
        <v>114158</v>
      </c>
      <c r="CG446" s="504">
        <v>118048</v>
      </c>
      <c r="CH446" s="504">
        <v>121505</v>
      </c>
      <c r="CI446" s="504">
        <v>124674</v>
      </c>
      <c r="CJ446" s="504">
        <v>127862</v>
      </c>
      <c r="CK446" s="504">
        <v>129158</v>
      </c>
      <c r="CL446" s="504">
        <v>133048</v>
      </c>
      <c r="CM446" s="504">
        <v>136505</v>
      </c>
      <c r="CN446" s="1347">
        <v>139674</v>
      </c>
    </row>
    <row r="447" spans="60:92" ht="18" customHeight="1">
      <c r="BH447" s="1348" t="s">
        <v>2926</v>
      </c>
      <c r="BI447" s="483">
        <v>176793</v>
      </c>
      <c r="BJ447" s="483">
        <v>178665</v>
      </c>
      <c r="BK447" s="483">
        <v>184571</v>
      </c>
      <c r="BL447" s="483">
        <v>189901</v>
      </c>
      <c r="BM447" s="483">
        <v>194511</v>
      </c>
      <c r="BN447" s="483">
        <v>201793</v>
      </c>
      <c r="BO447" s="483">
        <v>203665</v>
      </c>
      <c r="BP447" s="483">
        <v>209571</v>
      </c>
      <c r="BQ447" s="483">
        <v>214901</v>
      </c>
      <c r="BR447" s="1344">
        <v>219511</v>
      </c>
      <c r="BS447" s="1545"/>
      <c r="BU447" s="1545"/>
      <c r="BV447" s="1545"/>
      <c r="BW447" s="1545"/>
      <c r="BX447" s="1545"/>
      <c r="BY447" s="1545"/>
      <c r="BZ447" s="1545"/>
      <c r="CA447" s="1545"/>
      <c r="CB447" s="1545"/>
      <c r="CC447" s="1545"/>
      <c r="CD447" s="1348" t="s">
        <v>2926</v>
      </c>
      <c r="CE447" s="504">
        <v>121793</v>
      </c>
      <c r="CF447" s="504">
        <v>123665</v>
      </c>
      <c r="CG447" s="504">
        <v>129571</v>
      </c>
      <c r="CH447" s="504">
        <v>134901</v>
      </c>
      <c r="CI447" s="504">
        <v>139511</v>
      </c>
      <c r="CJ447" s="504">
        <v>136793</v>
      </c>
      <c r="CK447" s="504">
        <v>138665</v>
      </c>
      <c r="CL447" s="504">
        <v>144571</v>
      </c>
      <c r="CM447" s="504">
        <v>149901</v>
      </c>
      <c r="CN447" s="1347">
        <v>154511</v>
      </c>
    </row>
    <row r="448" spans="60:92" ht="18" customHeight="1">
      <c r="BH448" s="1348" t="s">
        <v>2927</v>
      </c>
      <c r="BI448" s="483">
        <v>185724</v>
      </c>
      <c r="BJ448" s="483">
        <v>188317</v>
      </c>
      <c r="BK448" s="483">
        <v>195951</v>
      </c>
      <c r="BL448" s="483">
        <v>203153</v>
      </c>
      <c r="BM448" s="483">
        <v>209347</v>
      </c>
      <c r="BN448" s="483">
        <v>210724</v>
      </c>
      <c r="BO448" s="483">
        <v>213317</v>
      </c>
      <c r="BP448" s="483">
        <v>220951</v>
      </c>
      <c r="BQ448" s="483">
        <v>228153</v>
      </c>
      <c r="BR448" s="1344">
        <v>234347</v>
      </c>
      <c r="BS448" s="1545"/>
      <c r="BU448" s="1545"/>
      <c r="BV448" s="1545"/>
      <c r="BW448" s="1545"/>
      <c r="BX448" s="1545"/>
      <c r="BY448" s="1545"/>
      <c r="BZ448" s="1545"/>
      <c r="CA448" s="1545"/>
      <c r="CB448" s="1545"/>
      <c r="CC448" s="1545"/>
      <c r="CD448" s="1348" t="s">
        <v>2927</v>
      </c>
      <c r="CE448" s="504">
        <v>130724</v>
      </c>
      <c r="CF448" s="504">
        <v>133317</v>
      </c>
      <c r="CG448" s="504">
        <v>140951</v>
      </c>
      <c r="CH448" s="504">
        <v>148153</v>
      </c>
      <c r="CI448" s="504">
        <v>154347</v>
      </c>
      <c r="CJ448" s="504">
        <v>145724</v>
      </c>
      <c r="CK448" s="504">
        <v>148317</v>
      </c>
      <c r="CL448" s="504">
        <v>155951</v>
      </c>
      <c r="CM448" s="504">
        <v>163153</v>
      </c>
      <c r="CN448" s="1347">
        <v>169347</v>
      </c>
    </row>
    <row r="449" spans="60:92" ht="18" customHeight="1">
      <c r="BH449" s="1348" t="s">
        <v>2928</v>
      </c>
      <c r="BI449" s="483">
        <v>194799</v>
      </c>
      <c r="BJ449" s="483">
        <v>197968</v>
      </c>
      <c r="BK449" s="483">
        <v>207475</v>
      </c>
      <c r="BL449" s="483">
        <v>216406</v>
      </c>
      <c r="BM449" s="483">
        <v>224184</v>
      </c>
      <c r="BN449" s="483">
        <v>219799</v>
      </c>
      <c r="BO449" s="483">
        <v>222968</v>
      </c>
      <c r="BP449" s="483">
        <v>232475</v>
      </c>
      <c r="BQ449" s="483">
        <v>241406</v>
      </c>
      <c r="BR449" s="1344">
        <v>249184</v>
      </c>
      <c r="BS449" s="1545"/>
      <c r="BU449" s="1545"/>
      <c r="BV449" s="1545"/>
      <c r="BW449" s="1545"/>
      <c r="BX449" s="1545"/>
      <c r="BY449" s="1545"/>
      <c r="BZ449" s="1545"/>
      <c r="CA449" s="1545"/>
      <c r="CB449" s="1545"/>
      <c r="CC449" s="1545"/>
      <c r="CD449" s="1348" t="s">
        <v>2928</v>
      </c>
      <c r="CE449" s="504">
        <v>139799</v>
      </c>
      <c r="CF449" s="504">
        <v>142968</v>
      </c>
      <c r="CG449" s="504">
        <v>152475</v>
      </c>
      <c r="CH449" s="504">
        <v>161406</v>
      </c>
      <c r="CI449" s="504">
        <v>169184</v>
      </c>
      <c r="CJ449" s="504">
        <v>154799</v>
      </c>
      <c r="CK449" s="504">
        <v>157968</v>
      </c>
      <c r="CL449" s="504">
        <v>167475</v>
      </c>
      <c r="CM449" s="504">
        <v>176406</v>
      </c>
      <c r="CN449" s="1347">
        <v>184184</v>
      </c>
    </row>
    <row r="450" spans="60:92" ht="18" customHeight="1">
      <c r="BH450" s="1348" t="s">
        <v>2929</v>
      </c>
      <c r="BI450" s="483">
        <v>203730</v>
      </c>
      <c r="BJ450" s="483">
        <v>207475</v>
      </c>
      <c r="BK450" s="483">
        <v>218999</v>
      </c>
      <c r="BL450" s="483">
        <v>229802</v>
      </c>
      <c r="BM450" s="483">
        <v>239021</v>
      </c>
      <c r="BN450" s="483">
        <v>228730</v>
      </c>
      <c r="BO450" s="483">
        <v>232475</v>
      </c>
      <c r="BP450" s="483">
        <v>243999</v>
      </c>
      <c r="BQ450" s="483">
        <v>254802</v>
      </c>
      <c r="BR450" s="1344">
        <v>264021</v>
      </c>
      <c r="BS450" s="1545"/>
      <c r="BU450" s="1545"/>
      <c r="BV450" s="1545"/>
      <c r="BW450" s="1545"/>
      <c r="BX450" s="1545"/>
      <c r="BY450" s="1545"/>
      <c r="BZ450" s="1545"/>
      <c r="CA450" s="1545"/>
      <c r="CB450" s="1545"/>
      <c r="CC450" s="1545"/>
      <c r="CD450" s="1348" t="s">
        <v>2929</v>
      </c>
      <c r="CE450" s="504">
        <v>148730</v>
      </c>
      <c r="CF450" s="504">
        <v>152475</v>
      </c>
      <c r="CG450" s="504">
        <v>163999</v>
      </c>
      <c r="CH450" s="504">
        <v>174802</v>
      </c>
      <c r="CI450" s="504">
        <v>184021</v>
      </c>
      <c r="CJ450" s="504">
        <v>163730</v>
      </c>
      <c r="CK450" s="504">
        <v>167475</v>
      </c>
      <c r="CL450" s="504">
        <v>178999</v>
      </c>
      <c r="CM450" s="504">
        <v>189802</v>
      </c>
      <c r="CN450" s="1347">
        <v>199021</v>
      </c>
    </row>
    <row r="451" spans="60:92" ht="18" customHeight="1">
      <c r="BH451" s="1348" t="s">
        <v>2930</v>
      </c>
      <c r="BI451" s="483">
        <v>212661</v>
      </c>
      <c r="BJ451" s="483">
        <v>217126</v>
      </c>
      <c r="BK451" s="483">
        <v>230522</v>
      </c>
      <c r="BL451" s="483">
        <v>243055</v>
      </c>
      <c r="BM451" s="483">
        <v>253858</v>
      </c>
      <c r="BN451" s="483">
        <v>237661</v>
      </c>
      <c r="BO451" s="483">
        <v>242126</v>
      </c>
      <c r="BP451" s="483">
        <v>255522</v>
      </c>
      <c r="BQ451" s="483">
        <v>268055</v>
      </c>
      <c r="BR451" s="1344">
        <v>278858</v>
      </c>
      <c r="BS451" s="1545"/>
      <c r="BU451" s="1545"/>
      <c r="BV451" s="1545"/>
      <c r="BW451" s="1545"/>
      <c r="BX451" s="1545"/>
      <c r="BY451" s="1545"/>
      <c r="BZ451" s="1545"/>
      <c r="CA451" s="1545"/>
      <c r="CB451" s="1545"/>
      <c r="CC451" s="1545"/>
      <c r="CD451" s="1348" t="s">
        <v>2930</v>
      </c>
      <c r="CE451" s="504">
        <v>157661</v>
      </c>
      <c r="CF451" s="504">
        <v>162126</v>
      </c>
      <c r="CG451" s="504">
        <v>175522</v>
      </c>
      <c r="CH451" s="504">
        <v>188055</v>
      </c>
      <c r="CI451" s="504">
        <v>198858</v>
      </c>
      <c r="CJ451" s="504">
        <v>172661</v>
      </c>
      <c r="CK451" s="504">
        <v>177126</v>
      </c>
      <c r="CL451" s="504">
        <v>190522</v>
      </c>
      <c r="CM451" s="504">
        <v>203055</v>
      </c>
      <c r="CN451" s="1347">
        <v>213858</v>
      </c>
    </row>
    <row r="452" spans="60:92" ht="18" customHeight="1">
      <c r="BH452" s="1348" t="s">
        <v>2931</v>
      </c>
      <c r="BI452" s="483">
        <v>221592</v>
      </c>
      <c r="BJ452" s="483">
        <v>226633</v>
      </c>
      <c r="BK452" s="483">
        <v>242046</v>
      </c>
      <c r="BL452" s="483">
        <v>256307</v>
      </c>
      <c r="BM452" s="483">
        <v>268695</v>
      </c>
      <c r="BN452" s="483">
        <v>246592</v>
      </c>
      <c r="BO452" s="483">
        <v>251633</v>
      </c>
      <c r="BP452" s="483">
        <v>267046</v>
      </c>
      <c r="BQ452" s="483">
        <v>281307</v>
      </c>
      <c r="BR452" s="1344">
        <v>293695</v>
      </c>
      <c r="BS452" s="1545"/>
      <c r="BU452" s="1545"/>
      <c r="BV452" s="1545"/>
      <c r="BW452" s="1545"/>
      <c r="BX452" s="1545"/>
      <c r="BY452" s="1545"/>
      <c r="BZ452" s="1545"/>
      <c r="CA452" s="1545"/>
      <c r="CB452" s="1545"/>
      <c r="CC452" s="1545"/>
      <c r="CD452" s="1348" t="s">
        <v>2931</v>
      </c>
      <c r="CE452" s="504">
        <v>166592</v>
      </c>
      <c r="CF452" s="504">
        <v>171633</v>
      </c>
      <c r="CG452" s="504">
        <v>187046</v>
      </c>
      <c r="CH452" s="504">
        <v>201307</v>
      </c>
      <c r="CI452" s="504">
        <v>213695</v>
      </c>
      <c r="CJ452" s="504">
        <v>181592</v>
      </c>
      <c r="CK452" s="504">
        <v>186633</v>
      </c>
      <c r="CL452" s="504">
        <v>202046</v>
      </c>
      <c r="CM452" s="504">
        <v>216307</v>
      </c>
      <c r="CN452" s="1347">
        <v>228695</v>
      </c>
    </row>
    <row r="453" spans="60:92" ht="18" customHeight="1">
      <c r="BH453" s="1348" t="s">
        <v>2932</v>
      </c>
      <c r="BI453" s="483">
        <v>230522</v>
      </c>
      <c r="BJ453" s="483">
        <v>236284</v>
      </c>
      <c r="BK453" s="483">
        <v>253570</v>
      </c>
      <c r="BL453" s="483">
        <v>269703</v>
      </c>
      <c r="BM453" s="483">
        <v>283532</v>
      </c>
      <c r="BN453" s="483">
        <v>255522</v>
      </c>
      <c r="BO453" s="483">
        <v>261284</v>
      </c>
      <c r="BP453" s="483">
        <v>278570</v>
      </c>
      <c r="BQ453" s="483">
        <v>294703</v>
      </c>
      <c r="BR453" s="1344">
        <v>308532</v>
      </c>
      <c r="BS453" s="1545"/>
      <c r="BU453" s="1545"/>
      <c r="BV453" s="1545"/>
      <c r="BW453" s="1545"/>
      <c r="BX453" s="1545"/>
      <c r="BY453" s="1545"/>
      <c r="BZ453" s="1545"/>
      <c r="CA453" s="1545"/>
      <c r="CB453" s="1545"/>
      <c r="CC453" s="1545"/>
      <c r="CD453" s="1348" t="s">
        <v>2932</v>
      </c>
      <c r="CE453" s="504">
        <v>175522</v>
      </c>
      <c r="CF453" s="504">
        <v>181284</v>
      </c>
      <c r="CG453" s="504">
        <v>198570</v>
      </c>
      <c r="CH453" s="504">
        <v>214703</v>
      </c>
      <c r="CI453" s="504">
        <v>228532</v>
      </c>
      <c r="CJ453" s="504">
        <v>190522</v>
      </c>
      <c r="CK453" s="504">
        <v>196284</v>
      </c>
      <c r="CL453" s="504">
        <v>213570</v>
      </c>
      <c r="CM453" s="504">
        <v>229703</v>
      </c>
      <c r="CN453" s="1347">
        <v>243532</v>
      </c>
    </row>
    <row r="454" spans="60:92" ht="18" customHeight="1">
      <c r="BH454" s="1343" t="s">
        <v>2933</v>
      </c>
      <c r="BI454" s="483">
        <v>150000</v>
      </c>
      <c r="BJ454" s="483">
        <v>150000</v>
      </c>
      <c r="BK454" s="483">
        <v>150000</v>
      </c>
      <c r="BL454" s="483">
        <v>150000</v>
      </c>
      <c r="BM454" s="483">
        <v>150000</v>
      </c>
      <c r="BN454" s="483">
        <v>175000</v>
      </c>
      <c r="BO454" s="483">
        <v>175000</v>
      </c>
      <c r="BP454" s="483">
        <v>175000</v>
      </c>
      <c r="BQ454" s="483">
        <v>175000</v>
      </c>
      <c r="BR454" s="1344">
        <v>175000</v>
      </c>
      <c r="BS454" s="1545"/>
      <c r="BU454" s="1545"/>
      <c r="BV454" s="1545"/>
      <c r="BW454" s="1545"/>
      <c r="BX454" s="1545"/>
      <c r="BY454" s="1545"/>
      <c r="BZ454" s="1545"/>
      <c r="CA454" s="1545"/>
      <c r="CB454" s="1545"/>
      <c r="CC454" s="1545"/>
      <c r="CD454" s="1343" t="s">
        <v>2933</v>
      </c>
      <c r="CE454" s="504">
        <v>95000</v>
      </c>
      <c r="CF454" s="504">
        <v>95000</v>
      </c>
      <c r="CG454" s="504">
        <v>95000</v>
      </c>
      <c r="CH454" s="504">
        <v>95000</v>
      </c>
      <c r="CI454" s="504">
        <v>95000</v>
      </c>
      <c r="CJ454" s="504">
        <v>110000</v>
      </c>
      <c r="CK454" s="504">
        <v>110000</v>
      </c>
      <c r="CL454" s="504">
        <v>110000</v>
      </c>
      <c r="CM454" s="504">
        <v>110000</v>
      </c>
      <c r="CN454" s="1347">
        <v>110000</v>
      </c>
    </row>
    <row r="455" spans="60:92" ht="18" customHeight="1">
      <c r="BH455" s="1348" t="s">
        <v>2934</v>
      </c>
      <c r="BI455" s="483">
        <v>160660</v>
      </c>
      <c r="BJ455" s="483">
        <v>161524</v>
      </c>
      <c r="BK455" s="483">
        <v>163684</v>
      </c>
      <c r="BL455" s="483">
        <v>165845</v>
      </c>
      <c r="BM455" s="483">
        <v>167718</v>
      </c>
      <c r="BN455" s="483">
        <v>185660</v>
      </c>
      <c r="BO455" s="483">
        <v>186524</v>
      </c>
      <c r="BP455" s="483">
        <v>188684</v>
      </c>
      <c r="BQ455" s="483">
        <v>190845</v>
      </c>
      <c r="BR455" s="1344">
        <v>192718</v>
      </c>
      <c r="BS455" s="1545"/>
      <c r="BU455" s="1545"/>
      <c r="BV455" s="1545"/>
      <c r="BW455" s="1545"/>
      <c r="BX455" s="1545"/>
      <c r="BY455" s="1545"/>
      <c r="BZ455" s="1545"/>
      <c r="CA455" s="1545"/>
      <c r="CB455" s="1545"/>
      <c r="CC455" s="1545"/>
      <c r="CD455" s="1348" t="s">
        <v>2934</v>
      </c>
      <c r="CE455" s="504">
        <v>105660</v>
      </c>
      <c r="CF455" s="504">
        <v>106524</v>
      </c>
      <c r="CG455" s="504">
        <v>108684</v>
      </c>
      <c r="CH455" s="504">
        <v>110845</v>
      </c>
      <c r="CI455" s="504">
        <v>112718</v>
      </c>
      <c r="CJ455" s="504">
        <v>120660</v>
      </c>
      <c r="CK455" s="504">
        <v>121524</v>
      </c>
      <c r="CL455" s="504">
        <v>123684</v>
      </c>
      <c r="CM455" s="504">
        <v>125845</v>
      </c>
      <c r="CN455" s="1347">
        <v>127718</v>
      </c>
    </row>
    <row r="456" spans="60:92" ht="18" customHeight="1">
      <c r="BH456" s="1348" t="s">
        <v>2935</v>
      </c>
      <c r="BI456" s="483">
        <v>171319</v>
      </c>
      <c r="BJ456" s="483">
        <v>172904</v>
      </c>
      <c r="BK456" s="483">
        <v>177369</v>
      </c>
      <c r="BL456" s="483">
        <v>181690</v>
      </c>
      <c r="BM456" s="483">
        <v>185292</v>
      </c>
      <c r="BN456" s="483">
        <v>196319</v>
      </c>
      <c r="BO456" s="483">
        <v>197904</v>
      </c>
      <c r="BP456" s="483">
        <v>202369</v>
      </c>
      <c r="BQ456" s="483">
        <v>206690</v>
      </c>
      <c r="BR456" s="1344">
        <v>210292</v>
      </c>
      <c r="BS456" s="1545"/>
      <c r="BU456" s="1545"/>
      <c r="BV456" s="1545"/>
      <c r="BW456" s="1545"/>
      <c r="BX456" s="1545"/>
      <c r="BY456" s="1545"/>
      <c r="BZ456" s="1545"/>
      <c r="CA456" s="1545"/>
      <c r="CB456" s="1545"/>
      <c r="CC456" s="1545"/>
      <c r="CD456" s="1348" t="s">
        <v>2935</v>
      </c>
      <c r="CE456" s="504">
        <v>116319</v>
      </c>
      <c r="CF456" s="504">
        <v>117904</v>
      </c>
      <c r="CG456" s="504">
        <v>122369</v>
      </c>
      <c r="CH456" s="504">
        <v>126690</v>
      </c>
      <c r="CI456" s="504">
        <v>130292</v>
      </c>
      <c r="CJ456" s="504">
        <v>131319</v>
      </c>
      <c r="CK456" s="504">
        <v>132904</v>
      </c>
      <c r="CL456" s="504">
        <v>137369</v>
      </c>
      <c r="CM456" s="504">
        <v>141690</v>
      </c>
      <c r="CN456" s="1347">
        <v>145292</v>
      </c>
    </row>
    <row r="457" spans="60:92" ht="18" customHeight="1">
      <c r="BH457" s="1348" t="s">
        <v>2936</v>
      </c>
      <c r="BI457" s="483">
        <v>181979</v>
      </c>
      <c r="BJ457" s="483">
        <v>184283</v>
      </c>
      <c r="BK457" s="483">
        <v>191053</v>
      </c>
      <c r="BL457" s="483">
        <v>197536</v>
      </c>
      <c r="BM457" s="483">
        <v>203009</v>
      </c>
      <c r="BN457" s="483">
        <v>206979</v>
      </c>
      <c r="BO457" s="483">
        <v>209283</v>
      </c>
      <c r="BP457" s="483">
        <v>216053</v>
      </c>
      <c r="BQ457" s="483">
        <v>222536</v>
      </c>
      <c r="BR457" s="1344">
        <v>228009</v>
      </c>
      <c r="BS457" s="1545"/>
      <c r="BU457" s="1545"/>
      <c r="BV457" s="1545"/>
      <c r="BW457" s="1545"/>
      <c r="BX457" s="1545"/>
      <c r="BY457" s="1545"/>
      <c r="BZ457" s="1545"/>
      <c r="CA457" s="1545"/>
      <c r="CB457" s="1545"/>
      <c r="CC457" s="1545"/>
      <c r="CD457" s="1348" t="s">
        <v>2936</v>
      </c>
      <c r="CE457" s="504">
        <v>126979</v>
      </c>
      <c r="CF457" s="504">
        <v>129283</v>
      </c>
      <c r="CG457" s="504">
        <v>136053</v>
      </c>
      <c r="CH457" s="504">
        <v>142536</v>
      </c>
      <c r="CI457" s="504">
        <v>148009</v>
      </c>
      <c r="CJ457" s="504">
        <v>141979</v>
      </c>
      <c r="CK457" s="504">
        <v>144283</v>
      </c>
      <c r="CL457" s="504">
        <v>151053</v>
      </c>
      <c r="CM457" s="504">
        <v>157536</v>
      </c>
      <c r="CN457" s="1347">
        <v>163009</v>
      </c>
    </row>
    <row r="458" spans="60:92" ht="18" customHeight="1">
      <c r="BH458" s="1348" t="s">
        <v>2937</v>
      </c>
      <c r="BI458" s="483">
        <v>192638</v>
      </c>
      <c r="BJ458" s="483">
        <v>195663</v>
      </c>
      <c r="BK458" s="483">
        <v>204738</v>
      </c>
      <c r="BL458" s="483">
        <v>213237</v>
      </c>
      <c r="BM458" s="483">
        <v>220583</v>
      </c>
      <c r="BN458" s="483">
        <v>217638</v>
      </c>
      <c r="BO458" s="483">
        <v>220663</v>
      </c>
      <c r="BP458" s="483">
        <v>229738</v>
      </c>
      <c r="BQ458" s="483">
        <v>238237</v>
      </c>
      <c r="BR458" s="1344">
        <v>245583</v>
      </c>
      <c r="BS458" s="1545"/>
      <c r="BU458" s="1545"/>
      <c r="BV458" s="1545"/>
      <c r="BW458" s="1545"/>
      <c r="BX458" s="1545"/>
      <c r="BY458" s="1545"/>
      <c r="BZ458" s="1545"/>
      <c r="CA458" s="1545"/>
      <c r="CB458" s="1545"/>
      <c r="CC458" s="1545"/>
      <c r="CD458" s="1348" t="s">
        <v>2937</v>
      </c>
      <c r="CE458" s="504">
        <v>137638</v>
      </c>
      <c r="CF458" s="504">
        <v>140663</v>
      </c>
      <c r="CG458" s="504">
        <v>149738</v>
      </c>
      <c r="CH458" s="504">
        <v>158237</v>
      </c>
      <c r="CI458" s="504">
        <v>165583</v>
      </c>
      <c r="CJ458" s="504">
        <v>152638</v>
      </c>
      <c r="CK458" s="504">
        <v>155663</v>
      </c>
      <c r="CL458" s="504">
        <v>164738</v>
      </c>
      <c r="CM458" s="504">
        <v>173237</v>
      </c>
      <c r="CN458" s="1347">
        <v>180583</v>
      </c>
    </row>
    <row r="459" spans="60:92" ht="18" customHeight="1">
      <c r="BH459" s="1348" t="s">
        <v>2938</v>
      </c>
      <c r="BI459" s="483">
        <v>203298</v>
      </c>
      <c r="BJ459" s="483">
        <v>207187</v>
      </c>
      <c r="BK459" s="483">
        <v>218567</v>
      </c>
      <c r="BL459" s="483">
        <v>229082</v>
      </c>
      <c r="BM459" s="483">
        <v>238301</v>
      </c>
      <c r="BN459" s="483">
        <v>228298</v>
      </c>
      <c r="BO459" s="483">
        <v>232187</v>
      </c>
      <c r="BP459" s="483">
        <v>243567</v>
      </c>
      <c r="BQ459" s="483">
        <v>254082</v>
      </c>
      <c r="BR459" s="1344">
        <v>263301</v>
      </c>
      <c r="BS459" s="1545"/>
      <c r="BU459" s="1545"/>
      <c r="BV459" s="1545"/>
      <c r="BW459" s="1545"/>
      <c r="BX459" s="1545"/>
      <c r="BY459" s="1545"/>
      <c r="BZ459" s="1545"/>
      <c r="CA459" s="1545"/>
      <c r="CB459" s="1545"/>
      <c r="CC459" s="1545"/>
      <c r="CD459" s="1348" t="s">
        <v>2938</v>
      </c>
      <c r="CE459" s="504">
        <v>148298</v>
      </c>
      <c r="CF459" s="504">
        <v>152187</v>
      </c>
      <c r="CG459" s="504">
        <v>163567</v>
      </c>
      <c r="CH459" s="504">
        <v>174082</v>
      </c>
      <c r="CI459" s="504">
        <v>183301</v>
      </c>
      <c r="CJ459" s="504">
        <v>163298</v>
      </c>
      <c r="CK459" s="504">
        <v>167187</v>
      </c>
      <c r="CL459" s="504">
        <v>178567</v>
      </c>
      <c r="CM459" s="504">
        <v>189082</v>
      </c>
      <c r="CN459" s="1347">
        <v>198301</v>
      </c>
    </row>
    <row r="460" spans="60:92" ht="18" customHeight="1">
      <c r="BH460" s="1348" t="s">
        <v>2939</v>
      </c>
      <c r="BI460" s="483">
        <v>213957</v>
      </c>
      <c r="BJ460" s="483">
        <v>218567</v>
      </c>
      <c r="BK460" s="483">
        <v>232251</v>
      </c>
      <c r="BL460" s="483">
        <v>244927</v>
      </c>
      <c r="BM460" s="483">
        <v>256019</v>
      </c>
      <c r="BN460" s="483">
        <v>238957</v>
      </c>
      <c r="BO460" s="483">
        <v>243567</v>
      </c>
      <c r="BP460" s="483">
        <v>257251</v>
      </c>
      <c r="BQ460" s="483">
        <v>269927</v>
      </c>
      <c r="BR460" s="1344">
        <v>281019</v>
      </c>
      <c r="BS460" s="1545"/>
      <c r="BU460" s="1545"/>
      <c r="BV460" s="1545"/>
      <c r="BW460" s="1545"/>
      <c r="BX460" s="1545"/>
      <c r="BY460" s="1545"/>
      <c r="BZ460" s="1545"/>
      <c r="CA460" s="1545"/>
      <c r="CB460" s="1545"/>
      <c r="CC460" s="1545"/>
      <c r="CD460" s="1348" t="s">
        <v>2939</v>
      </c>
      <c r="CE460" s="504">
        <v>158957</v>
      </c>
      <c r="CF460" s="504">
        <v>163567</v>
      </c>
      <c r="CG460" s="504">
        <v>177251</v>
      </c>
      <c r="CH460" s="504">
        <v>189927</v>
      </c>
      <c r="CI460" s="504">
        <v>201019</v>
      </c>
      <c r="CJ460" s="504">
        <v>173957</v>
      </c>
      <c r="CK460" s="504">
        <v>178567</v>
      </c>
      <c r="CL460" s="504">
        <v>192251</v>
      </c>
      <c r="CM460" s="504">
        <v>204927</v>
      </c>
      <c r="CN460" s="1347">
        <v>216019</v>
      </c>
    </row>
    <row r="461" spans="60:92" ht="18" customHeight="1">
      <c r="BH461" s="1348" t="s">
        <v>2940</v>
      </c>
      <c r="BI461" s="483">
        <v>224617</v>
      </c>
      <c r="BJ461" s="483">
        <v>229946</v>
      </c>
      <c r="BK461" s="483">
        <v>245936</v>
      </c>
      <c r="BL461" s="483">
        <v>260772</v>
      </c>
      <c r="BM461" s="483">
        <v>273593</v>
      </c>
      <c r="BN461" s="483">
        <v>249617</v>
      </c>
      <c r="BO461" s="483">
        <v>254946</v>
      </c>
      <c r="BP461" s="483">
        <v>270936</v>
      </c>
      <c r="BQ461" s="483">
        <v>285772</v>
      </c>
      <c r="BR461" s="1344">
        <v>298593</v>
      </c>
      <c r="BS461" s="1545"/>
      <c r="BU461" s="1545"/>
      <c r="BV461" s="1545"/>
      <c r="BW461" s="1545"/>
      <c r="BX461" s="1545"/>
      <c r="BY461" s="1545"/>
      <c r="BZ461" s="1545"/>
      <c r="CA461" s="1545"/>
      <c r="CB461" s="1545"/>
      <c r="CC461" s="1545"/>
      <c r="CD461" s="1348" t="s">
        <v>2940</v>
      </c>
      <c r="CE461" s="504">
        <v>169617</v>
      </c>
      <c r="CF461" s="504">
        <v>174946</v>
      </c>
      <c r="CG461" s="504">
        <v>190936</v>
      </c>
      <c r="CH461" s="504">
        <v>205772</v>
      </c>
      <c r="CI461" s="504">
        <v>218593</v>
      </c>
      <c r="CJ461" s="504">
        <v>184617</v>
      </c>
      <c r="CK461" s="504">
        <v>189946</v>
      </c>
      <c r="CL461" s="504">
        <v>205936</v>
      </c>
      <c r="CM461" s="504">
        <v>220772</v>
      </c>
      <c r="CN461" s="1347">
        <v>233593</v>
      </c>
    </row>
    <row r="462" spans="60:92" ht="18" customHeight="1">
      <c r="BH462" s="1348" t="s">
        <v>2941</v>
      </c>
      <c r="BI462" s="483">
        <v>235276</v>
      </c>
      <c r="BJ462" s="483">
        <v>241326</v>
      </c>
      <c r="BK462" s="483">
        <v>259620</v>
      </c>
      <c r="BL462" s="483">
        <v>276618</v>
      </c>
      <c r="BM462" s="483">
        <v>291310</v>
      </c>
      <c r="BN462" s="483">
        <v>260276</v>
      </c>
      <c r="BO462" s="483">
        <v>266326</v>
      </c>
      <c r="BP462" s="483">
        <v>284620</v>
      </c>
      <c r="BQ462" s="483">
        <v>301618</v>
      </c>
      <c r="BR462" s="1344">
        <v>316310</v>
      </c>
      <c r="BS462" s="1545"/>
      <c r="BU462" s="1545"/>
      <c r="BV462" s="1545"/>
      <c r="BW462" s="1545"/>
      <c r="BX462" s="1545"/>
      <c r="BY462" s="1545"/>
      <c r="BZ462" s="1545"/>
      <c r="CA462" s="1545"/>
      <c r="CB462" s="1545"/>
      <c r="CC462" s="1545"/>
      <c r="CD462" s="1348" t="s">
        <v>2941</v>
      </c>
      <c r="CE462" s="504">
        <v>180276</v>
      </c>
      <c r="CF462" s="504">
        <v>186326</v>
      </c>
      <c r="CG462" s="504">
        <v>204620</v>
      </c>
      <c r="CH462" s="504">
        <v>221618</v>
      </c>
      <c r="CI462" s="504">
        <v>236310</v>
      </c>
      <c r="CJ462" s="504">
        <v>195276</v>
      </c>
      <c r="CK462" s="504">
        <v>201326</v>
      </c>
      <c r="CL462" s="504">
        <v>219620</v>
      </c>
      <c r="CM462" s="504">
        <v>236618</v>
      </c>
      <c r="CN462" s="1347">
        <v>251310</v>
      </c>
    </row>
    <row r="463" spans="60:92" ht="18" customHeight="1">
      <c r="BH463" s="1348" t="s">
        <v>2942</v>
      </c>
      <c r="BI463" s="483">
        <v>245936</v>
      </c>
      <c r="BJ463" s="483">
        <v>252850</v>
      </c>
      <c r="BK463" s="483">
        <v>273304</v>
      </c>
      <c r="BL463" s="483">
        <v>292463</v>
      </c>
      <c r="BM463" s="483">
        <v>309028</v>
      </c>
      <c r="BN463" s="483">
        <v>270936</v>
      </c>
      <c r="BO463" s="483">
        <v>277850</v>
      </c>
      <c r="BP463" s="483">
        <v>298304</v>
      </c>
      <c r="BQ463" s="483">
        <v>317463</v>
      </c>
      <c r="BR463" s="1344">
        <v>334028</v>
      </c>
      <c r="BS463" s="1545"/>
      <c r="BU463" s="1545"/>
      <c r="BV463" s="1545"/>
      <c r="BW463" s="1545"/>
      <c r="BX463" s="1545"/>
      <c r="BY463" s="1545"/>
      <c r="BZ463" s="1545"/>
      <c r="CA463" s="1545"/>
      <c r="CB463" s="1545"/>
      <c r="CC463" s="1545"/>
      <c r="CD463" s="1348" t="s">
        <v>2942</v>
      </c>
      <c r="CE463" s="504">
        <v>190936</v>
      </c>
      <c r="CF463" s="504">
        <v>197850</v>
      </c>
      <c r="CG463" s="504">
        <v>218304</v>
      </c>
      <c r="CH463" s="504">
        <v>237463</v>
      </c>
      <c r="CI463" s="504">
        <v>254028</v>
      </c>
      <c r="CJ463" s="504">
        <v>205936</v>
      </c>
      <c r="CK463" s="504">
        <v>212850</v>
      </c>
      <c r="CL463" s="504">
        <v>233304</v>
      </c>
      <c r="CM463" s="504">
        <v>252463</v>
      </c>
      <c r="CN463" s="1347">
        <v>269028</v>
      </c>
    </row>
    <row r="464" spans="60:92" ht="18" customHeight="1">
      <c r="BH464" s="1343" t="s">
        <v>2943</v>
      </c>
      <c r="BI464" s="483">
        <v>150000</v>
      </c>
      <c r="BJ464" s="483">
        <v>150000</v>
      </c>
      <c r="BK464" s="483">
        <v>150000</v>
      </c>
      <c r="BL464" s="483">
        <v>150000</v>
      </c>
      <c r="BM464" s="483">
        <v>150000</v>
      </c>
      <c r="BN464" s="483">
        <v>175000</v>
      </c>
      <c r="BO464" s="483">
        <v>175000</v>
      </c>
      <c r="BP464" s="483">
        <v>175000</v>
      </c>
      <c r="BQ464" s="483">
        <v>175000</v>
      </c>
      <c r="BR464" s="1344">
        <v>175000</v>
      </c>
      <c r="BS464" s="1545"/>
      <c r="BU464" s="1545"/>
      <c r="BV464" s="1545"/>
      <c r="BW464" s="1545"/>
      <c r="BX464" s="1545"/>
      <c r="BY464" s="1545"/>
      <c r="BZ464" s="1545"/>
      <c r="CA464" s="1545"/>
      <c r="CB464" s="1545"/>
      <c r="CC464" s="1545"/>
      <c r="CD464" s="1343" t="s">
        <v>2943</v>
      </c>
      <c r="CE464" s="504">
        <v>95000</v>
      </c>
      <c r="CF464" s="504">
        <v>95000</v>
      </c>
      <c r="CG464" s="504">
        <v>95000</v>
      </c>
      <c r="CH464" s="504">
        <v>95000</v>
      </c>
      <c r="CI464" s="504">
        <v>95000</v>
      </c>
      <c r="CJ464" s="504">
        <v>110000</v>
      </c>
      <c r="CK464" s="504">
        <v>110000</v>
      </c>
      <c r="CL464" s="504">
        <v>110000</v>
      </c>
      <c r="CM464" s="504">
        <v>110000</v>
      </c>
      <c r="CN464" s="1347">
        <v>110000</v>
      </c>
    </row>
    <row r="465" spans="60:92" ht="18" customHeight="1">
      <c r="BH465" s="1348" t="s">
        <v>2944</v>
      </c>
      <c r="BI465" s="483">
        <v>158787</v>
      </c>
      <c r="BJ465" s="483">
        <v>159363</v>
      </c>
      <c r="BK465" s="483">
        <v>161380</v>
      </c>
      <c r="BL465" s="483">
        <v>163108</v>
      </c>
      <c r="BM465" s="483">
        <v>164549</v>
      </c>
      <c r="BN465" s="483">
        <v>183787</v>
      </c>
      <c r="BO465" s="483">
        <v>184363</v>
      </c>
      <c r="BP465" s="483">
        <v>186380</v>
      </c>
      <c r="BQ465" s="483">
        <v>188108</v>
      </c>
      <c r="BR465" s="1344">
        <v>189549</v>
      </c>
      <c r="BS465" s="1545"/>
      <c r="BU465" s="1545"/>
      <c r="BV465" s="1545"/>
      <c r="BW465" s="1545"/>
      <c r="BX465" s="1545"/>
      <c r="BY465" s="1545"/>
      <c r="BZ465" s="1545"/>
      <c r="CA465" s="1545"/>
      <c r="CB465" s="1545"/>
      <c r="CC465" s="1545"/>
      <c r="CD465" s="1348" t="s">
        <v>2944</v>
      </c>
      <c r="CE465" s="504">
        <v>103787</v>
      </c>
      <c r="CF465" s="504">
        <v>104363</v>
      </c>
      <c r="CG465" s="504">
        <v>106380</v>
      </c>
      <c r="CH465" s="504">
        <v>108108</v>
      </c>
      <c r="CI465" s="504">
        <v>109549</v>
      </c>
      <c r="CJ465" s="504">
        <v>118787</v>
      </c>
      <c r="CK465" s="504">
        <v>119363</v>
      </c>
      <c r="CL465" s="504">
        <v>121380</v>
      </c>
      <c r="CM465" s="504">
        <v>123108</v>
      </c>
      <c r="CN465" s="1347">
        <v>124549</v>
      </c>
    </row>
    <row r="466" spans="60:92" ht="18" customHeight="1">
      <c r="BH466" s="1348" t="s">
        <v>2945</v>
      </c>
      <c r="BI466" s="483">
        <v>167574</v>
      </c>
      <c r="BJ466" s="483">
        <v>168870</v>
      </c>
      <c r="BK466" s="483">
        <v>172615</v>
      </c>
      <c r="BL466" s="483">
        <v>176073</v>
      </c>
      <c r="BM466" s="483">
        <v>179098</v>
      </c>
      <c r="BN466" s="483">
        <v>192574</v>
      </c>
      <c r="BO466" s="483">
        <v>193870</v>
      </c>
      <c r="BP466" s="483">
        <v>197615</v>
      </c>
      <c r="BQ466" s="483">
        <v>201073</v>
      </c>
      <c r="BR466" s="1344">
        <v>204098</v>
      </c>
      <c r="BS466" s="1545"/>
      <c r="BU466" s="1545"/>
      <c r="BV466" s="1545"/>
      <c r="BW466" s="1545"/>
      <c r="BX466" s="1545"/>
      <c r="BY466" s="1545"/>
      <c r="BZ466" s="1545"/>
      <c r="CA466" s="1545"/>
      <c r="CB466" s="1545"/>
      <c r="CC466" s="1545"/>
      <c r="CD466" s="1348" t="s">
        <v>2945</v>
      </c>
      <c r="CE466" s="504">
        <v>112574</v>
      </c>
      <c r="CF466" s="504">
        <v>113870</v>
      </c>
      <c r="CG466" s="504">
        <v>117615</v>
      </c>
      <c r="CH466" s="504">
        <v>121073</v>
      </c>
      <c r="CI466" s="504">
        <v>124098</v>
      </c>
      <c r="CJ466" s="504">
        <v>127574</v>
      </c>
      <c r="CK466" s="504">
        <v>128870</v>
      </c>
      <c r="CL466" s="504">
        <v>132615</v>
      </c>
      <c r="CM466" s="504">
        <v>136073</v>
      </c>
      <c r="CN466" s="1347">
        <v>139098</v>
      </c>
    </row>
    <row r="467" spans="60:92" ht="18" customHeight="1">
      <c r="BH467" s="1348" t="s">
        <v>2946</v>
      </c>
      <c r="BI467" s="483">
        <v>176361</v>
      </c>
      <c r="BJ467" s="483">
        <v>178233</v>
      </c>
      <c r="BK467" s="483">
        <v>183995</v>
      </c>
      <c r="BL467" s="483">
        <v>189181</v>
      </c>
      <c r="BM467" s="483">
        <v>193646</v>
      </c>
      <c r="BN467" s="483">
        <v>201361</v>
      </c>
      <c r="BO467" s="483">
        <v>203233</v>
      </c>
      <c r="BP467" s="483">
        <v>208995</v>
      </c>
      <c r="BQ467" s="483">
        <v>214181</v>
      </c>
      <c r="BR467" s="1344">
        <v>218646</v>
      </c>
      <c r="BS467" s="1545"/>
      <c r="BU467" s="1545"/>
      <c r="BV467" s="1545"/>
      <c r="BW467" s="1545"/>
      <c r="BX467" s="1545"/>
      <c r="BY467" s="1545"/>
      <c r="BZ467" s="1545"/>
      <c r="CA467" s="1545"/>
      <c r="CB467" s="1545"/>
      <c r="CC467" s="1545"/>
      <c r="CD467" s="1348" t="s">
        <v>2946</v>
      </c>
      <c r="CE467" s="504">
        <v>121361</v>
      </c>
      <c r="CF467" s="504">
        <v>123233</v>
      </c>
      <c r="CG467" s="504">
        <v>128995</v>
      </c>
      <c r="CH467" s="504">
        <v>134181</v>
      </c>
      <c r="CI467" s="504">
        <v>138646</v>
      </c>
      <c r="CJ467" s="504">
        <v>136361</v>
      </c>
      <c r="CK467" s="504">
        <v>138233</v>
      </c>
      <c r="CL467" s="504">
        <v>143995</v>
      </c>
      <c r="CM467" s="504">
        <v>149181</v>
      </c>
      <c r="CN467" s="1347">
        <v>153646</v>
      </c>
    </row>
    <row r="468" spans="60:92" ht="18" customHeight="1">
      <c r="BH468" s="1348" t="s">
        <v>2947</v>
      </c>
      <c r="BI468" s="483">
        <v>185148</v>
      </c>
      <c r="BJ468" s="483">
        <v>187596</v>
      </c>
      <c r="BK468" s="483">
        <v>195231</v>
      </c>
      <c r="BL468" s="483">
        <v>202145</v>
      </c>
      <c r="BM468" s="483">
        <v>208195</v>
      </c>
      <c r="BN468" s="483">
        <v>210148</v>
      </c>
      <c r="BO468" s="483">
        <v>212596</v>
      </c>
      <c r="BP468" s="483">
        <v>220231</v>
      </c>
      <c r="BQ468" s="483">
        <v>227145</v>
      </c>
      <c r="BR468" s="1344">
        <v>233195</v>
      </c>
      <c r="BS468" s="1545"/>
      <c r="BU468" s="1545"/>
      <c r="BV468" s="1545"/>
      <c r="BW468" s="1545"/>
      <c r="BX468" s="1545"/>
      <c r="BY468" s="1545"/>
      <c r="BZ468" s="1545"/>
      <c r="CA468" s="1545"/>
      <c r="CB468" s="1545"/>
      <c r="CC468" s="1545"/>
      <c r="CD468" s="1348" t="s">
        <v>2947</v>
      </c>
      <c r="CE468" s="504">
        <v>130148</v>
      </c>
      <c r="CF468" s="504">
        <v>132596</v>
      </c>
      <c r="CG468" s="504">
        <v>140231</v>
      </c>
      <c r="CH468" s="504">
        <v>147145</v>
      </c>
      <c r="CI468" s="504">
        <v>153195</v>
      </c>
      <c r="CJ468" s="504">
        <v>145148</v>
      </c>
      <c r="CK468" s="504">
        <v>147596</v>
      </c>
      <c r="CL468" s="504">
        <v>155231</v>
      </c>
      <c r="CM468" s="504">
        <v>162145</v>
      </c>
      <c r="CN468" s="1347">
        <v>168195</v>
      </c>
    </row>
    <row r="469" spans="60:92" ht="18" customHeight="1">
      <c r="BH469" s="1348" t="s">
        <v>2948</v>
      </c>
      <c r="BI469" s="483">
        <v>193934</v>
      </c>
      <c r="BJ469" s="483">
        <v>197103</v>
      </c>
      <c r="BK469" s="483">
        <v>206611</v>
      </c>
      <c r="BL469" s="483">
        <v>215253</v>
      </c>
      <c r="BM469" s="483">
        <v>222888</v>
      </c>
      <c r="BN469" s="483">
        <v>218934</v>
      </c>
      <c r="BO469" s="483">
        <v>222103</v>
      </c>
      <c r="BP469" s="483">
        <v>231611</v>
      </c>
      <c r="BQ469" s="483">
        <v>240253</v>
      </c>
      <c r="BR469" s="1344">
        <v>247888</v>
      </c>
      <c r="BS469" s="1545"/>
      <c r="BU469" s="1545"/>
      <c r="BV469" s="1545"/>
      <c r="BW469" s="1545"/>
      <c r="BX469" s="1545"/>
      <c r="BY469" s="1545"/>
      <c r="BZ469" s="1545"/>
      <c r="CA469" s="1545"/>
      <c r="CB469" s="1545"/>
      <c r="CC469" s="1545"/>
      <c r="CD469" s="1348" t="s">
        <v>2948</v>
      </c>
      <c r="CE469" s="504">
        <v>138934</v>
      </c>
      <c r="CF469" s="504">
        <v>142103</v>
      </c>
      <c r="CG469" s="504">
        <v>151611</v>
      </c>
      <c r="CH469" s="504">
        <v>160253</v>
      </c>
      <c r="CI469" s="504">
        <v>167888</v>
      </c>
      <c r="CJ469" s="504">
        <v>153934</v>
      </c>
      <c r="CK469" s="504">
        <v>157103</v>
      </c>
      <c r="CL469" s="504">
        <v>166611</v>
      </c>
      <c r="CM469" s="504">
        <v>175253</v>
      </c>
      <c r="CN469" s="1347">
        <v>182888</v>
      </c>
    </row>
    <row r="470" spans="60:92" ht="18" customHeight="1">
      <c r="BH470" s="1348" t="s">
        <v>2949</v>
      </c>
      <c r="BI470" s="483">
        <v>202721</v>
      </c>
      <c r="BJ470" s="483">
        <v>206467</v>
      </c>
      <c r="BK470" s="483">
        <v>217846</v>
      </c>
      <c r="BL470" s="483">
        <v>228362</v>
      </c>
      <c r="BM470" s="483">
        <v>237437</v>
      </c>
      <c r="BN470" s="483">
        <v>227721</v>
      </c>
      <c r="BO470" s="483">
        <v>231467</v>
      </c>
      <c r="BP470" s="483">
        <v>242846</v>
      </c>
      <c r="BQ470" s="483">
        <v>253362</v>
      </c>
      <c r="BR470" s="1344">
        <v>262437</v>
      </c>
      <c r="BS470" s="1545"/>
      <c r="BU470" s="1545"/>
      <c r="BV470" s="1545"/>
      <c r="BW470" s="1545"/>
      <c r="BX470" s="1545"/>
      <c r="BY470" s="1545"/>
      <c r="BZ470" s="1545"/>
      <c r="CA470" s="1545"/>
      <c r="CB470" s="1545"/>
      <c r="CC470" s="1545"/>
      <c r="CD470" s="1348" t="s">
        <v>2949</v>
      </c>
      <c r="CE470" s="504">
        <v>147721</v>
      </c>
      <c r="CF470" s="504">
        <v>151467</v>
      </c>
      <c r="CG470" s="504">
        <v>162846</v>
      </c>
      <c r="CH470" s="504">
        <v>173362</v>
      </c>
      <c r="CI470" s="504">
        <v>182437</v>
      </c>
      <c r="CJ470" s="504">
        <v>162721</v>
      </c>
      <c r="CK470" s="504">
        <v>166467</v>
      </c>
      <c r="CL470" s="504">
        <v>177846</v>
      </c>
      <c r="CM470" s="504">
        <v>188362</v>
      </c>
      <c r="CN470" s="1347">
        <v>197437</v>
      </c>
    </row>
    <row r="471" spans="60:92" ht="18" customHeight="1">
      <c r="BH471" s="1348" t="s">
        <v>2950</v>
      </c>
      <c r="BI471" s="483">
        <v>211508</v>
      </c>
      <c r="BJ471" s="483">
        <v>215974</v>
      </c>
      <c r="BK471" s="483">
        <v>229226</v>
      </c>
      <c r="BL471" s="483">
        <v>241326</v>
      </c>
      <c r="BM471" s="483">
        <v>251985</v>
      </c>
      <c r="BN471" s="483">
        <v>236508</v>
      </c>
      <c r="BO471" s="483">
        <v>240974</v>
      </c>
      <c r="BP471" s="483">
        <v>254226</v>
      </c>
      <c r="BQ471" s="483">
        <v>266326</v>
      </c>
      <c r="BR471" s="1344">
        <v>276985</v>
      </c>
      <c r="BS471" s="1545"/>
      <c r="BU471" s="1545"/>
      <c r="BV471" s="1545"/>
      <c r="BW471" s="1545"/>
      <c r="BX471" s="1545"/>
      <c r="BY471" s="1545"/>
      <c r="BZ471" s="1545"/>
      <c r="CA471" s="1545"/>
      <c r="CB471" s="1545"/>
      <c r="CC471" s="1545"/>
      <c r="CD471" s="1348" t="s">
        <v>2950</v>
      </c>
      <c r="CE471" s="504">
        <v>156508</v>
      </c>
      <c r="CF471" s="504">
        <v>160974</v>
      </c>
      <c r="CG471" s="504">
        <v>174226</v>
      </c>
      <c r="CH471" s="504">
        <v>186326</v>
      </c>
      <c r="CI471" s="504">
        <v>196985</v>
      </c>
      <c r="CJ471" s="504">
        <v>171508</v>
      </c>
      <c r="CK471" s="504">
        <v>175974</v>
      </c>
      <c r="CL471" s="504">
        <v>189226</v>
      </c>
      <c r="CM471" s="504">
        <v>201326</v>
      </c>
      <c r="CN471" s="1347">
        <v>211985</v>
      </c>
    </row>
    <row r="472" spans="60:92" ht="18" customHeight="1">
      <c r="BH472" s="1348" t="s">
        <v>2951</v>
      </c>
      <c r="BI472" s="483">
        <v>220295</v>
      </c>
      <c r="BJ472" s="483">
        <v>225337</v>
      </c>
      <c r="BK472" s="483">
        <v>240462</v>
      </c>
      <c r="BL472" s="483">
        <v>254434</v>
      </c>
      <c r="BM472" s="483">
        <v>266534</v>
      </c>
      <c r="BN472" s="483">
        <v>245295</v>
      </c>
      <c r="BO472" s="483">
        <v>250337</v>
      </c>
      <c r="BP472" s="483">
        <v>265462</v>
      </c>
      <c r="BQ472" s="483">
        <v>279434</v>
      </c>
      <c r="BR472" s="1344">
        <v>291534</v>
      </c>
      <c r="BS472" s="1545"/>
      <c r="BU472" s="1545"/>
      <c r="BV472" s="1545"/>
      <c r="BW472" s="1545"/>
      <c r="BX472" s="1545"/>
      <c r="BY472" s="1545"/>
      <c r="BZ472" s="1545"/>
      <c r="CA472" s="1545"/>
      <c r="CB472" s="1545"/>
      <c r="CC472" s="1545"/>
      <c r="CD472" s="1348" t="s">
        <v>2951</v>
      </c>
      <c r="CE472" s="504">
        <v>165295</v>
      </c>
      <c r="CF472" s="504">
        <v>170337</v>
      </c>
      <c r="CG472" s="504">
        <v>185462</v>
      </c>
      <c r="CH472" s="504">
        <v>199434</v>
      </c>
      <c r="CI472" s="504">
        <v>211534</v>
      </c>
      <c r="CJ472" s="504">
        <v>180295</v>
      </c>
      <c r="CK472" s="504">
        <v>185337</v>
      </c>
      <c r="CL472" s="504">
        <v>200462</v>
      </c>
      <c r="CM472" s="504">
        <v>214434</v>
      </c>
      <c r="CN472" s="1347">
        <v>226534</v>
      </c>
    </row>
    <row r="473" spans="60:92" ht="18" customHeight="1">
      <c r="BH473" s="1348" t="s">
        <v>2952</v>
      </c>
      <c r="BI473" s="483">
        <v>229082</v>
      </c>
      <c r="BJ473" s="483">
        <v>234700</v>
      </c>
      <c r="BK473" s="483">
        <v>251841</v>
      </c>
      <c r="BL473" s="483">
        <v>267543</v>
      </c>
      <c r="BM473" s="483">
        <v>281083</v>
      </c>
      <c r="BN473" s="483">
        <v>254082</v>
      </c>
      <c r="BO473" s="483">
        <v>259700</v>
      </c>
      <c r="BP473" s="483">
        <v>276841</v>
      </c>
      <c r="BQ473" s="483">
        <v>292543</v>
      </c>
      <c r="BR473" s="1344">
        <v>306083</v>
      </c>
      <c r="BS473" s="1545"/>
      <c r="BU473" s="1545"/>
      <c r="BV473" s="1545"/>
      <c r="BW473" s="1545"/>
      <c r="BX473" s="1545"/>
      <c r="BY473" s="1545"/>
      <c r="BZ473" s="1545"/>
      <c r="CA473" s="1545"/>
      <c r="CB473" s="1545"/>
      <c r="CC473" s="1545"/>
      <c r="CD473" s="1348" t="s">
        <v>2952</v>
      </c>
      <c r="CE473" s="504">
        <v>174082</v>
      </c>
      <c r="CF473" s="504">
        <v>179700</v>
      </c>
      <c r="CG473" s="504">
        <v>196841</v>
      </c>
      <c r="CH473" s="504">
        <v>212543</v>
      </c>
      <c r="CI473" s="504">
        <v>226083</v>
      </c>
      <c r="CJ473" s="504">
        <v>189082</v>
      </c>
      <c r="CK473" s="504">
        <v>194700</v>
      </c>
      <c r="CL473" s="504">
        <v>211841</v>
      </c>
      <c r="CM473" s="504">
        <v>227543</v>
      </c>
      <c r="CN473" s="1347">
        <v>241083</v>
      </c>
    </row>
    <row r="474" spans="60:92" ht="18" customHeight="1">
      <c r="BH474" s="1343" t="s">
        <v>2953</v>
      </c>
      <c r="BI474" s="483">
        <v>150000</v>
      </c>
      <c r="BJ474" s="483">
        <v>150000</v>
      </c>
      <c r="BK474" s="483">
        <v>150000</v>
      </c>
      <c r="BL474" s="483">
        <v>150000</v>
      </c>
      <c r="BM474" s="483">
        <v>150000</v>
      </c>
      <c r="BN474" s="483">
        <v>175000</v>
      </c>
      <c r="BO474" s="483">
        <v>175000</v>
      </c>
      <c r="BP474" s="483">
        <v>175000</v>
      </c>
      <c r="BQ474" s="483">
        <v>175000</v>
      </c>
      <c r="BR474" s="1344">
        <v>175000</v>
      </c>
      <c r="BS474" s="1545"/>
      <c r="BU474" s="1545"/>
      <c r="BV474" s="1545"/>
      <c r="BW474" s="1545"/>
      <c r="BX474" s="1545"/>
      <c r="BY474" s="1545"/>
      <c r="BZ474" s="1545"/>
      <c r="CA474" s="1545"/>
      <c r="CB474" s="1545"/>
      <c r="CC474" s="1545"/>
      <c r="CD474" s="1343" t="s">
        <v>2953</v>
      </c>
      <c r="CE474" s="504">
        <v>95000</v>
      </c>
      <c r="CF474" s="504">
        <v>95000</v>
      </c>
      <c r="CG474" s="504">
        <v>95000</v>
      </c>
      <c r="CH474" s="504">
        <v>95000</v>
      </c>
      <c r="CI474" s="504">
        <v>95000</v>
      </c>
      <c r="CJ474" s="504">
        <v>110000</v>
      </c>
      <c r="CK474" s="504">
        <v>110000</v>
      </c>
      <c r="CL474" s="504">
        <v>110000</v>
      </c>
      <c r="CM474" s="504">
        <v>110000</v>
      </c>
      <c r="CN474" s="1347">
        <v>110000</v>
      </c>
    </row>
    <row r="475" spans="60:92" ht="18" customHeight="1">
      <c r="BH475" s="1348" t="s">
        <v>2954</v>
      </c>
      <c r="BI475" s="483">
        <v>162244</v>
      </c>
      <c r="BJ475" s="483">
        <v>163108</v>
      </c>
      <c r="BK475" s="483">
        <v>165845</v>
      </c>
      <c r="BL475" s="483">
        <v>168294</v>
      </c>
      <c r="BM475" s="483">
        <v>170311</v>
      </c>
      <c r="BN475" s="483">
        <v>187244</v>
      </c>
      <c r="BO475" s="483">
        <v>188108</v>
      </c>
      <c r="BP475" s="483">
        <v>190845</v>
      </c>
      <c r="BQ475" s="483">
        <v>193294</v>
      </c>
      <c r="BR475" s="1344">
        <v>195311</v>
      </c>
      <c r="BS475" s="1545"/>
      <c r="BU475" s="1545"/>
      <c r="BV475" s="1545"/>
      <c r="BW475" s="1545"/>
      <c r="BX475" s="1545"/>
      <c r="BY475" s="1545"/>
      <c r="BZ475" s="1545"/>
      <c r="CA475" s="1545"/>
      <c r="CB475" s="1545"/>
      <c r="CC475" s="1545"/>
      <c r="CD475" s="1348" t="s">
        <v>2954</v>
      </c>
      <c r="CE475" s="504">
        <v>107244</v>
      </c>
      <c r="CF475" s="504">
        <v>108108</v>
      </c>
      <c r="CG475" s="504">
        <v>110845</v>
      </c>
      <c r="CH475" s="504">
        <v>113294</v>
      </c>
      <c r="CI475" s="504">
        <v>115311</v>
      </c>
      <c r="CJ475" s="504">
        <v>122244</v>
      </c>
      <c r="CK475" s="504">
        <v>123108</v>
      </c>
      <c r="CL475" s="504">
        <v>125845</v>
      </c>
      <c r="CM475" s="504">
        <v>128294</v>
      </c>
      <c r="CN475" s="1347">
        <v>130311</v>
      </c>
    </row>
    <row r="476" spans="60:92" ht="18" customHeight="1">
      <c r="BH476" s="1348" t="s">
        <v>2955</v>
      </c>
      <c r="BI476" s="483">
        <v>174488</v>
      </c>
      <c r="BJ476" s="483">
        <v>176217</v>
      </c>
      <c r="BK476" s="483">
        <v>181546</v>
      </c>
      <c r="BL476" s="483">
        <v>186444</v>
      </c>
      <c r="BM476" s="483">
        <v>190621</v>
      </c>
      <c r="BN476" s="483">
        <v>199488</v>
      </c>
      <c r="BO476" s="483">
        <v>201217</v>
      </c>
      <c r="BP476" s="483">
        <v>206546</v>
      </c>
      <c r="BQ476" s="483">
        <v>211444</v>
      </c>
      <c r="BR476" s="1344">
        <v>215621</v>
      </c>
      <c r="BS476" s="1545"/>
      <c r="BU476" s="1545"/>
      <c r="BV476" s="1545"/>
      <c r="BW476" s="1545"/>
      <c r="BX476" s="1545"/>
      <c r="BY476" s="1545"/>
      <c r="BZ476" s="1545"/>
      <c r="CA476" s="1545"/>
      <c r="CB476" s="1545"/>
      <c r="CC476" s="1545"/>
      <c r="CD476" s="1348" t="s">
        <v>2955</v>
      </c>
      <c r="CE476" s="504">
        <v>119488</v>
      </c>
      <c r="CF476" s="504">
        <v>121217</v>
      </c>
      <c r="CG476" s="504">
        <v>126546</v>
      </c>
      <c r="CH476" s="504">
        <v>131444</v>
      </c>
      <c r="CI476" s="504">
        <v>135621</v>
      </c>
      <c r="CJ476" s="504">
        <v>134488</v>
      </c>
      <c r="CK476" s="504">
        <v>136217</v>
      </c>
      <c r="CL476" s="504">
        <v>141546</v>
      </c>
      <c r="CM476" s="504">
        <v>146444</v>
      </c>
      <c r="CN476" s="1347">
        <v>150621</v>
      </c>
    </row>
    <row r="477" spans="60:92" ht="18" customHeight="1">
      <c r="BH477" s="1348" t="s">
        <v>2956</v>
      </c>
      <c r="BI477" s="483">
        <v>186732</v>
      </c>
      <c r="BJ477" s="483">
        <v>189325</v>
      </c>
      <c r="BK477" s="483">
        <v>197248</v>
      </c>
      <c r="BL477" s="483">
        <v>204594</v>
      </c>
      <c r="BM477" s="483">
        <v>210932</v>
      </c>
      <c r="BN477" s="483">
        <v>211732</v>
      </c>
      <c r="BO477" s="483">
        <v>214325</v>
      </c>
      <c r="BP477" s="483">
        <v>222248</v>
      </c>
      <c r="BQ477" s="483">
        <v>229594</v>
      </c>
      <c r="BR477" s="1344">
        <v>235932</v>
      </c>
      <c r="BS477" s="1545"/>
      <c r="BU477" s="1545"/>
      <c r="BV477" s="1545"/>
      <c r="BW477" s="1545"/>
      <c r="BX477" s="1545"/>
      <c r="BY477" s="1545"/>
      <c r="BZ477" s="1545"/>
      <c r="CA477" s="1545"/>
      <c r="CB477" s="1545"/>
      <c r="CC477" s="1545"/>
      <c r="CD477" s="1348" t="s">
        <v>2956</v>
      </c>
      <c r="CE477" s="504">
        <v>131732</v>
      </c>
      <c r="CF477" s="504">
        <v>134325</v>
      </c>
      <c r="CG477" s="504">
        <v>142248</v>
      </c>
      <c r="CH477" s="504">
        <v>149594</v>
      </c>
      <c r="CI477" s="504">
        <v>155932</v>
      </c>
      <c r="CJ477" s="504">
        <v>146732</v>
      </c>
      <c r="CK477" s="504">
        <v>149325</v>
      </c>
      <c r="CL477" s="504">
        <v>157248</v>
      </c>
      <c r="CM477" s="504">
        <v>164594</v>
      </c>
      <c r="CN477" s="1347">
        <v>170932</v>
      </c>
    </row>
    <row r="478" spans="60:92" ht="18" customHeight="1">
      <c r="BH478" s="1348" t="s">
        <v>2957</v>
      </c>
      <c r="BI478" s="483">
        <v>198976</v>
      </c>
      <c r="BJ478" s="483">
        <v>202433</v>
      </c>
      <c r="BK478" s="483">
        <v>212949</v>
      </c>
      <c r="BL478" s="483">
        <v>222744</v>
      </c>
      <c r="BM478" s="483">
        <v>231099</v>
      </c>
      <c r="BN478" s="483">
        <v>223976</v>
      </c>
      <c r="BO478" s="483">
        <v>227433</v>
      </c>
      <c r="BP478" s="483">
        <v>237949</v>
      </c>
      <c r="BQ478" s="483">
        <v>247744</v>
      </c>
      <c r="BR478" s="1344">
        <v>256099</v>
      </c>
      <c r="BS478" s="1545"/>
      <c r="BU478" s="1545"/>
      <c r="BV478" s="1545"/>
      <c r="BW478" s="1545"/>
      <c r="BX478" s="1545"/>
      <c r="BY478" s="1545"/>
      <c r="BZ478" s="1545"/>
      <c r="CA478" s="1545"/>
      <c r="CB478" s="1545"/>
      <c r="CC478" s="1545"/>
      <c r="CD478" s="1348" t="s">
        <v>2957</v>
      </c>
      <c r="CE478" s="504">
        <v>143976</v>
      </c>
      <c r="CF478" s="504">
        <v>147433</v>
      </c>
      <c r="CG478" s="504">
        <v>157949</v>
      </c>
      <c r="CH478" s="504">
        <v>167744</v>
      </c>
      <c r="CI478" s="504">
        <v>176099</v>
      </c>
      <c r="CJ478" s="504">
        <v>158976</v>
      </c>
      <c r="CK478" s="504">
        <v>162433</v>
      </c>
      <c r="CL478" s="504">
        <v>172949</v>
      </c>
      <c r="CM478" s="504">
        <v>182744</v>
      </c>
      <c r="CN478" s="1347">
        <v>191099</v>
      </c>
    </row>
    <row r="479" spans="60:92" ht="18" customHeight="1">
      <c r="BH479" s="1348" t="s">
        <v>2958</v>
      </c>
      <c r="BI479" s="483">
        <v>211220</v>
      </c>
      <c r="BJ479" s="483">
        <v>215542</v>
      </c>
      <c r="BK479" s="483">
        <v>228794</v>
      </c>
      <c r="BL479" s="483">
        <v>241038</v>
      </c>
      <c r="BM479" s="483">
        <v>251409</v>
      </c>
      <c r="BN479" s="483">
        <v>236220</v>
      </c>
      <c r="BO479" s="483">
        <v>240542</v>
      </c>
      <c r="BP479" s="483">
        <v>253794</v>
      </c>
      <c r="BQ479" s="483">
        <v>266038</v>
      </c>
      <c r="BR479" s="1344">
        <v>276409</v>
      </c>
      <c r="BS479" s="1545"/>
      <c r="BU479" s="1545"/>
      <c r="BV479" s="1545"/>
      <c r="BW479" s="1545"/>
      <c r="BX479" s="1545"/>
      <c r="BY479" s="1545"/>
      <c r="BZ479" s="1545"/>
      <c r="CA479" s="1545"/>
      <c r="CB479" s="1545"/>
      <c r="CC479" s="1545"/>
      <c r="CD479" s="1348" t="s">
        <v>2958</v>
      </c>
      <c r="CE479" s="504">
        <v>156220</v>
      </c>
      <c r="CF479" s="504">
        <v>160542</v>
      </c>
      <c r="CG479" s="504">
        <v>173794</v>
      </c>
      <c r="CH479" s="504">
        <v>186038</v>
      </c>
      <c r="CI479" s="504">
        <v>196409</v>
      </c>
      <c r="CJ479" s="504">
        <v>171220</v>
      </c>
      <c r="CK479" s="504">
        <v>175542</v>
      </c>
      <c r="CL479" s="504">
        <v>188794</v>
      </c>
      <c r="CM479" s="504">
        <v>201038</v>
      </c>
      <c r="CN479" s="1347">
        <v>211409</v>
      </c>
    </row>
    <row r="480" spans="60:92" ht="18" customHeight="1">
      <c r="BH480" s="1348" t="s">
        <v>2959</v>
      </c>
      <c r="BI480" s="483">
        <v>223464</v>
      </c>
      <c r="BJ480" s="483">
        <v>228650</v>
      </c>
      <c r="BK480" s="483">
        <v>244495</v>
      </c>
      <c r="BL480" s="483">
        <v>259188</v>
      </c>
      <c r="BM480" s="483">
        <v>271720</v>
      </c>
      <c r="BN480" s="483">
        <v>248464</v>
      </c>
      <c r="BO480" s="483">
        <v>253650</v>
      </c>
      <c r="BP480" s="483">
        <v>269495</v>
      </c>
      <c r="BQ480" s="483">
        <v>284188</v>
      </c>
      <c r="BR480" s="1344">
        <v>296720</v>
      </c>
      <c r="BS480" s="1545"/>
      <c r="BU480" s="1545"/>
      <c r="BV480" s="1545"/>
      <c r="BW480" s="1545"/>
      <c r="BX480" s="1545"/>
      <c r="BY480" s="1545"/>
      <c r="BZ480" s="1545"/>
      <c r="CA480" s="1545"/>
      <c r="CB480" s="1545"/>
      <c r="CC480" s="1545"/>
      <c r="CD480" s="1348" t="s">
        <v>2959</v>
      </c>
      <c r="CE480" s="504">
        <v>168464</v>
      </c>
      <c r="CF480" s="504">
        <v>173650</v>
      </c>
      <c r="CG480" s="504">
        <v>189495</v>
      </c>
      <c r="CH480" s="504">
        <v>204188</v>
      </c>
      <c r="CI480" s="504">
        <v>216720</v>
      </c>
      <c r="CJ480" s="504">
        <v>183464</v>
      </c>
      <c r="CK480" s="504">
        <v>188650</v>
      </c>
      <c r="CL480" s="504">
        <v>204495</v>
      </c>
      <c r="CM480" s="504">
        <v>219188</v>
      </c>
      <c r="CN480" s="1347">
        <v>231720</v>
      </c>
    </row>
    <row r="481" spans="60:92" ht="18" customHeight="1">
      <c r="BH481" s="1348" t="s">
        <v>2960</v>
      </c>
      <c r="BI481" s="483">
        <v>235708</v>
      </c>
      <c r="BJ481" s="483">
        <v>241758</v>
      </c>
      <c r="BK481" s="483">
        <v>260196</v>
      </c>
      <c r="BL481" s="483">
        <v>277338</v>
      </c>
      <c r="BM481" s="483">
        <v>292031</v>
      </c>
      <c r="BN481" s="483">
        <v>260708</v>
      </c>
      <c r="BO481" s="483">
        <v>266758</v>
      </c>
      <c r="BP481" s="483">
        <v>285196</v>
      </c>
      <c r="BQ481" s="483">
        <v>302338</v>
      </c>
      <c r="BR481" s="1344">
        <v>317031</v>
      </c>
      <c r="BS481" s="1545"/>
      <c r="BU481" s="1545"/>
      <c r="BV481" s="1545"/>
      <c r="BW481" s="1545"/>
      <c r="BX481" s="1545"/>
      <c r="BY481" s="1545"/>
      <c r="BZ481" s="1545"/>
      <c r="CA481" s="1545"/>
      <c r="CB481" s="1545"/>
      <c r="CC481" s="1545"/>
      <c r="CD481" s="1348" t="s">
        <v>2960</v>
      </c>
      <c r="CE481" s="504">
        <v>180708</v>
      </c>
      <c r="CF481" s="504">
        <v>186758</v>
      </c>
      <c r="CG481" s="504">
        <v>205196</v>
      </c>
      <c r="CH481" s="504">
        <v>222338</v>
      </c>
      <c r="CI481" s="504">
        <v>237031</v>
      </c>
      <c r="CJ481" s="504">
        <v>195708</v>
      </c>
      <c r="CK481" s="504">
        <v>201758</v>
      </c>
      <c r="CL481" s="504">
        <v>220196</v>
      </c>
      <c r="CM481" s="504">
        <v>237338</v>
      </c>
      <c r="CN481" s="1347">
        <v>252031</v>
      </c>
    </row>
    <row r="482" spans="60:92" ht="18" customHeight="1">
      <c r="BH482" s="1348" t="s">
        <v>2961</v>
      </c>
      <c r="BI482" s="483">
        <v>247952</v>
      </c>
      <c r="BJ482" s="483">
        <v>254866</v>
      </c>
      <c r="BK482" s="483">
        <v>275897</v>
      </c>
      <c r="BL482" s="483">
        <v>295488</v>
      </c>
      <c r="BM482" s="483">
        <v>312341</v>
      </c>
      <c r="BN482" s="483">
        <v>272952</v>
      </c>
      <c r="BO482" s="483">
        <v>279866</v>
      </c>
      <c r="BP482" s="483">
        <v>300897</v>
      </c>
      <c r="BQ482" s="483">
        <v>320488</v>
      </c>
      <c r="BR482" s="1344">
        <v>337341</v>
      </c>
      <c r="BS482" s="1545"/>
      <c r="BU482" s="1545"/>
      <c r="BV482" s="1545"/>
      <c r="BW482" s="1545"/>
      <c r="BX482" s="1545"/>
      <c r="BY482" s="1545"/>
      <c r="BZ482" s="1545"/>
      <c r="CA482" s="1545"/>
      <c r="CB482" s="1545"/>
      <c r="CC482" s="1545"/>
      <c r="CD482" s="1348" t="s">
        <v>2961</v>
      </c>
      <c r="CE482" s="504">
        <v>192952</v>
      </c>
      <c r="CF482" s="504">
        <v>199866</v>
      </c>
      <c r="CG482" s="504">
        <v>220897</v>
      </c>
      <c r="CH482" s="504">
        <v>240488</v>
      </c>
      <c r="CI482" s="504">
        <v>257341</v>
      </c>
      <c r="CJ482" s="504">
        <v>207952</v>
      </c>
      <c r="CK482" s="504">
        <v>214866</v>
      </c>
      <c r="CL482" s="504">
        <v>235897</v>
      </c>
      <c r="CM482" s="504">
        <v>255488</v>
      </c>
      <c r="CN482" s="1347">
        <v>272341</v>
      </c>
    </row>
    <row r="483" spans="60:92" ht="18" customHeight="1">
      <c r="BH483" s="1348" t="s">
        <v>2962</v>
      </c>
      <c r="BI483" s="483">
        <v>260196</v>
      </c>
      <c r="BJ483" s="483">
        <v>267975</v>
      </c>
      <c r="BK483" s="483">
        <v>291743</v>
      </c>
      <c r="BL483" s="483">
        <v>313782</v>
      </c>
      <c r="BM483" s="483">
        <v>332652</v>
      </c>
      <c r="BN483" s="483">
        <v>285196</v>
      </c>
      <c r="BO483" s="483">
        <v>292975</v>
      </c>
      <c r="BP483" s="483">
        <v>316743</v>
      </c>
      <c r="BQ483" s="483">
        <v>338782</v>
      </c>
      <c r="BR483" s="1344">
        <v>357652</v>
      </c>
      <c r="BS483" s="1545"/>
      <c r="BU483" s="1545"/>
      <c r="BV483" s="1545"/>
      <c r="BW483" s="1545"/>
      <c r="BX483" s="1545"/>
      <c r="BY483" s="1545"/>
      <c r="BZ483" s="1545"/>
      <c r="CA483" s="1545"/>
      <c r="CB483" s="1545"/>
      <c r="CC483" s="1545"/>
      <c r="CD483" s="1348" t="s">
        <v>2962</v>
      </c>
      <c r="CE483" s="504">
        <v>205196</v>
      </c>
      <c r="CF483" s="504">
        <v>212975</v>
      </c>
      <c r="CG483" s="504">
        <v>236743</v>
      </c>
      <c r="CH483" s="504">
        <v>258782</v>
      </c>
      <c r="CI483" s="504">
        <v>277652</v>
      </c>
      <c r="CJ483" s="504">
        <v>220196</v>
      </c>
      <c r="CK483" s="504">
        <v>227975</v>
      </c>
      <c r="CL483" s="504">
        <v>251743</v>
      </c>
      <c r="CM483" s="504">
        <v>273782</v>
      </c>
      <c r="CN483" s="1347">
        <v>292652</v>
      </c>
    </row>
    <row r="484" spans="60:92" ht="18" customHeight="1">
      <c r="BH484" s="1343" t="s">
        <v>2963</v>
      </c>
      <c r="BI484" s="483">
        <v>150000</v>
      </c>
      <c r="BJ484" s="483">
        <v>150000</v>
      </c>
      <c r="BK484" s="483">
        <v>150000</v>
      </c>
      <c r="BL484" s="483">
        <v>150000</v>
      </c>
      <c r="BM484" s="483">
        <v>150000</v>
      </c>
      <c r="BN484" s="483">
        <v>175000</v>
      </c>
      <c r="BO484" s="483">
        <v>175000</v>
      </c>
      <c r="BP484" s="483">
        <v>175000</v>
      </c>
      <c r="BQ484" s="483">
        <v>175000</v>
      </c>
      <c r="BR484" s="1344">
        <v>175000</v>
      </c>
      <c r="BS484" s="1545"/>
      <c r="BU484" s="1545"/>
      <c r="BV484" s="1545"/>
      <c r="BW484" s="1545"/>
      <c r="BX484" s="1545"/>
      <c r="BY484" s="1545"/>
      <c r="BZ484" s="1545"/>
      <c r="CA484" s="1545"/>
      <c r="CB484" s="1545"/>
      <c r="CC484" s="1545"/>
      <c r="CD484" s="1343" t="s">
        <v>2963</v>
      </c>
      <c r="CE484" s="504">
        <v>95000</v>
      </c>
      <c r="CF484" s="504">
        <v>95000</v>
      </c>
      <c r="CG484" s="504">
        <v>95000</v>
      </c>
      <c r="CH484" s="504">
        <v>95000</v>
      </c>
      <c r="CI484" s="504">
        <v>95000</v>
      </c>
      <c r="CJ484" s="504">
        <v>110000</v>
      </c>
      <c r="CK484" s="504">
        <v>110000</v>
      </c>
      <c r="CL484" s="504">
        <v>110000</v>
      </c>
      <c r="CM484" s="504">
        <v>110000</v>
      </c>
      <c r="CN484" s="1347">
        <v>110000</v>
      </c>
    </row>
    <row r="485" spans="60:92" ht="18" customHeight="1">
      <c r="BH485" s="1348" t="s">
        <v>2964</v>
      </c>
      <c r="BI485" s="483">
        <v>164693</v>
      </c>
      <c r="BJ485" s="483">
        <v>165701</v>
      </c>
      <c r="BK485" s="483">
        <v>168870</v>
      </c>
      <c r="BL485" s="483">
        <v>171895</v>
      </c>
      <c r="BM485" s="483">
        <v>174344</v>
      </c>
      <c r="BN485" s="483">
        <v>189693</v>
      </c>
      <c r="BO485" s="483">
        <v>190701</v>
      </c>
      <c r="BP485" s="483">
        <v>193870</v>
      </c>
      <c r="BQ485" s="483">
        <v>196895</v>
      </c>
      <c r="BR485" s="1344">
        <v>199344</v>
      </c>
      <c r="BS485" s="1545"/>
      <c r="BU485" s="1545"/>
      <c r="BV485" s="1545"/>
      <c r="BW485" s="1545"/>
      <c r="BX485" s="1545"/>
      <c r="BY485" s="1545"/>
      <c r="BZ485" s="1545"/>
      <c r="CA485" s="1545"/>
      <c r="CB485" s="1545"/>
      <c r="CC485" s="1545"/>
      <c r="CD485" s="1348" t="s">
        <v>2964</v>
      </c>
      <c r="CE485" s="504">
        <v>109693</v>
      </c>
      <c r="CF485" s="504">
        <v>110701</v>
      </c>
      <c r="CG485" s="504">
        <v>113870</v>
      </c>
      <c r="CH485" s="504">
        <v>116895</v>
      </c>
      <c r="CI485" s="504">
        <v>119344</v>
      </c>
      <c r="CJ485" s="504">
        <v>124693</v>
      </c>
      <c r="CK485" s="504">
        <v>125701</v>
      </c>
      <c r="CL485" s="504">
        <v>128870</v>
      </c>
      <c r="CM485" s="504">
        <v>131895</v>
      </c>
      <c r="CN485" s="1347">
        <v>134344</v>
      </c>
    </row>
    <row r="486" spans="60:92" ht="18" customHeight="1">
      <c r="BH486" s="1348" t="s">
        <v>2965</v>
      </c>
      <c r="BI486" s="483">
        <v>179386</v>
      </c>
      <c r="BJ486" s="483">
        <v>181402</v>
      </c>
      <c r="BK486" s="483">
        <v>187740</v>
      </c>
      <c r="BL486" s="483">
        <v>193646</v>
      </c>
      <c r="BM486" s="483">
        <v>198688</v>
      </c>
      <c r="BN486" s="483">
        <v>204386</v>
      </c>
      <c r="BO486" s="483">
        <v>206402</v>
      </c>
      <c r="BP486" s="483">
        <v>212740</v>
      </c>
      <c r="BQ486" s="483">
        <v>218646</v>
      </c>
      <c r="BR486" s="1344">
        <v>223688</v>
      </c>
      <c r="BS486" s="1545"/>
      <c r="BU486" s="1545"/>
      <c r="BV486" s="1545"/>
      <c r="BW486" s="1545"/>
      <c r="BX486" s="1545"/>
      <c r="BY486" s="1545"/>
      <c r="BZ486" s="1545"/>
      <c r="CA486" s="1545"/>
      <c r="CB486" s="1545"/>
      <c r="CC486" s="1545"/>
      <c r="CD486" s="1348" t="s">
        <v>2965</v>
      </c>
      <c r="CE486" s="504">
        <v>124386</v>
      </c>
      <c r="CF486" s="504">
        <v>126402</v>
      </c>
      <c r="CG486" s="504">
        <v>132740</v>
      </c>
      <c r="CH486" s="504">
        <v>138646</v>
      </c>
      <c r="CI486" s="504">
        <v>143688</v>
      </c>
      <c r="CJ486" s="504">
        <v>139386</v>
      </c>
      <c r="CK486" s="504">
        <v>141402</v>
      </c>
      <c r="CL486" s="504">
        <v>147740</v>
      </c>
      <c r="CM486" s="504">
        <v>153646</v>
      </c>
      <c r="CN486" s="1347">
        <v>158688</v>
      </c>
    </row>
    <row r="487" spans="60:92" ht="18" customHeight="1">
      <c r="BH487" s="1348" t="s">
        <v>2966</v>
      </c>
      <c r="BI487" s="483">
        <v>194078</v>
      </c>
      <c r="BJ487" s="483">
        <v>197103</v>
      </c>
      <c r="BK487" s="483">
        <v>206611</v>
      </c>
      <c r="BL487" s="483">
        <v>215397</v>
      </c>
      <c r="BM487" s="483">
        <v>223032</v>
      </c>
      <c r="BN487" s="483">
        <v>219078</v>
      </c>
      <c r="BO487" s="483">
        <v>222103</v>
      </c>
      <c r="BP487" s="483">
        <v>231611</v>
      </c>
      <c r="BQ487" s="483">
        <v>240397</v>
      </c>
      <c r="BR487" s="1344">
        <v>248032</v>
      </c>
      <c r="BS487" s="1545"/>
      <c r="BU487" s="1545"/>
      <c r="BV487" s="1545"/>
      <c r="BW487" s="1545"/>
      <c r="BX487" s="1545"/>
      <c r="BY487" s="1545"/>
      <c r="BZ487" s="1545"/>
      <c r="CA487" s="1545"/>
      <c r="CB487" s="1545"/>
      <c r="CC487" s="1545"/>
      <c r="CD487" s="1348" t="s">
        <v>2966</v>
      </c>
      <c r="CE487" s="504">
        <v>139078</v>
      </c>
      <c r="CF487" s="504">
        <v>142103</v>
      </c>
      <c r="CG487" s="504">
        <v>151611</v>
      </c>
      <c r="CH487" s="504">
        <v>160397</v>
      </c>
      <c r="CI487" s="504">
        <v>168032</v>
      </c>
      <c r="CJ487" s="504">
        <v>154078</v>
      </c>
      <c r="CK487" s="504">
        <v>157103</v>
      </c>
      <c r="CL487" s="504">
        <v>166611</v>
      </c>
      <c r="CM487" s="504">
        <v>175397</v>
      </c>
      <c r="CN487" s="1347">
        <v>183032</v>
      </c>
    </row>
    <row r="488" spans="60:92" ht="18" customHeight="1">
      <c r="BH488" s="1348" t="s">
        <v>2967</v>
      </c>
      <c r="BI488" s="483">
        <v>208627</v>
      </c>
      <c r="BJ488" s="483">
        <v>212805</v>
      </c>
      <c r="BK488" s="483">
        <v>225337</v>
      </c>
      <c r="BL488" s="483">
        <v>237149</v>
      </c>
      <c r="BM488" s="483">
        <v>247232</v>
      </c>
      <c r="BN488" s="483">
        <v>233627</v>
      </c>
      <c r="BO488" s="483">
        <v>237805</v>
      </c>
      <c r="BP488" s="483">
        <v>250337</v>
      </c>
      <c r="BQ488" s="483">
        <v>262149</v>
      </c>
      <c r="BR488" s="1344">
        <v>272232</v>
      </c>
      <c r="BS488" s="1545"/>
      <c r="BU488" s="1545"/>
      <c r="BV488" s="1545"/>
      <c r="BW488" s="1545"/>
      <c r="BX488" s="1545"/>
      <c r="BY488" s="1545"/>
      <c r="BZ488" s="1545"/>
      <c r="CA488" s="1545"/>
      <c r="CB488" s="1545"/>
      <c r="CC488" s="1545"/>
      <c r="CD488" s="1348" t="s">
        <v>2967</v>
      </c>
      <c r="CE488" s="504">
        <v>153627</v>
      </c>
      <c r="CF488" s="504">
        <v>157805</v>
      </c>
      <c r="CG488" s="504">
        <v>170337</v>
      </c>
      <c r="CH488" s="504">
        <v>182149</v>
      </c>
      <c r="CI488" s="504">
        <v>192232</v>
      </c>
      <c r="CJ488" s="504">
        <v>168627</v>
      </c>
      <c r="CK488" s="504">
        <v>172805</v>
      </c>
      <c r="CL488" s="504">
        <v>185337</v>
      </c>
      <c r="CM488" s="504">
        <v>197149</v>
      </c>
      <c r="CN488" s="1347">
        <v>207232</v>
      </c>
    </row>
    <row r="489" spans="60:92" ht="18" customHeight="1">
      <c r="BH489" s="1348" t="s">
        <v>2968</v>
      </c>
      <c r="BI489" s="483">
        <v>223320</v>
      </c>
      <c r="BJ489" s="483">
        <v>228650</v>
      </c>
      <c r="BK489" s="483">
        <v>244207</v>
      </c>
      <c r="BL489" s="483">
        <v>259044</v>
      </c>
      <c r="BM489" s="483">
        <v>271576</v>
      </c>
      <c r="BN489" s="483">
        <v>248320</v>
      </c>
      <c r="BO489" s="483">
        <v>253650</v>
      </c>
      <c r="BP489" s="483">
        <v>269207</v>
      </c>
      <c r="BQ489" s="483">
        <v>284044</v>
      </c>
      <c r="BR489" s="1344">
        <v>296576</v>
      </c>
      <c r="BS489" s="1545"/>
      <c r="BU489" s="1545"/>
      <c r="BV489" s="1545"/>
      <c r="BW489" s="1545"/>
      <c r="BX489" s="1545"/>
      <c r="BY489" s="1545"/>
      <c r="BZ489" s="1545"/>
      <c r="CA489" s="1545"/>
      <c r="CB489" s="1545"/>
      <c r="CC489" s="1545"/>
      <c r="CD489" s="1348" t="s">
        <v>2968</v>
      </c>
      <c r="CE489" s="504">
        <v>168320</v>
      </c>
      <c r="CF489" s="504">
        <v>173650</v>
      </c>
      <c r="CG489" s="504">
        <v>189207</v>
      </c>
      <c r="CH489" s="504">
        <v>204044</v>
      </c>
      <c r="CI489" s="504">
        <v>216576</v>
      </c>
      <c r="CJ489" s="504">
        <v>183320</v>
      </c>
      <c r="CK489" s="504">
        <v>188650</v>
      </c>
      <c r="CL489" s="504">
        <v>204207</v>
      </c>
      <c r="CM489" s="504">
        <v>219044</v>
      </c>
      <c r="CN489" s="1347">
        <v>231576</v>
      </c>
    </row>
    <row r="490" spans="60:92" ht="18" customHeight="1">
      <c r="BH490" s="1348" t="s">
        <v>2969</v>
      </c>
      <c r="BI490" s="483">
        <v>238013</v>
      </c>
      <c r="BJ490" s="483">
        <v>244351</v>
      </c>
      <c r="BK490" s="483">
        <v>263077</v>
      </c>
      <c r="BL490" s="483">
        <v>280795</v>
      </c>
      <c r="BM490" s="483">
        <v>295920</v>
      </c>
      <c r="BN490" s="483">
        <v>263013</v>
      </c>
      <c r="BO490" s="483">
        <v>269351</v>
      </c>
      <c r="BP490" s="483">
        <v>288077</v>
      </c>
      <c r="BQ490" s="483">
        <v>305795</v>
      </c>
      <c r="BR490" s="1344">
        <v>320920</v>
      </c>
      <c r="BS490" s="1545"/>
      <c r="BU490" s="1545"/>
      <c r="BV490" s="1545"/>
      <c r="BW490" s="1545"/>
      <c r="BX490" s="1545"/>
      <c r="BY490" s="1545"/>
      <c r="BZ490" s="1545"/>
      <c r="CA490" s="1545"/>
      <c r="CB490" s="1545"/>
      <c r="CC490" s="1545"/>
      <c r="CD490" s="1348" t="s">
        <v>2969</v>
      </c>
      <c r="CE490" s="504">
        <v>183013</v>
      </c>
      <c r="CF490" s="504">
        <v>189351</v>
      </c>
      <c r="CG490" s="504">
        <v>208077</v>
      </c>
      <c r="CH490" s="504">
        <v>225795</v>
      </c>
      <c r="CI490" s="504">
        <v>240920</v>
      </c>
      <c r="CJ490" s="504">
        <v>198013</v>
      </c>
      <c r="CK490" s="504">
        <v>204351</v>
      </c>
      <c r="CL490" s="504">
        <v>223077</v>
      </c>
      <c r="CM490" s="504">
        <v>240795</v>
      </c>
      <c r="CN490" s="1347">
        <v>255920</v>
      </c>
    </row>
    <row r="491" spans="60:92" ht="18" customHeight="1">
      <c r="BH491" s="1348" t="s">
        <v>2970</v>
      </c>
      <c r="BI491" s="483">
        <v>252706</v>
      </c>
      <c r="BJ491" s="483">
        <v>260052</v>
      </c>
      <c r="BK491" s="483">
        <v>281947</v>
      </c>
      <c r="BL491" s="483">
        <v>302546</v>
      </c>
      <c r="BM491" s="483">
        <v>320264</v>
      </c>
      <c r="BN491" s="483">
        <v>277706</v>
      </c>
      <c r="BO491" s="483">
        <v>285052</v>
      </c>
      <c r="BP491" s="483">
        <v>306947</v>
      </c>
      <c r="BQ491" s="483">
        <v>327546</v>
      </c>
      <c r="BR491" s="1344">
        <v>345264</v>
      </c>
      <c r="BS491" s="1545"/>
      <c r="BU491" s="1545"/>
      <c r="BV491" s="1545"/>
      <c r="BW491" s="1545"/>
      <c r="BX491" s="1545"/>
      <c r="BY491" s="1545"/>
      <c r="BZ491" s="1545"/>
      <c r="CA491" s="1545"/>
      <c r="CB491" s="1545"/>
      <c r="CC491" s="1545"/>
      <c r="CD491" s="1348" t="s">
        <v>2970</v>
      </c>
      <c r="CE491" s="504">
        <v>197706</v>
      </c>
      <c r="CF491" s="504">
        <v>205052</v>
      </c>
      <c r="CG491" s="504">
        <v>226947</v>
      </c>
      <c r="CH491" s="504">
        <v>247546</v>
      </c>
      <c r="CI491" s="504">
        <v>265264</v>
      </c>
      <c r="CJ491" s="504">
        <v>212706</v>
      </c>
      <c r="CK491" s="504">
        <v>220052</v>
      </c>
      <c r="CL491" s="504">
        <v>241947</v>
      </c>
      <c r="CM491" s="504">
        <v>262546</v>
      </c>
      <c r="CN491" s="1347">
        <v>280264</v>
      </c>
    </row>
    <row r="492" spans="60:92" ht="18" customHeight="1">
      <c r="BH492" s="1348" t="s">
        <v>2971</v>
      </c>
      <c r="BI492" s="483">
        <v>267399</v>
      </c>
      <c r="BJ492" s="483">
        <v>275753</v>
      </c>
      <c r="BK492" s="483">
        <v>300818</v>
      </c>
      <c r="BL492" s="483">
        <v>324297</v>
      </c>
      <c r="BM492" s="483">
        <v>344464</v>
      </c>
      <c r="BN492" s="483">
        <v>292399</v>
      </c>
      <c r="BO492" s="483">
        <v>300753</v>
      </c>
      <c r="BP492" s="483">
        <v>325818</v>
      </c>
      <c r="BQ492" s="483">
        <v>349297</v>
      </c>
      <c r="BR492" s="1344">
        <v>369464</v>
      </c>
      <c r="BS492" s="1545"/>
      <c r="BU492" s="1545"/>
      <c r="BV492" s="1545"/>
      <c r="BW492" s="1545"/>
      <c r="BX492" s="1545"/>
      <c r="BY492" s="1545"/>
      <c r="BZ492" s="1545"/>
      <c r="CA492" s="1545"/>
      <c r="CB492" s="1545"/>
      <c r="CC492" s="1545"/>
      <c r="CD492" s="1348" t="s">
        <v>2971</v>
      </c>
      <c r="CE492" s="504">
        <v>212399</v>
      </c>
      <c r="CF492" s="504">
        <v>220753</v>
      </c>
      <c r="CG492" s="504">
        <v>245818</v>
      </c>
      <c r="CH492" s="504">
        <v>269297</v>
      </c>
      <c r="CI492" s="504">
        <v>289464</v>
      </c>
      <c r="CJ492" s="504">
        <v>227399</v>
      </c>
      <c r="CK492" s="504">
        <v>235753</v>
      </c>
      <c r="CL492" s="504">
        <v>260818</v>
      </c>
      <c r="CM492" s="504">
        <v>284297</v>
      </c>
      <c r="CN492" s="1347">
        <v>304464</v>
      </c>
    </row>
    <row r="493" spans="60:92" ht="18" customHeight="1">
      <c r="BH493" s="1348" t="s">
        <v>2972</v>
      </c>
      <c r="BI493" s="483">
        <v>282091</v>
      </c>
      <c r="BJ493" s="483">
        <v>291454</v>
      </c>
      <c r="BK493" s="483">
        <v>319688</v>
      </c>
      <c r="BL493" s="483">
        <v>346192</v>
      </c>
      <c r="BM493" s="483">
        <v>368808</v>
      </c>
      <c r="BN493" s="483">
        <v>307091</v>
      </c>
      <c r="BO493" s="483">
        <v>316454</v>
      </c>
      <c r="BP493" s="483">
        <v>344688</v>
      </c>
      <c r="BQ493" s="483">
        <v>371192</v>
      </c>
      <c r="BR493" s="1344">
        <v>393808</v>
      </c>
      <c r="BS493" s="1545"/>
      <c r="BU493" s="1545"/>
      <c r="BV493" s="1545"/>
      <c r="BW493" s="1545"/>
      <c r="BX493" s="1545"/>
      <c r="BY493" s="1545"/>
      <c r="BZ493" s="1545"/>
      <c r="CA493" s="1545"/>
      <c r="CB493" s="1545"/>
      <c r="CC493" s="1545"/>
      <c r="CD493" s="1348" t="s">
        <v>2972</v>
      </c>
      <c r="CE493" s="504">
        <v>227091</v>
      </c>
      <c r="CF493" s="504">
        <v>236454</v>
      </c>
      <c r="CG493" s="504">
        <v>264688</v>
      </c>
      <c r="CH493" s="504">
        <v>291192</v>
      </c>
      <c r="CI493" s="504">
        <v>313808</v>
      </c>
      <c r="CJ493" s="504">
        <v>242091</v>
      </c>
      <c r="CK493" s="504">
        <v>251454</v>
      </c>
      <c r="CL493" s="504">
        <v>279688</v>
      </c>
      <c r="CM493" s="504">
        <v>306192</v>
      </c>
      <c r="CN493" s="1347">
        <v>328808</v>
      </c>
    </row>
    <row r="494" spans="60:92" ht="18" customHeight="1">
      <c r="BH494" s="1343" t="s">
        <v>2973</v>
      </c>
      <c r="BI494" s="483">
        <v>150000</v>
      </c>
      <c r="BJ494" s="483">
        <v>150000</v>
      </c>
      <c r="BK494" s="483">
        <v>150000</v>
      </c>
      <c r="BL494" s="483">
        <v>150000</v>
      </c>
      <c r="BM494" s="483">
        <v>150000</v>
      </c>
      <c r="BN494" s="483">
        <v>175000</v>
      </c>
      <c r="BO494" s="483">
        <v>175000</v>
      </c>
      <c r="BP494" s="483">
        <v>175000</v>
      </c>
      <c r="BQ494" s="483">
        <v>175000</v>
      </c>
      <c r="BR494" s="1344">
        <v>175000</v>
      </c>
      <c r="BS494" s="1545"/>
      <c r="BU494" s="1545"/>
      <c r="BV494" s="1545"/>
      <c r="BW494" s="1545"/>
      <c r="BX494" s="1545"/>
      <c r="BY494" s="1545"/>
      <c r="BZ494" s="1545"/>
      <c r="CA494" s="1545"/>
      <c r="CB494" s="1545"/>
      <c r="CC494" s="1545"/>
      <c r="CD494" s="1343" t="s">
        <v>2973</v>
      </c>
      <c r="CE494" s="504">
        <v>95000</v>
      </c>
      <c r="CF494" s="504">
        <v>95000</v>
      </c>
      <c r="CG494" s="504">
        <v>95000</v>
      </c>
      <c r="CH494" s="504">
        <v>95000</v>
      </c>
      <c r="CI494" s="504">
        <v>95000</v>
      </c>
      <c r="CJ494" s="504">
        <v>110000</v>
      </c>
      <c r="CK494" s="504">
        <v>110000</v>
      </c>
      <c r="CL494" s="504">
        <v>110000</v>
      </c>
      <c r="CM494" s="504">
        <v>110000</v>
      </c>
      <c r="CN494" s="1347">
        <v>110000</v>
      </c>
    </row>
    <row r="495" spans="60:92" ht="18" customHeight="1">
      <c r="BH495" s="1348" t="s">
        <v>2974</v>
      </c>
      <c r="BI495" s="483">
        <v>159075</v>
      </c>
      <c r="BJ495" s="483">
        <v>159651</v>
      </c>
      <c r="BK495" s="483">
        <v>161668</v>
      </c>
      <c r="BL495" s="483">
        <v>163396</v>
      </c>
      <c r="BM495" s="483">
        <v>164981</v>
      </c>
      <c r="BN495" s="483">
        <v>184075</v>
      </c>
      <c r="BO495" s="483">
        <v>184651</v>
      </c>
      <c r="BP495" s="483">
        <v>186668</v>
      </c>
      <c r="BQ495" s="483">
        <v>188396</v>
      </c>
      <c r="BR495" s="1344">
        <v>189981</v>
      </c>
      <c r="BS495" s="1545"/>
      <c r="BU495" s="1545"/>
      <c r="BV495" s="1545"/>
      <c r="BW495" s="1545"/>
      <c r="BX495" s="1545"/>
      <c r="BY495" s="1545"/>
      <c r="BZ495" s="1545"/>
      <c r="CA495" s="1545"/>
      <c r="CB495" s="1545"/>
      <c r="CC495" s="1545"/>
      <c r="CD495" s="1348" t="s">
        <v>2974</v>
      </c>
      <c r="CE495" s="504">
        <v>104075</v>
      </c>
      <c r="CF495" s="504">
        <v>104651</v>
      </c>
      <c r="CG495" s="504">
        <v>106668</v>
      </c>
      <c r="CH495" s="504">
        <v>108396</v>
      </c>
      <c r="CI495" s="504">
        <v>109981</v>
      </c>
      <c r="CJ495" s="504">
        <v>119075</v>
      </c>
      <c r="CK495" s="504">
        <v>119651</v>
      </c>
      <c r="CL495" s="504">
        <v>121668</v>
      </c>
      <c r="CM495" s="504">
        <v>123396</v>
      </c>
      <c r="CN495" s="1347">
        <v>124981</v>
      </c>
    </row>
    <row r="496" spans="60:92" ht="18" customHeight="1">
      <c r="BH496" s="1348" t="s">
        <v>2975</v>
      </c>
      <c r="BI496" s="483">
        <v>168006</v>
      </c>
      <c r="BJ496" s="483">
        <v>169302</v>
      </c>
      <c r="BK496" s="483">
        <v>173192</v>
      </c>
      <c r="BL496" s="483">
        <v>176793</v>
      </c>
      <c r="BM496" s="483">
        <v>179818</v>
      </c>
      <c r="BN496" s="483">
        <v>193006</v>
      </c>
      <c r="BO496" s="483">
        <v>194302</v>
      </c>
      <c r="BP496" s="483">
        <v>198192</v>
      </c>
      <c r="BQ496" s="483">
        <v>201793</v>
      </c>
      <c r="BR496" s="1344">
        <v>204818</v>
      </c>
      <c r="BS496" s="1545"/>
      <c r="BU496" s="1545"/>
      <c r="BV496" s="1545"/>
      <c r="BW496" s="1545"/>
      <c r="BX496" s="1545"/>
      <c r="BY496" s="1545"/>
      <c r="BZ496" s="1545"/>
      <c r="CA496" s="1545"/>
      <c r="CB496" s="1545"/>
      <c r="CC496" s="1545"/>
      <c r="CD496" s="1348" t="s">
        <v>2975</v>
      </c>
      <c r="CE496" s="504">
        <v>113006</v>
      </c>
      <c r="CF496" s="504">
        <v>114302</v>
      </c>
      <c r="CG496" s="504">
        <v>118192</v>
      </c>
      <c r="CH496" s="504">
        <v>121793</v>
      </c>
      <c r="CI496" s="504">
        <v>124818</v>
      </c>
      <c r="CJ496" s="504">
        <v>128006</v>
      </c>
      <c r="CK496" s="504">
        <v>129302</v>
      </c>
      <c r="CL496" s="504">
        <v>133192</v>
      </c>
      <c r="CM496" s="504">
        <v>136793</v>
      </c>
      <c r="CN496" s="1347">
        <v>139818</v>
      </c>
    </row>
    <row r="497" spans="60:92" ht="18" customHeight="1">
      <c r="BH497" s="1348" t="s">
        <v>2976</v>
      </c>
      <c r="BI497" s="483">
        <v>177081</v>
      </c>
      <c r="BJ497" s="483">
        <v>178954</v>
      </c>
      <c r="BK497" s="483">
        <v>184715</v>
      </c>
      <c r="BL497" s="483">
        <v>190189</v>
      </c>
      <c r="BM497" s="483">
        <v>194799</v>
      </c>
      <c r="BN497" s="483">
        <v>202081</v>
      </c>
      <c r="BO497" s="483">
        <v>203954</v>
      </c>
      <c r="BP497" s="483">
        <v>209715</v>
      </c>
      <c r="BQ497" s="483">
        <v>215189</v>
      </c>
      <c r="BR497" s="1344">
        <v>219799</v>
      </c>
      <c r="BS497" s="1545"/>
      <c r="BU497" s="1545"/>
      <c r="BV497" s="1545"/>
      <c r="BW497" s="1545"/>
      <c r="BX497" s="1545"/>
      <c r="BY497" s="1545"/>
      <c r="BZ497" s="1545"/>
      <c r="CA497" s="1545"/>
      <c r="CB497" s="1545"/>
      <c r="CC497" s="1545"/>
      <c r="CD497" s="1348" t="s">
        <v>2976</v>
      </c>
      <c r="CE497" s="504">
        <v>122081</v>
      </c>
      <c r="CF497" s="504">
        <v>123954</v>
      </c>
      <c r="CG497" s="504">
        <v>129715</v>
      </c>
      <c r="CH497" s="504">
        <v>135189</v>
      </c>
      <c r="CI497" s="504">
        <v>139799</v>
      </c>
      <c r="CJ497" s="504">
        <v>137081</v>
      </c>
      <c r="CK497" s="504">
        <v>138954</v>
      </c>
      <c r="CL497" s="504">
        <v>144715</v>
      </c>
      <c r="CM497" s="504">
        <v>150189</v>
      </c>
      <c r="CN497" s="1347">
        <v>154799</v>
      </c>
    </row>
    <row r="498" spans="60:92" ht="18" customHeight="1">
      <c r="BH498" s="1348" t="s">
        <v>2977</v>
      </c>
      <c r="BI498" s="483">
        <v>186012</v>
      </c>
      <c r="BJ498" s="483">
        <v>188605</v>
      </c>
      <c r="BK498" s="483">
        <v>196239</v>
      </c>
      <c r="BL498" s="483">
        <v>203442</v>
      </c>
      <c r="BM498" s="483">
        <v>209636</v>
      </c>
      <c r="BN498" s="483">
        <v>211012</v>
      </c>
      <c r="BO498" s="483">
        <v>213605</v>
      </c>
      <c r="BP498" s="483">
        <v>221239</v>
      </c>
      <c r="BQ498" s="483">
        <v>228442</v>
      </c>
      <c r="BR498" s="1344">
        <v>234636</v>
      </c>
      <c r="BS498" s="1545"/>
      <c r="BU498" s="1545"/>
      <c r="BV498" s="1545"/>
      <c r="BW498" s="1545"/>
      <c r="BX498" s="1545"/>
      <c r="BY498" s="1545"/>
      <c r="BZ498" s="1545"/>
      <c r="CA498" s="1545"/>
      <c r="CB498" s="1545"/>
      <c r="CC498" s="1545"/>
      <c r="CD498" s="1348" t="s">
        <v>2977</v>
      </c>
      <c r="CE498" s="504">
        <v>131012</v>
      </c>
      <c r="CF498" s="504">
        <v>133605</v>
      </c>
      <c r="CG498" s="504">
        <v>141239</v>
      </c>
      <c r="CH498" s="504">
        <v>148442</v>
      </c>
      <c r="CI498" s="504">
        <v>154636</v>
      </c>
      <c r="CJ498" s="504">
        <v>146012</v>
      </c>
      <c r="CK498" s="504">
        <v>148605</v>
      </c>
      <c r="CL498" s="504">
        <v>156239</v>
      </c>
      <c r="CM498" s="504">
        <v>163442</v>
      </c>
      <c r="CN498" s="1347">
        <v>169636</v>
      </c>
    </row>
    <row r="499" spans="60:92" ht="18" customHeight="1">
      <c r="BH499" s="1348" t="s">
        <v>2978</v>
      </c>
      <c r="BI499" s="483">
        <v>195087</v>
      </c>
      <c r="BJ499" s="483">
        <v>198256</v>
      </c>
      <c r="BK499" s="483">
        <v>207907</v>
      </c>
      <c r="BL499" s="483">
        <v>216838</v>
      </c>
      <c r="BM499" s="483">
        <v>224617</v>
      </c>
      <c r="BN499" s="483">
        <v>220087</v>
      </c>
      <c r="BO499" s="483">
        <v>223256</v>
      </c>
      <c r="BP499" s="483">
        <v>232907</v>
      </c>
      <c r="BQ499" s="483">
        <v>241838</v>
      </c>
      <c r="BR499" s="1344">
        <v>249617</v>
      </c>
      <c r="BS499" s="1545"/>
      <c r="BU499" s="1545"/>
      <c r="BV499" s="1545"/>
      <c r="BW499" s="1545"/>
      <c r="BX499" s="1545"/>
      <c r="BY499" s="1545"/>
      <c r="BZ499" s="1545"/>
      <c r="CA499" s="1545"/>
      <c r="CB499" s="1545"/>
      <c r="CC499" s="1545"/>
      <c r="CD499" s="1348" t="s">
        <v>2978</v>
      </c>
      <c r="CE499" s="504">
        <v>140087</v>
      </c>
      <c r="CF499" s="504">
        <v>143256</v>
      </c>
      <c r="CG499" s="504">
        <v>152907</v>
      </c>
      <c r="CH499" s="504">
        <v>161838</v>
      </c>
      <c r="CI499" s="504">
        <v>169617</v>
      </c>
      <c r="CJ499" s="504">
        <v>155087</v>
      </c>
      <c r="CK499" s="504">
        <v>158256</v>
      </c>
      <c r="CL499" s="504">
        <v>167907</v>
      </c>
      <c r="CM499" s="504">
        <v>176838</v>
      </c>
      <c r="CN499" s="1347">
        <v>184617</v>
      </c>
    </row>
    <row r="500" spans="60:92" ht="18" customHeight="1">
      <c r="BH500" s="1348" t="s">
        <v>2979</v>
      </c>
      <c r="BI500" s="483">
        <v>204018</v>
      </c>
      <c r="BJ500" s="483">
        <v>207907</v>
      </c>
      <c r="BK500" s="483">
        <v>219431</v>
      </c>
      <c r="BL500" s="483">
        <v>230234</v>
      </c>
      <c r="BM500" s="483">
        <v>239453</v>
      </c>
      <c r="BN500" s="483">
        <v>229018</v>
      </c>
      <c r="BO500" s="483">
        <v>232907</v>
      </c>
      <c r="BP500" s="483">
        <v>244431</v>
      </c>
      <c r="BQ500" s="483">
        <v>255234</v>
      </c>
      <c r="BR500" s="1344">
        <v>264453</v>
      </c>
      <c r="BS500" s="1545"/>
      <c r="BU500" s="1545"/>
      <c r="BV500" s="1545"/>
      <c r="BW500" s="1545"/>
      <c r="BX500" s="1545"/>
      <c r="BY500" s="1545"/>
      <c r="BZ500" s="1545"/>
      <c r="CA500" s="1545"/>
      <c r="CB500" s="1545"/>
      <c r="CC500" s="1545"/>
      <c r="CD500" s="1348" t="s">
        <v>2979</v>
      </c>
      <c r="CE500" s="504">
        <v>149018</v>
      </c>
      <c r="CF500" s="504">
        <v>152907</v>
      </c>
      <c r="CG500" s="504">
        <v>164431</v>
      </c>
      <c r="CH500" s="504">
        <v>175234</v>
      </c>
      <c r="CI500" s="504">
        <v>184453</v>
      </c>
      <c r="CJ500" s="504">
        <v>164018</v>
      </c>
      <c r="CK500" s="504">
        <v>167907</v>
      </c>
      <c r="CL500" s="504">
        <v>179431</v>
      </c>
      <c r="CM500" s="504">
        <v>190234</v>
      </c>
      <c r="CN500" s="1347">
        <v>199453</v>
      </c>
    </row>
    <row r="501" spans="60:92" ht="18" customHeight="1">
      <c r="BH501" s="1348" t="s">
        <v>2980</v>
      </c>
      <c r="BI501" s="483">
        <v>213093</v>
      </c>
      <c r="BJ501" s="483">
        <v>217558</v>
      </c>
      <c r="BK501" s="483">
        <v>230955</v>
      </c>
      <c r="BL501" s="483">
        <v>243631</v>
      </c>
      <c r="BM501" s="483">
        <v>254434</v>
      </c>
      <c r="BN501" s="483">
        <v>238093</v>
      </c>
      <c r="BO501" s="483">
        <v>242558</v>
      </c>
      <c r="BP501" s="483">
        <v>255955</v>
      </c>
      <c r="BQ501" s="483">
        <v>268631</v>
      </c>
      <c r="BR501" s="1344">
        <v>279434</v>
      </c>
      <c r="BS501" s="1545"/>
      <c r="BU501" s="1545"/>
      <c r="BV501" s="1545"/>
      <c r="BW501" s="1545"/>
      <c r="BX501" s="1545"/>
      <c r="BY501" s="1545"/>
      <c r="BZ501" s="1545"/>
      <c r="CA501" s="1545"/>
      <c r="CB501" s="1545"/>
      <c r="CC501" s="1545"/>
      <c r="CD501" s="1348" t="s">
        <v>2980</v>
      </c>
      <c r="CE501" s="504">
        <v>158093</v>
      </c>
      <c r="CF501" s="504">
        <v>162558</v>
      </c>
      <c r="CG501" s="504">
        <v>175955</v>
      </c>
      <c r="CH501" s="504">
        <v>188631</v>
      </c>
      <c r="CI501" s="504">
        <v>199434</v>
      </c>
      <c r="CJ501" s="504">
        <v>173093</v>
      </c>
      <c r="CK501" s="504">
        <v>177558</v>
      </c>
      <c r="CL501" s="504">
        <v>190955</v>
      </c>
      <c r="CM501" s="504">
        <v>203631</v>
      </c>
      <c r="CN501" s="1347">
        <v>214434</v>
      </c>
    </row>
    <row r="502" spans="60:92" ht="18" customHeight="1">
      <c r="BH502" s="1348" t="s">
        <v>2981</v>
      </c>
      <c r="BI502" s="483">
        <v>222024</v>
      </c>
      <c r="BJ502" s="483">
        <v>227209</v>
      </c>
      <c r="BK502" s="483">
        <v>242478</v>
      </c>
      <c r="BL502" s="483">
        <v>256883</v>
      </c>
      <c r="BM502" s="483">
        <v>269271</v>
      </c>
      <c r="BN502" s="483">
        <v>247024</v>
      </c>
      <c r="BO502" s="483">
        <v>252209</v>
      </c>
      <c r="BP502" s="483">
        <v>267478</v>
      </c>
      <c r="BQ502" s="483">
        <v>281883</v>
      </c>
      <c r="BR502" s="1344">
        <v>294271</v>
      </c>
      <c r="BS502" s="1545"/>
      <c r="BU502" s="1545"/>
      <c r="BV502" s="1545"/>
      <c r="BW502" s="1545"/>
      <c r="BX502" s="1545"/>
      <c r="BY502" s="1545"/>
      <c r="BZ502" s="1545"/>
      <c r="CA502" s="1545"/>
      <c r="CB502" s="1545"/>
      <c r="CC502" s="1545"/>
      <c r="CD502" s="1348" t="s">
        <v>2981</v>
      </c>
      <c r="CE502" s="504">
        <v>167024</v>
      </c>
      <c r="CF502" s="504">
        <v>172209</v>
      </c>
      <c r="CG502" s="504">
        <v>187478</v>
      </c>
      <c r="CH502" s="504">
        <v>201883</v>
      </c>
      <c r="CI502" s="504">
        <v>214271</v>
      </c>
      <c r="CJ502" s="504">
        <v>182024</v>
      </c>
      <c r="CK502" s="504">
        <v>187209</v>
      </c>
      <c r="CL502" s="504">
        <v>202478</v>
      </c>
      <c r="CM502" s="504">
        <v>216883</v>
      </c>
      <c r="CN502" s="1347">
        <v>229271</v>
      </c>
    </row>
    <row r="503" spans="60:92" ht="18" customHeight="1">
      <c r="BH503" s="1348" t="s">
        <v>2982</v>
      </c>
      <c r="BI503" s="483">
        <v>231099</v>
      </c>
      <c r="BJ503" s="483">
        <v>236861</v>
      </c>
      <c r="BK503" s="483">
        <v>254146</v>
      </c>
      <c r="BL503" s="483">
        <v>270279</v>
      </c>
      <c r="BM503" s="483">
        <v>284252</v>
      </c>
      <c r="BN503" s="483">
        <v>256099</v>
      </c>
      <c r="BO503" s="483">
        <v>261861</v>
      </c>
      <c r="BP503" s="483">
        <v>279146</v>
      </c>
      <c r="BQ503" s="483">
        <v>295279</v>
      </c>
      <c r="BR503" s="1344">
        <v>309252</v>
      </c>
      <c r="BS503" s="1545"/>
      <c r="BU503" s="1545"/>
      <c r="BV503" s="1545"/>
      <c r="BW503" s="1545"/>
      <c r="BX503" s="1545"/>
      <c r="BY503" s="1545"/>
      <c r="BZ503" s="1545"/>
      <c r="CA503" s="1545"/>
      <c r="CB503" s="1545"/>
      <c r="CC503" s="1545"/>
      <c r="CD503" s="1348" t="s">
        <v>2982</v>
      </c>
      <c r="CE503" s="504">
        <v>176099</v>
      </c>
      <c r="CF503" s="504">
        <v>181861</v>
      </c>
      <c r="CG503" s="504">
        <v>199146</v>
      </c>
      <c r="CH503" s="504">
        <v>215279</v>
      </c>
      <c r="CI503" s="504">
        <v>229252</v>
      </c>
      <c r="CJ503" s="504">
        <v>191099</v>
      </c>
      <c r="CK503" s="504">
        <v>196861</v>
      </c>
      <c r="CL503" s="504">
        <v>214146</v>
      </c>
      <c r="CM503" s="504">
        <v>230279</v>
      </c>
      <c r="CN503" s="1347">
        <v>244252</v>
      </c>
    </row>
    <row r="504" spans="60:92" ht="18" customHeight="1">
      <c r="BH504" s="1343" t="s">
        <v>2983</v>
      </c>
      <c r="BI504" s="483">
        <v>150000</v>
      </c>
      <c r="BJ504" s="483">
        <v>150000</v>
      </c>
      <c r="BK504" s="483">
        <v>150000</v>
      </c>
      <c r="BL504" s="483">
        <v>150000</v>
      </c>
      <c r="BM504" s="483">
        <v>150000</v>
      </c>
      <c r="BN504" s="483">
        <v>175000</v>
      </c>
      <c r="BO504" s="483">
        <v>175000</v>
      </c>
      <c r="BP504" s="483">
        <v>175000</v>
      </c>
      <c r="BQ504" s="483">
        <v>175000</v>
      </c>
      <c r="BR504" s="1344">
        <v>175000</v>
      </c>
      <c r="BS504" s="1545"/>
      <c r="BU504" s="1545"/>
      <c r="BV504" s="1545"/>
      <c r="BW504" s="1545"/>
      <c r="BX504" s="1545"/>
      <c r="BY504" s="1545"/>
      <c r="BZ504" s="1545"/>
      <c r="CA504" s="1545"/>
      <c r="CB504" s="1545"/>
      <c r="CC504" s="1545"/>
      <c r="CD504" s="1343" t="s">
        <v>2983</v>
      </c>
      <c r="CE504" s="504">
        <v>95000</v>
      </c>
      <c r="CF504" s="504">
        <v>95000</v>
      </c>
      <c r="CG504" s="504">
        <v>95000</v>
      </c>
      <c r="CH504" s="504">
        <v>95000</v>
      </c>
      <c r="CI504" s="504">
        <v>95000</v>
      </c>
      <c r="CJ504" s="504">
        <v>110000</v>
      </c>
      <c r="CK504" s="504">
        <v>110000</v>
      </c>
      <c r="CL504" s="504">
        <v>110000</v>
      </c>
      <c r="CM504" s="504">
        <v>110000</v>
      </c>
      <c r="CN504" s="1347">
        <v>110000</v>
      </c>
    </row>
    <row r="505" spans="60:92" ht="18" customHeight="1">
      <c r="BH505" s="1348" t="s">
        <v>2984</v>
      </c>
      <c r="BI505" s="483">
        <v>158787</v>
      </c>
      <c r="BJ505" s="483">
        <v>159363</v>
      </c>
      <c r="BK505" s="483">
        <v>161380</v>
      </c>
      <c r="BL505" s="483">
        <v>163108</v>
      </c>
      <c r="BM505" s="483">
        <v>164549</v>
      </c>
      <c r="BN505" s="483">
        <v>183787</v>
      </c>
      <c r="BO505" s="483">
        <v>184363</v>
      </c>
      <c r="BP505" s="483">
        <v>186380</v>
      </c>
      <c r="BQ505" s="483">
        <v>188108</v>
      </c>
      <c r="BR505" s="1344">
        <v>189549</v>
      </c>
      <c r="BS505" s="1545"/>
      <c r="BU505" s="1545"/>
      <c r="BV505" s="1545"/>
      <c r="BW505" s="1545"/>
      <c r="BX505" s="1545"/>
      <c r="BY505" s="1545"/>
      <c r="BZ505" s="1545"/>
      <c r="CA505" s="1545"/>
      <c r="CB505" s="1545"/>
      <c r="CC505" s="1545"/>
      <c r="CD505" s="1348" t="s">
        <v>2984</v>
      </c>
      <c r="CE505" s="504">
        <v>103787</v>
      </c>
      <c r="CF505" s="504">
        <v>104363</v>
      </c>
      <c r="CG505" s="504">
        <v>106380</v>
      </c>
      <c r="CH505" s="504">
        <v>108108</v>
      </c>
      <c r="CI505" s="504">
        <v>109549</v>
      </c>
      <c r="CJ505" s="504">
        <v>118787</v>
      </c>
      <c r="CK505" s="504">
        <v>119363</v>
      </c>
      <c r="CL505" s="504">
        <v>121380</v>
      </c>
      <c r="CM505" s="504">
        <v>123108</v>
      </c>
      <c r="CN505" s="1347">
        <v>124549</v>
      </c>
    </row>
    <row r="506" spans="60:92" ht="18" customHeight="1">
      <c r="BH506" s="1348" t="s">
        <v>2985</v>
      </c>
      <c r="BI506" s="483">
        <v>167574</v>
      </c>
      <c r="BJ506" s="483">
        <v>168870</v>
      </c>
      <c r="BK506" s="483">
        <v>172615</v>
      </c>
      <c r="BL506" s="483">
        <v>176073</v>
      </c>
      <c r="BM506" s="483">
        <v>179098</v>
      </c>
      <c r="BN506" s="483">
        <v>192574</v>
      </c>
      <c r="BO506" s="483">
        <v>193870</v>
      </c>
      <c r="BP506" s="483">
        <v>197615</v>
      </c>
      <c r="BQ506" s="483">
        <v>201073</v>
      </c>
      <c r="BR506" s="1344">
        <v>204098</v>
      </c>
      <c r="BS506" s="1545"/>
      <c r="BU506" s="1545"/>
      <c r="BV506" s="1545"/>
      <c r="BW506" s="1545"/>
      <c r="BX506" s="1545"/>
      <c r="BY506" s="1545"/>
      <c r="BZ506" s="1545"/>
      <c r="CA506" s="1545"/>
      <c r="CB506" s="1545"/>
      <c r="CC506" s="1545"/>
      <c r="CD506" s="1348" t="s">
        <v>2985</v>
      </c>
      <c r="CE506" s="504">
        <v>112574</v>
      </c>
      <c r="CF506" s="504">
        <v>113870</v>
      </c>
      <c r="CG506" s="504">
        <v>117615</v>
      </c>
      <c r="CH506" s="504">
        <v>121073</v>
      </c>
      <c r="CI506" s="504">
        <v>124098</v>
      </c>
      <c r="CJ506" s="504">
        <v>127574</v>
      </c>
      <c r="CK506" s="504">
        <v>128870</v>
      </c>
      <c r="CL506" s="504">
        <v>132615</v>
      </c>
      <c r="CM506" s="504">
        <v>136073</v>
      </c>
      <c r="CN506" s="1347">
        <v>139098</v>
      </c>
    </row>
    <row r="507" spans="60:92" ht="18" customHeight="1">
      <c r="BH507" s="1348" t="s">
        <v>2986</v>
      </c>
      <c r="BI507" s="483">
        <v>176361</v>
      </c>
      <c r="BJ507" s="483">
        <v>178233</v>
      </c>
      <c r="BK507" s="483">
        <v>183995</v>
      </c>
      <c r="BL507" s="483">
        <v>189181</v>
      </c>
      <c r="BM507" s="483">
        <v>193646</v>
      </c>
      <c r="BN507" s="483">
        <v>201361</v>
      </c>
      <c r="BO507" s="483">
        <v>203233</v>
      </c>
      <c r="BP507" s="483">
        <v>208995</v>
      </c>
      <c r="BQ507" s="483">
        <v>214181</v>
      </c>
      <c r="BR507" s="1344">
        <v>218646</v>
      </c>
      <c r="BS507" s="1545"/>
      <c r="BU507" s="1545"/>
      <c r="BV507" s="1545"/>
      <c r="BW507" s="1545"/>
      <c r="BX507" s="1545"/>
      <c r="BY507" s="1545"/>
      <c r="BZ507" s="1545"/>
      <c r="CA507" s="1545"/>
      <c r="CB507" s="1545"/>
      <c r="CC507" s="1545"/>
      <c r="CD507" s="1348" t="s">
        <v>2986</v>
      </c>
      <c r="CE507" s="504">
        <v>121361</v>
      </c>
      <c r="CF507" s="504">
        <v>123233</v>
      </c>
      <c r="CG507" s="504">
        <v>128995</v>
      </c>
      <c r="CH507" s="504">
        <v>134181</v>
      </c>
      <c r="CI507" s="504">
        <v>138646</v>
      </c>
      <c r="CJ507" s="504">
        <v>136361</v>
      </c>
      <c r="CK507" s="504">
        <v>138233</v>
      </c>
      <c r="CL507" s="504">
        <v>143995</v>
      </c>
      <c r="CM507" s="504">
        <v>149181</v>
      </c>
      <c r="CN507" s="1347">
        <v>153646</v>
      </c>
    </row>
    <row r="508" spans="60:92" ht="18" customHeight="1">
      <c r="BH508" s="1348" t="s">
        <v>2987</v>
      </c>
      <c r="BI508" s="483">
        <v>185148</v>
      </c>
      <c r="BJ508" s="483">
        <v>187596</v>
      </c>
      <c r="BK508" s="483">
        <v>195231</v>
      </c>
      <c r="BL508" s="483">
        <v>202145</v>
      </c>
      <c r="BM508" s="483">
        <v>208195</v>
      </c>
      <c r="BN508" s="483">
        <v>210148</v>
      </c>
      <c r="BO508" s="483">
        <v>212596</v>
      </c>
      <c r="BP508" s="483">
        <v>220231</v>
      </c>
      <c r="BQ508" s="483">
        <v>227145</v>
      </c>
      <c r="BR508" s="1344">
        <v>233195</v>
      </c>
      <c r="BS508" s="1545"/>
      <c r="BU508" s="1545"/>
      <c r="BV508" s="1545"/>
      <c r="BW508" s="1545"/>
      <c r="BX508" s="1545"/>
      <c r="BY508" s="1545"/>
      <c r="BZ508" s="1545"/>
      <c r="CA508" s="1545"/>
      <c r="CB508" s="1545"/>
      <c r="CC508" s="1545"/>
      <c r="CD508" s="1348" t="s">
        <v>2987</v>
      </c>
      <c r="CE508" s="504">
        <v>130148</v>
      </c>
      <c r="CF508" s="504">
        <v>132596</v>
      </c>
      <c r="CG508" s="504">
        <v>140231</v>
      </c>
      <c r="CH508" s="504">
        <v>147145</v>
      </c>
      <c r="CI508" s="504">
        <v>153195</v>
      </c>
      <c r="CJ508" s="504">
        <v>145148</v>
      </c>
      <c r="CK508" s="504">
        <v>147596</v>
      </c>
      <c r="CL508" s="504">
        <v>155231</v>
      </c>
      <c r="CM508" s="504">
        <v>162145</v>
      </c>
      <c r="CN508" s="1347">
        <v>168195</v>
      </c>
    </row>
    <row r="509" spans="60:92" ht="18" customHeight="1">
      <c r="BH509" s="1348" t="s">
        <v>2988</v>
      </c>
      <c r="BI509" s="483">
        <v>193934</v>
      </c>
      <c r="BJ509" s="483">
        <v>197103</v>
      </c>
      <c r="BK509" s="483">
        <v>206611</v>
      </c>
      <c r="BL509" s="483">
        <v>215253</v>
      </c>
      <c r="BM509" s="483">
        <v>222888</v>
      </c>
      <c r="BN509" s="483">
        <v>218934</v>
      </c>
      <c r="BO509" s="483">
        <v>222103</v>
      </c>
      <c r="BP509" s="483">
        <v>231611</v>
      </c>
      <c r="BQ509" s="483">
        <v>240253</v>
      </c>
      <c r="BR509" s="1344">
        <v>247888</v>
      </c>
      <c r="BS509" s="1545"/>
      <c r="BU509" s="1545"/>
      <c r="BV509" s="1545"/>
      <c r="BW509" s="1545"/>
      <c r="BX509" s="1545"/>
      <c r="BY509" s="1545"/>
      <c r="BZ509" s="1545"/>
      <c r="CA509" s="1545"/>
      <c r="CB509" s="1545"/>
      <c r="CC509" s="1545"/>
      <c r="CD509" s="1348" t="s">
        <v>2988</v>
      </c>
      <c r="CE509" s="504">
        <v>138934</v>
      </c>
      <c r="CF509" s="504">
        <v>142103</v>
      </c>
      <c r="CG509" s="504">
        <v>151611</v>
      </c>
      <c r="CH509" s="504">
        <v>160253</v>
      </c>
      <c r="CI509" s="504">
        <v>167888</v>
      </c>
      <c r="CJ509" s="504">
        <v>153934</v>
      </c>
      <c r="CK509" s="504">
        <v>157103</v>
      </c>
      <c r="CL509" s="504">
        <v>166611</v>
      </c>
      <c r="CM509" s="504">
        <v>175253</v>
      </c>
      <c r="CN509" s="1347">
        <v>182888</v>
      </c>
    </row>
    <row r="510" spans="60:92" ht="18" customHeight="1">
      <c r="BH510" s="1348" t="s">
        <v>2989</v>
      </c>
      <c r="BI510" s="483">
        <v>202721</v>
      </c>
      <c r="BJ510" s="483">
        <v>206467</v>
      </c>
      <c r="BK510" s="483">
        <v>217846</v>
      </c>
      <c r="BL510" s="483">
        <v>228362</v>
      </c>
      <c r="BM510" s="483">
        <v>237437</v>
      </c>
      <c r="BN510" s="483">
        <v>227721</v>
      </c>
      <c r="BO510" s="483">
        <v>231467</v>
      </c>
      <c r="BP510" s="483">
        <v>242846</v>
      </c>
      <c r="BQ510" s="483">
        <v>253362</v>
      </c>
      <c r="BR510" s="1344">
        <v>262437</v>
      </c>
      <c r="BS510" s="1545"/>
      <c r="BU510" s="1545"/>
      <c r="BV510" s="1545"/>
      <c r="BW510" s="1545"/>
      <c r="BX510" s="1545"/>
      <c r="BY510" s="1545"/>
      <c r="BZ510" s="1545"/>
      <c r="CA510" s="1545"/>
      <c r="CB510" s="1545"/>
      <c r="CC510" s="1545"/>
      <c r="CD510" s="1348" t="s">
        <v>2989</v>
      </c>
      <c r="CE510" s="504">
        <v>147721</v>
      </c>
      <c r="CF510" s="504">
        <v>151467</v>
      </c>
      <c r="CG510" s="504">
        <v>162846</v>
      </c>
      <c r="CH510" s="504">
        <v>173362</v>
      </c>
      <c r="CI510" s="504">
        <v>182437</v>
      </c>
      <c r="CJ510" s="504">
        <v>162721</v>
      </c>
      <c r="CK510" s="504">
        <v>166467</v>
      </c>
      <c r="CL510" s="504">
        <v>177846</v>
      </c>
      <c r="CM510" s="504">
        <v>188362</v>
      </c>
      <c r="CN510" s="1347">
        <v>197437</v>
      </c>
    </row>
    <row r="511" spans="60:92" ht="18" customHeight="1">
      <c r="BH511" s="1348" t="s">
        <v>2990</v>
      </c>
      <c r="BI511" s="483">
        <v>211508</v>
      </c>
      <c r="BJ511" s="483">
        <v>215974</v>
      </c>
      <c r="BK511" s="483">
        <v>229226</v>
      </c>
      <c r="BL511" s="483">
        <v>241326</v>
      </c>
      <c r="BM511" s="483">
        <v>251985</v>
      </c>
      <c r="BN511" s="483">
        <v>236508</v>
      </c>
      <c r="BO511" s="483">
        <v>240974</v>
      </c>
      <c r="BP511" s="483">
        <v>254226</v>
      </c>
      <c r="BQ511" s="483">
        <v>266326</v>
      </c>
      <c r="BR511" s="1344">
        <v>276985</v>
      </c>
      <c r="BS511" s="1545"/>
      <c r="BU511" s="1545"/>
      <c r="BV511" s="1545"/>
      <c r="BW511" s="1545"/>
      <c r="BX511" s="1545"/>
      <c r="BY511" s="1545"/>
      <c r="BZ511" s="1545"/>
      <c r="CA511" s="1545"/>
      <c r="CB511" s="1545"/>
      <c r="CC511" s="1545"/>
      <c r="CD511" s="1348" t="s">
        <v>2990</v>
      </c>
      <c r="CE511" s="504">
        <v>156508</v>
      </c>
      <c r="CF511" s="504">
        <v>160974</v>
      </c>
      <c r="CG511" s="504">
        <v>174226</v>
      </c>
      <c r="CH511" s="504">
        <v>186326</v>
      </c>
      <c r="CI511" s="504">
        <v>196985</v>
      </c>
      <c r="CJ511" s="504">
        <v>171508</v>
      </c>
      <c r="CK511" s="504">
        <v>175974</v>
      </c>
      <c r="CL511" s="504">
        <v>189226</v>
      </c>
      <c r="CM511" s="504">
        <v>201326</v>
      </c>
      <c r="CN511" s="1347">
        <v>211985</v>
      </c>
    </row>
    <row r="512" spans="60:92" ht="18" customHeight="1">
      <c r="BH512" s="1348" t="s">
        <v>2991</v>
      </c>
      <c r="BI512" s="483">
        <v>220295</v>
      </c>
      <c r="BJ512" s="483">
        <v>225337</v>
      </c>
      <c r="BK512" s="483">
        <v>240462</v>
      </c>
      <c r="BL512" s="483">
        <v>254434</v>
      </c>
      <c r="BM512" s="483">
        <v>266534</v>
      </c>
      <c r="BN512" s="483">
        <v>245295</v>
      </c>
      <c r="BO512" s="483">
        <v>250337</v>
      </c>
      <c r="BP512" s="483">
        <v>265462</v>
      </c>
      <c r="BQ512" s="483">
        <v>279434</v>
      </c>
      <c r="BR512" s="1344">
        <v>291534</v>
      </c>
      <c r="BS512" s="1545"/>
      <c r="BU512" s="1545"/>
      <c r="BV512" s="1545"/>
      <c r="BW512" s="1545"/>
      <c r="BX512" s="1545"/>
      <c r="BY512" s="1545"/>
      <c r="BZ512" s="1545"/>
      <c r="CA512" s="1545"/>
      <c r="CB512" s="1545"/>
      <c r="CC512" s="1545"/>
      <c r="CD512" s="1348" t="s">
        <v>2991</v>
      </c>
      <c r="CE512" s="504">
        <v>165295</v>
      </c>
      <c r="CF512" s="504">
        <v>170337</v>
      </c>
      <c r="CG512" s="504">
        <v>185462</v>
      </c>
      <c r="CH512" s="504">
        <v>199434</v>
      </c>
      <c r="CI512" s="504">
        <v>211534</v>
      </c>
      <c r="CJ512" s="504">
        <v>180295</v>
      </c>
      <c r="CK512" s="504">
        <v>185337</v>
      </c>
      <c r="CL512" s="504">
        <v>200462</v>
      </c>
      <c r="CM512" s="504">
        <v>214434</v>
      </c>
      <c r="CN512" s="1347">
        <v>226534</v>
      </c>
    </row>
    <row r="513" spans="60:92" ht="18" customHeight="1">
      <c r="BH513" s="1348" t="s">
        <v>2992</v>
      </c>
      <c r="BI513" s="483">
        <v>229082</v>
      </c>
      <c r="BJ513" s="483">
        <v>234700</v>
      </c>
      <c r="BK513" s="483">
        <v>251841</v>
      </c>
      <c r="BL513" s="483">
        <v>267543</v>
      </c>
      <c r="BM513" s="483">
        <v>281083</v>
      </c>
      <c r="BN513" s="483">
        <v>254082</v>
      </c>
      <c r="BO513" s="483">
        <v>259700</v>
      </c>
      <c r="BP513" s="483">
        <v>276841</v>
      </c>
      <c r="BQ513" s="483">
        <v>292543</v>
      </c>
      <c r="BR513" s="1344">
        <v>306083</v>
      </c>
      <c r="BS513" s="1545"/>
      <c r="BU513" s="1545"/>
      <c r="BV513" s="1545"/>
      <c r="BW513" s="1545"/>
      <c r="BX513" s="1545"/>
      <c r="BY513" s="1545"/>
      <c r="BZ513" s="1545"/>
      <c r="CA513" s="1545"/>
      <c r="CB513" s="1545"/>
      <c r="CC513" s="1545"/>
      <c r="CD513" s="1348" t="s">
        <v>2992</v>
      </c>
      <c r="CE513" s="504">
        <v>174082</v>
      </c>
      <c r="CF513" s="504">
        <v>179700</v>
      </c>
      <c r="CG513" s="504">
        <v>196841</v>
      </c>
      <c r="CH513" s="504">
        <v>212543</v>
      </c>
      <c r="CI513" s="504">
        <v>226083</v>
      </c>
      <c r="CJ513" s="504">
        <v>189082</v>
      </c>
      <c r="CK513" s="504">
        <v>194700</v>
      </c>
      <c r="CL513" s="504">
        <v>211841</v>
      </c>
      <c r="CM513" s="504">
        <v>227543</v>
      </c>
      <c r="CN513" s="1347">
        <v>241083</v>
      </c>
    </row>
    <row r="514" spans="60:92" ht="18" customHeight="1">
      <c r="BH514" s="1343" t="s">
        <v>2993</v>
      </c>
      <c r="BI514" s="483">
        <v>150000</v>
      </c>
      <c r="BJ514" s="483">
        <v>150000</v>
      </c>
      <c r="BK514" s="483">
        <v>150000</v>
      </c>
      <c r="BL514" s="483">
        <v>150000</v>
      </c>
      <c r="BM514" s="483">
        <v>150000</v>
      </c>
      <c r="BN514" s="483">
        <v>175000</v>
      </c>
      <c r="BO514" s="483">
        <v>175000</v>
      </c>
      <c r="BP514" s="483">
        <v>175000</v>
      </c>
      <c r="BQ514" s="483">
        <v>175000</v>
      </c>
      <c r="BR514" s="1344">
        <v>175000</v>
      </c>
      <c r="BS514" s="1545"/>
      <c r="BU514" s="1545"/>
      <c r="BV514" s="1545"/>
      <c r="BW514" s="1545"/>
      <c r="BX514" s="1545"/>
      <c r="BY514" s="1545"/>
      <c r="BZ514" s="1545"/>
      <c r="CA514" s="1545"/>
      <c r="CB514" s="1545"/>
      <c r="CC514" s="1545"/>
      <c r="CD514" s="1343" t="s">
        <v>2993</v>
      </c>
      <c r="CE514" s="504">
        <v>95000</v>
      </c>
      <c r="CF514" s="504">
        <v>95000</v>
      </c>
      <c r="CG514" s="504">
        <v>95000</v>
      </c>
      <c r="CH514" s="504">
        <v>95000</v>
      </c>
      <c r="CI514" s="504">
        <v>95000</v>
      </c>
      <c r="CJ514" s="504">
        <v>110000</v>
      </c>
      <c r="CK514" s="504">
        <v>110000</v>
      </c>
      <c r="CL514" s="504">
        <v>110000</v>
      </c>
      <c r="CM514" s="504">
        <v>110000</v>
      </c>
      <c r="CN514" s="1347">
        <v>110000</v>
      </c>
    </row>
    <row r="515" spans="60:92" ht="18" customHeight="1">
      <c r="BH515" s="1348" t="s">
        <v>2994</v>
      </c>
      <c r="BI515" s="483">
        <v>158787</v>
      </c>
      <c r="BJ515" s="483">
        <v>159363</v>
      </c>
      <c r="BK515" s="483">
        <v>161380</v>
      </c>
      <c r="BL515" s="483">
        <v>163108</v>
      </c>
      <c r="BM515" s="483">
        <v>164549</v>
      </c>
      <c r="BN515" s="483">
        <v>183787</v>
      </c>
      <c r="BO515" s="483">
        <v>184363</v>
      </c>
      <c r="BP515" s="483">
        <v>186380</v>
      </c>
      <c r="BQ515" s="483">
        <v>188108</v>
      </c>
      <c r="BR515" s="1344">
        <v>189549</v>
      </c>
      <c r="BS515" s="1545"/>
      <c r="BU515" s="1545"/>
      <c r="BV515" s="1545"/>
      <c r="BW515" s="1545"/>
      <c r="BX515" s="1545"/>
      <c r="BY515" s="1545"/>
      <c r="BZ515" s="1545"/>
      <c r="CA515" s="1545"/>
      <c r="CB515" s="1545"/>
      <c r="CC515" s="1545"/>
      <c r="CD515" s="1348" t="s">
        <v>2994</v>
      </c>
      <c r="CE515" s="504">
        <v>103787</v>
      </c>
      <c r="CF515" s="504">
        <v>104363</v>
      </c>
      <c r="CG515" s="504">
        <v>106380</v>
      </c>
      <c r="CH515" s="504">
        <v>108108</v>
      </c>
      <c r="CI515" s="504">
        <v>109549</v>
      </c>
      <c r="CJ515" s="504">
        <v>118787</v>
      </c>
      <c r="CK515" s="504">
        <v>119363</v>
      </c>
      <c r="CL515" s="504">
        <v>121380</v>
      </c>
      <c r="CM515" s="504">
        <v>123108</v>
      </c>
      <c r="CN515" s="1347">
        <v>124549</v>
      </c>
    </row>
    <row r="516" spans="60:92" ht="18" customHeight="1">
      <c r="BH516" s="1348" t="s">
        <v>2995</v>
      </c>
      <c r="BI516" s="483">
        <v>167574</v>
      </c>
      <c r="BJ516" s="483">
        <v>168870</v>
      </c>
      <c r="BK516" s="483">
        <v>172615</v>
      </c>
      <c r="BL516" s="483">
        <v>176073</v>
      </c>
      <c r="BM516" s="483">
        <v>179098</v>
      </c>
      <c r="BN516" s="483">
        <v>192574</v>
      </c>
      <c r="BO516" s="483">
        <v>193870</v>
      </c>
      <c r="BP516" s="483">
        <v>197615</v>
      </c>
      <c r="BQ516" s="483">
        <v>201073</v>
      </c>
      <c r="BR516" s="1344">
        <v>204098</v>
      </c>
      <c r="BS516" s="1545"/>
      <c r="BU516" s="1545"/>
      <c r="BV516" s="1545"/>
      <c r="BW516" s="1545"/>
      <c r="BX516" s="1545"/>
      <c r="BY516" s="1545"/>
      <c r="BZ516" s="1545"/>
      <c r="CA516" s="1545"/>
      <c r="CB516" s="1545"/>
      <c r="CC516" s="1545"/>
      <c r="CD516" s="1348" t="s">
        <v>2995</v>
      </c>
      <c r="CE516" s="504">
        <v>112574</v>
      </c>
      <c r="CF516" s="504">
        <v>113870</v>
      </c>
      <c r="CG516" s="504">
        <v>117615</v>
      </c>
      <c r="CH516" s="504">
        <v>121073</v>
      </c>
      <c r="CI516" s="504">
        <v>124098</v>
      </c>
      <c r="CJ516" s="504">
        <v>127574</v>
      </c>
      <c r="CK516" s="504">
        <v>128870</v>
      </c>
      <c r="CL516" s="504">
        <v>132615</v>
      </c>
      <c r="CM516" s="504">
        <v>136073</v>
      </c>
      <c r="CN516" s="1347">
        <v>139098</v>
      </c>
    </row>
    <row r="517" spans="60:92" ht="18" customHeight="1">
      <c r="BH517" s="1348" t="s">
        <v>2996</v>
      </c>
      <c r="BI517" s="483">
        <v>176361</v>
      </c>
      <c r="BJ517" s="483">
        <v>178233</v>
      </c>
      <c r="BK517" s="483">
        <v>183995</v>
      </c>
      <c r="BL517" s="483">
        <v>189181</v>
      </c>
      <c r="BM517" s="483">
        <v>193646</v>
      </c>
      <c r="BN517" s="483">
        <v>201361</v>
      </c>
      <c r="BO517" s="483">
        <v>203233</v>
      </c>
      <c r="BP517" s="483">
        <v>208995</v>
      </c>
      <c r="BQ517" s="483">
        <v>214181</v>
      </c>
      <c r="BR517" s="1344">
        <v>218646</v>
      </c>
      <c r="BS517" s="1545"/>
      <c r="BU517" s="1545"/>
      <c r="BV517" s="1545"/>
      <c r="BW517" s="1545"/>
      <c r="BX517" s="1545"/>
      <c r="BY517" s="1545"/>
      <c r="BZ517" s="1545"/>
      <c r="CA517" s="1545"/>
      <c r="CB517" s="1545"/>
      <c r="CC517" s="1545"/>
      <c r="CD517" s="1348" t="s">
        <v>2996</v>
      </c>
      <c r="CE517" s="504">
        <v>121361</v>
      </c>
      <c r="CF517" s="504">
        <v>123233</v>
      </c>
      <c r="CG517" s="504">
        <v>128995</v>
      </c>
      <c r="CH517" s="504">
        <v>134181</v>
      </c>
      <c r="CI517" s="504">
        <v>138646</v>
      </c>
      <c r="CJ517" s="504">
        <v>136361</v>
      </c>
      <c r="CK517" s="504">
        <v>138233</v>
      </c>
      <c r="CL517" s="504">
        <v>143995</v>
      </c>
      <c r="CM517" s="504">
        <v>149181</v>
      </c>
      <c r="CN517" s="1347">
        <v>153646</v>
      </c>
    </row>
    <row r="518" spans="60:92" ht="18" customHeight="1">
      <c r="BH518" s="1348" t="s">
        <v>2997</v>
      </c>
      <c r="BI518" s="483">
        <v>185148</v>
      </c>
      <c r="BJ518" s="483">
        <v>187596</v>
      </c>
      <c r="BK518" s="483">
        <v>195231</v>
      </c>
      <c r="BL518" s="483">
        <v>202145</v>
      </c>
      <c r="BM518" s="483">
        <v>208195</v>
      </c>
      <c r="BN518" s="483">
        <v>210148</v>
      </c>
      <c r="BO518" s="483">
        <v>212596</v>
      </c>
      <c r="BP518" s="483">
        <v>220231</v>
      </c>
      <c r="BQ518" s="483">
        <v>227145</v>
      </c>
      <c r="BR518" s="1344">
        <v>233195</v>
      </c>
      <c r="BS518" s="1545"/>
      <c r="BU518" s="1545"/>
      <c r="BV518" s="1545"/>
      <c r="BW518" s="1545"/>
      <c r="BX518" s="1545"/>
      <c r="BY518" s="1545"/>
      <c r="BZ518" s="1545"/>
      <c r="CA518" s="1545"/>
      <c r="CB518" s="1545"/>
      <c r="CC518" s="1545"/>
      <c r="CD518" s="1348" t="s">
        <v>2997</v>
      </c>
      <c r="CE518" s="504">
        <v>130148</v>
      </c>
      <c r="CF518" s="504">
        <v>132596</v>
      </c>
      <c r="CG518" s="504">
        <v>140231</v>
      </c>
      <c r="CH518" s="504">
        <v>147145</v>
      </c>
      <c r="CI518" s="504">
        <v>153195</v>
      </c>
      <c r="CJ518" s="504">
        <v>145148</v>
      </c>
      <c r="CK518" s="504">
        <v>147596</v>
      </c>
      <c r="CL518" s="504">
        <v>155231</v>
      </c>
      <c r="CM518" s="504">
        <v>162145</v>
      </c>
      <c r="CN518" s="1347">
        <v>168195</v>
      </c>
    </row>
    <row r="519" spans="60:92" ht="18" customHeight="1">
      <c r="BH519" s="1348" t="s">
        <v>2998</v>
      </c>
      <c r="BI519" s="483">
        <v>193934</v>
      </c>
      <c r="BJ519" s="483">
        <v>197103</v>
      </c>
      <c r="BK519" s="483">
        <v>206611</v>
      </c>
      <c r="BL519" s="483">
        <v>215253</v>
      </c>
      <c r="BM519" s="483">
        <v>222888</v>
      </c>
      <c r="BN519" s="483">
        <v>218934</v>
      </c>
      <c r="BO519" s="483">
        <v>222103</v>
      </c>
      <c r="BP519" s="483">
        <v>231611</v>
      </c>
      <c r="BQ519" s="483">
        <v>240253</v>
      </c>
      <c r="BR519" s="1344">
        <v>247888</v>
      </c>
      <c r="BS519" s="1545"/>
      <c r="BU519" s="1545"/>
      <c r="BV519" s="1545"/>
      <c r="BW519" s="1545"/>
      <c r="BX519" s="1545"/>
      <c r="BY519" s="1545"/>
      <c r="BZ519" s="1545"/>
      <c r="CA519" s="1545"/>
      <c r="CB519" s="1545"/>
      <c r="CC519" s="1545"/>
      <c r="CD519" s="1348" t="s">
        <v>2998</v>
      </c>
      <c r="CE519" s="504">
        <v>138934</v>
      </c>
      <c r="CF519" s="504">
        <v>142103</v>
      </c>
      <c r="CG519" s="504">
        <v>151611</v>
      </c>
      <c r="CH519" s="504">
        <v>160253</v>
      </c>
      <c r="CI519" s="504">
        <v>167888</v>
      </c>
      <c r="CJ519" s="504">
        <v>153934</v>
      </c>
      <c r="CK519" s="504">
        <v>157103</v>
      </c>
      <c r="CL519" s="504">
        <v>166611</v>
      </c>
      <c r="CM519" s="504">
        <v>175253</v>
      </c>
      <c r="CN519" s="1347">
        <v>182888</v>
      </c>
    </row>
    <row r="520" spans="60:92" ht="18" customHeight="1">
      <c r="BH520" s="1348" t="s">
        <v>2999</v>
      </c>
      <c r="BI520" s="483">
        <v>202721</v>
      </c>
      <c r="BJ520" s="483">
        <v>206467</v>
      </c>
      <c r="BK520" s="483">
        <v>217846</v>
      </c>
      <c r="BL520" s="483">
        <v>228362</v>
      </c>
      <c r="BM520" s="483">
        <v>237437</v>
      </c>
      <c r="BN520" s="483">
        <v>227721</v>
      </c>
      <c r="BO520" s="483">
        <v>231467</v>
      </c>
      <c r="BP520" s="483">
        <v>242846</v>
      </c>
      <c r="BQ520" s="483">
        <v>253362</v>
      </c>
      <c r="BR520" s="1344">
        <v>262437</v>
      </c>
      <c r="BS520" s="1545"/>
      <c r="BU520" s="1545"/>
      <c r="BV520" s="1545"/>
      <c r="BW520" s="1545"/>
      <c r="BX520" s="1545"/>
      <c r="BY520" s="1545"/>
      <c r="BZ520" s="1545"/>
      <c r="CA520" s="1545"/>
      <c r="CB520" s="1545"/>
      <c r="CC520" s="1545"/>
      <c r="CD520" s="1348" t="s">
        <v>2999</v>
      </c>
      <c r="CE520" s="504">
        <v>147721</v>
      </c>
      <c r="CF520" s="504">
        <v>151467</v>
      </c>
      <c r="CG520" s="504">
        <v>162846</v>
      </c>
      <c r="CH520" s="504">
        <v>173362</v>
      </c>
      <c r="CI520" s="504">
        <v>182437</v>
      </c>
      <c r="CJ520" s="504">
        <v>162721</v>
      </c>
      <c r="CK520" s="504">
        <v>166467</v>
      </c>
      <c r="CL520" s="504">
        <v>177846</v>
      </c>
      <c r="CM520" s="504">
        <v>188362</v>
      </c>
      <c r="CN520" s="1347">
        <v>197437</v>
      </c>
    </row>
    <row r="521" spans="60:92" ht="18" customHeight="1">
      <c r="BH521" s="1348" t="s">
        <v>3000</v>
      </c>
      <c r="BI521" s="483">
        <v>211508</v>
      </c>
      <c r="BJ521" s="483">
        <v>215974</v>
      </c>
      <c r="BK521" s="483">
        <v>229226</v>
      </c>
      <c r="BL521" s="483">
        <v>241326</v>
      </c>
      <c r="BM521" s="483">
        <v>251985</v>
      </c>
      <c r="BN521" s="483">
        <v>236508</v>
      </c>
      <c r="BO521" s="483">
        <v>240974</v>
      </c>
      <c r="BP521" s="483">
        <v>254226</v>
      </c>
      <c r="BQ521" s="483">
        <v>266326</v>
      </c>
      <c r="BR521" s="1344">
        <v>276985</v>
      </c>
      <c r="BS521" s="1545"/>
      <c r="BU521" s="1545"/>
      <c r="BV521" s="1545"/>
      <c r="BW521" s="1545"/>
      <c r="BX521" s="1545"/>
      <c r="BY521" s="1545"/>
      <c r="BZ521" s="1545"/>
      <c r="CA521" s="1545"/>
      <c r="CB521" s="1545"/>
      <c r="CC521" s="1545"/>
      <c r="CD521" s="1348" t="s">
        <v>3000</v>
      </c>
      <c r="CE521" s="504">
        <v>156508</v>
      </c>
      <c r="CF521" s="504">
        <v>160974</v>
      </c>
      <c r="CG521" s="504">
        <v>174226</v>
      </c>
      <c r="CH521" s="504">
        <v>186326</v>
      </c>
      <c r="CI521" s="504">
        <v>196985</v>
      </c>
      <c r="CJ521" s="504">
        <v>171508</v>
      </c>
      <c r="CK521" s="504">
        <v>175974</v>
      </c>
      <c r="CL521" s="504">
        <v>189226</v>
      </c>
      <c r="CM521" s="504">
        <v>201326</v>
      </c>
      <c r="CN521" s="1347">
        <v>211985</v>
      </c>
    </row>
    <row r="522" spans="60:92" ht="18" customHeight="1">
      <c r="BH522" s="1348" t="s">
        <v>3001</v>
      </c>
      <c r="BI522" s="483">
        <v>220295</v>
      </c>
      <c r="BJ522" s="483">
        <v>225337</v>
      </c>
      <c r="BK522" s="483">
        <v>240462</v>
      </c>
      <c r="BL522" s="483">
        <v>254434</v>
      </c>
      <c r="BM522" s="483">
        <v>266534</v>
      </c>
      <c r="BN522" s="483">
        <v>245295</v>
      </c>
      <c r="BO522" s="483">
        <v>250337</v>
      </c>
      <c r="BP522" s="483">
        <v>265462</v>
      </c>
      <c r="BQ522" s="483">
        <v>279434</v>
      </c>
      <c r="BR522" s="1344">
        <v>291534</v>
      </c>
      <c r="BS522" s="1545"/>
      <c r="BU522" s="1545"/>
      <c r="BV522" s="1545"/>
      <c r="BW522" s="1545"/>
      <c r="BX522" s="1545"/>
      <c r="BY522" s="1545"/>
      <c r="BZ522" s="1545"/>
      <c r="CA522" s="1545"/>
      <c r="CB522" s="1545"/>
      <c r="CC522" s="1545"/>
      <c r="CD522" s="1348" t="s">
        <v>3001</v>
      </c>
      <c r="CE522" s="504">
        <v>165295</v>
      </c>
      <c r="CF522" s="504">
        <v>170337</v>
      </c>
      <c r="CG522" s="504">
        <v>185462</v>
      </c>
      <c r="CH522" s="504">
        <v>199434</v>
      </c>
      <c r="CI522" s="504">
        <v>211534</v>
      </c>
      <c r="CJ522" s="504">
        <v>180295</v>
      </c>
      <c r="CK522" s="504">
        <v>185337</v>
      </c>
      <c r="CL522" s="504">
        <v>200462</v>
      </c>
      <c r="CM522" s="504">
        <v>214434</v>
      </c>
      <c r="CN522" s="1347">
        <v>226534</v>
      </c>
    </row>
    <row r="523" spans="60:92" ht="18" customHeight="1">
      <c r="BH523" s="1348" t="s">
        <v>3002</v>
      </c>
      <c r="BI523" s="483">
        <v>229082</v>
      </c>
      <c r="BJ523" s="483">
        <v>234700</v>
      </c>
      <c r="BK523" s="483">
        <v>251841</v>
      </c>
      <c r="BL523" s="483">
        <v>267543</v>
      </c>
      <c r="BM523" s="483">
        <v>281083</v>
      </c>
      <c r="BN523" s="483">
        <v>254082</v>
      </c>
      <c r="BO523" s="483">
        <v>259700</v>
      </c>
      <c r="BP523" s="483">
        <v>276841</v>
      </c>
      <c r="BQ523" s="483">
        <v>292543</v>
      </c>
      <c r="BR523" s="1344">
        <v>306083</v>
      </c>
      <c r="BS523" s="1545"/>
      <c r="BU523" s="1545"/>
      <c r="BV523" s="1545"/>
      <c r="BW523" s="1545"/>
      <c r="BX523" s="1545"/>
      <c r="BY523" s="1545"/>
      <c r="BZ523" s="1545"/>
      <c r="CA523" s="1545"/>
      <c r="CB523" s="1545"/>
      <c r="CC523" s="1545"/>
      <c r="CD523" s="1348" t="s">
        <v>3002</v>
      </c>
      <c r="CE523" s="504">
        <v>174082</v>
      </c>
      <c r="CF523" s="504">
        <v>179700</v>
      </c>
      <c r="CG523" s="504">
        <v>196841</v>
      </c>
      <c r="CH523" s="504">
        <v>212543</v>
      </c>
      <c r="CI523" s="504">
        <v>226083</v>
      </c>
      <c r="CJ523" s="504">
        <v>189082</v>
      </c>
      <c r="CK523" s="504">
        <v>194700</v>
      </c>
      <c r="CL523" s="504">
        <v>211841</v>
      </c>
      <c r="CM523" s="504">
        <v>227543</v>
      </c>
      <c r="CN523" s="1347">
        <v>241083</v>
      </c>
    </row>
    <row r="524" spans="60:92" ht="18" customHeight="1">
      <c r="BH524" s="1343" t="s">
        <v>3003</v>
      </c>
      <c r="BI524" s="483">
        <v>150000</v>
      </c>
      <c r="BJ524" s="483">
        <v>150000</v>
      </c>
      <c r="BK524" s="483">
        <v>150000</v>
      </c>
      <c r="BL524" s="483">
        <v>150000</v>
      </c>
      <c r="BM524" s="483">
        <v>150000</v>
      </c>
      <c r="BN524" s="483">
        <v>175000</v>
      </c>
      <c r="BO524" s="483">
        <v>175000</v>
      </c>
      <c r="BP524" s="483">
        <v>175000</v>
      </c>
      <c r="BQ524" s="483">
        <v>175000</v>
      </c>
      <c r="BR524" s="1344">
        <v>175000</v>
      </c>
      <c r="BS524" s="1545"/>
      <c r="BU524" s="1545"/>
      <c r="BV524" s="1545"/>
      <c r="BW524" s="1545"/>
      <c r="BX524" s="1545"/>
      <c r="BY524" s="1545"/>
      <c r="BZ524" s="1545"/>
      <c r="CA524" s="1545"/>
      <c r="CB524" s="1545"/>
      <c r="CC524" s="1545"/>
      <c r="CD524" s="1343" t="s">
        <v>3003</v>
      </c>
      <c r="CE524" s="504">
        <v>95000</v>
      </c>
      <c r="CF524" s="504">
        <v>95000</v>
      </c>
      <c r="CG524" s="504">
        <v>95000</v>
      </c>
      <c r="CH524" s="504">
        <v>95000</v>
      </c>
      <c r="CI524" s="504">
        <v>95000</v>
      </c>
      <c r="CJ524" s="504">
        <v>110000</v>
      </c>
      <c r="CK524" s="504">
        <v>110000</v>
      </c>
      <c r="CL524" s="504">
        <v>110000</v>
      </c>
      <c r="CM524" s="504">
        <v>110000</v>
      </c>
      <c r="CN524" s="1347">
        <v>110000</v>
      </c>
    </row>
    <row r="525" spans="60:92" ht="18" customHeight="1">
      <c r="BH525" s="1348" t="s">
        <v>3004</v>
      </c>
      <c r="BI525" s="483">
        <v>158787</v>
      </c>
      <c r="BJ525" s="483">
        <v>159363</v>
      </c>
      <c r="BK525" s="483">
        <v>161380</v>
      </c>
      <c r="BL525" s="483">
        <v>163108</v>
      </c>
      <c r="BM525" s="483">
        <v>164549</v>
      </c>
      <c r="BN525" s="483">
        <v>183787</v>
      </c>
      <c r="BO525" s="483">
        <v>184363</v>
      </c>
      <c r="BP525" s="483">
        <v>186380</v>
      </c>
      <c r="BQ525" s="483">
        <v>188108</v>
      </c>
      <c r="BR525" s="1344">
        <v>189549</v>
      </c>
      <c r="BS525" s="1545"/>
      <c r="BU525" s="1545"/>
      <c r="BV525" s="1545"/>
      <c r="BW525" s="1545"/>
      <c r="BX525" s="1545"/>
      <c r="BY525" s="1545"/>
      <c r="BZ525" s="1545"/>
      <c r="CA525" s="1545"/>
      <c r="CB525" s="1545"/>
      <c r="CC525" s="1545"/>
      <c r="CD525" s="1348" t="s">
        <v>3004</v>
      </c>
      <c r="CE525" s="504">
        <v>103787</v>
      </c>
      <c r="CF525" s="504">
        <v>104363</v>
      </c>
      <c r="CG525" s="504">
        <v>106380</v>
      </c>
      <c r="CH525" s="504">
        <v>108108</v>
      </c>
      <c r="CI525" s="504">
        <v>109549</v>
      </c>
      <c r="CJ525" s="504">
        <v>118787</v>
      </c>
      <c r="CK525" s="504">
        <v>119363</v>
      </c>
      <c r="CL525" s="504">
        <v>121380</v>
      </c>
      <c r="CM525" s="504">
        <v>123108</v>
      </c>
      <c r="CN525" s="1347">
        <v>124549</v>
      </c>
    </row>
    <row r="526" spans="60:92" ht="18" customHeight="1">
      <c r="BH526" s="1348" t="s">
        <v>3005</v>
      </c>
      <c r="BI526" s="483">
        <v>167574</v>
      </c>
      <c r="BJ526" s="483">
        <v>168870</v>
      </c>
      <c r="BK526" s="483">
        <v>172615</v>
      </c>
      <c r="BL526" s="483">
        <v>176073</v>
      </c>
      <c r="BM526" s="483">
        <v>179098</v>
      </c>
      <c r="BN526" s="483">
        <v>192574</v>
      </c>
      <c r="BO526" s="483">
        <v>193870</v>
      </c>
      <c r="BP526" s="483">
        <v>197615</v>
      </c>
      <c r="BQ526" s="483">
        <v>201073</v>
      </c>
      <c r="BR526" s="1344">
        <v>204098</v>
      </c>
      <c r="BS526" s="1545"/>
      <c r="BU526" s="1545"/>
      <c r="BV526" s="1545"/>
      <c r="BW526" s="1545"/>
      <c r="BX526" s="1545"/>
      <c r="BY526" s="1545"/>
      <c r="BZ526" s="1545"/>
      <c r="CA526" s="1545"/>
      <c r="CB526" s="1545"/>
      <c r="CC526" s="1545"/>
      <c r="CD526" s="1348" t="s">
        <v>3005</v>
      </c>
      <c r="CE526" s="504">
        <v>112574</v>
      </c>
      <c r="CF526" s="504">
        <v>113870</v>
      </c>
      <c r="CG526" s="504">
        <v>117615</v>
      </c>
      <c r="CH526" s="504">
        <v>121073</v>
      </c>
      <c r="CI526" s="504">
        <v>124098</v>
      </c>
      <c r="CJ526" s="504">
        <v>127574</v>
      </c>
      <c r="CK526" s="504">
        <v>128870</v>
      </c>
      <c r="CL526" s="504">
        <v>132615</v>
      </c>
      <c r="CM526" s="504">
        <v>136073</v>
      </c>
      <c r="CN526" s="1347">
        <v>139098</v>
      </c>
    </row>
    <row r="527" spans="60:92" ht="18" customHeight="1">
      <c r="BH527" s="1348" t="s">
        <v>3006</v>
      </c>
      <c r="BI527" s="483">
        <v>176361</v>
      </c>
      <c r="BJ527" s="483">
        <v>178233</v>
      </c>
      <c r="BK527" s="483">
        <v>183995</v>
      </c>
      <c r="BL527" s="483">
        <v>189181</v>
      </c>
      <c r="BM527" s="483">
        <v>193646</v>
      </c>
      <c r="BN527" s="483">
        <v>201361</v>
      </c>
      <c r="BO527" s="483">
        <v>203233</v>
      </c>
      <c r="BP527" s="483">
        <v>208995</v>
      </c>
      <c r="BQ527" s="483">
        <v>214181</v>
      </c>
      <c r="BR527" s="1344">
        <v>218646</v>
      </c>
      <c r="BS527" s="1545"/>
      <c r="BU527" s="1545"/>
      <c r="BV527" s="1545"/>
      <c r="BW527" s="1545"/>
      <c r="BX527" s="1545"/>
      <c r="BY527" s="1545"/>
      <c r="BZ527" s="1545"/>
      <c r="CA527" s="1545"/>
      <c r="CB527" s="1545"/>
      <c r="CC527" s="1545"/>
      <c r="CD527" s="1348" t="s">
        <v>3006</v>
      </c>
      <c r="CE527" s="504">
        <v>121361</v>
      </c>
      <c r="CF527" s="504">
        <v>123233</v>
      </c>
      <c r="CG527" s="504">
        <v>128995</v>
      </c>
      <c r="CH527" s="504">
        <v>134181</v>
      </c>
      <c r="CI527" s="504">
        <v>138646</v>
      </c>
      <c r="CJ527" s="504">
        <v>136361</v>
      </c>
      <c r="CK527" s="504">
        <v>138233</v>
      </c>
      <c r="CL527" s="504">
        <v>143995</v>
      </c>
      <c r="CM527" s="504">
        <v>149181</v>
      </c>
      <c r="CN527" s="1347">
        <v>153646</v>
      </c>
    </row>
    <row r="528" spans="60:92" ht="18" customHeight="1">
      <c r="BH528" s="1348" t="s">
        <v>3007</v>
      </c>
      <c r="BI528" s="483">
        <v>185148</v>
      </c>
      <c r="BJ528" s="483">
        <v>187596</v>
      </c>
      <c r="BK528" s="483">
        <v>195231</v>
      </c>
      <c r="BL528" s="483">
        <v>202145</v>
      </c>
      <c r="BM528" s="483">
        <v>208195</v>
      </c>
      <c r="BN528" s="483">
        <v>210148</v>
      </c>
      <c r="BO528" s="483">
        <v>212596</v>
      </c>
      <c r="BP528" s="483">
        <v>220231</v>
      </c>
      <c r="BQ528" s="483">
        <v>227145</v>
      </c>
      <c r="BR528" s="1344">
        <v>233195</v>
      </c>
      <c r="BS528" s="1545"/>
      <c r="BU528" s="1545"/>
      <c r="BV528" s="1545"/>
      <c r="BW528" s="1545"/>
      <c r="BX528" s="1545"/>
      <c r="BY528" s="1545"/>
      <c r="BZ528" s="1545"/>
      <c r="CA528" s="1545"/>
      <c r="CB528" s="1545"/>
      <c r="CC528" s="1545"/>
      <c r="CD528" s="1348" t="s">
        <v>3007</v>
      </c>
      <c r="CE528" s="504">
        <v>130148</v>
      </c>
      <c r="CF528" s="504">
        <v>132596</v>
      </c>
      <c r="CG528" s="504">
        <v>140231</v>
      </c>
      <c r="CH528" s="504">
        <v>147145</v>
      </c>
      <c r="CI528" s="504">
        <v>153195</v>
      </c>
      <c r="CJ528" s="504">
        <v>145148</v>
      </c>
      <c r="CK528" s="504">
        <v>147596</v>
      </c>
      <c r="CL528" s="504">
        <v>155231</v>
      </c>
      <c r="CM528" s="504">
        <v>162145</v>
      </c>
      <c r="CN528" s="1347">
        <v>168195</v>
      </c>
    </row>
    <row r="529" spans="60:92" ht="18" customHeight="1">
      <c r="BH529" s="1348" t="s">
        <v>3008</v>
      </c>
      <c r="BI529" s="483">
        <v>193934</v>
      </c>
      <c r="BJ529" s="483">
        <v>197103</v>
      </c>
      <c r="BK529" s="483">
        <v>206611</v>
      </c>
      <c r="BL529" s="483">
        <v>215253</v>
      </c>
      <c r="BM529" s="483">
        <v>222888</v>
      </c>
      <c r="BN529" s="483">
        <v>218934</v>
      </c>
      <c r="BO529" s="483">
        <v>222103</v>
      </c>
      <c r="BP529" s="483">
        <v>231611</v>
      </c>
      <c r="BQ529" s="483">
        <v>240253</v>
      </c>
      <c r="BR529" s="1344">
        <v>247888</v>
      </c>
      <c r="BS529" s="1545"/>
      <c r="BU529" s="1545"/>
      <c r="BV529" s="1545"/>
      <c r="BW529" s="1545"/>
      <c r="BX529" s="1545"/>
      <c r="BY529" s="1545"/>
      <c r="BZ529" s="1545"/>
      <c r="CA529" s="1545"/>
      <c r="CB529" s="1545"/>
      <c r="CC529" s="1545"/>
      <c r="CD529" s="1348" t="s">
        <v>3008</v>
      </c>
      <c r="CE529" s="504">
        <v>138934</v>
      </c>
      <c r="CF529" s="504">
        <v>142103</v>
      </c>
      <c r="CG529" s="504">
        <v>151611</v>
      </c>
      <c r="CH529" s="504">
        <v>160253</v>
      </c>
      <c r="CI529" s="504">
        <v>167888</v>
      </c>
      <c r="CJ529" s="504">
        <v>153934</v>
      </c>
      <c r="CK529" s="504">
        <v>157103</v>
      </c>
      <c r="CL529" s="504">
        <v>166611</v>
      </c>
      <c r="CM529" s="504">
        <v>175253</v>
      </c>
      <c r="CN529" s="1347">
        <v>182888</v>
      </c>
    </row>
    <row r="530" spans="60:92" ht="18" customHeight="1">
      <c r="BH530" s="1348" t="s">
        <v>3009</v>
      </c>
      <c r="BI530" s="483">
        <v>202721</v>
      </c>
      <c r="BJ530" s="483">
        <v>206467</v>
      </c>
      <c r="BK530" s="483">
        <v>217846</v>
      </c>
      <c r="BL530" s="483">
        <v>228362</v>
      </c>
      <c r="BM530" s="483">
        <v>237437</v>
      </c>
      <c r="BN530" s="483">
        <v>227721</v>
      </c>
      <c r="BO530" s="483">
        <v>231467</v>
      </c>
      <c r="BP530" s="483">
        <v>242846</v>
      </c>
      <c r="BQ530" s="483">
        <v>253362</v>
      </c>
      <c r="BR530" s="1344">
        <v>262437</v>
      </c>
      <c r="BS530" s="1545"/>
      <c r="BU530" s="1545"/>
      <c r="BV530" s="1545"/>
      <c r="BW530" s="1545"/>
      <c r="BX530" s="1545"/>
      <c r="BY530" s="1545"/>
      <c r="BZ530" s="1545"/>
      <c r="CA530" s="1545"/>
      <c r="CB530" s="1545"/>
      <c r="CC530" s="1545"/>
      <c r="CD530" s="1348" t="s">
        <v>3009</v>
      </c>
      <c r="CE530" s="504">
        <v>147721</v>
      </c>
      <c r="CF530" s="504">
        <v>151467</v>
      </c>
      <c r="CG530" s="504">
        <v>162846</v>
      </c>
      <c r="CH530" s="504">
        <v>173362</v>
      </c>
      <c r="CI530" s="504">
        <v>182437</v>
      </c>
      <c r="CJ530" s="504">
        <v>162721</v>
      </c>
      <c r="CK530" s="504">
        <v>166467</v>
      </c>
      <c r="CL530" s="504">
        <v>177846</v>
      </c>
      <c r="CM530" s="504">
        <v>188362</v>
      </c>
      <c r="CN530" s="1347">
        <v>197437</v>
      </c>
    </row>
    <row r="531" spans="60:92" ht="18" customHeight="1">
      <c r="BH531" s="1348" t="s">
        <v>3010</v>
      </c>
      <c r="BI531" s="483">
        <v>211508</v>
      </c>
      <c r="BJ531" s="483">
        <v>215974</v>
      </c>
      <c r="BK531" s="483">
        <v>229226</v>
      </c>
      <c r="BL531" s="483">
        <v>241326</v>
      </c>
      <c r="BM531" s="483">
        <v>251985</v>
      </c>
      <c r="BN531" s="483">
        <v>236508</v>
      </c>
      <c r="BO531" s="483">
        <v>240974</v>
      </c>
      <c r="BP531" s="483">
        <v>254226</v>
      </c>
      <c r="BQ531" s="483">
        <v>266326</v>
      </c>
      <c r="BR531" s="1344">
        <v>276985</v>
      </c>
      <c r="BS531" s="1545"/>
      <c r="BU531" s="1545"/>
      <c r="BV531" s="1545"/>
      <c r="BW531" s="1545"/>
      <c r="BX531" s="1545"/>
      <c r="BY531" s="1545"/>
      <c r="BZ531" s="1545"/>
      <c r="CA531" s="1545"/>
      <c r="CB531" s="1545"/>
      <c r="CC531" s="1545"/>
      <c r="CD531" s="1348" t="s">
        <v>3010</v>
      </c>
      <c r="CE531" s="504">
        <v>156508</v>
      </c>
      <c r="CF531" s="504">
        <v>160974</v>
      </c>
      <c r="CG531" s="504">
        <v>174226</v>
      </c>
      <c r="CH531" s="504">
        <v>186326</v>
      </c>
      <c r="CI531" s="504">
        <v>196985</v>
      </c>
      <c r="CJ531" s="504">
        <v>171508</v>
      </c>
      <c r="CK531" s="504">
        <v>175974</v>
      </c>
      <c r="CL531" s="504">
        <v>189226</v>
      </c>
      <c r="CM531" s="504">
        <v>201326</v>
      </c>
      <c r="CN531" s="1347">
        <v>211985</v>
      </c>
    </row>
    <row r="532" spans="60:92" ht="18" customHeight="1">
      <c r="BH532" s="1348" t="s">
        <v>3011</v>
      </c>
      <c r="BI532" s="483">
        <v>220295</v>
      </c>
      <c r="BJ532" s="483">
        <v>225337</v>
      </c>
      <c r="BK532" s="483">
        <v>240462</v>
      </c>
      <c r="BL532" s="483">
        <v>254434</v>
      </c>
      <c r="BM532" s="483">
        <v>266534</v>
      </c>
      <c r="BN532" s="483">
        <v>245295</v>
      </c>
      <c r="BO532" s="483">
        <v>250337</v>
      </c>
      <c r="BP532" s="483">
        <v>265462</v>
      </c>
      <c r="BQ532" s="483">
        <v>279434</v>
      </c>
      <c r="BR532" s="1344">
        <v>291534</v>
      </c>
      <c r="BS532" s="1545"/>
      <c r="BU532" s="1545"/>
      <c r="BV532" s="1545"/>
      <c r="BW532" s="1545"/>
      <c r="BX532" s="1545"/>
      <c r="BY532" s="1545"/>
      <c r="BZ532" s="1545"/>
      <c r="CA532" s="1545"/>
      <c r="CB532" s="1545"/>
      <c r="CC532" s="1545"/>
      <c r="CD532" s="1348" t="s">
        <v>3011</v>
      </c>
      <c r="CE532" s="504">
        <v>165295</v>
      </c>
      <c r="CF532" s="504">
        <v>170337</v>
      </c>
      <c r="CG532" s="504">
        <v>185462</v>
      </c>
      <c r="CH532" s="504">
        <v>199434</v>
      </c>
      <c r="CI532" s="504">
        <v>211534</v>
      </c>
      <c r="CJ532" s="504">
        <v>180295</v>
      </c>
      <c r="CK532" s="504">
        <v>185337</v>
      </c>
      <c r="CL532" s="504">
        <v>200462</v>
      </c>
      <c r="CM532" s="504">
        <v>214434</v>
      </c>
      <c r="CN532" s="1347">
        <v>226534</v>
      </c>
    </row>
    <row r="533" spans="60:92" ht="18" customHeight="1">
      <c r="BH533" s="1348" t="s">
        <v>3012</v>
      </c>
      <c r="BI533" s="483">
        <v>229082</v>
      </c>
      <c r="BJ533" s="483">
        <v>234700</v>
      </c>
      <c r="BK533" s="483">
        <v>251841</v>
      </c>
      <c r="BL533" s="483">
        <v>267543</v>
      </c>
      <c r="BM533" s="483">
        <v>281083</v>
      </c>
      <c r="BN533" s="483">
        <v>254082</v>
      </c>
      <c r="BO533" s="483">
        <v>259700</v>
      </c>
      <c r="BP533" s="483">
        <v>276841</v>
      </c>
      <c r="BQ533" s="483">
        <v>292543</v>
      </c>
      <c r="BR533" s="1344">
        <v>306083</v>
      </c>
      <c r="BS533" s="1545"/>
      <c r="BU533" s="1545"/>
      <c r="BV533" s="1545"/>
      <c r="BW533" s="1545"/>
      <c r="BX533" s="1545"/>
      <c r="BY533" s="1545"/>
      <c r="BZ533" s="1545"/>
      <c r="CA533" s="1545"/>
      <c r="CB533" s="1545"/>
      <c r="CC533" s="1545"/>
      <c r="CD533" s="1348" t="s">
        <v>3012</v>
      </c>
      <c r="CE533" s="504">
        <v>174082</v>
      </c>
      <c r="CF533" s="504">
        <v>179700</v>
      </c>
      <c r="CG533" s="504">
        <v>196841</v>
      </c>
      <c r="CH533" s="504">
        <v>212543</v>
      </c>
      <c r="CI533" s="504">
        <v>226083</v>
      </c>
      <c r="CJ533" s="504">
        <v>189082</v>
      </c>
      <c r="CK533" s="504">
        <v>194700</v>
      </c>
      <c r="CL533" s="504">
        <v>211841</v>
      </c>
      <c r="CM533" s="504">
        <v>227543</v>
      </c>
      <c r="CN533" s="1347">
        <v>241083</v>
      </c>
    </row>
    <row r="534" spans="60:92" ht="18" customHeight="1">
      <c r="BH534" s="1343" t="s">
        <v>3013</v>
      </c>
      <c r="BI534" s="483">
        <v>150000</v>
      </c>
      <c r="BJ534" s="483">
        <v>150000</v>
      </c>
      <c r="BK534" s="483">
        <v>150000</v>
      </c>
      <c r="BL534" s="483">
        <v>150000</v>
      </c>
      <c r="BM534" s="483">
        <v>150000</v>
      </c>
      <c r="BN534" s="483">
        <v>175000</v>
      </c>
      <c r="BO534" s="483">
        <v>175000</v>
      </c>
      <c r="BP534" s="483">
        <v>175000</v>
      </c>
      <c r="BQ534" s="483">
        <v>175000</v>
      </c>
      <c r="BR534" s="1344">
        <v>175000</v>
      </c>
      <c r="BS534" s="1545"/>
      <c r="BU534" s="1545"/>
      <c r="BV534" s="1545"/>
      <c r="BW534" s="1545"/>
      <c r="BX534" s="1545"/>
      <c r="BY534" s="1545"/>
      <c r="BZ534" s="1545"/>
      <c r="CA534" s="1545"/>
      <c r="CB534" s="1545"/>
      <c r="CC534" s="1545"/>
      <c r="CD534" s="1343" t="s">
        <v>3013</v>
      </c>
      <c r="CE534" s="504">
        <v>95000</v>
      </c>
      <c r="CF534" s="504">
        <v>95000</v>
      </c>
      <c r="CG534" s="504">
        <v>95000</v>
      </c>
      <c r="CH534" s="504">
        <v>95000</v>
      </c>
      <c r="CI534" s="504">
        <v>95000</v>
      </c>
      <c r="CJ534" s="504">
        <v>110000</v>
      </c>
      <c r="CK534" s="504">
        <v>110000</v>
      </c>
      <c r="CL534" s="504">
        <v>110000</v>
      </c>
      <c r="CM534" s="504">
        <v>110000</v>
      </c>
      <c r="CN534" s="1347">
        <v>110000</v>
      </c>
    </row>
    <row r="535" spans="60:92" ht="18" customHeight="1">
      <c r="BH535" s="1348" t="s">
        <v>3014</v>
      </c>
      <c r="BI535" s="483">
        <v>158787</v>
      </c>
      <c r="BJ535" s="483">
        <v>159363</v>
      </c>
      <c r="BK535" s="483">
        <v>161380</v>
      </c>
      <c r="BL535" s="483">
        <v>163108</v>
      </c>
      <c r="BM535" s="483">
        <v>164549</v>
      </c>
      <c r="BN535" s="483">
        <v>183787</v>
      </c>
      <c r="BO535" s="483">
        <v>184363</v>
      </c>
      <c r="BP535" s="483">
        <v>186380</v>
      </c>
      <c r="BQ535" s="483">
        <v>188108</v>
      </c>
      <c r="BR535" s="1344">
        <v>189549</v>
      </c>
      <c r="BS535" s="1545"/>
      <c r="BU535" s="1545"/>
      <c r="BV535" s="1545"/>
      <c r="BW535" s="1545"/>
      <c r="BX535" s="1545"/>
      <c r="BY535" s="1545"/>
      <c r="BZ535" s="1545"/>
      <c r="CA535" s="1545"/>
      <c r="CB535" s="1545"/>
      <c r="CC535" s="1545"/>
      <c r="CD535" s="1348" t="s">
        <v>3014</v>
      </c>
      <c r="CE535" s="504">
        <v>103787</v>
      </c>
      <c r="CF535" s="504">
        <v>104363</v>
      </c>
      <c r="CG535" s="504">
        <v>106380</v>
      </c>
      <c r="CH535" s="504">
        <v>108108</v>
      </c>
      <c r="CI535" s="504">
        <v>109549</v>
      </c>
      <c r="CJ535" s="504">
        <v>118787</v>
      </c>
      <c r="CK535" s="504">
        <v>119363</v>
      </c>
      <c r="CL535" s="504">
        <v>121380</v>
      </c>
      <c r="CM535" s="504">
        <v>123108</v>
      </c>
      <c r="CN535" s="1347">
        <v>124549</v>
      </c>
    </row>
    <row r="536" spans="60:92" ht="18" customHeight="1">
      <c r="BH536" s="1348" t="s">
        <v>3015</v>
      </c>
      <c r="BI536" s="483">
        <v>167574</v>
      </c>
      <c r="BJ536" s="483">
        <v>168870</v>
      </c>
      <c r="BK536" s="483">
        <v>172615</v>
      </c>
      <c r="BL536" s="483">
        <v>176073</v>
      </c>
      <c r="BM536" s="483">
        <v>179098</v>
      </c>
      <c r="BN536" s="483">
        <v>192574</v>
      </c>
      <c r="BO536" s="483">
        <v>193870</v>
      </c>
      <c r="BP536" s="483">
        <v>197615</v>
      </c>
      <c r="BQ536" s="483">
        <v>201073</v>
      </c>
      <c r="BR536" s="1344">
        <v>204098</v>
      </c>
      <c r="BS536" s="1545"/>
      <c r="BU536" s="1545"/>
      <c r="BV536" s="1545"/>
      <c r="BW536" s="1545"/>
      <c r="BX536" s="1545"/>
      <c r="BY536" s="1545"/>
      <c r="BZ536" s="1545"/>
      <c r="CA536" s="1545"/>
      <c r="CB536" s="1545"/>
      <c r="CC536" s="1545"/>
      <c r="CD536" s="1348" t="s">
        <v>3015</v>
      </c>
      <c r="CE536" s="504">
        <v>112574</v>
      </c>
      <c r="CF536" s="504">
        <v>113870</v>
      </c>
      <c r="CG536" s="504">
        <v>117615</v>
      </c>
      <c r="CH536" s="504">
        <v>121073</v>
      </c>
      <c r="CI536" s="504">
        <v>124098</v>
      </c>
      <c r="CJ536" s="504">
        <v>127574</v>
      </c>
      <c r="CK536" s="504">
        <v>128870</v>
      </c>
      <c r="CL536" s="504">
        <v>132615</v>
      </c>
      <c r="CM536" s="504">
        <v>136073</v>
      </c>
      <c r="CN536" s="1347">
        <v>139098</v>
      </c>
    </row>
    <row r="537" spans="60:92" ht="18" customHeight="1">
      <c r="BH537" s="1348" t="s">
        <v>3016</v>
      </c>
      <c r="BI537" s="483">
        <v>176361</v>
      </c>
      <c r="BJ537" s="483">
        <v>178233</v>
      </c>
      <c r="BK537" s="483">
        <v>183995</v>
      </c>
      <c r="BL537" s="483">
        <v>189181</v>
      </c>
      <c r="BM537" s="483">
        <v>193646</v>
      </c>
      <c r="BN537" s="483">
        <v>201361</v>
      </c>
      <c r="BO537" s="483">
        <v>203233</v>
      </c>
      <c r="BP537" s="483">
        <v>208995</v>
      </c>
      <c r="BQ537" s="483">
        <v>214181</v>
      </c>
      <c r="BR537" s="1344">
        <v>218646</v>
      </c>
      <c r="BS537" s="1545"/>
      <c r="BU537" s="1545"/>
      <c r="BV537" s="1545"/>
      <c r="BW537" s="1545"/>
      <c r="BX537" s="1545"/>
      <c r="BY537" s="1545"/>
      <c r="BZ537" s="1545"/>
      <c r="CA537" s="1545"/>
      <c r="CB537" s="1545"/>
      <c r="CC537" s="1545"/>
      <c r="CD537" s="1348" t="s">
        <v>3016</v>
      </c>
      <c r="CE537" s="504">
        <v>121361</v>
      </c>
      <c r="CF537" s="504">
        <v>123233</v>
      </c>
      <c r="CG537" s="504">
        <v>128995</v>
      </c>
      <c r="CH537" s="504">
        <v>134181</v>
      </c>
      <c r="CI537" s="504">
        <v>138646</v>
      </c>
      <c r="CJ537" s="504">
        <v>136361</v>
      </c>
      <c r="CK537" s="504">
        <v>138233</v>
      </c>
      <c r="CL537" s="504">
        <v>143995</v>
      </c>
      <c r="CM537" s="504">
        <v>149181</v>
      </c>
      <c r="CN537" s="1347">
        <v>153646</v>
      </c>
    </row>
    <row r="538" spans="60:92" ht="18" customHeight="1">
      <c r="BH538" s="1348" t="s">
        <v>3017</v>
      </c>
      <c r="BI538" s="483">
        <v>185148</v>
      </c>
      <c r="BJ538" s="483">
        <v>187596</v>
      </c>
      <c r="BK538" s="483">
        <v>195231</v>
      </c>
      <c r="BL538" s="483">
        <v>202145</v>
      </c>
      <c r="BM538" s="483">
        <v>208195</v>
      </c>
      <c r="BN538" s="483">
        <v>210148</v>
      </c>
      <c r="BO538" s="483">
        <v>212596</v>
      </c>
      <c r="BP538" s="483">
        <v>220231</v>
      </c>
      <c r="BQ538" s="483">
        <v>227145</v>
      </c>
      <c r="BR538" s="1344">
        <v>233195</v>
      </c>
      <c r="BS538" s="1545"/>
      <c r="BU538" s="1545"/>
      <c r="BV538" s="1545"/>
      <c r="BW538" s="1545"/>
      <c r="BX538" s="1545"/>
      <c r="BY538" s="1545"/>
      <c r="BZ538" s="1545"/>
      <c r="CA538" s="1545"/>
      <c r="CB538" s="1545"/>
      <c r="CC538" s="1545"/>
      <c r="CD538" s="1348" t="s">
        <v>3017</v>
      </c>
      <c r="CE538" s="504">
        <v>130148</v>
      </c>
      <c r="CF538" s="504">
        <v>132596</v>
      </c>
      <c r="CG538" s="504">
        <v>140231</v>
      </c>
      <c r="CH538" s="504">
        <v>147145</v>
      </c>
      <c r="CI538" s="504">
        <v>153195</v>
      </c>
      <c r="CJ538" s="504">
        <v>145148</v>
      </c>
      <c r="CK538" s="504">
        <v>147596</v>
      </c>
      <c r="CL538" s="504">
        <v>155231</v>
      </c>
      <c r="CM538" s="504">
        <v>162145</v>
      </c>
      <c r="CN538" s="1347">
        <v>168195</v>
      </c>
    </row>
    <row r="539" spans="60:92" ht="18" customHeight="1">
      <c r="BH539" s="1348" t="s">
        <v>3018</v>
      </c>
      <c r="BI539" s="483">
        <v>193934</v>
      </c>
      <c r="BJ539" s="483">
        <v>197103</v>
      </c>
      <c r="BK539" s="483">
        <v>206611</v>
      </c>
      <c r="BL539" s="483">
        <v>215253</v>
      </c>
      <c r="BM539" s="483">
        <v>222888</v>
      </c>
      <c r="BN539" s="483">
        <v>218934</v>
      </c>
      <c r="BO539" s="483">
        <v>222103</v>
      </c>
      <c r="BP539" s="483">
        <v>231611</v>
      </c>
      <c r="BQ539" s="483">
        <v>240253</v>
      </c>
      <c r="BR539" s="1344">
        <v>247888</v>
      </c>
      <c r="BS539" s="1545"/>
      <c r="BU539" s="1545"/>
      <c r="BV539" s="1545"/>
      <c r="BW539" s="1545"/>
      <c r="BX539" s="1545"/>
      <c r="BY539" s="1545"/>
      <c r="BZ539" s="1545"/>
      <c r="CA539" s="1545"/>
      <c r="CB539" s="1545"/>
      <c r="CC539" s="1545"/>
      <c r="CD539" s="1348" t="s">
        <v>3018</v>
      </c>
      <c r="CE539" s="504">
        <v>138934</v>
      </c>
      <c r="CF539" s="504">
        <v>142103</v>
      </c>
      <c r="CG539" s="504">
        <v>151611</v>
      </c>
      <c r="CH539" s="504">
        <v>160253</v>
      </c>
      <c r="CI539" s="504">
        <v>167888</v>
      </c>
      <c r="CJ539" s="504">
        <v>153934</v>
      </c>
      <c r="CK539" s="504">
        <v>157103</v>
      </c>
      <c r="CL539" s="504">
        <v>166611</v>
      </c>
      <c r="CM539" s="504">
        <v>175253</v>
      </c>
      <c r="CN539" s="1347">
        <v>182888</v>
      </c>
    </row>
    <row r="540" spans="60:92" ht="18" customHeight="1">
      <c r="BH540" s="1348" t="s">
        <v>3019</v>
      </c>
      <c r="BI540" s="483">
        <v>202721</v>
      </c>
      <c r="BJ540" s="483">
        <v>206467</v>
      </c>
      <c r="BK540" s="483">
        <v>217846</v>
      </c>
      <c r="BL540" s="483">
        <v>228362</v>
      </c>
      <c r="BM540" s="483">
        <v>237437</v>
      </c>
      <c r="BN540" s="483">
        <v>227721</v>
      </c>
      <c r="BO540" s="483">
        <v>231467</v>
      </c>
      <c r="BP540" s="483">
        <v>242846</v>
      </c>
      <c r="BQ540" s="483">
        <v>253362</v>
      </c>
      <c r="BR540" s="1344">
        <v>262437</v>
      </c>
      <c r="BS540" s="1545"/>
      <c r="BU540" s="1545"/>
      <c r="BV540" s="1545"/>
      <c r="BW540" s="1545"/>
      <c r="BX540" s="1545"/>
      <c r="BY540" s="1545"/>
      <c r="BZ540" s="1545"/>
      <c r="CA540" s="1545"/>
      <c r="CB540" s="1545"/>
      <c r="CC540" s="1545"/>
      <c r="CD540" s="1348" t="s">
        <v>3019</v>
      </c>
      <c r="CE540" s="504">
        <v>147721</v>
      </c>
      <c r="CF540" s="504">
        <v>151467</v>
      </c>
      <c r="CG540" s="504">
        <v>162846</v>
      </c>
      <c r="CH540" s="504">
        <v>173362</v>
      </c>
      <c r="CI540" s="504">
        <v>182437</v>
      </c>
      <c r="CJ540" s="504">
        <v>162721</v>
      </c>
      <c r="CK540" s="504">
        <v>166467</v>
      </c>
      <c r="CL540" s="504">
        <v>177846</v>
      </c>
      <c r="CM540" s="504">
        <v>188362</v>
      </c>
      <c r="CN540" s="1347">
        <v>197437</v>
      </c>
    </row>
    <row r="541" spans="60:92" ht="18" customHeight="1">
      <c r="BH541" s="1348" t="s">
        <v>3020</v>
      </c>
      <c r="BI541" s="483">
        <v>211508</v>
      </c>
      <c r="BJ541" s="483">
        <v>215974</v>
      </c>
      <c r="BK541" s="483">
        <v>229226</v>
      </c>
      <c r="BL541" s="483">
        <v>241326</v>
      </c>
      <c r="BM541" s="483">
        <v>251985</v>
      </c>
      <c r="BN541" s="483">
        <v>236508</v>
      </c>
      <c r="BO541" s="483">
        <v>240974</v>
      </c>
      <c r="BP541" s="483">
        <v>254226</v>
      </c>
      <c r="BQ541" s="483">
        <v>266326</v>
      </c>
      <c r="BR541" s="1344">
        <v>276985</v>
      </c>
      <c r="BS541" s="1545"/>
      <c r="BU541" s="1545"/>
      <c r="BV541" s="1545"/>
      <c r="BW541" s="1545"/>
      <c r="BX541" s="1545"/>
      <c r="BY541" s="1545"/>
      <c r="BZ541" s="1545"/>
      <c r="CA541" s="1545"/>
      <c r="CB541" s="1545"/>
      <c r="CC541" s="1545"/>
      <c r="CD541" s="1348" t="s">
        <v>3020</v>
      </c>
      <c r="CE541" s="504">
        <v>156508</v>
      </c>
      <c r="CF541" s="504">
        <v>160974</v>
      </c>
      <c r="CG541" s="504">
        <v>174226</v>
      </c>
      <c r="CH541" s="504">
        <v>186326</v>
      </c>
      <c r="CI541" s="504">
        <v>196985</v>
      </c>
      <c r="CJ541" s="504">
        <v>171508</v>
      </c>
      <c r="CK541" s="504">
        <v>175974</v>
      </c>
      <c r="CL541" s="504">
        <v>189226</v>
      </c>
      <c r="CM541" s="504">
        <v>201326</v>
      </c>
      <c r="CN541" s="1347">
        <v>211985</v>
      </c>
    </row>
    <row r="542" spans="60:92" ht="18" customHeight="1">
      <c r="BH542" s="1348" t="s">
        <v>3021</v>
      </c>
      <c r="BI542" s="483">
        <v>220295</v>
      </c>
      <c r="BJ542" s="483">
        <v>225337</v>
      </c>
      <c r="BK542" s="483">
        <v>240462</v>
      </c>
      <c r="BL542" s="483">
        <v>254434</v>
      </c>
      <c r="BM542" s="483">
        <v>266534</v>
      </c>
      <c r="BN542" s="483">
        <v>245295</v>
      </c>
      <c r="BO542" s="483">
        <v>250337</v>
      </c>
      <c r="BP542" s="483">
        <v>265462</v>
      </c>
      <c r="BQ542" s="483">
        <v>279434</v>
      </c>
      <c r="BR542" s="1344">
        <v>291534</v>
      </c>
      <c r="BS542" s="1545"/>
      <c r="BU542" s="1545"/>
      <c r="BV542" s="1545"/>
      <c r="BW542" s="1545"/>
      <c r="BX542" s="1545"/>
      <c r="BY542" s="1545"/>
      <c r="BZ542" s="1545"/>
      <c r="CA542" s="1545"/>
      <c r="CB542" s="1545"/>
      <c r="CC542" s="1545"/>
      <c r="CD542" s="1348" t="s">
        <v>3021</v>
      </c>
      <c r="CE542" s="504">
        <v>165295</v>
      </c>
      <c r="CF542" s="504">
        <v>170337</v>
      </c>
      <c r="CG542" s="504">
        <v>185462</v>
      </c>
      <c r="CH542" s="504">
        <v>199434</v>
      </c>
      <c r="CI542" s="504">
        <v>211534</v>
      </c>
      <c r="CJ542" s="504">
        <v>180295</v>
      </c>
      <c r="CK542" s="504">
        <v>185337</v>
      </c>
      <c r="CL542" s="504">
        <v>200462</v>
      </c>
      <c r="CM542" s="504">
        <v>214434</v>
      </c>
      <c r="CN542" s="1347">
        <v>226534</v>
      </c>
    </row>
    <row r="543" spans="60:92" ht="18" customHeight="1">
      <c r="BH543" s="1348" t="s">
        <v>3022</v>
      </c>
      <c r="BI543" s="483">
        <v>229082</v>
      </c>
      <c r="BJ543" s="483">
        <v>234700</v>
      </c>
      <c r="BK543" s="483">
        <v>251841</v>
      </c>
      <c r="BL543" s="483">
        <v>267543</v>
      </c>
      <c r="BM543" s="483">
        <v>281083</v>
      </c>
      <c r="BN543" s="483">
        <v>254082</v>
      </c>
      <c r="BO543" s="483">
        <v>259700</v>
      </c>
      <c r="BP543" s="483">
        <v>276841</v>
      </c>
      <c r="BQ543" s="483">
        <v>292543</v>
      </c>
      <c r="BR543" s="1344">
        <v>306083</v>
      </c>
      <c r="BS543" s="1545"/>
      <c r="BU543" s="1545"/>
      <c r="BV543" s="1545"/>
      <c r="BW543" s="1545"/>
      <c r="BX543" s="1545"/>
      <c r="BY543" s="1545"/>
      <c r="BZ543" s="1545"/>
      <c r="CA543" s="1545"/>
      <c r="CB543" s="1545"/>
      <c r="CC543" s="1545"/>
      <c r="CD543" s="1348" t="s">
        <v>3022</v>
      </c>
      <c r="CE543" s="504">
        <v>174082</v>
      </c>
      <c r="CF543" s="504">
        <v>179700</v>
      </c>
      <c r="CG543" s="504">
        <v>196841</v>
      </c>
      <c r="CH543" s="504">
        <v>212543</v>
      </c>
      <c r="CI543" s="504">
        <v>226083</v>
      </c>
      <c r="CJ543" s="504">
        <v>189082</v>
      </c>
      <c r="CK543" s="504">
        <v>194700</v>
      </c>
      <c r="CL543" s="504">
        <v>211841</v>
      </c>
      <c r="CM543" s="504">
        <v>227543</v>
      </c>
      <c r="CN543" s="1347">
        <v>241083</v>
      </c>
    </row>
    <row r="544" spans="60:92" ht="18" customHeight="1">
      <c r="BH544" s="1343" t="s">
        <v>3023</v>
      </c>
      <c r="BI544" s="483">
        <v>150000</v>
      </c>
      <c r="BJ544" s="483">
        <v>150000</v>
      </c>
      <c r="BK544" s="483">
        <v>150000</v>
      </c>
      <c r="BL544" s="483">
        <v>150000</v>
      </c>
      <c r="BM544" s="483">
        <v>150000</v>
      </c>
      <c r="BN544" s="483">
        <v>175000</v>
      </c>
      <c r="BO544" s="483">
        <v>175000</v>
      </c>
      <c r="BP544" s="483">
        <v>175000</v>
      </c>
      <c r="BQ544" s="483">
        <v>175000</v>
      </c>
      <c r="BR544" s="1344">
        <v>175000</v>
      </c>
      <c r="BS544" s="1545"/>
      <c r="BU544" s="1545"/>
      <c r="BV544" s="1545"/>
      <c r="BW544" s="1545"/>
      <c r="BX544" s="1545"/>
      <c r="BY544" s="1545"/>
      <c r="BZ544" s="1545"/>
      <c r="CA544" s="1545"/>
      <c r="CB544" s="1545"/>
      <c r="CC544" s="1545"/>
      <c r="CD544" s="1343" t="s">
        <v>3023</v>
      </c>
      <c r="CE544" s="504">
        <v>95000</v>
      </c>
      <c r="CF544" s="504">
        <v>95000</v>
      </c>
      <c r="CG544" s="504">
        <v>95000</v>
      </c>
      <c r="CH544" s="504">
        <v>95000</v>
      </c>
      <c r="CI544" s="504">
        <v>95000</v>
      </c>
      <c r="CJ544" s="504">
        <v>110000</v>
      </c>
      <c r="CK544" s="504">
        <v>110000</v>
      </c>
      <c r="CL544" s="504">
        <v>110000</v>
      </c>
      <c r="CM544" s="504">
        <v>110000</v>
      </c>
      <c r="CN544" s="1347">
        <v>110000</v>
      </c>
    </row>
    <row r="545" spans="60:92" ht="18" customHeight="1">
      <c r="BH545" s="1348" t="s">
        <v>3024</v>
      </c>
      <c r="BI545" s="483">
        <v>159363</v>
      </c>
      <c r="BJ545" s="483">
        <v>160083</v>
      </c>
      <c r="BK545" s="483">
        <v>162100</v>
      </c>
      <c r="BL545" s="483">
        <v>163973</v>
      </c>
      <c r="BM545" s="483">
        <v>165557</v>
      </c>
      <c r="BN545" s="483">
        <v>184363</v>
      </c>
      <c r="BO545" s="483">
        <v>185083</v>
      </c>
      <c r="BP545" s="483">
        <v>187100</v>
      </c>
      <c r="BQ545" s="483">
        <v>188973</v>
      </c>
      <c r="BR545" s="1344">
        <v>190557</v>
      </c>
      <c r="BS545" s="1545"/>
      <c r="BU545" s="1545"/>
      <c r="BV545" s="1545"/>
      <c r="BW545" s="1545"/>
      <c r="BX545" s="1545"/>
      <c r="BY545" s="1545"/>
      <c r="BZ545" s="1545"/>
      <c r="CA545" s="1545"/>
      <c r="CB545" s="1545"/>
      <c r="CC545" s="1545"/>
      <c r="CD545" s="1348" t="s">
        <v>3024</v>
      </c>
      <c r="CE545" s="504">
        <v>104363</v>
      </c>
      <c r="CF545" s="504">
        <v>105083</v>
      </c>
      <c r="CG545" s="504">
        <v>107100</v>
      </c>
      <c r="CH545" s="504">
        <v>108973</v>
      </c>
      <c r="CI545" s="504">
        <v>110557</v>
      </c>
      <c r="CJ545" s="504">
        <v>119363</v>
      </c>
      <c r="CK545" s="504">
        <v>120083</v>
      </c>
      <c r="CL545" s="504">
        <v>122100</v>
      </c>
      <c r="CM545" s="504">
        <v>123973</v>
      </c>
      <c r="CN545" s="1347">
        <v>125557</v>
      </c>
    </row>
    <row r="546" spans="60:92" ht="18" customHeight="1">
      <c r="BH546" s="1348" t="s">
        <v>3025</v>
      </c>
      <c r="BI546" s="483">
        <v>168726</v>
      </c>
      <c r="BJ546" s="483">
        <v>170023</v>
      </c>
      <c r="BK546" s="483">
        <v>174200</v>
      </c>
      <c r="BL546" s="483">
        <v>177945</v>
      </c>
      <c r="BM546" s="483">
        <v>181114</v>
      </c>
      <c r="BN546" s="483">
        <v>193726</v>
      </c>
      <c r="BO546" s="483">
        <v>195023</v>
      </c>
      <c r="BP546" s="483">
        <v>199200</v>
      </c>
      <c r="BQ546" s="483">
        <v>202945</v>
      </c>
      <c r="BR546" s="1344">
        <v>206114</v>
      </c>
      <c r="BS546" s="1545"/>
      <c r="BU546" s="1545"/>
      <c r="BV546" s="1545"/>
      <c r="BW546" s="1545"/>
      <c r="BX546" s="1545"/>
      <c r="BY546" s="1545"/>
      <c r="BZ546" s="1545"/>
      <c r="CA546" s="1545"/>
      <c r="CB546" s="1545"/>
      <c r="CC546" s="1545"/>
      <c r="CD546" s="1348" t="s">
        <v>3025</v>
      </c>
      <c r="CE546" s="504">
        <v>113726</v>
      </c>
      <c r="CF546" s="504">
        <v>115023</v>
      </c>
      <c r="CG546" s="504">
        <v>119200</v>
      </c>
      <c r="CH546" s="504">
        <v>122945</v>
      </c>
      <c r="CI546" s="504">
        <v>126114</v>
      </c>
      <c r="CJ546" s="504">
        <v>128726</v>
      </c>
      <c r="CK546" s="504">
        <v>130023</v>
      </c>
      <c r="CL546" s="504">
        <v>134200</v>
      </c>
      <c r="CM546" s="504">
        <v>137945</v>
      </c>
      <c r="CN546" s="1347">
        <v>141114</v>
      </c>
    </row>
    <row r="547" spans="60:92" ht="18" customHeight="1">
      <c r="BH547" s="1348" t="s">
        <v>3026</v>
      </c>
      <c r="BI547" s="483">
        <v>178089</v>
      </c>
      <c r="BJ547" s="483">
        <v>180106</v>
      </c>
      <c r="BK547" s="483">
        <v>186300</v>
      </c>
      <c r="BL547" s="483">
        <v>191918</v>
      </c>
      <c r="BM547" s="483">
        <v>196671</v>
      </c>
      <c r="BN547" s="483">
        <v>203089</v>
      </c>
      <c r="BO547" s="483">
        <v>205106</v>
      </c>
      <c r="BP547" s="483">
        <v>211300</v>
      </c>
      <c r="BQ547" s="483">
        <v>216918</v>
      </c>
      <c r="BR547" s="1344">
        <v>221671</v>
      </c>
      <c r="BS547" s="1545"/>
      <c r="BU547" s="1545"/>
      <c r="BV547" s="1545"/>
      <c r="BW547" s="1545"/>
      <c r="BX547" s="1545"/>
      <c r="BY547" s="1545"/>
      <c r="BZ547" s="1545"/>
      <c r="CA547" s="1545"/>
      <c r="CB547" s="1545"/>
      <c r="CC547" s="1545"/>
      <c r="CD547" s="1348" t="s">
        <v>3026</v>
      </c>
      <c r="CE547" s="504">
        <v>123089</v>
      </c>
      <c r="CF547" s="504">
        <v>125106</v>
      </c>
      <c r="CG547" s="504">
        <v>131300</v>
      </c>
      <c r="CH547" s="504">
        <v>136918</v>
      </c>
      <c r="CI547" s="504">
        <v>141671</v>
      </c>
      <c r="CJ547" s="504">
        <v>138089</v>
      </c>
      <c r="CK547" s="504">
        <v>140106</v>
      </c>
      <c r="CL547" s="504">
        <v>146300</v>
      </c>
      <c r="CM547" s="504">
        <v>151918</v>
      </c>
      <c r="CN547" s="1347">
        <v>156671</v>
      </c>
    </row>
    <row r="548" spans="60:92" ht="18" customHeight="1">
      <c r="BH548" s="1348" t="s">
        <v>3027</v>
      </c>
      <c r="BI548" s="483">
        <v>187452</v>
      </c>
      <c r="BJ548" s="483">
        <v>190189</v>
      </c>
      <c r="BK548" s="483">
        <v>198256</v>
      </c>
      <c r="BL548" s="483">
        <v>205746</v>
      </c>
      <c r="BM548" s="483">
        <v>212228</v>
      </c>
      <c r="BN548" s="483">
        <v>212452</v>
      </c>
      <c r="BO548" s="483">
        <v>215189</v>
      </c>
      <c r="BP548" s="483">
        <v>223256</v>
      </c>
      <c r="BQ548" s="483">
        <v>230746</v>
      </c>
      <c r="BR548" s="1344">
        <v>237228</v>
      </c>
      <c r="BS548" s="1545"/>
      <c r="BU548" s="1545"/>
      <c r="BV548" s="1545"/>
      <c r="BW548" s="1545"/>
      <c r="BX548" s="1545"/>
      <c r="BY548" s="1545"/>
      <c r="BZ548" s="1545"/>
      <c r="CA548" s="1545"/>
      <c r="CB548" s="1545"/>
      <c r="CC548" s="1545"/>
      <c r="CD548" s="1348" t="s">
        <v>3027</v>
      </c>
      <c r="CE548" s="504">
        <v>132452</v>
      </c>
      <c r="CF548" s="504">
        <v>135189</v>
      </c>
      <c r="CG548" s="504">
        <v>143256</v>
      </c>
      <c r="CH548" s="504">
        <v>150746</v>
      </c>
      <c r="CI548" s="504">
        <v>157228</v>
      </c>
      <c r="CJ548" s="504">
        <v>147452</v>
      </c>
      <c r="CK548" s="504">
        <v>150189</v>
      </c>
      <c r="CL548" s="504">
        <v>158256</v>
      </c>
      <c r="CM548" s="504">
        <v>165746</v>
      </c>
      <c r="CN548" s="1347">
        <v>172228</v>
      </c>
    </row>
    <row r="549" spans="60:92" ht="18" customHeight="1">
      <c r="BH549" s="1348" t="s">
        <v>3028</v>
      </c>
      <c r="BI549" s="483">
        <v>196959</v>
      </c>
      <c r="BJ549" s="483">
        <v>200273</v>
      </c>
      <c r="BK549" s="483">
        <v>210356</v>
      </c>
      <c r="BL549" s="483">
        <v>219719</v>
      </c>
      <c r="BM549" s="483">
        <v>227786</v>
      </c>
      <c r="BN549" s="483">
        <v>221959</v>
      </c>
      <c r="BO549" s="483">
        <v>225273</v>
      </c>
      <c r="BP549" s="483">
        <v>235356</v>
      </c>
      <c r="BQ549" s="483">
        <v>244719</v>
      </c>
      <c r="BR549" s="1344">
        <v>252786</v>
      </c>
      <c r="BS549" s="1545"/>
      <c r="BU549" s="1545"/>
      <c r="BV549" s="1545"/>
      <c r="BW549" s="1545"/>
      <c r="BX549" s="1545"/>
      <c r="BY549" s="1545"/>
      <c r="BZ549" s="1545"/>
      <c r="CA549" s="1545"/>
      <c r="CB549" s="1545"/>
      <c r="CC549" s="1545"/>
      <c r="CD549" s="1348" t="s">
        <v>3028</v>
      </c>
      <c r="CE549" s="504">
        <v>141959</v>
      </c>
      <c r="CF549" s="504">
        <v>145273</v>
      </c>
      <c r="CG549" s="504">
        <v>155356</v>
      </c>
      <c r="CH549" s="504">
        <v>164719</v>
      </c>
      <c r="CI549" s="504">
        <v>172786</v>
      </c>
      <c r="CJ549" s="504">
        <v>156959</v>
      </c>
      <c r="CK549" s="504">
        <v>160273</v>
      </c>
      <c r="CL549" s="504">
        <v>170356</v>
      </c>
      <c r="CM549" s="504">
        <v>179719</v>
      </c>
      <c r="CN549" s="1347">
        <v>187786</v>
      </c>
    </row>
    <row r="550" spans="60:92" ht="18" customHeight="1">
      <c r="BH550" s="1348" t="s">
        <v>3029</v>
      </c>
      <c r="BI550" s="483">
        <v>206322</v>
      </c>
      <c r="BJ550" s="483">
        <v>210356</v>
      </c>
      <c r="BK550" s="483">
        <v>222456</v>
      </c>
      <c r="BL550" s="483">
        <v>233691</v>
      </c>
      <c r="BM550" s="483">
        <v>243343</v>
      </c>
      <c r="BN550" s="483">
        <v>231322</v>
      </c>
      <c r="BO550" s="483">
        <v>235356</v>
      </c>
      <c r="BP550" s="483">
        <v>247456</v>
      </c>
      <c r="BQ550" s="483">
        <v>258691</v>
      </c>
      <c r="BR550" s="1344">
        <v>268343</v>
      </c>
      <c r="BS550" s="1545"/>
      <c r="BU550" s="1545"/>
      <c r="BV550" s="1545"/>
      <c r="BW550" s="1545"/>
      <c r="BX550" s="1545"/>
      <c r="BY550" s="1545"/>
      <c r="BZ550" s="1545"/>
      <c r="CA550" s="1545"/>
      <c r="CB550" s="1545"/>
      <c r="CC550" s="1545"/>
      <c r="CD550" s="1348" t="s">
        <v>3029</v>
      </c>
      <c r="CE550" s="504">
        <v>151322</v>
      </c>
      <c r="CF550" s="504">
        <v>155356</v>
      </c>
      <c r="CG550" s="504">
        <v>167456</v>
      </c>
      <c r="CH550" s="504">
        <v>178691</v>
      </c>
      <c r="CI550" s="504">
        <v>188343</v>
      </c>
      <c r="CJ550" s="504">
        <v>166322</v>
      </c>
      <c r="CK550" s="504">
        <v>170356</v>
      </c>
      <c r="CL550" s="504">
        <v>182456</v>
      </c>
      <c r="CM550" s="504">
        <v>193691</v>
      </c>
      <c r="CN550" s="1347">
        <v>203343</v>
      </c>
    </row>
    <row r="551" spans="60:92" ht="18" customHeight="1">
      <c r="BH551" s="1348" t="s">
        <v>3030</v>
      </c>
      <c r="BI551" s="483">
        <v>215686</v>
      </c>
      <c r="BJ551" s="483">
        <v>220295</v>
      </c>
      <c r="BK551" s="483">
        <v>234556</v>
      </c>
      <c r="BL551" s="483">
        <v>247664</v>
      </c>
      <c r="BM551" s="483">
        <v>258900</v>
      </c>
      <c r="BN551" s="483">
        <v>240686</v>
      </c>
      <c r="BO551" s="483">
        <v>245295</v>
      </c>
      <c r="BP551" s="483">
        <v>259556</v>
      </c>
      <c r="BQ551" s="483">
        <v>272664</v>
      </c>
      <c r="BR551" s="1344">
        <v>283900</v>
      </c>
      <c r="BS551" s="1545"/>
      <c r="BU551" s="1545"/>
      <c r="BV551" s="1545"/>
      <c r="BW551" s="1545"/>
      <c r="BX551" s="1545"/>
      <c r="BY551" s="1545"/>
      <c r="BZ551" s="1545"/>
      <c r="CA551" s="1545"/>
      <c r="CB551" s="1545"/>
      <c r="CC551" s="1545"/>
      <c r="CD551" s="1348" t="s">
        <v>3030</v>
      </c>
      <c r="CE551" s="504">
        <v>160686</v>
      </c>
      <c r="CF551" s="504">
        <v>165295</v>
      </c>
      <c r="CG551" s="504">
        <v>179556</v>
      </c>
      <c r="CH551" s="504">
        <v>192664</v>
      </c>
      <c r="CI551" s="504">
        <v>203900</v>
      </c>
      <c r="CJ551" s="504">
        <v>175686</v>
      </c>
      <c r="CK551" s="504">
        <v>180295</v>
      </c>
      <c r="CL551" s="504">
        <v>194556</v>
      </c>
      <c r="CM551" s="504">
        <v>207664</v>
      </c>
      <c r="CN551" s="1347">
        <v>218900</v>
      </c>
    </row>
    <row r="552" spans="60:92" ht="18" customHeight="1">
      <c r="BH552" s="1348" t="s">
        <v>3031</v>
      </c>
      <c r="BI552" s="483">
        <v>225049</v>
      </c>
      <c r="BJ552" s="483">
        <v>230378</v>
      </c>
      <c r="BK552" s="483">
        <v>246512</v>
      </c>
      <c r="BL552" s="483">
        <v>261493</v>
      </c>
      <c r="BM552" s="483">
        <v>274457</v>
      </c>
      <c r="BN552" s="483">
        <v>250049</v>
      </c>
      <c r="BO552" s="483">
        <v>255378</v>
      </c>
      <c r="BP552" s="483">
        <v>271512</v>
      </c>
      <c r="BQ552" s="483">
        <v>286493</v>
      </c>
      <c r="BR552" s="1344">
        <v>299457</v>
      </c>
      <c r="BS552" s="1545"/>
      <c r="BU552" s="1545"/>
      <c r="BV552" s="1545"/>
      <c r="BW552" s="1545"/>
      <c r="BX552" s="1545"/>
      <c r="BY552" s="1545"/>
      <c r="BZ552" s="1545"/>
      <c r="CA552" s="1545"/>
      <c r="CB552" s="1545"/>
      <c r="CC552" s="1545"/>
      <c r="CD552" s="1348" t="s">
        <v>3031</v>
      </c>
      <c r="CE552" s="504">
        <v>170049</v>
      </c>
      <c r="CF552" s="504">
        <v>175378</v>
      </c>
      <c r="CG552" s="504">
        <v>191512</v>
      </c>
      <c r="CH552" s="504">
        <v>206493</v>
      </c>
      <c r="CI552" s="504">
        <v>219457</v>
      </c>
      <c r="CJ552" s="504">
        <v>185049</v>
      </c>
      <c r="CK552" s="504">
        <v>190378</v>
      </c>
      <c r="CL552" s="504">
        <v>206512</v>
      </c>
      <c r="CM552" s="504">
        <v>221493</v>
      </c>
      <c r="CN552" s="1347">
        <v>234457</v>
      </c>
    </row>
    <row r="553" spans="60:92" ht="18" customHeight="1">
      <c r="BH553" s="1348" t="s">
        <v>3032</v>
      </c>
      <c r="BI553" s="483">
        <v>234412</v>
      </c>
      <c r="BJ553" s="483">
        <v>240462</v>
      </c>
      <c r="BK553" s="483">
        <v>258612</v>
      </c>
      <c r="BL553" s="483">
        <v>275465</v>
      </c>
      <c r="BM553" s="483">
        <v>290014</v>
      </c>
      <c r="BN553" s="483">
        <v>259412</v>
      </c>
      <c r="BO553" s="483">
        <v>265462</v>
      </c>
      <c r="BP553" s="483">
        <v>283612</v>
      </c>
      <c r="BQ553" s="483">
        <v>300465</v>
      </c>
      <c r="BR553" s="1344">
        <v>315014</v>
      </c>
      <c r="BS553" s="1545"/>
      <c r="BU553" s="1545"/>
      <c r="BV553" s="1545"/>
      <c r="BW553" s="1545"/>
      <c r="BX553" s="1545"/>
      <c r="BY553" s="1545"/>
      <c r="BZ553" s="1545"/>
      <c r="CA553" s="1545"/>
      <c r="CB553" s="1545"/>
      <c r="CC553" s="1545"/>
      <c r="CD553" s="1348" t="s">
        <v>3032</v>
      </c>
      <c r="CE553" s="504">
        <v>179412</v>
      </c>
      <c r="CF553" s="504">
        <v>185462</v>
      </c>
      <c r="CG553" s="504">
        <v>203612</v>
      </c>
      <c r="CH553" s="504">
        <v>220465</v>
      </c>
      <c r="CI553" s="504">
        <v>235014</v>
      </c>
      <c r="CJ553" s="504">
        <v>194412</v>
      </c>
      <c r="CK553" s="504">
        <v>200462</v>
      </c>
      <c r="CL553" s="504">
        <v>218612</v>
      </c>
      <c r="CM553" s="504">
        <v>235465</v>
      </c>
      <c r="CN553" s="1347">
        <v>250014</v>
      </c>
    </row>
    <row r="554" spans="60:92" ht="18" customHeight="1">
      <c r="BH554" s="1343" t="s">
        <v>3033</v>
      </c>
      <c r="BI554" s="483">
        <v>150000</v>
      </c>
      <c r="BJ554" s="483">
        <v>150000</v>
      </c>
      <c r="BK554" s="483">
        <v>150000</v>
      </c>
      <c r="BL554" s="483">
        <v>150000</v>
      </c>
      <c r="BM554" s="483">
        <v>150000</v>
      </c>
      <c r="BN554" s="483">
        <v>175000</v>
      </c>
      <c r="BO554" s="483">
        <v>175000</v>
      </c>
      <c r="BP554" s="483">
        <v>175000</v>
      </c>
      <c r="BQ554" s="483">
        <v>175000</v>
      </c>
      <c r="BR554" s="1344">
        <v>175000</v>
      </c>
      <c r="BS554" s="1545"/>
      <c r="BU554" s="1545"/>
      <c r="BV554" s="1545"/>
      <c r="BW554" s="1545"/>
      <c r="BX554" s="1545"/>
      <c r="BY554" s="1545"/>
      <c r="BZ554" s="1545"/>
      <c r="CA554" s="1545"/>
      <c r="CB554" s="1545"/>
      <c r="CC554" s="1545"/>
      <c r="CD554" s="1343" t="s">
        <v>3033</v>
      </c>
      <c r="CE554" s="504">
        <v>95000</v>
      </c>
      <c r="CF554" s="504">
        <v>95000</v>
      </c>
      <c r="CG554" s="504">
        <v>95000</v>
      </c>
      <c r="CH554" s="504">
        <v>95000</v>
      </c>
      <c r="CI554" s="504">
        <v>95000</v>
      </c>
      <c r="CJ554" s="504">
        <v>110000</v>
      </c>
      <c r="CK554" s="504">
        <v>110000</v>
      </c>
      <c r="CL554" s="504">
        <v>110000</v>
      </c>
      <c r="CM554" s="504">
        <v>110000</v>
      </c>
      <c r="CN554" s="1347">
        <v>110000</v>
      </c>
    </row>
    <row r="555" spans="60:92" ht="18" customHeight="1">
      <c r="BH555" s="1348" t="s">
        <v>3034</v>
      </c>
      <c r="BI555" s="483">
        <v>164117</v>
      </c>
      <c r="BJ555" s="483">
        <v>165125</v>
      </c>
      <c r="BK555" s="483">
        <v>168150</v>
      </c>
      <c r="BL555" s="483">
        <v>171031</v>
      </c>
      <c r="BM555" s="483">
        <v>173480</v>
      </c>
      <c r="BN555" s="483">
        <v>189117</v>
      </c>
      <c r="BO555" s="483">
        <v>190125</v>
      </c>
      <c r="BP555" s="483">
        <v>193150</v>
      </c>
      <c r="BQ555" s="483">
        <v>196031</v>
      </c>
      <c r="BR555" s="1344">
        <v>198480</v>
      </c>
      <c r="BS555" s="1545"/>
      <c r="BU555" s="1545"/>
      <c r="BV555" s="1545"/>
      <c r="BW555" s="1545"/>
      <c r="BX555" s="1545"/>
      <c r="BY555" s="1545"/>
      <c r="BZ555" s="1545"/>
      <c r="CA555" s="1545"/>
      <c r="CB555" s="1545"/>
      <c r="CC555" s="1545"/>
      <c r="CD555" s="1348" t="s">
        <v>3034</v>
      </c>
      <c r="CE555" s="504">
        <v>109117</v>
      </c>
      <c r="CF555" s="504">
        <v>110125</v>
      </c>
      <c r="CG555" s="504">
        <v>113150</v>
      </c>
      <c r="CH555" s="504">
        <v>116031</v>
      </c>
      <c r="CI555" s="504">
        <v>118480</v>
      </c>
      <c r="CJ555" s="504">
        <v>124117</v>
      </c>
      <c r="CK555" s="504">
        <v>125125</v>
      </c>
      <c r="CL555" s="504">
        <v>128150</v>
      </c>
      <c r="CM555" s="504">
        <v>131031</v>
      </c>
      <c r="CN555" s="1347">
        <v>133480</v>
      </c>
    </row>
    <row r="556" spans="60:92" ht="18" customHeight="1">
      <c r="BH556" s="1348" t="s">
        <v>3035</v>
      </c>
      <c r="BI556" s="483">
        <v>178233</v>
      </c>
      <c r="BJ556" s="483">
        <v>180250</v>
      </c>
      <c r="BK556" s="483">
        <v>186300</v>
      </c>
      <c r="BL556" s="483">
        <v>192062</v>
      </c>
      <c r="BM556" s="483">
        <v>196815</v>
      </c>
      <c r="BN556" s="483">
        <v>203233</v>
      </c>
      <c r="BO556" s="483">
        <v>205250</v>
      </c>
      <c r="BP556" s="483">
        <v>211300</v>
      </c>
      <c r="BQ556" s="483">
        <v>217062</v>
      </c>
      <c r="BR556" s="1344">
        <v>221815</v>
      </c>
      <c r="BS556" s="1545"/>
      <c r="BU556" s="1545"/>
      <c r="BV556" s="1545"/>
      <c r="BW556" s="1545"/>
      <c r="BX556" s="1545"/>
      <c r="BY556" s="1545"/>
      <c r="BZ556" s="1545"/>
      <c r="CA556" s="1545"/>
      <c r="CB556" s="1545"/>
      <c r="CC556" s="1545"/>
      <c r="CD556" s="1348" t="s">
        <v>3035</v>
      </c>
      <c r="CE556" s="504">
        <v>123233</v>
      </c>
      <c r="CF556" s="504">
        <v>125250</v>
      </c>
      <c r="CG556" s="504">
        <v>131300</v>
      </c>
      <c r="CH556" s="504">
        <v>137062</v>
      </c>
      <c r="CI556" s="504">
        <v>141815</v>
      </c>
      <c r="CJ556" s="504">
        <v>138233</v>
      </c>
      <c r="CK556" s="504">
        <v>140250</v>
      </c>
      <c r="CL556" s="504">
        <v>146300</v>
      </c>
      <c r="CM556" s="504">
        <v>152062</v>
      </c>
      <c r="CN556" s="1347">
        <v>156815</v>
      </c>
    </row>
    <row r="557" spans="60:92" ht="18" customHeight="1">
      <c r="BH557" s="1348" t="s">
        <v>3036</v>
      </c>
      <c r="BI557" s="483">
        <v>192350</v>
      </c>
      <c r="BJ557" s="483">
        <v>195375</v>
      </c>
      <c r="BK557" s="483">
        <v>204450</v>
      </c>
      <c r="BL557" s="483">
        <v>213093</v>
      </c>
      <c r="BM557" s="483">
        <v>220295</v>
      </c>
      <c r="BN557" s="483">
        <v>217350</v>
      </c>
      <c r="BO557" s="483">
        <v>220375</v>
      </c>
      <c r="BP557" s="483">
        <v>229450</v>
      </c>
      <c r="BQ557" s="483">
        <v>238093</v>
      </c>
      <c r="BR557" s="1344">
        <v>245295</v>
      </c>
      <c r="BS557" s="1545"/>
      <c r="BU557" s="1545"/>
      <c r="BV557" s="1545"/>
      <c r="BW557" s="1545"/>
      <c r="BX557" s="1545"/>
      <c r="BY557" s="1545"/>
      <c r="BZ557" s="1545"/>
      <c r="CA557" s="1545"/>
      <c r="CB557" s="1545"/>
      <c r="CC557" s="1545"/>
      <c r="CD557" s="1348" t="s">
        <v>3036</v>
      </c>
      <c r="CE557" s="504">
        <v>137350</v>
      </c>
      <c r="CF557" s="504">
        <v>140375</v>
      </c>
      <c r="CG557" s="504">
        <v>149450</v>
      </c>
      <c r="CH557" s="504">
        <v>158093</v>
      </c>
      <c r="CI557" s="504">
        <v>165295</v>
      </c>
      <c r="CJ557" s="504">
        <v>152350</v>
      </c>
      <c r="CK557" s="504">
        <v>155375</v>
      </c>
      <c r="CL557" s="504">
        <v>164450</v>
      </c>
      <c r="CM557" s="504">
        <v>173093</v>
      </c>
      <c r="CN557" s="1347">
        <v>180295</v>
      </c>
    </row>
    <row r="558" spans="60:92" ht="18" customHeight="1">
      <c r="BH558" s="1348" t="s">
        <v>3037</v>
      </c>
      <c r="BI558" s="483">
        <v>206467</v>
      </c>
      <c r="BJ558" s="483">
        <v>210500</v>
      </c>
      <c r="BK558" s="483">
        <v>222600</v>
      </c>
      <c r="BL558" s="483">
        <v>233980</v>
      </c>
      <c r="BM558" s="483">
        <v>243631</v>
      </c>
      <c r="BN558" s="483">
        <v>231467</v>
      </c>
      <c r="BO558" s="483">
        <v>235500</v>
      </c>
      <c r="BP558" s="483">
        <v>247600</v>
      </c>
      <c r="BQ558" s="483">
        <v>258980</v>
      </c>
      <c r="BR558" s="1344">
        <v>268631</v>
      </c>
      <c r="BS558" s="1545"/>
      <c r="BU558" s="1545"/>
      <c r="BV558" s="1545"/>
      <c r="BW558" s="1545"/>
      <c r="BX558" s="1545"/>
      <c r="BY558" s="1545"/>
      <c r="BZ558" s="1545"/>
      <c r="CA558" s="1545"/>
      <c r="CB558" s="1545"/>
      <c r="CC558" s="1545"/>
      <c r="CD558" s="1348" t="s">
        <v>3037</v>
      </c>
      <c r="CE558" s="504">
        <v>151467</v>
      </c>
      <c r="CF558" s="504">
        <v>155500</v>
      </c>
      <c r="CG558" s="504">
        <v>167600</v>
      </c>
      <c r="CH558" s="504">
        <v>178980</v>
      </c>
      <c r="CI558" s="504">
        <v>188631</v>
      </c>
      <c r="CJ558" s="504">
        <v>166467</v>
      </c>
      <c r="CK558" s="504">
        <v>170500</v>
      </c>
      <c r="CL558" s="504">
        <v>182600</v>
      </c>
      <c r="CM558" s="504">
        <v>193980</v>
      </c>
      <c r="CN558" s="1347">
        <v>203631</v>
      </c>
    </row>
    <row r="559" spans="60:92" ht="18" customHeight="1">
      <c r="BH559" s="1348" t="s">
        <v>3038</v>
      </c>
      <c r="BI559" s="483">
        <v>220727</v>
      </c>
      <c r="BJ559" s="483">
        <v>225769</v>
      </c>
      <c r="BK559" s="483">
        <v>240894</v>
      </c>
      <c r="BL559" s="483">
        <v>255010</v>
      </c>
      <c r="BM559" s="483">
        <v>267110</v>
      </c>
      <c r="BN559" s="483">
        <v>245727</v>
      </c>
      <c r="BO559" s="483">
        <v>250769</v>
      </c>
      <c r="BP559" s="483">
        <v>265894</v>
      </c>
      <c r="BQ559" s="483">
        <v>280010</v>
      </c>
      <c r="BR559" s="1344">
        <v>292110</v>
      </c>
      <c r="BS559" s="1545"/>
      <c r="BU559" s="1545"/>
      <c r="BV559" s="1545"/>
      <c r="BW559" s="1545"/>
      <c r="BX559" s="1545"/>
      <c r="BY559" s="1545"/>
      <c r="BZ559" s="1545"/>
      <c r="CA559" s="1545"/>
      <c r="CB559" s="1545"/>
      <c r="CC559" s="1545"/>
      <c r="CD559" s="1348" t="s">
        <v>3038</v>
      </c>
      <c r="CE559" s="504">
        <v>165727</v>
      </c>
      <c r="CF559" s="504">
        <v>170769</v>
      </c>
      <c r="CG559" s="504">
        <v>185894</v>
      </c>
      <c r="CH559" s="504">
        <v>200010</v>
      </c>
      <c r="CI559" s="504">
        <v>212110</v>
      </c>
      <c r="CJ559" s="504">
        <v>180727</v>
      </c>
      <c r="CK559" s="504">
        <v>185769</v>
      </c>
      <c r="CL559" s="504">
        <v>200894</v>
      </c>
      <c r="CM559" s="504">
        <v>215010</v>
      </c>
      <c r="CN559" s="1347">
        <v>227110</v>
      </c>
    </row>
    <row r="560" spans="60:92" ht="18" customHeight="1">
      <c r="BH560" s="1348" t="s">
        <v>3039</v>
      </c>
      <c r="BI560" s="483">
        <v>234844</v>
      </c>
      <c r="BJ560" s="483">
        <v>240894</v>
      </c>
      <c r="BK560" s="483">
        <v>259044</v>
      </c>
      <c r="BL560" s="483">
        <v>276041</v>
      </c>
      <c r="BM560" s="483">
        <v>290590</v>
      </c>
      <c r="BN560" s="483">
        <v>259844</v>
      </c>
      <c r="BO560" s="483">
        <v>265894</v>
      </c>
      <c r="BP560" s="483">
        <v>284044</v>
      </c>
      <c r="BQ560" s="483">
        <v>301041</v>
      </c>
      <c r="BR560" s="1344">
        <v>315590</v>
      </c>
      <c r="BS560" s="1545"/>
      <c r="BU560" s="1545"/>
      <c r="BV560" s="1545"/>
      <c r="BW560" s="1545"/>
      <c r="BX560" s="1545"/>
      <c r="BY560" s="1545"/>
      <c r="BZ560" s="1545"/>
      <c r="CA560" s="1545"/>
      <c r="CB560" s="1545"/>
      <c r="CC560" s="1545"/>
      <c r="CD560" s="1348" t="s">
        <v>3039</v>
      </c>
      <c r="CE560" s="504">
        <v>179844</v>
      </c>
      <c r="CF560" s="504">
        <v>185894</v>
      </c>
      <c r="CG560" s="504">
        <v>204044</v>
      </c>
      <c r="CH560" s="504">
        <v>221041</v>
      </c>
      <c r="CI560" s="504">
        <v>235590</v>
      </c>
      <c r="CJ560" s="504">
        <v>194844</v>
      </c>
      <c r="CK560" s="504">
        <v>200894</v>
      </c>
      <c r="CL560" s="504">
        <v>219044</v>
      </c>
      <c r="CM560" s="504">
        <v>236041</v>
      </c>
      <c r="CN560" s="1347">
        <v>250590</v>
      </c>
    </row>
    <row r="561" spans="60:92" ht="18" customHeight="1">
      <c r="BH561" s="1348" t="s">
        <v>3040</v>
      </c>
      <c r="BI561" s="483">
        <v>248960</v>
      </c>
      <c r="BJ561" s="483">
        <v>256019</v>
      </c>
      <c r="BK561" s="483">
        <v>277194</v>
      </c>
      <c r="BL561" s="483">
        <v>297072</v>
      </c>
      <c r="BM561" s="483">
        <v>313926</v>
      </c>
      <c r="BN561" s="483">
        <v>273960</v>
      </c>
      <c r="BO561" s="483">
        <v>281019</v>
      </c>
      <c r="BP561" s="483">
        <v>302194</v>
      </c>
      <c r="BQ561" s="483">
        <v>322072</v>
      </c>
      <c r="BR561" s="1344">
        <v>338926</v>
      </c>
      <c r="BS561" s="1545"/>
      <c r="BU561" s="1545"/>
      <c r="BV561" s="1545"/>
      <c r="BW561" s="1545"/>
      <c r="BX561" s="1545"/>
      <c r="BY561" s="1545"/>
      <c r="BZ561" s="1545"/>
      <c r="CA561" s="1545"/>
      <c r="CB561" s="1545"/>
      <c r="CC561" s="1545"/>
      <c r="CD561" s="1348" t="s">
        <v>3040</v>
      </c>
      <c r="CE561" s="504">
        <v>193960</v>
      </c>
      <c r="CF561" s="504">
        <v>201019</v>
      </c>
      <c r="CG561" s="504">
        <v>222194</v>
      </c>
      <c r="CH561" s="504">
        <v>242072</v>
      </c>
      <c r="CI561" s="504">
        <v>258926</v>
      </c>
      <c r="CJ561" s="504">
        <v>208960</v>
      </c>
      <c r="CK561" s="504">
        <v>216019</v>
      </c>
      <c r="CL561" s="504">
        <v>237194</v>
      </c>
      <c r="CM561" s="504">
        <v>257072</v>
      </c>
      <c r="CN561" s="1347">
        <v>273926</v>
      </c>
    </row>
    <row r="562" spans="60:92" ht="18" customHeight="1">
      <c r="BH562" s="1348" t="s">
        <v>3041</v>
      </c>
      <c r="BI562" s="483">
        <v>263077</v>
      </c>
      <c r="BJ562" s="483">
        <v>271144</v>
      </c>
      <c r="BK562" s="483">
        <v>295344</v>
      </c>
      <c r="BL562" s="483">
        <v>317959</v>
      </c>
      <c r="BM562" s="483">
        <v>337406</v>
      </c>
      <c r="BN562" s="483">
        <v>288077</v>
      </c>
      <c r="BO562" s="483">
        <v>296144</v>
      </c>
      <c r="BP562" s="483">
        <v>320344</v>
      </c>
      <c r="BQ562" s="483">
        <v>342959</v>
      </c>
      <c r="BR562" s="1344">
        <v>362406</v>
      </c>
      <c r="BS562" s="1545"/>
      <c r="BU562" s="1545"/>
      <c r="BV562" s="1545"/>
      <c r="BW562" s="1545"/>
      <c r="BX562" s="1545"/>
      <c r="BY562" s="1545"/>
      <c r="BZ562" s="1545"/>
      <c r="CA562" s="1545"/>
      <c r="CB562" s="1545"/>
      <c r="CC562" s="1545"/>
      <c r="CD562" s="1348" t="s">
        <v>3041</v>
      </c>
      <c r="CE562" s="504">
        <v>208077</v>
      </c>
      <c r="CF562" s="504">
        <v>216144</v>
      </c>
      <c r="CG562" s="504">
        <v>240344</v>
      </c>
      <c r="CH562" s="504">
        <v>262959</v>
      </c>
      <c r="CI562" s="504">
        <v>282406</v>
      </c>
      <c r="CJ562" s="504">
        <v>223077</v>
      </c>
      <c r="CK562" s="504">
        <v>231144</v>
      </c>
      <c r="CL562" s="504">
        <v>255344</v>
      </c>
      <c r="CM562" s="504">
        <v>277959</v>
      </c>
      <c r="CN562" s="1347">
        <v>297406</v>
      </c>
    </row>
    <row r="563" spans="60:92" ht="18" customHeight="1">
      <c r="BH563" s="1348" t="s">
        <v>3042</v>
      </c>
      <c r="BI563" s="483">
        <v>277194</v>
      </c>
      <c r="BJ563" s="483">
        <v>286269</v>
      </c>
      <c r="BK563" s="483">
        <v>313494</v>
      </c>
      <c r="BL563" s="483">
        <v>338990</v>
      </c>
      <c r="BM563" s="483">
        <v>360885</v>
      </c>
      <c r="BN563" s="483">
        <v>302194</v>
      </c>
      <c r="BO563" s="483">
        <v>311269</v>
      </c>
      <c r="BP563" s="483">
        <v>338494</v>
      </c>
      <c r="BQ563" s="483">
        <v>363990</v>
      </c>
      <c r="BR563" s="1344">
        <v>385885</v>
      </c>
      <c r="BS563" s="1545"/>
      <c r="BU563" s="1545"/>
      <c r="BV563" s="1545"/>
      <c r="BW563" s="1545"/>
      <c r="BX563" s="1545"/>
      <c r="BY563" s="1545"/>
      <c r="BZ563" s="1545"/>
      <c r="CA563" s="1545"/>
      <c r="CB563" s="1545"/>
      <c r="CC563" s="1545"/>
      <c r="CD563" s="1348" t="s">
        <v>3042</v>
      </c>
      <c r="CE563" s="504">
        <v>222194</v>
      </c>
      <c r="CF563" s="504">
        <v>231269</v>
      </c>
      <c r="CG563" s="504">
        <v>258494</v>
      </c>
      <c r="CH563" s="504">
        <v>283990</v>
      </c>
      <c r="CI563" s="504">
        <v>305885</v>
      </c>
      <c r="CJ563" s="504">
        <v>237194</v>
      </c>
      <c r="CK563" s="504">
        <v>246269</v>
      </c>
      <c r="CL563" s="504">
        <v>273494</v>
      </c>
      <c r="CM563" s="504">
        <v>298990</v>
      </c>
      <c r="CN563" s="1347">
        <v>320885</v>
      </c>
    </row>
    <row r="564" spans="60:92" ht="18" customHeight="1">
      <c r="BH564" s="1343" t="s">
        <v>3043</v>
      </c>
      <c r="BI564" s="483">
        <v>150000</v>
      </c>
      <c r="BJ564" s="483">
        <v>150000</v>
      </c>
      <c r="BK564" s="483">
        <v>150000</v>
      </c>
      <c r="BL564" s="483">
        <v>150000</v>
      </c>
      <c r="BM564" s="483">
        <v>150000</v>
      </c>
      <c r="BN564" s="483">
        <v>175000</v>
      </c>
      <c r="BO564" s="483">
        <v>175000</v>
      </c>
      <c r="BP564" s="483">
        <v>175000</v>
      </c>
      <c r="BQ564" s="483">
        <v>175000</v>
      </c>
      <c r="BR564" s="1344">
        <v>175000</v>
      </c>
      <c r="BS564" s="1545"/>
      <c r="BU564" s="1545"/>
      <c r="BV564" s="1545"/>
      <c r="BW564" s="1545"/>
      <c r="BX564" s="1545"/>
      <c r="BY564" s="1545"/>
      <c r="BZ564" s="1545"/>
      <c r="CA564" s="1545"/>
      <c r="CB564" s="1545"/>
      <c r="CC564" s="1545"/>
      <c r="CD564" s="1343" t="s">
        <v>3043</v>
      </c>
      <c r="CE564" s="504">
        <v>95000</v>
      </c>
      <c r="CF564" s="504">
        <v>95000</v>
      </c>
      <c r="CG564" s="504">
        <v>95000</v>
      </c>
      <c r="CH564" s="504">
        <v>95000</v>
      </c>
      <c r="CI564" s="504">
        <v>95000</v>
      </c>
      <c r="CJ564" s="504">
        <v>110000</v>
      </c>
      <c r="CK564" s="504">
        <v>110000</v>
      </c>
      <c r="CL564" s="504">
        <v>110000</v>
      </c>
      <c r="CM564" s="504">
        <v>110000</v>
      </c>
      <c r="CN564" s="1347">
        <v>110000</v>
      </c>
    </row>
    <row r="565" spans="60:92" ht="18" customHeight="1">
      <c r="BH565" s="1348" t="s">
        <v>3044</v>
      </c>
      <c r="BI565" s="483">
        <v>161236</v>
      </c>
      <c r="BJ565" s="483">
        <v>161956</v>
      </c>
      <c r="BK565" s="483">
        <v>164405</v>
      </c>
      <c r="BL565" s="483">
        <v>166565</v>
      </c>
      <c r="BM565" s="483">
        <v>168582</v>
      </c>
      <c r="BN565" s="483">
        <v>186236</v>
      </c>
      <c r="BO565" s="483">
        <v>186956</v>
      </c>
      <c r="BP565" s="483">
        <v>189405</v>
      </c>
      <c r="BQ565" s="483">
        <v>191565</v>
      </c>
      <c r="BR565" s="1344">
        <v>193582</v>
      </c>
      <c r="BS565" s="1545"/>
      <c r="BU565" s="1545"/>
      <c r="BV565" s="1545"/>
      <c r="BW565" s="1545"/>
      <c r="BX565" s="1545"/>
      <c r="BY565" s="1545"/>
      <c r="BZ565" s="1545"/>
      <c r="CA565" s="1545"/>
      <c r="CB565" s="1545"/>
      <c r="CC565" s="1545"/>
      <c r="CD565" s="1348" t="s">
        <v>3044</v>
      </c>
      <c r="CE565" s="504">
        <v>106236</v>
      </c>
      <c r="CF565" s="504">
        <v>106956</v>
      </c>
      <c r="CG565" s="504">
        <v>109405</v>
      </c>
      <c r="CH565" s="504">
        <v>111565</v>
      </c>
      <c r="CI565" s="504">
        <v>113582</v>
      </c>
      <c r="CJ565" s="504">
        <v>121236</v>
      </c>
      <c r="CK565" s="504">
        <v>121956</v>
      </c>
      <c r="CL565" s="504">
        <v>124405</v>
      </c>
      <c r="CM565" s="504">
        <v>126565</v>
      </c>
      <c r="CN565" s="1347">
        <v>128582</v>
      </c>
    </row>
    <row r="566" spans="60:92" ht="18" customHeight="1">
      <c r="BH566" s="1348" t="s">
        <v>3045</v>
      </c>
      <c r="BI566" s="483">
        <v>172327</v>
      </c>
      <c r="BJ566" s="483">
        <v>173912</v>
      </c>
      <c r="BK566" s="483">
        <v>178809</v>
      </c>
      <c r="BL566" s="483">
        <v>183275</v>
      </c>
      <c r="BM566" s="483">
        <v>187020</v>
      </c>
      <c r="BN566" s="483">
        <v>197327</v>
      </c>
      <c r="BO566" s="483">
        <v>198912</v>
      </c>
      <c r="BP566" s="483">
        <v>203809</v>
      </c>
      <c r="BQ566" s="483">
        <v>208275</v>
      </c>
      <c r="BR566" s="1344">
        <v>212020</v>
      </c>
      <c r="BS566" s="1545"/>
      <c r="BU566" s="1545"/>
      <c r="BV566" s="1545"/>
      <c r="BW566" s="1545"/>
      <c r="BX566" s="1545"/>
      <c r="BY566" s="1545"/>
      <c r="BZ566" s="1545"/>
      <c r="CA566" s="1545"/>
      <c r="CB566" s="1545"/>
      <c r="CC566" s="1545"/>
      <c r="CD566" s="1348" t="s">
        <v>3045</v>
      </c>
      <c r="CE566" s="504">
        <v>117327</v>
      </c>
      <c r="CF566" s="504">
        <v>118912</v>
      </c>
      <c r="CG566" s="504">
        <v>123809</v>
      </c>
      <c r="CH566" s="504">
        <v>128275</v>
      </c>
      <c r="CI566" s="504">
        <v>132020</v>
      </c>
      <c r="CJ566" s="504">
        <v>132327</v>
      </c>
      <c r="CK566" s="504">
        <v>133912</v>
      </c>
      <c r="CL566" s="504">
        <v>138809</v>
      </c>
      <c r="CM566" s="504">
        <v>143275</v>
      </c>
      <c r="CN566" s="1347">
        <v>147020</v>
      </c>
    </row>
    <row r="567" spans="60:92" ht="18" customHeight="1">
      <c r="BH567" s="1348" t="s">
        <v>3046</v>
      </c>
      <c r="BI567" s="483">
        <v>183563</v>
      </c>
      <c r="BJ567" s="483">
        <v>185868</v>
      </c>
      <c r="BK567" s="483">
        <v>193214</v>
      </c>
      <c r="BL567" s="483">
        <v>199840</v>
      </c>
      <c r="BM567" s="483">
        <v>205602</v>
      </c>
      <c r="BN567" s="483">
        <v>208563</v>
      </c>
      <c r="BO567" s="483">
        <v>210868</v>
      </c>
      <c r="BP567" s="483">
        <v>218214</v>
      </c>
      <c r="BQ567" s="483">
        <v>224840</v>
      </c>
      <c r="BR567" s="1344">
        <v>230602</v>
      </c>
      <c r="BS567" s="1545"/>
      <c r="BU567" s="1545"/>
      <c r="BV567" s="1545"/>
      <c r="BW567" s="1545"/>
      <c r="BX567" s="1545"/>
      <c r="BY567" s="1545"/>
      <c r="BZ567" s="1545"/>
      <c r="CA567" s="1545"/>
      <c r="CB567" s="1545"/>
      <c r="CC567" s="1545"/>
      <c r="CD567" s="1348" t="s">
        <v>3046</v>
      </c>
      <c r="CE567" s="504">
        <v>128563</v>
      </c>
      <c r="CF567" s="504">
        <v>130868</v>
      </c>
      <c r="CG567" s="504">
        <v>138214</v>
      </c>
      <c r="CH567" s="504">
        <v>144840</v>
      </c>
      <c r="CI567" s="504">
        <v>150602</v>
      </c>
      <c r="CJ567" s="504">
        <v>143563</v>
      </c>
      <c r="CK567" s="504">
        <v>145868</v>
      </c>
      <c r="CL567" s="504">
        <v>153214</v>
      </c>
      <c r="CM567" s="504">
        <v>159840</v>
      </c>
      <c r="CN567" s="1347">
        <v>165602</v>
      </c>
    </row>
    <row r="568" spans="60:92" ht="18" customHeight="1">
      <c r="BH568" s="1348" t="s">
        <v>3047</v>
      </c>
      <c r="BI568" s="483">
        <v>194655</v>
      </c>
      <c r="BJ568" s="483">
        <v>197824</v>
      </c>
      <c r="BK568" s="483">
        <v>207475</v>
      </c>
      <c r="BL568" s="483">
        <v>216406</v>
      </c>
      <c r="BM568" s="483">
        <v>224040</v>
      </c>
      <c r="BN568" s="483">
        <v>219655</v>
      </c>
      <c r="BO568" s="483">
        <v>222824</v>
      </c>
      <c r="BP568" s="483">
        <v>232475</v>
      </c>
      <c r="BQ568" s="483">
        <v>241406</v>
      </c>
      <c r="BR568" s="1344">
        <v>249040</v>
      </c>
      <c r="BS568" s="1545"/>
      <c r="BU568" s="1545"/>
      <c r="BV568" s="1545"/>
      <c r="BW568" s="1545"/>
      <c r="BX568" s="1545"/>
      <c r="BY568" s="1545"/>
      <c r="BZ568" s="1545"/>
      <c r="CA568" s="1545"/>
      <c r="CB568" s="1545"/>
      <c r="CC568" s="1545"/>
      <c r="CD568" s="1348" t="s">
        <v>3047</v>
      </c>
      <c r="CE568" s="504">
        <v>139655</v>
      </c>
      <c r="CF568" s="504">
        <v>142824</v>
      </c>
      <c r="CG568" s="504">
        <v>152475</v>
      </c>
      <c r="CH568" s="504">
        <v>161406</v>
      </c>
      <c r="CI568" s="504">
        <v>169040</v>
      </c>
      <c r="CJ568" s="504">
        <v>154655</v>
      </c>
      <c r="CK568" s="504">
        <v>157824</v>
      </c>
      <c r="CL568" s="504">
        <v>167475</v>
      </c>
      <c r="CM568" s="504">
        <v>176406</v>
      </c>
      <c r="CN568" s="1347">
        <v>184040</v>
      </c>
    </row>
    <row r="569" spans="60:92" ht="18" customHeight="1">
      <c r="BH569" s="1348" t="s">
        <v>3048</v>
      </c>
      <c r="BI569" s="483">
        <v>205890</v>
      </c>
      <c r="BJ569" s="483">
        <v>209924</v>
      </c>
      <c r="BK569" s="483">
        <v>221880</v>
      </c>
      <c r="BL569" s="483">
        <v>232971</v>
      </c>
      <c r="BM569" s="483">
        <v>242622</v>
      </c>
      <c r="BN569" s="483">
        <v>230890</v>
      </c>
      <c r="BO569" s="483">
        <v>234924</v>
      </c>
      <c r="BP569" s="483">
        <v>246880</v>
      </c>
      <c r="BQ569" s="483">
        <v>257971</v>
      </c>
      <c r="BR569" s="1344">
        <v>267622</v>
      </c>
      <c r="BS569" s="1545"/>
      <c r="BU569" s="1545"/>
      <c r="BV569" s="1545"/>
      <c r="BW569" s="1545"/>
      <c r="BX569" s="1545"/>
      <c r="BY569" s="1545"/>
      <c r="BZ569" s="1545"/>
      <c r="CA569" s="1545"/>
      <c r="CB569" s="1545"/>
      <c r="CC569" s="1545"/>
      <c r="CD569" s="1348" t="s">
        <v>3048</v>
      </c>
      <c r="CE569" s="504">
        <v>150890</v>
      </c>
      <c r="CF569" s="504">
        <v>154924</v>
      </c>
      <c r="CG569" s="504">
        <v>166880</v>
      </c>
      <c r="CH569" s="504">
        <v>177971</v>
      </c>
      <c r="CI569" s="504">
        <v>187622</v>
      </c>
      <c r="CJ569" s="504">
        <v>165890</v>
      </c>
      <c r="CK569" s="504">
        <v>169924</v>
      </c>
      <c r="CL569" s="504">
        <v>181880</v>
      </c>
      <c r="CM569" s="504">
        <v>192971</v>
      </c>
      <c r="CN569" s="1347">
        <v>202622</v>
      </c>
    </row>
    <row r="570" spans="60:92" ht="18" customHeight="1">
      <c r="BH570" s="1348" t="s">
        <v>3049</v>
      </c>
      <c r="BI570" s="483">
        <v>217126</v>
      </c>
      <c r="BJ570" s="483">
        <v>221880</v>
      </c>
      <c r="BK570" s="483">
        <v>236284</v>
      </c>
      <c r="BL570" s="483">
        <v>249537</v>
      </c>
      <c r="BM570" s="483">
        <v>261060</v>
      </c>
      <c r="BN570" s="483">
        <v>242126</v>
      </c>
      <c r="BO570" s="483">
        <v>246880</v>
      </c>
      <c r="BP570" s="483">
        <v>261284</v>
      </c>
      <c r="BQ570" s="483">
        <v>274537</v>
      </c>
      <c r="BR570" s="1344">
        <v>286060</v>
      </c>
      <c r="BS570" s="1545"/>
      <c r="BU570" s="1545"/>
      <c r="BV570" s="1545"/>
      <c r="BW570" s="1545"/>
      <c r="BX570" s="1545"/>
      <c r="BY570" s="1545"/>
      <c r="BZ570" s="1545"/>
      <c r="CA570" s="1545"/>
      <c r="CB570" s="1545"/>
      <c r="CC570" s="1545"/>
      <c r="CD570" s="1348" t="s">
        <v>3049</v>
      </c>
      <c r="CE570" s="504">
        <v>162126</v>
      </c>
      <c r="CF570" s="504">
        <v>166880</v>
      </c>
      <c r="CG570" s="504">
        <v>181284</v>
      </c>
      <c r="CH570" s="504">
        <v>194537</v>
      </c>
      <c r="CI570" s="504">
        <v>206060</v>
      </c>
      <c r="CJ570" s="504">
        <v>177126</v>
      </c>
      <c r="CK570" s="504">
        <v>181880</v>
      </c>
      <c r="CL570" s="504">
        <v>196284</v>
      </c>
      <c r="CM570" s="504">
        <v>209537</v>
      </c>
      <c r="CN570" s="1347">
        <v>221060</v>
      </c>
    </row>
    <row r="571" spans="60:92" ht="18" customHeight="1">
      <c r="BH571" s="1348" t="s">
        <v>3050</v>
      </c>
      <c r="BI571" s="483">
        <v>228218</v>
      </c>
      <c r="BJ571" s="483">
        <v>233836</v>
      </c>
      <c r="BK571" s="483">
        <v>250689</v>
      </c>
      <c r="BL571" s="483">
        <v>266246</v>
      </c>
      <c r="BM571" s="483">
        <v>279643</v>
      </c>
      <c r="BN571" s="483">
        <v>253218</v>
      </c>
      <c r="BO571" s="483">
        <v>258836</v>
      </c>
      <c r="BP571" s="483">
        <v>275689</v>
      </c>
      <c r="BQ571" s="483">
        <v>291246</v>
      </c>
      <c r="BR571" s="1344">
        <v>304643</v>
      </c>
      <c r="BS571" s="1545"/>
      <c r="BU571" s="1545"/>
      <c r="BV571" s="1545"/>
      <c r="BW571" s="1545"/>
      <c r="BX571" s="1545"/>
      <c r="BY571" s="1545"/>
      <c r="BZ571" s="1545"/>
      <c r="CA571" s="1545"/>
      <c r="CB571" s="1545"/>
      <c r="CC571" s="1545"/>
      <c r="CD571" s="1348" t="s">
        <v>3050</v>
      </c>
      <c r="CE571" s="504">
        <v>173218</v>
      </c>
      <c r="CF571" s="504">
        <v>178836</v>
      </c>
      <c r="CG571" s="504">
        <v>195689</v>
      </c>
      <c r="CH571" s="504">
        <v>211246</v>
      </c>
      <c r="CI571" s="504">
        <v>224643</v>
      </c>
      <c r="CJ571" s="504">
        <v>188218</v>
      </c>
      <c r="CK571" s="504">
        <v>193836</v>
      </c>
      <c r="CL571" s="504">
        <v>210689</v>
      </c>
      <c r="CM571" s="504">
        <v>226246</v>
      </c>
      <c r="CN571" s="1347">
        <v>239643</v>
      </c>
    </row>
    <row r="572" spans="60:92" ht="18" customHeight="1">
      <c r="BH572" s="1348" t="s">
        <v>3051</v>
      </c>
      <c r="BI572" s="483">
        <v>239453</v>
      </c>
      <c r="BJ572" s="483">
        <v>245791</v>
      </c>
      <c r="BK572" s="483">
        <v>264950</v>
      </c>
      <c r="BL572" s="483">
        <v>282812</v>
      </c>
      <c r="BM572" s="483">
        <v>298081</v>
      </c>
      <c r="BN572" s="483">
        <v>264453</v>
      </c>
      <c r="BO572" s="483">
        <v>270791</v>
      </c>
      <c r="BP572" s="483">
        <v>289950</v>
      </c>
      <c r="BQ572" s="483">
        <v>307812</v>
      </c>
      <c r="BR572" s="1344">
        <v>323081</v>
      </c>
      <c r="BS572" s="1545"/>
      <c r="BU572" s="1545"/>
      <c r="BV572" s="1545"/>
      <c r="BW572" s="1545"/>
      <c r="BX572" s="1545"/>
      <c r="BY572" s="1545"/>
      <c r="BZ572" s="1545"/>
      <c r="CA572" s="1545"/>
      <c r="CB572" s="1545"/>
      <c r="CC572" s="1545"/>
      <c r="CD572" s="1348" t="s">
        <v>3051</v>
      </c>
      <c r="CE572" s="504">
        <v>184453</v>
      </c>
      <c r="CF572" s="504">
        <v>190791</v>
      </c>
      <c r="CG572" s="504">
        <v>209950</v>
      </c>
      <c r="CH572" s="504">
        <v>227812</v>
      </c>
      <c r="CI572" s="504">
        <v>243081</v>
      </c>
      <c r="CJ572" s="504">
        <v>199453</v>
      </c>
      <c r="CK572" s="504">
        <v>205791</v>
      </c>
      <c r="CL572" s="504">
        <v>224950</v>
      </c>
      <c r="CM572" s="504">
        <v>242812</v>
      </c>
      <c r="CN572" s="1347">
        <v>258081</v>
      </c>
    </row>
    <row r="573" spans="60:92" ht="18" customHeight="1">
      <c r="BH573" s="1348" t="s">
        <v>3052</v>
      </c>
      <c r="BI573" s="483">
        <v>250689</v>
      </c>
      <c r="BJ573" s="483">
        <v>257747</v>
      </c>
      <c r="BK573" s="483">
        <v>279354</v>
      </c>
      <c r="BL573" s="483">
        <v>299377</v>
      </c>
      <c r="BM573" s="483">
        <v>316663</v>
      </c>
      <c r="BN573" s="483">
        <v>275689</v>
      </c>
      <c r="BO573" s="483">
        <v>282747</v>
      </c>
      <c r="BP573" s="483">
        <v>304354</v>
      </c>
      <c r="BQ573" s="483">
        <v>324377</v>
      </c>
      <c r="BR573" s="1344">
        <v>341663</v>
      </c>
      <c r="BS573" s="1545"/>
      <c r="BU573" s="1545"/>
      <c r="BV573" s="1545"/>
      <c r="BW573" s="1545"/>
      <c r="BX573" s="1545"/>
      <c r="BY573" s="1545"/>
      <c r="BZ573" s="1545"/>
      <c r="CA573" s="1545"/>
      <c r="CB573" s="1545"/>
      <c r="CC573" s="1545"/>
      <c r="CD573" s="1348" t="s">
        <v>3052</v>
      </c>
      <c r="CE573" s="504">
        <v>195689</v>
      </c>
      <c r="CF573" s="504">
        <v>202747</v>
      </c>
      <c r="CG573" s="504">
        <v>224354</v>
      </c>
      <c r="CH573" s="504">
        <v>244377</v>
      </c>
      <c r="CI573" s="504">
        <v>261663</v>
      </c>
      <c r="CJ573" s="504">
        <v>210689</v>
      </c>
      <c r="CK573" s="504">
        <v>217747</v>
      </c>
      <c r="CL573" s="504">
        <v>239354</v>
      </c>
      <c r="CM573" s="504">
        <v>259377</v>
      </c>
      <c r="CN573" s="1347">
        <v>276663</v>
      </c>
    </row>
    <row r="574" spans="60:92" ht="18" customHeight="1">
      <c r="BH574" s="1343" t="s">
        <v>3053</v>
      </c>
      <c r="BI574" s="483">
        <v>150000</v>
      </c>
      <c r="BJ574" s="483">
        <v>150000</v>
      </c>
      <c r="BK574" s="483">
        <v>150000</v>
      </c>
      <c r="BL574" s="483">
        <v>150000</v>
      </c>
      <c r="BM574" s="483">
        <v>150000</v>
      </c>
      <c r="BN574" s="483">
        <v>175000</v>
      </c>
      <c r="BO574" s="483">
        <v>175000</v>
      </c>
      <c r="BP574" s="483">
        <v>175000</v>
      </c>
      <c r="BQ574" s="483">
        <v>175000</v>
      </c>
      <c r="BR574" s="1344">
        <v>175000</v>
      </c>
      <c r="BS574" s="1545"/>
      <c r="BU574" s="1545"/>
      <c r="BV574" s="1545"/>
      <c r="BW574" s="1545"/>
      <c r="BX574" s="1545"/>
      <c r="BY574" s="1545"/>
      <c r="BZ574" s="1545"/>
      <c r="CA574" s="1545"/>
      <c r="CB574" s="1545"/>
      <c r="CC574" s="1545"/>
      <c r="CD574" s="1343" t="s">
        <v>3053</v>
      </c>
      <c r="CE574" s="504">
        <v>95000</v>
      </c>
      <c r="CF574" s="504">
        <v>95000</v>
      </c>
      <c r="CG574" s="504">
        <v>95000</v>
      </c>
      <c r="CH574" s="504">
        <v>95000</v>
      </c>
      <c r="CI574" s="504">
        <v>95000</v>
      </c>
      <c r="CJ574" s="504">
        <v>110000</v>
      </c>
      <c r="CK574" s="504">
        <v>110000</v>
      </c>
      <c r="CL574" s="504">
        <v>110000</v>
      </c>
      <c r="CM574" s="504">
        <v>110000</v>
      </c>
      <c r="CN574" s="1347">
        <v>110000</v>
      </c>
    </row>
    <row r="575" spans="60:92" ht="18" customHeight="1">
      <c r="BH575" s="1348" t="s">
        <v>3054</v>
      </c>
      <c r="BI575" s="483">
        <v>158787</v>
      </c>
      <c r="BJ575" s="483">
        <v>159363</v>
      </c>
      <c r="BK575" s="483">
        <v>161380</v>
      </c>
      <c r="BL575" s="483">
        <v>163108</v>
      </c>
      <c r="BM575" s="483">
        <v>164549</v>
      </c>
      <c r="BN575" s="483">
        <v>183787</v>
      </c>
      <c r="BO575" s="483">
        <v>184363</v>
      </c>
      <c r="BP575" s="483">
        <v>186380</v>
      </c>
      <c r="BQ575" s="483">
        <v>188108</v>
      </c>
      <c r="BR575" s="1344">
        <v>189549</v>
      </c>
      <c r="BS575" s="1545"/>
      <c r="BU575" s="1545"/>
      <c r="BV575" s="1545"/>
      <c r="BW575" s="1545"/>
      <c r="BX575" s="1545"/>
      <c r="BY575" s="1545"/>
      <c r="BZ575" s="1545"/>
      <c r="CA575" s="1545"/>
      <c r="CB575" s="1545"/>
      <c r="CC575" s="1545"/>
      <c r="CD575" s="1348" t="s">
        <v>3054</v>
      </c>
      <c r="CE575" s="504">
        <v>103787</v>
      </c>
      <c r="CF575" s="504">
        <v>104363</v>
      </c>
      <c r="CG575" s="504">
        <v>106380</v>
      </c>
      <c r="CH575" s="504">
        <v>108108</v>
      </c>
      <c r="CI575" s="504">
        <v>109549</v>
      </c>
      <c r="CJ575" s="504">
        <v>118787</v>
      </c>
      <c r="CK575" s="504">
        <v>119363</v>
      </c>
      <c r="CL575" s="504">
        <v>121380</v>
      </c>
      <c r="CM575" s="504">
        <v>123108</v>
      </c>
      <c r="CN575" s="1347">
        <v>124549</v>
      </c>
    </row>
    <row r="576" spans="60:92" ht="18" customHeight="1">
      <c r="BH576" s="1348" t="s">
        <v>3055</v>
      </c>
      <c r="BI576" s="483">
        <v>167574</v>
      </c>
      <c r="BJ576" s="483">
        <v>168870</v>
      </c>
      <c r="BK576" s="483">
        <v>172615</v>
      </c>
      <c r="BL576" s="483">
        <v>176073</v>
      </c>
      <c r="BM576" s="483">
        <v>179098</v>
      </c>
      <c r="BN576" s="483">
        <v>192574</v>
      </c>
      <c r="BO576" s="483">
        <v>193870</v>
      </c>
      <c r="BP576" s="483">
        <v>197615</v>
      </c>
      <c r="BQ576" s="483">
        <v>201073</v>
      </c>
      <c r="BR576" s="1344">
        <v>204098</v>
      </c>
      <c r="BS576" s="1545"/>
      <c r="BU576" s="1545"/>
      <c r="BV576" s="1545"/>
      <c r="BW576" s="1545"/>
      <c r="BX576" s="1545"/>
      <c r="BY576" s="1545"/>
      <c r="BZ576" s="1545"/>
      <c r="CA576" s="1545"/>
      <c r="CB576" s="1545"/>
      <c r="CC576" s="1545"/>
      <c r="CD576" s="1348" t="s">
        <v>3055</v>
      </c>
      <c r="CE576" s="504">
        <v>112574</v>
      </c>
      <c r="CF576" s="504">
        <v>113870</v>
      </c>
      <c r="CG576" s="504">
        <v>117615</v>
      </c>
      <c r="CH576" s="504">
        <v>121073</v>
      </c>
      <c r="CI576" s="504">
        <v>124098</v>
      </c>
      <c r="CJ576" s="504">
        <v>127574</v>
      </c>
      <c r="CK576" s="504">
        <v>128870</v>
      </c>
      <c r="CL576" s="504">
        <v>132615</v>
      </c>
      <c r="CM576" s="504">
        <v>136073</v>
      </c>
      <c r="CN576" s="1347">
        <v>139098</v>
      </c>
    </row>
    <row r="577" spans="60:92" ht="18" customHeight="1">
      <c r="BH577" s="1348" t="s">
        <v>3056</v>
      </c>
      <c r="BI577" s="483">
        <v>176361</v>
      </c>
      <c r="BJ577" s="483">
        <v>178233</v>
      </c>
      <c r="BK577" s="483">
        <v>183995</v>
      </c>
      <c r="BL577" s="483">
        <v>189181</v>
      </c>
      <c r="BM577" s="483">
        <v>193646</v>
      </c>
      <c r="BN577" s="483">
        <v>201361</v>
      </c>
      <c r="BO577" s="483">
        <v>203233</v>
      </c>
      <c r="BP577" s="483">
        <v>208995</v>
      </c>
      <c r="BQ577" s="483">
        <v>214181</v>
      </c>
      <c r="BR577" s="1344">
        <v>218646</v>
      </c>
      <c r="BS577" s="1545"/>
      <c r="BU577" s="1545"/>
      <c r="BV577" s="1545"/>
      <c r="BW577" s="1545"/>
      <c r="BX577" s="1545"/>
      <c r="BY577" s="1545"/>
      <c r="BZ577" s="1545"/>
      <c r="CA577" s="1545"/>
      <c r="CB577" s="1545"/>
      <c r="CC577" s="1545"/>
      <c r="CD577" s="1348" t="s">
        <v>3056</v>
      </c>
      <c r="CE577" s="504">
        <v>121361</v>
      </c>
      <c r="CF577" s="504">
        <v>123233</v>
      </c>
      <c r="CG577" s="504">
        <v>128995</v>
      </c>
      <c r="CH577" s="504">
        <v>134181</v>
      </c>
      <c r="CI577" s="504">
        <v>138646</v>
      </c>
      <c r="CJ577" s="504">
        <v>136361</v>
      </c>
      <c r="CK577" s="504">
        <v>138233</v>
      </c>
      <c r="CL577" s="504">
        <v>143995</v>
      </c>
      <c r="CM577" s="504">
        <v>149181</v>
      </c>
      <c r="CN577" s="1347">
        <v>153646</v>
      </c>
    </row>
    <row r="578" spans="60:92" ht="18" customHeight="1">
      <c r="BH578" s="1348" t="s">
        <v>3057</v>
      </c>
      <c r="BI578" s="483">
        <v>185148</v>
      </c>
      <c r="BJ578" s="483">
        <v>187596</v>
      </c>
      <c r="BK578" s="483">
        <v>195231</v>
      </c>
      <c r="BL578" s="483">
        <v>202145</v>
      </c>
      <c r="BM578" s="483">
        <v>208195</v>
      </c>
      <c r="BN578" s="483">
        <v>210148</v>
      </c>
      <c r="BO578" s="483">
        <v>212596</v>
      </c>
      <c r="BP578" s="483">
        <v>220231</v>
      </c>
      <c r="BQ578" s="483">
        <v>227145</v>
      </c>
      <c r="BR578" s="1344">
        <v>233195</v>
      </c>
      <c r="BS578" s="1545"/>
      <c r="BU578" s="1545"/>
      <c r="BV578" s="1545"/>
      <c r="BW578" s="1545"/>
      <c r="BX578" s="1545"/>
      <c r="BY578" s="1545"/>
      <c r="BZ578" s="1545"/>
      <c r="CA578" s="1545"/>
      <c r="CB578" s="1545"/>
      <c r="CC578" s="1545"/>
      <c r="CD578" s="1348" t="s">
        <v>3057</v>
      </c>
      <c r="CE578" s="504">
        <v>130148</v>
      </c>
      <c r="CF578" s="504">
        <v>132596</v>
      </c>
      <c r="CG578" s="504">
        <v>140231</v>
      </c>
      <c r="CH578" s="504">
        <v>147145</v>
      </c>
      <c r="CI578" s="504">
        <v>153195</v>
      </c>
      <c r="CJ578" s="504">
        <v>145148</v>
      </c>
      <c r="CK578" s="504">
        <v>147596</v>
      </c>
      <c r="CL578" s="504">
        <v>155231</v>
      </c>
      <c r="CM578" s="504">
        <v>162145</v>
      </c>
      <c r="CN578" s="1347">
        <v>168195</v>
      </c>
    </row>
    <row r="579" spans="60:92" ht="18" customHeight="1">
      <c r="BH579" s="1348" t="s">
        <v>3058</v>
      </c>
      <c r="BI579" s="483">
        <v>193934</v>
      </c>
      <c r="BJ579" s="483">
        <v>197103</v>
      </c>
      <c r="BK579" s="483">
        <v>206611</v>
      </c>
      <c r="BL579" s="483">
        <v>215253</v>
      </c>
      <c r="BM579" s="483">
        <v>222888</v>
      </c>
      <c r="BN579" s="483">
        <v>218934</v>
      </c>
      <c r="BO579" s="483">
        <v>222103</v>
      </c>
      <c r="BP579" s="483">
        <v>231611</v>
      </c>
      <c r="BQ579" s="483">
        <v>240253</v>
      </c>
      <c r="BR579" s="1344">
        <v>247888</v>
      </c>
      <c r="BS579" s="1545"/>
      <c r="BU579" s="1545"/>
      <c r="BV579" s="1545"/>
      <c r="BW579" s="1545"/>
      <c r="BX579" s="1545"/>
      <c r="BY579" s="1545"/>
      <c r="BZ579" s="1545"/>
      <c r="CA579" s="1545"/>
      <c r="CB579" s="1545"/>
      <c r="CC579" s="1545"/>
      <c r="CD579" s="1348" t="s">
        <v>3058</v>
      </c>
      <c r="CE579" s="504">
        <v>138934</v>
      </c>
      <c r="CF579" s="504">
        <v>142103</v>
      </c>
      <c r="CG579" s="504">
        <v>151611</v>
      </c>
      <c r="CH579" s="504">
        <v>160253</v>
      </c>
      <c r="CI579" s="504">
        <v>167888</v>
      </c>
      <c r="CJ579" s="504">
        <v>153934</v>
      </c>
      <c r="CK579" s="504">
        <v>157103</v>
      </c>
      <c r="CL579" s="504">
        <v>166611</v>
      </c>
      <c r="CM579" s="504">
        <v>175253</v>
      </c>
      <c r="CN579" s="1347">
        <v>182888</v>
      </c>
    </row>
    <row r="580" spans="60:92" ht="18" customHeight="1">
      <c r="BH580" s="1348" t="s">
        <v>3059</v>
      </c>
      <c r="BI580" s="483">
        <v>202721</v>
      </c>
      <c r="BJ580" s="483">
        <v>206467</v>
      </c>
      <c r="BK580" s="483">
        <v>217846</v>
      </c>
      <c r="BL580" s="483">
        <v>228362</v>
      </c>
      <c r="BM580" s="483">
        <v>237437</v>
      </c>
      <c r="BN580" s="483">
        <v>227721</v>
      </c>
      <c r="BO580" s="483">
        <v>231467</v>
      </c>
      <c r="BP580" s="483">
        <v>242846</v>
      </c>
      <c r="BQ580" s="483">
        <v>253362</v>
      </c>
      <c r="BR580" s="1344">
        <v>262437</v>
      </c>
      <c r="BS580" s="1545"/>
      <c r="BU580" s="1545"/>
      <c r="BV580" s="1545"/>
      <c r="BW580" s="1545"/>
      <c r="BX580" s="1545"/>
      <c r="BY580" s="1545"/>
      <c r="BZ580" s="1545"/>
      <c r="CA580" s="1545"/>
      <c r="CB580" s="1545"/>
      <c r="CC580" s="1545"/>
      <c r="CD580" s="1348" t="s">
        <v>3059</v>
      </c>
      <c r="CE580" s="504">
        <v>147721</v>
      </c>
      <c r="CF580" s="504">
        <v>151467</v>
      </c>
      <c r="CG580" s="504">
        <v>162846</v>
      </c>
      <c r="CH580" s="504">
        <v>173362</v>
      </c>
      <c r="CI580" s="504">
        <v>182437</v>
      </c>
      <c r="CJ580" s="504">
        <v>162721</v>
      </c>
      <c r="CK580" s="504">
        <v>166467</v>
      </c>
      <c r="CL580" s="504">
        <v>177846</v>
      </c>
      <c r="CM580" s="504">
        <v>188362</v>
      </c>
      <c r="CN580" s="1347">
        <v>197437</v>
      </c>
    </row>
    <row r="581" spans="60:92" ht="18" customHeight="1">
      <c r="BH581" s="1348" t="s">
        <v>3060</v>
      </c>
      <c r="BI581" s="483">
        <v>211508</v>
      </c>
      <c r="BJ581" s="483">
        <v>215974</v>
      </c>
      <c r="BK581" s="483">
        <v>229226</v>
      </c>
      <c r="BL581" s="483">
        <v>241326</v>
      </c>
      <c r="BM581" s="483">
        <v>251985</v>
      </c>
      <c r="BN581" s="483">
        <v>236508</v>
      </c>
      <c r="BO581" s="483">
        <v>240974</v>
      </c>
      <c r="BP581" s="483">
        <v>254226</v>
      </c>
      <c r="BQ581" s="483">
        <v>266326</v>
      </c>
      <c r="BR581" s="1344">
        <v>276985</v>
      </c>
      <c r="BS581" s="1545"/>
      <c r="BU581" s="1545"/>
      <c r="BV581" s="1545"/>
      <c r="BW581" s="1545"/>
      <c r="BX581" s="1545"/>
      <c r="BY581" s="1545"/>
      <c r="BZ581" s="1545"/>
      <c r="CA581" s="1545"/>
      <c r="CB581" s="1545"/>
      <c r="CC581" s="1545"/>
      <c r="CD581" s="1348" t="s">
        <v>3060</v>
      </c>
      <c r="CE581" s="504">
        <v>156508</v>
      </c>
      <c r="CF581" s="504">
        <v>160974</v>
      </c>
      <c r="CG581" s="504">
        <v>174226</v>
      </c>
      <c r="CH581" s="504">
        <v>186326</v>
      </c>
      <c r="CI581" s="504">
        <v>196985</v>
      </c>
      <c r="CJ581" s="504">
        <v>171508</v>
      </c>
      <c r="CK581" s="504">
        <v>175974</v>
      </c>
      <c r="CL581" s="504">
        <v>189226</v>
      </c>
      <c r="CM581" s="504">
        <v>201326</v>
      </c>
      <c r="CN581" s="1347">
        <v>211985</v>
      </c>
    </row>
    <row r="582" spans="60:92" ht="18" customHeight="1">
      <c r="BH582" s="1348" t="s">
        <v>3061</v>
      </c>
      <c r="BI582" s="483">
        <v>220295</v>
      </c>
      <c r="BJ582" s="483">
        <v>225337</v>
      </c>
      <c r="BK582" s="483">
        <v>240462</v>
      </c>
      <c r="BL582" s="483">
        <v>254434</v>
      </c>
      <c r="BM582" s="483">
        <v>266534</v>
      </c>
      <c r="BN582" s="483">
        <v>245295</v>
      </c>
      <c r="BO582" s="483">
        <v>250337</v>
      </c>
      <c r="BP582" s="483">
        <v>265462</v>
      </c>
      <c r="BQ582" s="483">
        <v>279434</v>
      </c>
      <c r="BR582" s="1344">
        <v>291534</v>
      </c>
      <c r="BS582" s="1545"/>
      <c r="BU582" s="1545"/>
      <c r="BV582" s="1545"/>
      <c r="BW582" s="1545"/>
      <c r="BX582" s="1545"/>
      <c r="BY582" s="1545"/>
      <c r="BZ582" s="1545"/>
      <c r="CA582" s="1545"/>
      <c r="CB582" s="1545"/>
      <c r="CC582" s="1545"/>
      <c r="CD582" s="1348" t="s">
        <v>3061</v>
      </c>
      <c r="CE582" s="504">
        <v>165295</v>
      </c>
      <c r="CF582" s="504">
        <v>170337</v>
      </c>
      <c r="CG582" s="504">
        <v>185462</v>
      </c>
      <c r="CH582" s="504">
        <v>199434</v>
      </c>
      <c r="CI582" s="504">
        <v>211534</v>
      </c>
      <c r="CJ582" s="504">
        <v>180295</v>
      </c>
      <c r="CK582" s="504">
        <v>185337</v>
      </c>
      <c r="CL582" s="504">
        <v>200462</v>
      </c>
      <c r="CM582" s="504">
        <v>214434</v>
      </c>
      <c r="CN582" s="1347">
        <v>226534</v>
      </c>
    </row>
    <row r="583" spans="60:92" ht="18" customHeight="1">
      <c r="BH583" s="484" t="s">
        <v>3062</v>
      </c>
      <c r="BI583" s="1358">
        <v>229082</v>
      </c>
      <c r="BJ583" s="1358">
        <v>234700</v>
      </c>
      <c r="BK583" s="1358">
        <v>251841</v>
      </c>
      <c r="BL583" s="1358">
        <v>267543</v>
      </c>
      <c r="BM583" s="1358">
        <v>281083</v>
      </c>
      <c r="BN583" s="1358">
        <v>254082</v>
      </c>
      <c r="BO583" s="1358">
        <v>259700</v>
      </c>
      <c r="BP583" s="1358">
        <v>276841</v>
      </c>
      <c r="BQ583" s="1358">
        <v>292543</v>
      </c>
      <c r="BR583" s="1359">
        <v>306083</v>
      </c>
      <c r="BS583" s="1545"/>
      <c r="BU583" s="1545"/>
      <c r="BV583" s="1545"/>
      <c r="BW583" s="1545"/>
      <c r="BX583" s="1545"/>
      <c r="BY583" s="1545"/>
      <c r="BZ583" s="1545"/>
      <c r="CA583" s="1545"/>
      <c r="CB583" s="1545"/>
      <c r="CC583" s="1545"/>
      <c r="CD583" s="484" t="s">
        <v>3062</v>
      </c>
      <c r="CE583" s="505">
        <v>174082</v>
      </c>
      <c r="CF583" s="505">
        <v>179700</v>
      </c>
      <c r="CG583" s="505">
        <v>196841</v>
      </c>
      <c r="CH583" s="505">
        <v>212543</v>
      </c>
      <c r="CI583" s="505">
        <v>226083</v>
      </c>
      <c r="CJ583" s="505">
        <v>189082</v>
      </c>
      <c r="CK583" s="505">
        <v>194700</v>
      </c>
      <c r="CL583" s="505">
        <v>211841</v>
      </c>
      <c r="CM583" s="505">
        <v>227543</v>
      </c>
      <c r="CN583" s="506">
        <v>241083</v>
      </c>
    </row>
  </sheetData>
  <dataConsolidate/>
  <mergeCells count="123">
    <mergeCell ref="B8:C8"/>
    <mergeCell ref="B6:D7"/>
    <mergeCell ref="AE6:AE7"/>
    <mergeCell ref="AL101:AM101"/>
    <mergeCell ref="E6:J6"/>
    <mergeCell ref="AL102:AM102"/>
    <mergeCell ref="AJ89:AJ90"/>
    <mergeCell ref="AL89:AM90"/>
    <mergeCell ref="AL91:AM91"/>
    <mergeCell ref="AL92:AM92"/>
    <mergeCell ref="AH88:AN88"/>
    <mergeCell ref="AI89:AI90"/>
    <mergeCell ref="AK89:AK90"/>
    <mergeCell ref="AL93:AM93"/>
    <mergeCell ref="AL94:AM94"/>
    <mergeCell ref="AL95:AM95"/>
    <mergeCell ref="AL96:AM96"/>
    <mergeCell ref="AL97:AM97"/>
    <mergeCell ref="AL98:AM98"/>
    <mergeCell ref="AL99:AM99"/>
    <mergeCell ref="AL100:AM100"/>
    <mergeCell ref="U6:V6"/>
    <mergeCell ref="AG64:AH64"/>
    <mergeCell ref="CP29:CX29"/>
    <mergeCell ref="AV62:AW63"/>
    <mergeCell ref="CP35:CV35"/>
    <mergeCell ref="CP36:CV36"/>
    <mergeCell ref="AP60:AW60"/>
    <mergeCell ref="AP62:AQ63"/>
    <mergeCell ref="M4:N4"/>
    <mergeCell ref="CP28:CS28"/>
    <mergeCell ref="AP4:AU4"/>
    <mergeCell ref="AV4:AW4"/>
    <mergeCell ref="CP4:CX4"/>
    <mergeCell ref="K5:S5"/>
    <mergeCell ref="AT7:AW7"/>
    <mergeCell ref="AT6:AW6"/>
    <mergeCell ref="AR62:AS63"/>
    <mergeCell ref="AH61:AN63"/>
    <mergeCell ref="BT63:BV63"/>
    <mergeCell ref="W6:Y6"/>
    <mergeCell ref="K6:T6"/>
    <mergeCell ref="AH3:AN4"/>
    <mergeCell ref="AO3:AO4"/>
    <mergeCell ref="AF6:AG7"/>
    <mergeCell ref="V3:V4"/>
    <mergeCell ref="AP64:AQ65"/>
    <mergeCell ref="AH5:AO5"/>
    <mergeCell ref="AI64:AN64"/>
    <mergeCell ref="AR74:AS76"/>
    <mergeCell ref="AP7:AS7"/>
    <mergeCell ref="AP6:AS6"/>
    <mergeCell ref="AP5:AW5"/>
    <mergeCell ref="AP8:AR8"/>
    <mergeCell ref="AT8:AV8"/>
    <mergeCell ref="AV61:AW61"/>
    <mergeCell ref="AJ8:AK8"/>
    <mergeCell ref="AP61:AQ61"/>
    <mergeCell ref="AT61:AU61"/>
    <mergeCell ref="AT62:AU63"/>
    <mergeCell ref="AH60:AN60"/>
    <mergeCell ref="AR61:AS61"/>
    <mergeCell ref="AT70:AU70"/>
    <mergeCell ref="AT71:AU73"/>
    <mergeCell ref="AR70:AS70"/>
    <mergeCell ref="BT89:BY89"/>
    <mergeCell ref="BZ88:CA88"/>
    <mergeCell ref="AH86:AI87"/>
    <mergeCell ref="AJ86:AN87"/>
    <mergeCell ref="AR66:AS68"/>
    <mergeCell ref="BZ87:CA87"/>
    <mergeCell ref="AV71:AW73"/>
    <mergeCell ref="AV74:AW76"/>
    <mergeCell ref="AT64:AU65"/>
    <mergeCell ref="AT66:AU68"/>
    <mergeCell ref="AT69:AU69"/>
    <mergeCell ref="AR71:AS73"/>
    <mergeCell ref="AT74:AU76"/>
    <mergeCell ref="AP66:AQ68"/>
    <mergeCell ref="AP71:AQ73"/>
    <mergeCell ref="AP69:AQ69"/>
    <mergeCell ref="AP70:AQ70"/>
    <mergeCell ref="AV64:AW65"/>
    <mergeCell ref="AV66:AW68"/>
    <mergeCell ref="AV69:AW69"/>
    <mergeCell ref="AV70:AW70"/>
    <mergeCell ref="AP74:AQ76"/>
    <mergeCell ref="AR64:AS65"/>
    <mergeCell ref="AR69:AS69"/>
    <mergeCell ref="CP1:CX1"/>
    <mergeCell ref="CQ5:CX5"/>
    <mergeCell ref="CP5:CP6"/>
    <mergeCell ref="CJ1:CN1"/>
    <mergeCell ref="BU1:BY1"/>
    <mergeCell ref="BI1:BM1"/>
    <mergeCell ref="BN1:BR1"/>
    <mergeCell ref="BZ1:CA1"/>
    <mergeCell ref="CE1:CI1"/>
    <mergeCell ref="CD2:CI2"/>
    <mergeCell ref="CJ2:CN2"/>
    <mergeCell ref="BH2:BM2"/>
    <mergeCell ref="BN2:BR2"/>
    <mergeCell ref="BT2:CB2"/>
    <mergeCell ref="X1:X2"/>
    <mergeCell ref="AC6:AD7"/>
    <mergeCell ref="B3:C4"/>
    <mergeCell ref="R3:S3"/>
    <mergeCell ref="R4:S4"/>
    <mergeCell ref="U3:U4"/>
    <mergeCell ref="M3:N3"/>
    <mergeCell ref="Y1:Z1"/>
    <mergeCell ref="W3:X3"/>
    <mergeCell ref="W4:X4"/>
    <mergeCell ref="Y3:Z3"/>
    <mergeCell ref="Y4:Z4"/>
    <mergeCell ref="K3:L3"/>
    <mergeCell ref="K4:L4"/>
    <mergeCell ref="B5:J5"/>
    <mergeCell ref="T5:Z5"/>
    <mergeCell ref="AB6:AB7"/>
    <mergeCell ref="AA3:AG5"/>
    <mergeCell ref="AA6:AA7"/>
    <mergeCell ref="D3:E4"/>
  </mergeCells>
  <phoneticPr fontId="91" type="noConversion"/>
  <conditionalFormatting sqref="AR69:AR70">
    <cfRule type="expression" dxfId="599" priority="71" stopIfTrue="1">
      <formula>#REF!=FALSE</formula>
    </cfRule>
  </conditionalFormatting>
  <conditionalFormatting sqref="AT69:AT70">
    <cfRule type="expression" dxfId="598" priority="70" stopIfTrue="1">
      <formula>#REF!=FALSE</formula>
    </cfRule>
  </conditionalFormatting>
  <conditionalFormatting sqref="AV69:AV70">
    <cfRule type="expression" dxfId="597" priority="69" stopIfTrue="1">
      <formula>#REF!=FALSE</formula>
    </cfRule>
  </conditionalFormatting>
  <conditionalFormatting sqref="AD11:AG59 AE10:AG10 Z10:AB59">
    <cfRule type="cellIs" dxfId="596" priority="67" operator="equal">
      <formula>0</formula>
    </cfRule>
  </conditionalFormatting>
  <conditionalFormatting sqref="AG10:AG59">
    <cfRule type="cellIs" dxfId="595" priority="65" operator="equal">
      <formula>FALSE</formula>
    </cfRule>
  </conditionalFormatting>
  <conditionalFormatting sqref="E10:E59">
    <cfRule type="cellIs" dxfId="594" priority="63" operator="greaterThan">
      <formula>D10</formula>
    </cfRule>
  </conditionalFormatting>
  <conditionalFormatting sqref="F10">
    <cfRule type="cellIs" dxfId="593" priority="62" operator="greaterThan">
      <formula>D10</formula>
    </cfRule>
  </conditionalFormatting>
  <conditionalFormatting sqref="F11:F59">
    <cfRule type="cellIs" dxfId="592" priority="61" operator="greaterThan">
      <formula>D11</formula>
    </cfRule>
  </conditionalFormatting>
  <conditionalFormatting sqref="G10">
    <cfRule type="cellIs" dxfId="591" priority="60" operator="greaterThan">
      <formula>D10</formula>
    </cfRule>
  </conditionalFormatting>
  <conditionalFormatting sqref="H10">
    <cfRule type="cellIs" dxfId="590" priority="59" operator="greaterThan">
      <formula>D10</formula>
    </cfRule>
  </conditionalFormatting>
  <conditionalFormatting sqref="H11:H59">
    <cfRule type="cellIs" dxfId="589" priority="58" operator="greaterThan">
      <formula>D11</formula>
    </cfRule>
  </conditionalFormatting>
  <conditionalFormatting sqref="G11:G59">
    <cfRule type="cellIs" dxfId="588" priority="57" operator="greaterThan">
      <formula>D11</formula>
    </cfRule>
  </conditionalFormatting>
  <conditionalFormatting sqref="I10">
    <cfRule type="cellIs" dxfId="587" priority="56" operator="greaterThan">
      <formula>D10</formula>
    </cfRule>
  </conditionalFormatting>
  <conditionalFormatting sqref="I11:I59">
    <cfRule type="cellIs" dxfId="586" priority="55" operator="greaterThan">
      <formula>D11</formula>
    </cfRule>
  </conditionalFormatting>
  <conditionalFormatting sqref="J10">
    <cfRule type="cellIs" dxfId="585" priority="54" operator="greaterThan">
      <formula>D10</formula>
    </cfRule>
  </conditionalFormatting>
  <conditionalFormatting sqref="J11:J59">
    <cfRule type="cellIs" dxfId="584" priority="53" operator="greaterThan">
      <formula>D11</formula>
    </cfRule>
  </conditionalFormatting>
  <conditionalFormatting sqref="U10">
    <cfRule type="cellIs" dxfId="583" priority="52" operator="greaterThan">
      <formula>D10-MAX(E10,F10,G10,H10,I10,J10)</formula>
    </cfRule>
  </conditionalFormatting>
  <conditionalFormatting sqref="U11:U59">
    <cfRule type="cellIs" dxfId="582" priority="49" operator="greaterThan">
      <formula>D11-MAX(E11,F11,G11,H11,I11,J11)</formula>
    </cfRule>
  </conditionalFormatting>
  <conditionalFormatting sqref="K4">
    <cfRule type="cellIs" dxfId="581" priority="48" operator="greaterThanOrEqual">
      <formula>0.25</formula>
    </cfRule>
  </conditionalFormatting>
  <conditionalFormatting sqref="M4">
    <cfRule type="cellIs" dxfId="580" priority="47" operator="greaterThanOrEqual">
      <formula>0.25</formula>
    </cfRule>
  </conditionalFormatting>
  <conditionalFormatting sqref="K10">
    <cfRule type="cellIs" dxfId="579" priority="46" operator="greaterThan">
      <formula>D10</formula>
    </cfRule>
  </conditionalFormatting>
  <conditionalFormatting sqref="L10">
    <cfRule type="cellIs" dxfId="578" priority="45" operator="greaterThan">
      <formula>D10</formula>
    </cfRule>
  </conditionalFormatting>
  <conditionalFormatting sqref="M10">
    <cfRule type="cellIs" dxfId="577" priority="44" operator="greaterThan">
      <formula>D10</formula>
    </cfRule>
  </conditionalFormatting>
  <conditionalFormatting sqref="N10:Q10">
    <cfRule type="cellIs" dxfId="576" priority="43" operator="greaterThan">
      <formula>D10</formula>
    </cfRule>
  </conditionalFormatting>
  <conditionalFormatting sqref="R10">
    <cfRule type="cellIs" dxfId="575" priority="42" operator="greaterThan">
      <formula>D10</formula>
    </cfRule>
  </conditionalFormatting>
  <conditionalFormatting sqref="S10">
    <cfRule type="cellIs" dxfId="574" priority="41" operator="greaterThan">
      <formula>D10</formula>
    </cfRule>
  </conditionalFormatting>
  <conditionalFormatting sqref="T10">
    <cfRule type="cellIs" dxfId="573" priority="40" operator="greaterThan">
      <formula>D10</formula>
    </cfRule>
  </conditionalFormatting>
  <conditionalFormatting sqref="K11:K59">
    <cfRule type="cellIs" dxfId="572" priority="39" operator="greaterThan">
      <formula>D11</formula>
    </cfRule>
  </conditionalFormatting>
  <conditionalFormatting sqref="L11:L59">
    <cfRule type="cellIs" dxfId="571" priority="38" operator="greaterThan">
      <formula>D11</formula>
    </cfRule>
  </conditionalFormatting>
  <conditionalFormatting sqref="M11:M59">
    <cfRule type="cellIs" dxfId="570" priority="37" operator="greaterThan">
      <formula>D11</formula>
    </cfRule>
  </conditionalFormatting>
  <conditionalFormatting sqref="N11:Q59">
    <cfRule type="cellIs" dxfId="569" priority="36" operator="greaterThan">
      <formula>D11</formula>
    </cfRule>
  </conditionalFormatting>
  <conditionalFormatting sqref="R11:R59">
    <cfRule type="cellIs" dxfId="568" priority="35" operator="greaterThan">
      <formula>D11</formula>
    </cfRule>
  </conditionalFormatting>
  <conditionalFormatting sqref="S11:S59">
    <cfRule type="cellIs" dxfId="567" priority="34" operator="greaterThan">
      <formula>D11</formula>
    </cfRule>
  </conditionalFormatting>
  <conditionalFormatting sqref="T11:T59">
    <cfRule type="cellIs" dxfId="566" priority="33" operator="greaterThan">
      <formula>D11</formula>
    </cfRule>
  </conditionalFormatting>
  <conditionalFormatting sqref="D3">
    <cfRule type="cellIs" dxfId="565" priority="28" operator="greaterThanOrEqual">
      <formula>0.45</formula>
    </cfRule>
  </conditionalFormatting>
  <conditionalFormatting sqref="V3:V4">
    <cfRule type="cellIs" dxfId="564" priority="24" operator="greaterThanOrEqual">
      <formula>0.45</formula>
    </cfRule>
  </conditionalFormatting>
  <conditionalFormatting sqref="AF10:AF59">
    <cfRule type="cellIs" dxfId="563" priority="23" operator="equal">
      <formula>FALSE</formula>
    </cfRule>
  </conditionalFormatting>
  <conditionalFormatting sqref="R4:S4">
    <cfRule type="cellIs" dxfId="562" priority="22" operator="equal">
      <formula>TRUE</formula>
    </cfRule>
  </conditionalFormatting>
  <conditionalFormatting sqref="K7">
    <cfRule type="cellIs" dxfId="561" priority="20" operator="greaterThan">
      <formula>"&gt;=0.45"</formula>
    </cfRule>
  </conditionalFormatting>
  <conditionalFormatting sqref="L7:T7">
    <cfRule type="cellIs" dxfId="560" priority="19" operator="greaterThan">
      <formula>"&gt;=0.45"</formula>
    </cfRule>
  </conditionalFormatting>
  <conditionalFormatting sqref="U7">
    <cfRule type="cellIs" dxfId="559" priority="18" operator="greaterThan">
      <formula>"&gt;=0.45"</formula>
    </cfRule>
  </conditionalFormatting>
  <conditionalFormatting sqref="V7">
    <cfRule type="cellIs" dxfId="558" priority="17" operator="greaterThan">
      <formula>"&gt;=0.45"</formula>
    </cfRule>
  </conditionalFormatting>
  <conditionalFormatting sqref="X7">
    <cfRule type="cellIs" dxfId="557" priority="16" operator="greaterThan">
      <formula>"&gt;=0.45"</formula>
    </cfRule>
  </conditionalFormatting>
  <conditionalFormatting sqref="Y7">
    <cfRule type="cellIs" dxfId="556" priority="15" operator="greaterThan">
      <formula>"&gt;=0.45"</formula>
    </cfRule>
  </conditionalFormatting>
  <conditionalFormatting sqref="AE10:AE59">
    <cfRule type="cellIs" dxfId="555" priority="14" operator="equal">
      <formula>FALSE</formula>
    </cfRule>
  </conditionalFormatting>
  <conditionalFormatting sqref="X1">
    <cfRule type="cellIs" dxfId="554" priority="13" operator="equal">
      <formula>TRUE</formula>
    </cfRule>
  </conditionalFormatting>
  <conditionalFormatting sqref="AC10:AC59">
    <cfRule type="cellIs" dxfId="553" priority="12" operator="equal">
      <formula>0</formula>
    </cfRule>
  </conditionalFormatting>
  <conditionalFormatting sqref="AD10">
    <cfRule type="cellIs" dxfId="552" priority="10" operator="equal">
      <formula>0</formula>
    </cfRule>
  </conditionalFormatting>
  <conditionalFormatting sqref="AB10:AB59">
    <cfRule type="cellIs" dxfId="551" priority="9" operator="equal">
      <formula>FALSE</formula>
    </cfRule>
  </conditionalFormatting>
  <conditionalFormatting sqref="AD10:AD59">
    <cfRule type="cellIs" dxfId="550" priority="8" operator="equal">
      <formula>FALSE</formula>
    </cfRule>
  </conditionalFormatting>
  <conditionalFormatting sqref="AQ10:AQ59">
    <cfRule type="cellIs" dxfId="549" priority="7" operator="lessThan">
      <formula>0</formula>
    </cfRule>
  </conditionalFormatting>
  <conditionalFormatting sqref="Z7">
    <cfRule type="cellIs" dxfId="548" priority="4" operator="greaterThan">
      <formula>"&gt;=0.45"</formula>
    </cfRule>
  </conditionalFormatting>
  <conditionalFormatting sqref="AA59">
    <cfRule type="cellIs" dxfId="547" priority="3" operator="equal">
      <formula>FALSE</formula>
    </cfRule>
  </conditionalFormatting>
  <conditionalFormatting sqref="AA10:AA59">
    <cfRule type="cellIs" dxfId="546" priority="2" operator="equal">
      <formula>FALSE</formula>
    </cfRule>
  </conditionalFormatting>
  <conditionalFormatting sqref="AA59">
    <cfRule type="cellIs" dxfId="545" priority="1" operator="equal">
      <formula>FALSE</formula>
    </cfRule>
  </conditionalFormatting>
  <dataValidations count="24">
    <dataValidation type="list" allowBlank="1" showInputMessage="1" showErrorMessage="1" sqref="C10:C59" xr:uid="{DEC452ED-8C7C-4207-AA27-950483E28CF0}">
      <formula1>ListAmiLevels</formula1>
    </dataValidation>
    <dataValidation type="whole" operator="greaterThanOrEqual" allowBlank="1" showInputMessage="1" showErrorMessage="1" sqref="D10:D59" xr:uid="{E1B5C0E5-F599-4C4F-9BDE-697B92774B94}">
      <formula1>0</formula1>
    </dataValidation>
    <dataValidation type="list" operator="greaterThan" allowBlank="1" showInputMessage="1" showErrorMessage="1" sqref="AH10:AH59" xr:uid="{7F9D108F-9B6A-4812-9058-07F2F81150BB}">
      <formula1>"TCAC,CalHFA,Other"</formula1>
    </dataValidation>
    <dataValidation type="custom" allowBlank="1" showInputMessage="1" showErrorMessage="1" errorTitle="Schedule 2" error="Only one schedule per line item." sqref="AJ10:AJ59" xr:uid="{62813743-18D5-4514-B0ED-38106B04E115}">
      <formula1>AK10&lt;0</formula1>
    </dataValidation>
    <dataValidation type="custom" allowBlank="1" showInputMessage="1" showErrorMessage="1" errorTitle="Schedule 1" error="Only one schedule per line item._x000a_" sqref="AK10:AK59" xr:uid="{5D008913-4056-4BDB-AF32-D99919FCFF88}">
      <formula1>AJ10&lt;0</formula1>
    </dataValidation>
    <dataValidation type="list" allowBlank="1" showInputMessage="1" showErrorMessage="1" sqref="AV4:AW4" xr:uid="{B5DF1924-1745-4FB0-8B39-20EF5268DA7E}">
      <formula1>"Restricted,Proposed"</formula1>
    </dataValidation>
    <dataValidation type="list" allowBlank="1" showInputMessage="1" showErrorMessage="1" sqref="AI91:AI102" xr:uid="{71E26CB2-F898-4633-B001-CD23C9FD3F63}">
      <formula1>"0 Bdrm.,1 Bdrm.,2 Bdrm.,3 Bdrm.,4 Bdrm.,5 Bdrm"</formula1>
    </dataValidation>
    <dataValidation type="list" allowBlank="1" showInputMessage="1" showErrorMessage="1" sqref="AR64 AT64 AV64" xr:uid="{A1E377E8-943D-4001-A59C-BF2A6E7C220C}">
      <formula1>"Yes,No"</formula1>
    </dataValidation>
    <dataValidation type="list" allowBlank="1" showInputMessage="1" showErrorMessage="1" sqref="W10:W59" xr:uid="{83CCB941-D2C6-451D-A034-E49F4909593E}">
      <formula1>"AHSC,CalHome,LHTF,NPLH,PLHA,SHMHP,VHHP"</formula1>
    </dataValidation>
    <dataValidation type="whole" operator="lessThanOrEqual" allowBlank="1" showInputMessage="1" showErrorMessage="1" errorTitle="Incorrect Value" error="Value may not be greater than &quot;Total Units&quot;." sqref="E10:E59" xr:uid="{B4282261-8A2C-4087-96B1-1CF91AE340AA}">
      <formula1>D10</formula1>
    </dataValidation>
    <dataValidation type="whole" operator="lessThanOrEqual" allowBlank="1" showInputMessage="1" showErrorMessage="1" errorTitle="Incorrect Value" error="Value may not be greater than &quot;Total Units&quot;" sqref="F10:F59" xr:uid="{2AB0C0FE-7B6E-49DF-87A8-3E00259C5A3B}">
      <formula1>D10</formula1>
    </dataValidation>
    <dataValidation type="whole" operator="lessThanOrEqual" allowBlank="1" showInputMessage="1" showErrorMessage="1" errorTitle="Incorrect Value" error="Value may not be greater than &quot;Total Units&quot;" sqref="G10:G59" xr:uid="{6D5CEBC9-D0BB-40C4-82AE-1C817BD99E0D}">
      <formula1>D10</formula1>
    </dataValidation>
    <dataValidation type="whole" operator="lessThanOrEqual" allowBlank="1" showInputMessage="1" showErrorMessage="1" errorTitle="Incorrect Value" error="Value may not be greater than &quot;Total Units&quot;" sqref="H10:H59" xr:uid="{9AEFBACB-1FFE-4EE4-BD26-027DE1C666FF}">
      <formula1>D10</formula1>
    </dataValidation>
    <dataValidation type="whole" operator="lessThanOrEqual" allowBlank="1" showInputMessage="1" showErrorMessage="1" errorTitle="Incorrect Value" error="Value may not be greater than &quot;Total Units&quot;" sqref="I10:I59" xr:uid="{5664925B-D636-4BF4-A3D2-ADB1C1BCFBC1}">
      <formula1>D10</formula1>
    </dataValidation>
    <dataValidation type="whole" operator="lessThanOrEqual" allowBlank="1" showInputMessage="1" showErrorMessage="1" errorTitle="Incorrect Value" error="Value may not be greater than &quot;Total Units&quot;" sqref="J10:J59" xr:uid="{69916DBD-08EB-4560-93F8-A942F3230295}">
      <formula1>D10</formula1>
    </dataValidation>
    <dataValidation type="whole" operator="lessThanOrEqual" allowBlank="1" showInputMessage="1" showErrorMessage="1" errorTitle="Incorrect Value" error="Value may not be greater than &quot;Total Units&quot; minus program &quot;Assisted Units&quot;" sqref="U10:U59" xr:uid="{CC2A289A-AA5F-47CE-9632-38C1D8319BED}">
      <formula1>D10-MAX(E10,F10,G10,H10,I10,J10)</formula1>
    </dataValidation>
    <dataValidation type="whole" operator="lessThanOrEqual" allowBlank="1" showInputMessage="1" showErrorMessage="1" errorTitle="Incorrect Value" error="Value may not be greater than &quot;Total Units&quot;" sqref="K10:K59" xr:uid="{789A4F22-9C75-4DED-9445-6DF936FDF0A7}">
      <formula1>D10</formula1>
    </dataValidation>
    <dataValidation type="whole" operator="lessThanOrEqual" allowBlank="1" showInputMessage="1" showErrorMessage="1" errorTitle="Incorrect Value" error="Value may not be greater than &quot;Total Units&quot;" sqref="L10:L59" xr:uid="{08F463CD-A5A8-4301-A34F-BDDB22443857}">
      <formula1>D10</formula1>
    </dataValidation>
    <dataValidation type="whole" operator="lessThanOrEqual" allowBlank="1" showInputMessage="1" showErrorMessage="1" errorTitle="Incorrect Value" error="Value may not be greater than &quot;Total Units&quot;" sqref="M10:M59" xr:uid="{CCF32ED0-E279-4554-A450-F75686759023}">
      <formula1>D10</formula1>
    </dataValidation>
    <dataValidation type="whole" operator="lessThanOrEqual" allowBlank="1" showInputMessage="1" showErrorMessage="1" errorTitle="Incorrect Value" error="Value may not be greater than &quot;Total Units&quot;" sqref="N10:Q59" xr:uid="{EE66F9B5-E345-40BC-88AE-EE613E6BEE1B}">
      <formula1>D10</formula1>
    </dataValidation>
    <dataValidation type="whole" operator="lessThanOrEqual" allowBlank="1" showInputMessage="1" showErrorMessage="1" errorTitle="Incorrect Value" error="Value may not be greater than &quot;Total Units&quot;" sqref="R10:R59" xr:uid="{3CA8983B-CB36-48B8-8735-AC53AB5B1A88}">
      <formula1>D10</formula1>
    </dataValidation>
    <dataValidation type="whole" operator="lessThanOrEqual" allowBlank="1" showInputMessage="1" showErrorMessage="1" errorTitle="Incorrect Value" error="Value may not be greater than &quot;Total Units&quot;" sqref="S10:S59" xr:uid="{57FFEF2B-3104-447C-B7A5-039DD68AAF14}">
      <formula1>D10</formula1>
    </dataValidation>
    <dataValidation type="whole" operator="lessThanOrEqual" allowBlank="1" showInputMessage="1" showErrorMessage="1" errorTitle="Incorrect Value" error="Value may not be greater than &quot;Total Units&quot;" sqref="T10:T59" xr:uid="{F154B51B-982A-4C0B-B494-37CBE73230C1}">
      <formula1>D10</formula1>
    </dataValidation>
    <dataValidation type="list" allowBlank="1" showInputMessage="1" showErrorMessage="1" promptTitle="Number of Bedrooms" sqref="B10:B59" xr:uid="{FD6609C6-198E-48CD-86AB-8876C95F24FD}">
      <formula1>"0,1,2,3,4,5,6,7,8,9"</formula1>
    </dataValidation>
  </dataValidations>
  <hyperlinks>
    <hyperlink ref="AO3:AO4" location="'Unit Mix'!AC66" display="Click HERE" xr:uid="{45EF0132-8F89-4BF7-98F8-F67DC9B900B1}"/>
  </hyperlinks>
  <pageMargins left="0.7" right="0.7" top="0.75" bottom="0.75" header="0.3" footer="0.3"/>
  <pageSetup orientation="portrait" r:id="rId1"/>
  <ignoredErrors>
    <ignoredError sqref="H7:I7 BV85" formula="1"/>
  </ignoredErrors>
  <legacyDrawing r:id="rId2"/>
  <tableParts count="8">
    <tablePart r:id="rId3"/>
    <tablePart r:id="rId4"/>
    <tablePart r:id="rId5"/>
    <tablePart r:id="rId6"/>
    <tablePart r:id="rId7"/>
    <tablePart r:id="rId8"/>
    <tablePart r:id="rId9"/>
    <tablePart r:id="rId10"/>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2A74A-F432-4598-9F9F-51C782C21DB1}">
  <sheetPr codeName="Sheet12">
    <tabColor rgb="FF00B050"/>
  </sheetPr>
  <dimension ref="A1:AR35"/>
  <sheetViews>
    <sheetView showGridLines="0" topLeftCell="A23" workbookViewId="0">
      <selection activeCell="M25" sqref="M25:P25"/>
    </sheetView>
  </sheetViews>
  <sheetFormatPr defaultColWidth="4.109375" defaultRowHeight="18" customHeight="1"/>
  <cols>
    <col min="1" max="1" width="5.6640625" style="1" customWidth="1"/>
    <col min="2" max="35" width="4.109375" style="1"/>
    <col min="36" max="36" width="4.109375" style="1" customWidth="1"/>
    <col min="37" max="39" width="4.109375" style="1"/>
    <col min="40" max="40" width="15" style="1" bestFit="1" customWidth="1"/>
    <col min="41" max="41" width="4.109375" style="1"/>
    <col min="42" max="42" width="7.5546875" style="1" bestFit="1" customWidth="1"/>
    <col min="43" max="43" width="14.5546875" style="1" bestFit="1" customWidth="1"/>
    <col min="44" max="16384" width="4.109375" style="1"/>
  </cols>
  <sheetData>
    <row r="1" spans="1:44" ht="18" customHeight="1">
      <c r="A1" s="1486"/>
      <c r="B1" s="2880"/>
      <c r="C1" s="2880"/>
      <c r="D1" s="2880"/>
      <c r="E1" s="2880"/>
      <c r="F1" s="2880"/>
      <c r="G1" s="2880"/>
      <c r="H1" s="2880"/>
      <c r="I1" s="2880"/>
      <c r="J1" s="2880"/>
      <c r="K1" s="2880"/>
      <c r="L1" s="2880"/>
      <c r="M1" s="2880"/>
      <c r="N1" s="2880"/>
      <c r="O1" s="2880"/>
      <c r="P1" s="2880"/>
      <c r="Q1" s="2880"/>
      <c r="R1" s="2880"/>
      <c r="S1" s="2880"/>
      <c r="T1" s="2880"/>
      <c r="U1" s="2880"/>
      <c r="V1" s="2880"/>
      <c r="W1" s="2880"/>
      <c r="X1" s="2880"/>
      <c r="Y1" s="2880"/>
      <c r="Z1" s="2880"/>
      <c r="AA1" s="2880"/>
      <c r="AB1" s="2880"/>
      <c r="AC1" s="2880"/>
      <c r="AD1" s="2880"/>
      <c r="AE1" s="2880"/>
      <c r="AF1" s="2880"/>
      <c r="AG1" s="2880"/>
      <c r="AH1" s="2880"/>
      <c r="AI1" s="2880"/>
      <c r="AJ1" s="2880"/>
      <c r="AK1" s="2880"/>
      <c r="AL1" s="2880"/>
      <c r="AM1" s="2880"/>
      <c r="AN1" s="1486"/>
      <c r="AO1" s="1486"/>
      <c r="AP1" s="1486"/>
      <c r="AQ1" s="1486"/>
      <c r="AR1" s="1486"/>
    </row>
    <row r="2" spans="1:44" ht="18" customHeight="1">
      <c r="A2" s="1486"/>
      <c r="B2" s="2893" t="s">
        <v>3063</v>
      </c>
      <c r="C2" s="2893"/>
      <c r="D2" s="2893"/>
      <c r="E2" s="2893"/>
      <c r="F2" s="2893"/>
      <c r="G2" s="2893"/>
      <c r="H2" s="2893"/>
      <c r="I2" s="2893"/>
      <c r="J2" s="2893"/>
      <c r="K2" s="2893"/>
      <c r="L2" s="2893"/>
      <c r="M2" s="2893"/>
      <c r="N2" s="2893"/>
      <c r="O2" s="2893"/>
      <c r="P2" s="2893"/>
      <c r="Q2" s="2893"/>
      <c r="R2" s="2893"/>
      <c r="S2" s="2893"/>
      <c r="T2" s="2893"/>
      <c r="U2" s="2893"/>
      <c r="V2" s="2893"/>
      <c r="W2" s="2893"/>
      <c r="X2" s="2893"/>
      <c r="Y2" s="2893"/>
      <c r="Z2" s="2893"/>
      <c r="AA2" s="2893"/>
      <c r="AB2" s="2893"/>
      <c r="AC2" s="2893"/>
      <c r="AD2" s="2893"/>
      <c r="AE2" s="2893"/>
      <c r="AF2" s="2893"/>
      <c r="AG2" s="2893"/>
      <c r="AH2" s="2893"/>
      <c r="AI2" s="2893"/>
      <c r="AJ2" s="2893"/>
      <c r="AK2" s="2893"/>
      <c r="AL2" s="2893"/>
      <c r="AM2" s="2893"/>
      <c r="AN2" s="1459"/>
      <c r="AO2" s="1486"/>
      <c r="AP2" s="1486"/>
      <c r="AQ2" s="1486"/>
      <c r="AR2" s="1486"/>
    </row>
    <row r="3" spans="1:44" ht="18" customHeight="1">
      <c r="A3" s="1486"/>
      <c r="B3" s="746"/>
      <c r="C3" s="746"/>
      <c r="D3" s="746"/>
      <c r="E3" s="746"/>
      <c r="F3" s="746"/>
      <c r="G3" s="746"/>
      <c r="H3" s="746"/>
      <c r="I3" s="746"/>
      <c r="J3" s="746"/>
      <c r="K3" s="746"/>
      <c r="L3" s="746"/>
      <c r="M3" s="746"/>
      <c r="N3" s="746"/>
      <c r="O3" s="746"/>
      <c r="P3" s="746"/>
      <c r="Q3" s="746"/>
      <c r="R3" s="746"/>
      <c r="S3" s="746"/>
      <c r="T3" s="746"/>
      <c r="U3" s="746"/>
      <c r="V3" s="746"/>
      <c r="W3" s="746"/>
      <c r="X3" s="746"/>
      <c r="Y3" s="746"/>
      <c r="Z3" s="746"/>
      <c r="AA3" s="746"/>
      <c r="AB3" s="746"/>
      <c r="AC3" s="746"/>
      <c r="AD3" s="746"/>
      <c r="AE3" s="746"/>
      <c r="AF3" s="746"/>
      <c r="AG3" s="746"/>
      <c r="AH3" s="746"/>
      <c r="AI3" s="746"/>
      <c r="AJ3" s="746"/>
      <c r="AK3" s="746"/>
      <c r="AL3" s="746"/>
      <c r="AM3" s="746"/>
      <c r="AN3" s="1459"/>
      <c r="AO3" s="1058">
        <f>IF('Project Overview'!$B$40="Yes",1,0)</f>
        <v>1</v>
      </c>
      <c r="AP3" s="437" t="b">
        <f>IF(AO3=1,TRUE,FALSE)</f>
        <v>1</v>
      </c>
      <c r="AQ3" s="706" t="str">
        <f>IF(AP3=TRUE,"Large Family","")</f>
        <v>Large Family</v>
      </c>
      <c r="AR3" s="438">
        <f>IF(AND(AO3=1,'Unit Mix'!$M$4&lt;0.25,'Unit Mix'!$K$4&lt;0.5),1,0)</f>
        <v>1</v>
      </c>
    </row>
    <row r="4" spans="1:44" ht="18" customHeight="1">
      <c r="A4" s="1486"/>
      <c r="B4" s="2243" t="s">
        <v>3064</v>
      </c>
      <c r="C4" s="2243"/>
      <c r="D4" s="2243"/>
      <c r="E4" s="2243"/>
      <c r="F4" s="2892" t="str">
        <f>'Project Overview'!$F$97</f>
        <v>PNAME</v>
      </c>
      <c r="G4" s="2892"/>
      <c r="H4" s="2892"/>
      <c r="I4" s="2892"/>
      <c r="J4" s="2892"/>
      <c r="K4" s="2892"/>
      <c r="L4" s="2892"/>
      <c r="M4" s="2892"/>
      <c r="N4" s="2892"/>
      <c r="O4" s="2892"/>
      <c r="P4" s="2892"/>
      <c r="Q4" s="2892"/>
      <c r="R4" s="2892"/>
      <c r="S4" s="2892"/>
      <c r="T4" s="2892"/>
      <c r="U4" s="2892"/>
      <c r="V4" s="2892"/>
      <c r="W4" s="2892"/>
      <c r="X4" s="2892"/>
      <c r="Y4" s="2892"/>
      <c r="Z4" s="2892"/>
      <c r="AA4" s="2892"/>
      <c r="AB4" s="2892"/>
      <c r="AC4" s="2892"/>
      <c r="AD4" s="2892"/>
      <c r="AE4" s="2892"/>
      <c r="AF4" s="2892"/>
      <c r="AG4" s="2892"/>
      <c r="AH4" s="2892"/>
      <c r="AI4" s="2892"/>
      <c r="AJ4" s="2892"/>
      <c r="AK4" s="2892"/>
      <c r="AL4" s="2892"/>
      <c r="AM4" s="2892"/>
      <c r="AN4" s="1459"/>
      <c r="AO4" s="1058">
        <f>IF('Project Overview'!$B$46="Yes",1,0)</f>
        <v>1</v>
      </c>
      <c r="AP4" s="437" t="b">
        <f>IF(AO4=1,TRUE,FALSE)</f>
        <v>1</v>
      </c>
      <c r="AQ4" s="706" t="str">
        <f>IF(AP4=TRUE,"Special Needs","")</f>
        <v>Special Needs</v>
      </c>
      <c r="AR4" s="438"/>
    </row>
    <row r="5" spans="1:44" ht="18" customHeight="1">
      <c r="A5" s="1486"/>
      <c r="B5" s="2896" t="s">
        <v>3065</v>
      </c>
      <c r="C5" s="2896"/>
      <c r="D5" s="2896"/>
      <c r="E5" s="2896"/>
      <c r="F5" s="2896"/>
      <c r="G5" s="1892" t="str">
        <f>IF(vmNC="","",vmNC)</f>
        <v>New Construction</v>
      </c>
      <c r="H5" s="1892"/>
      <c r="I5" s="1892"/>
      <c r="J5" s="1892"/>
      <c r="K5" s="1892"/>
      <c r="L5" s="1892"/>
      <c r="M5" s="1892"/>
      <c r="N5" s="1892"/>
      <c r="O5" s="1892"/>
      <c r="P5" s="1892"/>
      <c r="Q5" s="1892"/>
      <c r="R5" s="1892"/>
      <c r="S5" s="1892"/>
      <c r="T5" s="2872" t="s">
        <v>3066</v>
      </c>
      <c r="U5" s="2872"/>
      <c r="V5" s="2899" t="str">
        <f>IF(County&gt;0,County,"")</f>
        <v>Amador</v>
      </c>
      <c r="W5" s="2899"/>
      <c r="X5" s="2899"/>
      <c r="Y5" s="2899"/>
      <c r="Z5" s="2899"/>
      <c r="AA5" s="2899"/>
      <c r="AB5" s="1486"/>
      <c r="AC5" s="1486"/>
      <c r="AD5" s="1486"/>
      <c r="AE5" s="1486"/>
      <c r="AF5" s="1486"/>
      <c r="AG5" s="1486"/>
      <c r="AH5" s="1486"/>
      <c r="AI5" s="1486"/>
      <c r="AJ5" s="1486"/>
      <c r="AK5" s="1486"/>
      <c r="AL5" s="1486"/>
      <c r="AM5" s="1486"/>
      <c r="AN5" s="1459"/>
      <c r="AO5" s="1058">
        <f>IF('Project Overview'!$B$43="Yes",1,0)</f>
        <v>1</v>
      </c>
      <c r="AP5" s="437" t="b">
        <f>IF(AO5=1,TRUE,FALSE)</f>
        <v>1</v>
      </c>
      <c r="AQ5" s="706" t="str">
        <f>IF(AP5=TRUE,"Senior","")</f>
        <v>Senior</v>
      </c>
      <c r="AR5" s="438"/>
    </row>
    <row r="6" spans="1:44" ht="18.75" customHeight="1">
      <c r="A6" s="1486"/>
      <c r="B6" s="2897" t="s">
        <v>3067</v>
      </c>
      <c r="C6" s="2897"/>
      <c r="D6" s="2897"/>
      <c r="E6" s="2897"/>
      <c r="F6" s="2898" t="str">
        <f>CONCATENATE(IF(AND(IsIig,IsCIP),"Capital Improvement Project","")," / ",IF(AND(OR(IsMhp,IsSerna),IsFarmworker),"Farmworker Housing","")," / ",IF(AND(IsMhp,IsAtHighRisk),"At High Risk","")," / ",IF(AND(IsMhp,IsLargeFamily),"Large Family","")," / ",IF(AND(IsMhp,IsSenior),"Senior","")," / ",IF(AND(IsMhp,IsSpecialNeeds),"Special Needs","")," / ",IF(AND(IsVhhp,IsSH),"Supportive Housing","")," / ",IF(AND(IsVhhp,IsTH),"Transitional Housing",""))</f>
        <v xml:space="preserve">Capital Improvement Project / Farmworker Housing / At High Risk / Large Family / Senior / Special Needs /  / </v>
      </c>
      <c r="G6" s="2898"/>
      <c r="H6" s="2898"/>
      <c r="I6" s="2898"/>
      <c r="J6" s="2898"/>
      <c r="K6" s="2898"/>
      <c r="L6" s="2898"/>
      <c r="M6" s="2898"/>
      <c r="N6" s="2898"/>
      <c r="O6" s="2898"/>
      <c r="P6" s="2898"/>
      <c r="Q6" s="2898"/>
      <c r="R6" s="2898"/>
      <c r="S6" s="2898"/>
      <c r="T6" s="2898"/>
      <c r="U6" s="2898"/>
      <c r="V6" s="2898"/>
      <c r="W6" s="2898"/>
      <c r="X6" s="2898"/>
      <c r="Y6" s="2898"/>
      <c r="Z6" s="2898"/>
      <c r="AA6" s="2898"/>
      <c r="AB6" s="2898"/>
      <c r="AC6" s="2898"/>
      <c r="AD6" s="2898"/>
      <c r="AE6" s="2898"/>
      <c r="AF6" s="2898"/>
      <c r="AG6" s="2898"/>
      <c r="AH6" s="2898"/>
      <c r="AI6" s="2898"/>
      <c r="AJ6" s="2898"/>
      <c r="AK6" s="2898"/>
      <c r="AL6" s="2898"/>
      <c r="AM6" s="2898"/>
      <c r="AN6" s="1459"/>
      <c r="AO6" s="1058">
        <f>IF('Project Overview'!$B$36="Yes",1,0)</f>
        <v>1</v>
      </c>
      <c r="AP6" s="437" t="b">
        <f>IF(AO6=1,TRUE,FALSE)</f>
        <v>1</v>
      </c>
      <c r="AQ6" s="706" t="str">
        <f>IF(AP6=TRUE,"At High Risk","")</f>
        <v>At High Risk</v>
      </c>
      <c r="AR6" s="438"/>
    </row>
    <row r="7" spans="1:44" ht="18" customHeight="1" thickBot="1">
      <c r="A7" s="1486"/>
      <c r="B7" s="1486"/>
      <c r="C7" s="1486"/>
      <c r="D7" s="1486"/>
      <c r="E7" s="1486"/>
      <c r="F7" s="1486"/>
      <c r="G7" s="1486"/>
      <c r="H7" s="1486"/>
      <c r="I7" s="1486"/>
      <c r="J7" s="1486"/>
      <c r="K7" s="1486"/>
      <c r="L7" s="1486"/>
      <c r="M7" s="1486"/>
      <c r="N7" s="1211"/>
      <c r="O7" s="1211"/>
      <c r="P7" s="1211"/>
      <c r="Q7" s="1211"/>
      <c r="R7" s="1211"/>
      <c r="S7" s="1211"/>
      <c r="T7" s="1211"/>
      <c r="U7" s="1211"/>
      <c r="V7" s="1211"/>
      <c r="W7" s="1211"/>
      <c r="X7" s="1211"/>
      <c r="Y7" s="1211"/>
      <c r="Z7" s="1211"/>
      <c r="AA7" s="1211"/>
      <c r="AB7" s="1211"/>
      <c r="AC7" s="1486"/>
      <c r="AD7" s="1486"/>
      <c r="AE7" s="1486"/>
      <c r="AF7" s="1486"/>
      <c r="AG7" s="1486"/>
      <c r="AH7" s="1486"/>
      <c r="AI7" s="1486"/>
      <c r="AJ7" s="1486"/>
      <c r="AK7" s="1486"/>
      <c r="AL7" s="1486"/>
      <c r="AM7" s="1486"/>
      <c r="AN7" s="440"/>
      <c r="AO7" s="1486"/>
      <c r="AP7" s="1486"/>
      <c r="AQ7" s="1486"/>
      <c r="AR7" s="438"/>
    </row>
    <row r="8" spans="1:44" ht="18" customHeight="1" thickBot="1">
      <c r="A8" s="1486"/>
      <c r="B8" s="2889" t="s">
        <v>3068</v>
      </c>
      <c r="C8" s="2890"/>
      <c r="D8" s="2890"/>
      <c r="E8" s="2891"/>
      <c r="F8" s="1486"/>
      <c r="G8" s="2889" t="s">
        <v>3069</v>
      </c>
      <c r="H8" s="2890"/>
      <c r="I8" s="2890"/>
      <c r="J8" s="2890"/>
      <c r="K8" s="2890"/>
      <c r="L8" s="2891"/>
      <c r="M8" s="1486"/>
      <c r="N8" s="2889" t="s">
        <v>3070</v>
      </c>
      <c r="O8" s="2890"/>
      <c r="P8" s="2890"/>
      <c r="Q8" s="2891"/>
      <c r="R8" s="1201"/>
      <c r="S8" s="1201"/>
      <c r="T8" s="1459"/>
      <c r="U8" s="1212"/>
      <c r="V8" s="1212"/>
      <c r="W8" s="1212"/>
      <c r="X8" s="1212"/>
      <c r="Y8" s="1486"/>
      <c r="Z8" s="1211"/>
      <c r="AA8" s="1211"/>
      <c r="AB8" s="1212"/>
      <c r="AC8" s="1212"/>
      <c r="AD8" s="1212"/>
      <c r="AE8" s="1212"/>
      <c r="AF8" s="1212"/>
      <c r="AG8" s="1459"/>
      <c r="AH8" s="1459"/>
      <c r="AI8" s="1459"/>
      <c r="AJ8" s="1459"/>
      <c r="AK8" s="1459"/>
      <c r="AL8" s="1459"/>
      <c r="AM8" s="1459"/>
      <c r="AN8" s="1058"/>
      <c r="AO8" s="1486"/>
      <c r="AP8" s="1486"/>
      <c r="AQ8" s="1486"/>
      <c r="AR8" s="438"/>
    </row>
    <row r="9" spans="1:44" s="1199" customFormat="1" ht="18" customHeight="1">
      <c r="A9" s="1486"/>
      <c r="B9" s="2894" t="b">
        <f>IF(AND(IsMhp,IsLargeFamily,'Unit Mix'!K4&gt;=25%,'Unit Mix'!M4&gt;=50%),TRUE,FALSE)</f>
        <v>0</v>
      </c>
      <c r="C9" s="2894"/>
      <c r="D9" s="2894"/>
      <c r="E9" s="2894"/>
      <c r="F9" s="1503"/>
      <c r="G9" s="2895" t="b">
        <f>IF(OR(HRCategory="High Resource",HRCategory="Highest Resource"),TRUE,FALSE)</f>
        <v>1</v>
      </c>
      <c r="H9" s="2895"/>
      <c r="I9" s="2895"/>
      <c r="J9" s="2895"/>
      <c r="K9" s="2895"/>
      <c r="L9" s="2895"/>
      <c r="M9" s="1503"/>
      <c r="N9" s="2895" t="b">
        <f>IF(vmRural="Yes",TRUE,FALSE)</f>
        <v>0</v>
      </c>
      <c r="O9" s="2895"/>
      <c r="P9" s="2895"/>
      <c r="Q9" s="2895"/>
      <c r="R9" s="1213"/>
      <c r="S9" s="1213"/>
      <c r="T9" s="1480"/>
      <c r="U9" s="1503"/>
      <c r="V9" s="1503"/>
      <c r="W9" s="1503"/>
      <c r="X9" s="1503"/>
      <c r="Y9" s="1503"/>
      <c r="Z9" s="1214"/>
      <c r="AA9" s="1214"/>
      <c r="AB9" s="1215"/>
      <c r="AC9" s="1215"/>
      <c r="AD9" s="1215"/>
      <c r="AE9" s="1215"/>
      <c r="AF9" s="1215"/>
      <c r="AG9" s="1480"/>
      <c r="AH9" s="1480"/>
      <c r="AI9" s="1480"/>
      <c r="AJ9" s="1480"/>
      <c r="AK9" s="1480"/>
      <c r="AL9" s="1480"/>
      <c r="AM9" s="1480"/>
      <c r="AN9" s="1058"/>
      <c r="AO9" s="1486"/>
      <c r="AP9" s="1486"/>
      <c r="AQ9" s="1486"/>
      <c r="AR9" s="438"/>
    </row>
    <row r="10" spans="1:44" s="1199" customFormat="1" ht="18" customHeight="1">
      <c r="A10" s="1486"/>
      <c r="B10" s="1459"/>
      <c r="C10" s="1459"/>
      <c r="D10" s="1459"/>
      <c r="E10" s="1459"/>
      <c r="F10" s="1459"/>
      <c r="G10" s="1201"/>
      <c r="H10" s="1201"/>
      <c r="I10" s="1201"/>
      <c r="J10" s="1201"/>
      <c r="K10" s="1201"/>
      <c r="L10" s="1201"/>
      <c r="M10" s="1459"/>
      <c r="N10" s="1459"/>
      <c r="O10" s="1201"/>
      <c r="P10" s="1201"/>
      <c r="Q10" s="1201"/>
      <c r="R10" s="1201"/>
      <c r="S10" s="1201"/>
      <c r="T10" s="1459"/>
      <c r="U10" s="1459"/>
      <c r="V10" s="1459"/>
      <c r="W10" s="1459"/>
      <c r="X10" s="1459"/>
      <c r="Y10" s="1459"/>
      <c r="Z10" s="1459"/>
      <c r="AA10" s="1459"/>
      <c r="AB10" s="1459"/>
      <c r="AC10" s="1459"/>
      <c r="AD10" s="1459"/>
      <c r="AE10" s="1459"/>
      <c r="AF10" s="1459"/>
      <c r="AG10" s="1459"/>
      <c r="AH10" s="1459"/>
      <c r="AI10" s="1459"/>
      <c r="AJ10" s="1459"/>
      <c r="AK10" s="1459"/>
      <c r="AL10" s="1459"/>
      <c r="AM10" s="1459"/>
      <c r="AN10" s="1058"/>
      <c r="AO10" s="1486"/>
      <c r="AP10" s="1486"/>
      <c r="AQ10" s="1486"/>
      <c r="AR10" s="438"/>
    </row>
    <row r="11" spans="1:44" s="897" customFormat="1" ht="18" customHeight="1">
      <c r="A11" s="986"/>
      <c r="B11" s="2942" t="str">
        <f>CONCATENATE(IF(IsMhp,"MHP §7302(i)(1)",""),"  ",IF(IsIig,"IIG §305(c)(1)",""),"  ",IF(IsSerna,"FWHG §7204(e)(a)",""),"  ",IF(IsVhhp,"VHHP §102(q)(1)",""))</f>
        <v xml:space="preserve">MHP §7302(i)(1)  IIG §305(c)(1)  FWHG §7204(e)(a)  </v>
      </c>
      <c r="C11" s="2942"/>
      <c r="D11" s="2942"/>
      <c r="E11" s="2942"/>
      <c r="F11" s="2942"/>
      <c r="G11" s="2942"/>
      <c r="H11" s="2942"/>
      <c r="I11" s="2942"/>
      <c r="J11" s="2942"/>
      <c r="K11" s="2942"/>
      <c r="L11" s="2942"/>
      <c r="M11" s="2942"/>
      <c r="N11" s="2942"/>
      <c r="O11" s="2942"/>
      <c r="P11" s="2942"/>
      <c r="Q11" s="2942"/>
      <c r="R11" s="1201"/>
      <c r="S11" s="2943" t="s">
        <v>3071</v>
      </c>
      <c r="T11" s="2943"/>
      <c r="U11" s="2943"/>
      <c r="V11" s="2943"/>
      <c r="W11" s="2943"/>
      <c r="X11" s="2943"/>
      <c r="Y11" s="2943"/>
      <c r="Z11" s="2943"/>
      <c r="AA11" s="2943"/>
      <c r="AB11" s="2943"/>
      <c r="AC11" s="2943"/>
      <c r="AD11" s="2943"/>
      <c r="AE11" s="2943"/>
      <c r="AF11" s="2943"/>
      <c r="AG11" s="2943"/>
      <c r="AH11" s="2943"/>
      <c r="AI11" s="2943"/>
      <c r="AJ11" s="2943"/>
      <c r="AK11" s="2943"/>
      <c r="AL11" s="2944">
        <f>SUM($N$18,$N$19,$N$20,$N$17,N21)/$T$28</f>
        <v>4.0657029817279325E-3</v>
      </c>
      <c r="AM11" s="2944"/>
      <c r="AN11" s="1058"/>
      <c r="AO11" s="1486"/>
      <c r="AP11" s="1486"/>
      <c r="AQ11" s="1486"/>
      <c r="AR11" s="438"/>
    </row>
    <row r="12" spans="1:44" s="1216" customFormat="1" ht="18" customHeight="1"/>
    <row r="13" spans="1:44" s="863" customFormat="1" ht="18" customHeight="1">
      <c r="A13" s="1486"/>
      <c r="B13" s="2871" t="s">
        <v>3072</v>
      </c>
      <c r="C13" s="2871"/>
      <c r="D13" s="2871"/>
      <c r="E13" s="2871"/>
      <c r="F13" s="2871"/>
      <c r="G13" s="2871"/>
      <c r="H13" s="2871"/>
      <c r="I13" s="2871"/>
      <c r="J13" s="2871"/>
      <c r="K13" s="2871"/>
      <c r="L13" s="2871" t="s">
        <v>3073</v>
      </c>
      <c r="M13" s="2871"/>
      <c r="N13" s="2871"/>
      <c r="O13" s="2871"/>
      <c r="P13" s="2871"/>
      <c r="Q13" s="2871"/>
      <c r="R13" s="2871"/>
      <c r="S13" s="2871"/>
      <c r="T13" s="2871"/>
      <c r="U13" s="2871"/>
      <c r="V13" s="1486"/>
      <c r="W13" s="2870" t="s">
        <v>3074</v>
      </c>
      <c r="X13" s="2870"/>
      <c r="Y13" s="2870"/>
      <c r="Z13" s="2870"/>
      <c r="AA13" s="2870"/>
      <c r="AB13" s="1486"/>
      <c r="AC13" s="2870" t="s">
        <v>3075</v>
      </c>
      <c r="AD13" s="2870"/>
      <c r="AE13" s="2870"/>
      <c r="AF13" s="2870"/>
      <c r="AG13" s="2870"/>
      <c r="AH13" s="1486"/>
      <c r="AI13" s="1486"/>
      <c r="AJ13" s="1486"/>
      <c r="AK13" s="1486"/>
      <c r="AL13" s="1486"/>
      <c r="AM13" s="1486"/>
      <c r="AN13" s="1058"/>
      <c r="AO13" s="1486"/>
      <c r="AP13" s="1486"/>
      <c r="AQ13" s="1486"/>
      <c r="AR13" s="438"/>
    </row>
    <row r="14" spans="1:44" s="863" customFormat="1" ht="18" customHeight="1">
      <c r="A14" s="1486"/>
      <c r="B14" s="748"/>
      <c r="C14" s="748"/>
      <c r="D14" s="2870">
        <f>SUM(N17:Q21)</f>
        <v>199700</v>
      </c>
      <c r="E14" s="2870"/>
      <c r="F14" s="2870"/>
      <c r="G14" s="2870"/>
      <c r="H14" s="2870"/>
      <c r="I14" s="2870"/>
      <c r="J14" s="748"/>
      <c r="K14" s="748"/>
      <c r="L14" s="748"/>
      <c r="M14" s="748"/>
      <c r="N14" s="2870">
        <f>MIN(SUM(N17:Q21),35000000)</f>
        <v>199700</v>
      </c>
      <c r="O14" s="2870"/>
      <c r="P14" s="2870"/>
      <c r="Q14" s="2870"/>
      <c r="R14" s="2870"/>
      <c r="S14" s="2870"/>
      <c r="T14" s="748"/>
      <c r="U14" s="748"/>
      <c r="V14" s="987"/>
      <c r="W14" s="2870">
        <f>IFERROR(IF(OR(IsIig,IsSerna,IsMhp,IsVhhp),'Dev Budget SU'!D3/'Unit Mix'!D8,0),0)</f>
        <v>646292.06578947371</v>
      </c>
      <c r="X14" s="2870"/>
      <c r="Y14" s="2870"/>
      <c r="Z14" s="2870"/>
      <c r="AA14" s="2870"/>
      <c r="AB14" s="987"/>
      <c r="AC14" s="2870" t="e">
        <f>IF(OR(IsIig,IsSerna,IsMhp,IsVhhp),N14/'Unit Mix'!$Z$8,0)</f>
        <v>#DIV/0!</v>
      </c>
      <c r="AD14" s="2870"/>
      <c r="AE14" s="2870"/>
      <c r="AF14" s="2870"/>
      <c r="AG14" s="2870"/>
      <c r="AH14" s="987"/>
      <c r="AI14" s="987"/>
      <c r="AJ14" s="987"/>
      <c r="AK14" s="987"/>
      <c r="AL14" s="1459"/>
      <c r="AM14" s="1459"/>
      <c r="AN14" s="1058"/>
      <c r="AO14" s="1486"/>
      <c r="AP14" s="1486"/>
      <c r="AQ14" s="1486"/>
      <c r="AR14" s="438"/>
    </row>
    <row r="15" spans="1:44" s="863" customFormat="1" ht="18" customHeight="1">
      <c r="A15" s="1486"/>
      <c r="B15" s="1459"/>
      <c r="C15" s="1459"/>
      <c r="D15" s="1459"/>
      <c r="E15" s="1459"/>
      <c r="F15" s="1459"/>
      <c r="G15" s="1201"/>
      <c r="H15" s="1201"/>
      <c r="I15" s="1201"/>
      <c r="J15" s="1201"/>
      <c r="K15" s="1201"/>
      <c r="L15" s="1201"/>
      <c r="M15" s="1459"/>
      <c r="N15" s="1459"/>
      <c r="O15" s="1201"/>
      <c r="P15" s="1201"/>
      <c r="Q15" s="1201"/>
      <c r="R15" s="1201"/>
      <c r="S15" s="1201"/>
      <c r="T15" s="1459"/>
      <c r="U15" s="1459"/>
      <c r="V15" s="1459"/>
      <c r="W15" s="1459"/>
      <c r="X15" s="1459"/>
      <c r="Y15" s="1459"/>
      <c r="Z15" s="1459"/>
      <c r="AA15" s="1459"/>
      <c r="AB15" s="1459"/>
      <c r="AC15" s="1459"/>
      <c r="AD15" s="1459"/>
      <c r="AE15" s="1459"/>
      <c r="AF15" s="1459"/>
      <c r="AG15" s="1459"/>
      <c r="AH15" s="1459"/>
      <c r="AI15" s="1459"/>
      <c r="AJ15" s="1459"/>
      <c r="AK15" s="1459"/>
      <c r="AL15" s="1459"/>
      <c r="AM15" s="1459"/>
      <c r="AN15" s="1058"/>
      <c r="AO15" s="1486"/>
      <c r="AP15" s="1486"/>
      <c r="AQ15" s="1486"/>
      <c r="AR15" s="438"/>
    </row>
    <row r="16" spans="1:44" s="863" customFormat="1" ht="21" customHeight="1">
      <c r="A16" s="986"/>
      <c r="B16" s="2948" t="str">
        <f>CONCATENATE(IF(IsMhp,"MHP maximum Allowable Loan Amount §7307"),","," ",IF(IsVhhp,"VHHP maximum Allowable Loan Amount §103"))</f>
        <v>MHP maximum Allowable Loan Amount §7307, FALSE</v>
      </c>
      <c r="C16" s="2948"/>
      <c r="D16" s="2948"/>
      <c r="E16" s="2948"/>
      <c r="F16" s="2948"/>
      <c r="G16" s="2948"/>
      <c r="H16" s="2948"/>
      <c r="I16" s="2948"/>
      <c r="J16" s="2948"/>
      <c r="K16" s="2948"/>
      <c r="L16" s="2948"/>
      <c r="M16" s="2948"/>
      <c r="N16" s="2948"/>
      <c r="O16" s="2948"/>
      <c r="P16" s="2948"/>
      <c r="Q16" s="2948"/>
      <c r="R16" s="2948"/>
      <c r="S16" s="2948"/>
      <c r="T16" s="2948"/>
      <c r="U16" s="2948"/>
      <c r="V16" s="2948"/>
      <c r="W16" s="2948"/>
      <c r="X16" s="2948"/>
      <c r="Y16" s="2948"/>
      <c r="Z16" s="2948"/>
      <c r="AA16" s="2948"/>
      <c r="AB16" s="2948"/>
      <c r="AC16" s="2948"/>
      <c r="AD16" s="2948"/>
      <c r="AE16" s="2948"/>
      <c r="AF16" s="2948"/>
      <c r="AG16" s="2948"/>
      <c r="AH16" s="2948"/>
      <c r="AI16" s="2948"/>
      <c r="AJ16" s="2948"/>
      <c r="AK16" s="2948"/>
      <c r="AL16" s="2948"/>
      <c r="AM16" s="2948"/>
      <c r="AN16" s="1058"/>
      <c r="AO16" s="1486"/>
      <c r="AP16" s="1486"/>
      <c r="AQ16" s="1486"/>
      <c r="AR16" s="438"/>
    </row>
    <row r="17" spans="1:44" ht="18" customHeight="1">
      <c r="A17" s="1502"/>
      <c r="B17" s="2887" t="s">
        <v>3076</v>
      </c>
      <c r="C17" s="2887"/>
      <c r="D17" s="2887"/>
      <c r="E17" s="2887"/>
      <c r="F17" s="2887"/>
      <c r="G17" s="2887"/>
      <c r="H17" s="2887"/>
      <c r="I17" s="2887"/>
      <c r="J17" s="2887"/>
      <c r="K17" s="2887"/>
      <c r="L17" s="2887"/>
      <c r="M17" s="947"/>
      <c r="N17" s="2875">
        <f>IF(IsIig,MIN('Dev Budget SU'!$K$3,'Dev Sources'!$I$37,$M$24,7500000),0)</f>
        <v>24700</v>
      </c>
      <c r="O17" s="2875"/>
      <c r="P17" s="2875"/>
      <c r="Q17" s="2875"/>
      <c r="R17" s="947"/>
      <c r="S17" s="947"/>
      <c r="T17" s="1486"/>
      <c r="U17" s="1486"/>
      <c r="V17" s="1486"/>
      <c r="W17" s="1486"/>
      <c r="X17" s="871"/>
      <c r="Y17" s="871"/>
      <c r="Z17" s="871"/>
      <c r="AA17" s="871"/>
      <c r="AB17" s="871"/>
      <c r="AC17" s="747"/>
      <c r="AD17" s="1486"/>
      <c r="AE17" s="1486"/>
      <c r="AF17" s="1486"/>
      <c r="AG17" s="1486"/>
      <c r="AH17" s="1486"/>
      <c r="AI17" s="1486"/>
      <c r="AJ17" s="1486"/>
      <c r="AK17" s="1486"/>
      <c r="AL17" s="1486"/>
      <c r="AM17" s="1486"/>
      <c r="AN17" s="1486"/>
      <c r="AO17" s="1058"/>
      <c r="AP17" s="1058"/>
      <c r="AQ17" s="1058"/>
      <c r="AR17" s="1058"/>
    </row>
    <row r="18" spans="1:44" ht="18" customHeight="1">
      <c r="A18" s="1486"/>
      <c r="B18" s="2887" t="s">
        <v>3077</v>
      </c>
      <c r="C18" s="2887"/>
      <c r="D18" s="2887"/>
      <c r="E18" s="2887"/>
      <c r="F18" s="2887"/>
      <c r="G18" s="2887"/>
      <c r="H18" s="2887"/>
      <c r="I18" s="2887"/>
      <c r="J18" s="2887"/>
      <c r="K18" s="2887"/>
      <c r="L18" s="2887"/>
      <c r="M18" s="947"/>
      <c r="N18" s="2875"/>
      <c r="O18" s="2875"/>
      <c r="P18" s="2875"/>
      <c r="Q18" s="2875"/>
      <c r="R18" s="947"/>
      <c r="S18" s="947"/>
      <c r="T18" s="1486"/>
      <c r="U18" s="1486"/>
      <c r="V18" s="1486"/>
      <c r="W18" s="1486"/>
      <c r="X18" s="1486"/>
      <c r="Y18" s="1486"/>
      <c r="Z18" s="1486"/>
      <c r="AA18" s="1486"/>
      <c r="AB18" s="1486"/>
      <c r="AC18" s="747"/>
      <c r="AD18" s="1486"/>
      <c r="AE18" s="1486"/>
      <c r="AF18" s="1486"/>
      <c r="AG18" s="1486"/>
      <c r="AH18" s="1486"/>
      <c r="AI18" s="1486"/>
      <c r="AJ18" s="1486"/>
      <c r="AK18" s="1486"/>
      <c r="AL18" s="1486"/>
      <c r="AM18" s="1486"/>
      <c r="AN18" s="1486"/>
      <c r="AO18" s="1486"/>
      <c r="AP18" s="1058"/>
      <c r="AQ18" s="1058"/>
      <c r="AR18" s="1058"/>
    </row>
    <row r="19" spans="1:44" ht="18" customHeight="1">
      <c r="A19" s="1486"/>
      <c r="B19" s="2887" t="s">
        <v>3078</v>
      </c>
      <c r="C19" s="2887"/>
      <c r="D19" s="2887"/>
      <c r="E19" s="2887"/>
      <c r="F19" s="2887"/>
      <c r="G19" s="2887"/>
      <c r="H19" s="2887"/>
      <c r="I19" s="2887"/>
      <c r="J19" s="2887"/>
      <c r="K19" s="2887"/>
      <c r="L19" s="2887"/>
      <c r="M19" s="947"/>
      <c r="N19" s="2875">
        <f>IF(IsMhp,MIN($M$26,$M$28,$M$30,$Q$34,$AJ$34),0)</f>
        <v>150000</v>
      </c>
      <c r="O19" s="2875"/>
      <c r="P19" s="2875"/>
      <c r="Q19" s="2875"/>
      <c r="R19" s="947"/>
      <c r="S19" s="947"/>
      <c r="T19" s="1486"/>
      <c r="U19" s="1486"/>
      <c r="V19" s="1486"/>
      <c r="W19" s="1486"/>
      <c r="X19" s="1486"/>
      <c r="Y19" s="1486"/>
      <c r="Z19" s="1486"/>
      <c r="AA19" s="1486"/>
      <c r="AB19" s="1486"/>
      <c r="AC19" s="747"/>
      <c r="AD19" s="748"/>
      <c r="AE19" s="748"/>
      <c r="AF19" s="1486"/>
      <c r="AG19" s="1486"/>
      <c r="AH19" s="1486"/>
      <c r="AI19" s="1486"/>
      <c r="AJ19" s="1486"/>
      <c r="AK19" s="748"/>
      <c r="AL19" s="748"/>
      <c r="AM19" s="748"/>
      <c r="AN19" s="1486"/>
      <c r="AO19" s="1486"/>
      <c r="AP19" s="1058"/>
      <c r="AQ19" s="1058"/>
      <c r="AR19" s="1058"/>
    </row>
    <row r="20" spans="1:44" ht="18" customHeight="1">
      <c r="A20" s="1486"/>
      <c r="B20" s="2887" t="s">
        <v>3079</v>
      </c>
      <c r="C20" s="2887"/>
      <c r="D20" s="2887"/>
      <c r="E20" s="2887"/>
      <c r="F20" s="2887"/>
      <c r="G20" s="2887"/>
      <c r="H20" s="2887"/>
      <c r="I20" s="2887"/>
      <c r="J20" s="2887"/>
      <c r="K20" s="2887"/>
      <c r="L20" s="2887"/>
      <c r="M20" s="947"/>
      <c r="N20" s="2888">
        <f>IF(IsVhhp,MIN($M$27,$M$28,$M$30,$Q$35,$AJ$35),0)</f>
        <v>0</v>
      </c>
      <c r="O20" s="2888"/>
      <c r="P20" s="2888"/>
      <c r="Q20" s="2888"/>
      <c r="R20" s="947"/>
      <c r="S20" s="947"/>
      <c r="T20" s="1486"/>
      <c r="U20" s="1486"/>
      <c r="V20" s="1486"/>
      <c r="W20" s="1486"/>
      <c r="X20" s="871"/>
      <c r="Y20" s="871"/>
      <c r="Z20" s="871"/>
      <c r="AA20" s="871"/>
      <c r="AB20" s="871"/>
      <c r="AC20" s="747"/>
      <c r="AD20" s="748"/>
      <c r="AE20" s="748"/>
      <c r="AF20" s="1486"/>
      <c r="AG20" s="1486"/>
      <c r="AH20" s="1486"/>
      <c r="AI20" s="1486"/>
      <c r="AJ20" s="1486"/>
      <c r="AK20" s="748"/>
      <c r="AL20" s="748"/>
      <c r="AM20" s="748"/>
      <c r="AN20" s="1486"/>
      <c r="AO20" s="1486"/>
      <c r="AP20" s="1058"/>
      <c r="AQ20" s="1058"/>
      <c r="AR20" s="1058"/>
    </row>
    <row r="21" spans="1:44" s="947" customFormat="1" ht="18" customHeight="1">
      <c r="B21" s="2887" t="s">
        <v>3080</v>
      </c>
      <c r="C21" s="2887"/>
      <c r="D21" s="2887"/>
      <c r="E21" s="2887"/>
      <c r="F21" s="2887"/>
      <c r="G21" s="2887"/>
      <c r="H21" s="2887"/>
      <c r="I21" s="2887"/>
      <c r="J21" s="2887"/>
      <c r="K21" s="2887"/>
      <c r="L21" s="2887"/>
      <c r="N21" s="2888">
        <f>IF(OR(IsMhp,IsIig,IsSerna,IsVhhp),'Unit Mix'!$AA$8,"")</f>
        <v>25000</v>
      </c>
      <c r="O21" s="2888"/>
      <c r="P21" s="2888"/>
      <c r="Q21" s="2888"/>
    </row>
    <row r="22" spans="1:44" s="1199" customFormat="1" ht="18" customHeight="1">
      <c r="A22" s="1500"/>
      <c r="B22" s="870"/>
      <c r="C22" s="870"/>
      <c r="D22" s="870"/>
      <c r="E22" s="870"/>
      <c r="F22" s="870"/>
      <c r="G22" s="870"/>
      <c r="H22" s="870"/>
      <c r="I22" s="870"/>
      <c r="J22" s="870"/>
      <c r="K22" s="870"/>
      <c r="L22" s="870"/>
      <c r="M22" s="870"/>
      <c r="N22" s="870"/>
      <c r="O22" s="870"/>
      <c r="P22" s="870"/>
      <c r="Q22" s="871"/>
      <c r="R22" s="871"/>
      <c r="S22" s="871"/>
      <c r="T22" s="871"/>
      <c r="U22" s="871"/>
      <c r="V22" s="871"/>
      <c r="W22" s="871"/>
      <c r="X22" s="871"/>
      <c r="Y22" s="871"/>
      <c r="Z22" s="871"/>
      <c r="AA22" s="871"/>
      <c r="AB22" s="871"/>
      <c r="AC22" s="747"/>
      <c r="AD22" s="1486"/>
      <c r="AE22" s="1486"/>
      <c r="AF22" s="1486"/>
      <c r="AG22" s="1486"/>
      <c r="AH22" s="1486"/>
      <c r="AI22" s="1486"/>
      <c r="AJ22" s="1486"/>
      <c r="AK22" s="1486"/>
      <c r="AL22" s="1486"/>
      <c r="AM22" s="1486"/>
      <c r="AN22" s="1486"/>
      <c r="AO22" s="1486"/>
      <c r="AP22" s="437"/>
      <c r="AQ22" s="1058"/>
      <c r="AR22" s="438"/>
    </row>
    <row r="23" spans="1:44" s="904" customFormat="1" ht="18" customHeight="1">
      <c r="A23" s="1500"/>
      <c r="B23" s="918" t="s">
        <v>3081</v>
      </c>
      <c r="C23" s="919"/>
      <c r="D23" s="919"/>
      <c r="E23" s="919"/>
      <c r="F23" s="919"/>
      <c r="G23" s="919"/>
      <c r="H23" s="919"/>
      <c r="I23" s="919"/>
      <c r="J23" s="919"/>
      <c r="K23" s="919"/>
      <c r="L23" s="919"/>
      <c r="M23" s="2940">
        <f>'Unit Mix'!AB8</f>
        <v>24700</v>
      </c>
      <c r="N23" s="2940"/>
      <c r="O23" s="2940"/>
      <c r="P23" s="2941"/>
      <c r="Q23" s="2945" t="s">
        <v>3082</v>
      </c>
      <c r="R23" s="2945"/>
      <c r="S23" s="2945"/>
      <c r="T23" s="2945"/>
      <c r="U23" s="2945"/>
      <c r="V23" s="2945"/>
      <c r="W23" s="2945"/>
      <c r="X23" s="2945"/>
      <c r="Y23" s="2945"/>
      <c r="Z23" s="2946">
        <f>IF(IsIig,SUM(Scoring!AL210,Scoring!AL211,Scoring!AL212,Scoring!AL213,Scoring!AL214,Scoring!AL215)/Scoring!K216,0)</f>
        <v>2.7911764705882356</v>
      </c>
      <c r="AA23" s="2946"/>
      <c r="AB23" s="2946" t="s">
        <v>3083</v>
      </c>
      <c r="AC23" s="2946"/>
      <c r="AD23" s="2946"/>
      <c r="AE23" s="2946"/>
      <c r="AF23" s="2946"/>
      <c r="AG23" s="2946"/>
      <c r="AH23" s="2946"/>
      <c r="AI23" s="2946"/>
      <c r="AJ23" s="2947">
        <f>Scoring!X216</f>
        <v>1</v>
      </c>
      <c r="AK23" s="2947"/>
      <c r="AL23" s="1486"/>
      <c r="AM23" s="1486"/>
      <c r="AN23" s="1486"/>
      <c r="AO23" s="1486"/>
      <c r="AP23" s="437"/>
      <c r="AQ23" s="1058"/>
      <c r="AR23" s="438"/>
    </row>
    <row r="24" spans="1:44" s="702" customFormat="1" ht="18" customHeight="1">
      <c r="B24" s="2883" t="s">
        <v>3084</v>
      </c>
      <c r="C24" s="2884"/>
      <c r="D24" s="2884"/>
      <c r="E24" s="2884"/>
      <c r="F24" s="2884"/>
      <c r="G24" s="2884"/>
      <c r="H24" s="2884"/>
      <c r="I24" s="2884"/>
      <c r="J24" s="2884"/>
      <c r="K24" s="2884"/>
      <c r="L24" s="2884"/>
      <c r="M24" s="2885">
        <f>MIN(7500000,M23*AJ23)</f>
        <v>24700</v>
      </c>
      <c r="N24" s="2885"/>
      <c r="O24" s="2885"/>
      <c r="P24" s="2886"/>
      <c r="Q24" s="2945"/>
      <c r="R24" s="2945"/>
      <c r="S24" s="2945"/>
      <c r="T24" s="2945"/>
      <c r="U24" s="2945"/>
      <c r="V24" s="2945"/>
      <c r="W24" s="2945"/>
      <c r="X24" s="2945"/>
      <c r="Y24" s="2945"/>
      <c r="Z24" s="2946"/>
      <c r="AA24" s="2946"/>
      <c r="AB24" s="2946"/>
      <c r="AC24" s="2946"/>
      <c r="AD24" s="2946"/>
      <c r="AE24" s="2946"/>
      <c r="AF24" s="2946"/>
      <c r="AG24" s="2946"/>
      <c r="AH24" s="2946"/>
      <c r="AI24" s="2946"/>
      <c r="AJ24" s="2947"/>
      <c r="AK24" s="2947"/>
    </row>
    <row r="25" spans="1:44" s="863" customFormat="1" ht="18" customHeight="1">
      <c r="A25" s="1500"/>
      <c r="B25" s="2883" t="s">
        <v>3085</v>
      </c>
      <c r="C25" s="2884"/>
      <c r="D25" s="2884"/>
      <c r="E25" s="2884"/>
      <c r="F25" s="2884"/>
      <c r="G25" s="2884"/>
      <c r="H25" s="2884"/>
      <c r="I25" s="2884"/>
      <c r="J25" s="2884"/>
      <c r="K25" s="2884"/>
      <c r="L25" s="2884"/>
      <c r="M25" s="2877">
        <f>SUM('Unit Mix'!AC8,'Unit Mix'!AD8)</f>
        <v>0</v>
      </c>
      <c r="N25" s="2877"/>
      <c r="O25" s="2877"/>
      <c r="P25" s="2877"/>
      <c r="Q25" s="871"/>
      <c r="R25" s="871"/>
      <c r="S25" s="871"/>
      <c r="T25" s="871"/>
      <c r="U25" s="871"/>
      <c r="V25" s="871"/>
      <c r="W25" s="871"/>
      <c r="X25" s="871"/>
      <c r="Y25" s="871"/>
      <c r="Z25" s="871"/>
      <c r="AA25" s="871"/>
      <c r="AB25" s="871"/>
      <c r="AC25" s="747"/>
      <c r="AD25" s="1486"/>
      <c r="AE25" s="1486"/>
      <c r="AF25" s="1486"/>
      <c r="AG25" s="1486"/>
      <c r="AH25" s="1486"/>
      <c r="AI25" s="1486"/>
      <c r="AJ25" s="1486"/>
      <c r="AK25" s="1486"/>
      <c r="AL25" s="1486"/>
      <c r="AM25" s="1486"/>
      <c r="AN25" s="1486"/>
      <c r="AO25" s="1486"/>
      <c r="AP25" s="437"/>
      <c r="AQ25" s="1058"/>
      <c r="AR25" s="438"/>
    </row>
    <row r="26" spans="1:44" ht="18" customHeight="1">
      <c r="A26" s="1486"/>
      <c r="B26" s="2873" t="s">
        <v>3086</v>
      </c>
      <c r="C26" s="2874"/>
      <c r="D26" s="2874"/>
      <c r="E26" s="2874"/>
      <c r="F26" s="2874"/>
      <c r="G26" s="2874"/>
      <c r="H26" s="2874"/>
      <c r="I26" s="2874"/>
      <c r="J26" s="2874"/>
      <c r="K26" s="2874"/>
      <c r="L26" s="2874"/>
      <c r="M26" s="2875">
        <f>SUM('Unit Mix'!$AF$8,'Unit Mix'!$AG$8)</f>
        <v>150000</v>
      </c>
      <c r="N26" s="2875"/>
      <c r="O26" s="2875"/>
      <c r="P26" s="2876"/>
      <c r="Q26" s="2879" t="str">
        <f>IF(D14&gt;M28,CONCATENATE("The total HCD funds being requested is more than Permanent Funding Gap"),"")</f>
        <v/>
      </c>
      <c r="R26" s="2880"/>
      <c r="S26" s="2880"/>
      <c r="T26" s="2880"/>
      <c r="U26" s="2880"/>
      <c r="V26" s="2880"/>
      <c r="W26" s="2880"/>
      <c r="X26" s="2880"/>
      <c r="Y26" s="2880"/>
      <c r="Z26" s="2880"/>
      <c r="AA26" s="2880"/>
      <c r="AB26" s="2880"/>
      <c r="AC26" s="2880"/>
      <c r="AD26" s="2880"/>
      <c r="AE26" s="2880"/>
      <c r="AF26" s="2880"/>
      <c r="AG26" s="2880"/>
      <c r="AH26" s="2880"/>
      <c r="AI26" s="2880"/>
      <c r="AJ26" s="2880"/>
      <c r="AK26" s="2880"/>
      <c r="AL26" s="2880"/>
      <c r="AM26" s="2880"/>
      <c r="AN26" s="1486"/>
      <c r="AO26" s="1486"/>
      <c r="AP26" s="1486"/>
      <c r="AQ26" s="1486"/>
      <c r="AR26" s="1486"/>
    </row>
    <row r="27" spans="1:44" s="863" customFormat="1" ht="18" customHeight="1">
      <c r="A27" s="1486"/>
      <c r="B27" s="2873" t="s">
        <v>3087</v>
      </c>
      <c r="C27" s="2874"/>
      <c r="D27" s="2874"/>
      <c r="E27" s="2874"/>
      <c r="F27" s="2874"/>
      <c r="G27" s="2874"/>
      <c r="H27" s="2874"/>
      <c r="I27" s="2874"/>
      <c r="J27" s="2874"/>
      <c r="K27" s="2874"/>
      <c r="L27" s="2874"/>
      <c r="M27" s="2877">
        <f>'Unit Mix'!$AE$8</f>
        <v>0</v>
      </c>
      <c r="N27" s="2877"/>
      <c r="O27" s="2877"/>
      <c r="P27" s="2878"/>
      <c r="Q27" s="2881"/>
      <c r="R27" s="2882"/>
      <c r="S27" s="2882"/>
      <c r="T27" s="2882"/>
      <c r="U27" s="2882"/>
      <c r="V27" s="2882"/>
      <c r="W27" s="2882"/>
      <c r="X27" s="2882"/>
      <c r="Y27" s="2882"/>
      <c r="Z27" s="2882"/>
      <c r="AA27" s="2882"/>
      <c r="AB27" s="2882"/>
      <c r="AC27" s="2882"/>
      <c r="AD27" s="2882"/>
      <c r="AE27" s="2882"/>
      <c r="AF27" s="2882"/>
      <c r="AG27" s="2882"/>
      <c r="AH27" s="2882"/>
      <c r="AI27" s="2882"/>
      <c r="AJ27" s="2882"/>
      <c r="AK27" s="2882"/>
      <c r="AL27" s="2882"/>
      <c r="AM27" s="2880"/>
      <c r="AN27" s="1486"/>
      <c r="AO27" s="1486"/>
      <c r="AP27" s="1486"/>
      <c r="AQ27" s="1486"/>
      <c r="AR27" s="1486"/>
    </row>
    <row r="28" spans="1:44" ht="18" customHeight="1">
      <c r="A28" s="1486"/>
      <c r="B28" s="2929" t="s">
        <v>3088</v>
      </c>
      <c r="C28" s="2929"/>
      <c r="D28" s="2929"/>
      <c r="E28" s="2929"/>
      <c r="F28" s="2929"/>
      <c r="G28" s="2929"/>
      <c r="H28" s="2929"/>
      <c r="I28" s="2929"/>
      <c r="J28" s="2929"/>
      <c r="K28" s="2929"/>
      <c r="L28" s="2929"/>
      <c r="M28" s="2875">
        <f>IF(AI29&gt;0,AI29,0)</f>
        <v>49118197</v>
      </c>
      <c r="N28" s="2875"/>
      <c r="O28" s="2875"/>
      <c r="P28" s="2875"/>
      <c r="Q28" s="2932" t="s">
        <v>3089</v>
      </c>
      <c r="R28" s="2932"/>
      <c r="S28" s="2932"/>
      <c r="T28" s="2877">
        <f>IF(SUM('Dev Budget SU'!$D$3+'Dev Budget SU'!$E$3)&gt;0,'Dev Budget SU'!$D$3+'Dev Budget SU'!$E$3,0)</f>
        <v>49118197</v>
      </c>
      <c r="U28" s="2877"/>
      <c r="V28" s="2877"/>
      <c r="W28" s="2877"/>
      <c r="X28" s="2900" t="s">
        <v>3090</v>
      </c>
      <c r="Y28" s="2900"/>
      <c r="Z28" s="2901"/>
      <c r="AA28" s="2902"/>
      <c r="AB28" s="2903"/>
      <c r="AC28" s="2904" t="s">
        <v>3090</v>
      </c>
      <c r="AD28" s="2905"/>
      <c r="AE28" s="2901"/>
      <c r="AF28" s="2902"/>
      <c r="AG28" s="2903"/>
      <c r="AH28" s="1360" t="s">
        <v>3091</v>
      </c>
      <c r="AI28" s="2935">
        <f>T28-Z28-AE28</f>
        <v>49118197</v>
      </c>
      <c r="AJ28" s="2935"/>
      <c r="AK28" s="2935"/>
      <c r="AL28" s="2936"/>
      <c r="AM28" s="869"/>
      <c r="AN28" s="749"/>
      <c r="AO28" s="1500"/>
      <c r="AP28" s="1486"/>
      <c r="AQ28" s="1486"/>
      <c r="AR28" s="1486"/>
    </row>
    <row r="29" spans="1:44" ht="18" customHeight="1">
      <c r="A29" s="1486"/>
      <c r="B29" s="2929"/>
      <c r="C29" s="2929"/>
      <c r="D29" s="2929"/>
      <c r="E29" s="2929"/>
      <c r="F29" s="2929"/>
      <c r="G29" s="2929"/>
      <c r="H29" s="2929"/>
      <c r="I29" s="2929"/>
      <c r="J29" s="2929"/>
      <c r="K29" s="2929"/>
      <c r="L29" s="2929"/>
      <c r="M29" s="2875"/>
      <c r="N29" s="2875"/>
      <c r="O29" s="2875"/>
      <c r="P29" s="2875"/>
      <c r="Q29" s="2933"/>
      <c r="R29" s="2933"/>
      <c r="S29" s="2933"/>
      <c r="T29" s="2875"/>
      <c r="U29" s="2875"/>
      <c r="V29" s="2875"/>
      <c r="W29" s="2875"/>
      <c r="X29" s="2922" t="s">
        <v>3090</v>
      </c>
      <c r="Y29" s="2922"/>
      <c r="Z29" s="2919"/>
      <c r="AA29" s="2920"/>
      <c r="AB29" s="2921"/>
      <c r="AC29" s="2912" t="s">
        <v>3090</v>
      </c>
      <c r="AD29" s="2913"/>
      <c r="AE29" s="2914"/>
      <c r="AF29" s="2915"/>
      <c r="AG29" s="2916"/>
      <c r="AH29" s="756" t="s">
        <v>3091</v>
      </c>
      <c r="AI29" s="2917">
        <f>AI28-Z29-AE29</f>
        <v>49118197</v>
      </c>
      <c r="AJ29" s="2917"/>
      <c r="AK29" s="2917"/>
      <c r="AL29" s="2918"/>
      <c r="AM29" s="1361"/>
      <c r="AN29" s="1486"/>
      <c r="AO29" s="1486"/>
      <c r="AP29" s="1486"/>
      <c r="AQ29" s="1486"/>
      <c r="AR29" s="1486"/>
    </row>
    <row r="30" spans="1:44" ht="18" customHeight="1">
      <c r="A30" s="1486"/>
      <c r="B30" s="2929" t="s">
        <v>3092</v>
      </c>
      <c r="C30" s="2929"/>
      <c r="D30" s="2929"/>
      <c r="E30" s="2929"/>
      <c r="F30" s="2929"/>
      <c r="G30" s="2929"/>
      <c r="H30" s="2929"/>
      <c r="I30" s="2929"/>
      <c r="J30" s="2929"/>
      <c r="K30" s="2929"/>
      <c r="L30" s="2929"/>
      <c r="M30" s="2930">
        <f>AL30*'Dev Budget SU'!$D$3</f>
        <v>556354.98220064724</v>
      </c>
      <c r="N30" s="2930"/>
      <c r="O30" s="2930"/>
      <c r="P30" s="2930"/>
      <c r="Q30" s="2933" t="s">
        <v>3093</v>
      </c>
      <c r="R30" s="2933"/>
      <c r="S30" s="2933"/>
      <c r="T30" s="2933"/>
      <c r="U30" s="2937">
        <f>'Project Overview'!$AK$289*'Project Overview'!$AD$289+'Project Overview'!$AK$290*'Project Overview'!$AD$290+'Project Overview'!$AK$291*'Project Overview'!$AD$291+'Project Overview'!$AK$292*'Project Overview'!$AD$292+'Project Overview'!$AK$293*'Project Overview'!$AD$293+'Project Overview'!$AK$294*'Project Overview'!$AD$294+'Project Overview'!$AK$295*'Project Overview'!$AD$295+'Project Overview'!$AK$296*'Project Overview'!$AD$296+'Project Overview'!$AK$297*'Project Overview'!$AD$297+'Project Overview'!$AK$298*'Project Overview'!$AD$298</f>
        <v>21</v>
      </c>
      <c r="V30" s="2937"/>
      <c r="W30" s="2937"/>
      <c r="X30" s="2933" t="s">
        <v>3094</v>
      </c>
      <c r="Y30" s="2933"/>
      <c r="Z30" s="2933"/>
      <c r="AA30" s="2933"/>
      <c r="AB30" s="2937">
        <f>'Project Overview'!$AH$289*'Project Overview'!$AD$289+'Project Overview'!$AH$290*'Project Overview'!$AD$290+'Project Overview'!$AH$291*'Project Overview'!$AD$291+'Project Overview'!$AH$292*'Project Overview'!$AD$292+'Project Overview'!$AH$293*'Project Overview'!$AD$293+'Project Overview'!$AH$294*'Project Overview'!$AD$294+'Project Overview'!$AH$295*'Project Overview'!$AD$295+'Project Overview'!$AH$296*'Project Overview'!$AD$296+'Project Overview'!$AH$297*'Project Overview'!$AD$297+'Project Overview'!$AH$298*'Project Overview'!$AD$298</f>
        <v>1854</v>
      </c>
      <c r="AC30" s="2937"/>
      <c r="AD30" s="2937"/>
      <c r="AE30" s="2926" t="s">
        <v>3095</v>
      </c>
      <c r="AF30" s="2927"/>
      <c r="AG30" s="2927"/>
      <c r="AH30" s="2927"/>
      <c r="AI30" s="2927"/>
      <c r="AJ30" s="2927"/>
      <c r="AK30" s="2928"/>
      <c r="AL30" s="2938">
        <f>IFERROR($U$30/$AB$30,0)</f>
        <v>1.1326860841423949E-2</v>
      </c>
      <c r="AM30" s="2939"/>
      <c r="AN30" s="1486"/>
      <c r="AO30" s="1486"/>
      <c r="AP30" s="1486"/>
      <c r="AQ30" s="1486"/>
      <c r="AR30" s="1486"/>
    </row>
    <row r="31" spans="1:44" ht="18" customHeight="1">
      <c r="A31" s="1500"/>
      <c r="B31" s="2927"/>
      <c r="C31" s="2927"/>
      <c r="D31" s="2927"/>
      <c r="E31" s="2927"/>
      <c r="F31" s="2927"/>
      <c r="G31" s="2927"/>
      <c r="H31" s="2927"/>
      <c r="I31" s="2927"/>
      <c r="J31" s="2927"/>
      <c r="K31" s="2927"/>
      <c r="L31" s="2927"/>
      <c r="M31" s="2927"/>
      <c r="N31" s="2927"/>
      <c r="O31" s="2927"/>
      <c r="P31" s="2927"/>
      <c r="Q31" s="2927"/>
      <c r="R31" s="2927"/>
      <c r="S31" s="2927"/>
      <c r="T31" s="2927"/>
      <c r="U31" s="2927"/>
      <c r="V31" s="2927"/>
      <c r="W31" s="2927"/>
      <c r="X31" s="2927"/>
      <c r="Y31" s="2927"/>
      <c r="Z31" s="2927"/>
      <c r="AA31" s="2927"/>
      <c r="AB31" s="2927"/>
      <c r="AC31" s="2927"/>
      <c r="AD31" s="2927"/>
      <c r="AE31" s="2927"/>
      <c r="AF31" s="2927"/>
      <c r="AG31" s="2927"/>
      <c r="AH31" s="2927"/>
      <c r="AI31" s="2927"/>
      <c r="AJ31" s="2927"/>
      <c r="AK31" s="2927"/>
      <c r="AL31" s="2927"/>
      <c r="AM31" s="2927"/>
      <c r="AN31" s="1500"/>
      <c r="AO31" s="1486"/>
      <c r="AP31" s="1486"/>
      <c r="AQ31" s="1486"/>
      <c r="AR31" s="1486"/>
    </row>
    <row r="32" spans="1:44" s="892" customFormat="1" ht="18" customHeight="1">
      <c r="A32" s="1500"/>
      <c r="B32" s="2923" t="s">
        <v>3096</v>
      </c>
      <c r="C32" s="2924"/>
      <c r="D32" s="2924"/>
      <c r="E32" s="2924"/>
      <c r="F32" s="2924"/>
      <c r="G32" s="2924"/>
      <c r="H32" s="2924"/>
      <c r="I32" s="2924"/>
      <c r="J32" s="2924"/>
      <c r="K32" s="2924"/>
      <c r="L32" s="2924"/>
      <c r="M32" s="2924"/>
      <c r="N32" s="2924"/>
      <c r="O32" s="2924"/>
      <c r="P32" s="2925"/>
      <c r="Q32" s="2906"/>
      <c r="R32" s="2907"/>
      <c r="S32" s="2907"/>
      <c r="T32" s="2908"/>
      <c r="U32" s="1552" t="s">
        <v>3097</v>
      </c>
      <c r="V32" s="1553"/>
      <c r="W32" s="1553"/>
      <c r="X32" s="1553"/>
      <c r="Y32" s="1553"/>
      <c r="Z32" s="1553"/>
      <c r="AA32" s="1553"/>
      <c r="AB32" s="1553"/>
      <c r="AC32" s="1553"/>
      <c r="AD32" s="1553"/>
      <c r="AE32" s="1553"/>
      <c r="AF32" s="1553"/>
      <c r="AG32" s="1553"/>
      <c r="AH32" s="1553"/>
      <c r="AI32" s="1554"/>
      <c r="AJ32" s="2934"/>
      <c r="AK32" s="2934"/>
      <c r="AL32" s="2934"/>
      <c r="AM32" s="2934"/>
      <c r="AN32" s="1500"/>
      <c r="AO32" s="1486"/>
      <c r="AP32" s="1486"/>
      <c r="AQ32" s="1486"/>
      <c r="AR32" s="1486"/>
    </row>
    <row r="33" spans="1:40" s="863" customFormat="1" ht="18" customHeight="1">
      <c r="A33" s="872"/>
      <c r="B33" s="2923" t="s">
        <v>3098</v>
      </c>
      <c r="C33" s="2924"/>
      <c r="D33" s="2924"/>
      <c r="E33" s="2924"/>
      <c r="F33" s="2924"/>
      <c r="G33" s="2924"/>
      <c r="H33" s="2924"/>
      <c r="I33" s="2924"/>
      <c r="J33" s="2924"/>
      <c r="K33" s="2924"/>
      <c r="L33" s="2924"/>
      <c r="M33" s="2924"/>
      <c r="N33" s="2924"/>
      <c r="O33" s="2924"/>
      <c r="P33" s="2925"/>
      <c r="Q33" s="2906">
        <f>IF(OR(Taxcredit="None",Taxcredit=4%),10000000,5000000)</f>
        <v>10000000</v>
      </c>
      <c r="R33" s="2907"/>
      <c r="S33" s="2907"/>
      <c r="T33" s="2908"/>
      <c r="U33" s="1552" t="s">
        <v>3099</v>
      </c>
      <c r="V33" s="1553"/>
      <c r="W33" s="1553"/>
      <c r="X33" s="1553"/>
      <c r="Y33" s="1553"/>
      <c r="Z33" s="1553"/>
      <c r="AA33" s="1553"/>
      <c r="AB33" s="1553"/>
      <c r="AC33" s="1553"/>
      <c r="AD33" s="1553"/>
      <c r="AE33" s="1553"/>
      <c r="AF33" s="1553"/>
      <c r="AG33" s="1553"/>
      <c r="AH33" s="1553"/>
      <c r="AI33" s="1554"/>
      <c r="AJ33" s="2934"/>
      <c r="AK33" s="2934"/>
      <c r="AL33" s="2934"/>
      <c r="AM33" s="2934"/>
      <c r="AN33" s="2931"/>
    </row>
    <row r="34" spans="1:40" s="863" customFormat="1" ht="18" customHeight="1">
      <c r="A34" s="872"/>
      <c r="B34" s="2923" t="s">
        <v>3100</v>
      </c>
      <c r="C34" s="2924"/>
      <c r="D34" s="2924"/>
      <c r="E34" s="2924"/>
      <c r="F34" s="2924"/>
      <c r="G34" s="2924"/>
      <c r="H34" s="2924"/>
      <c r="I34" s="2924"/>
      <c r="J34" s="2924"/>
      <c r="K34" s="2924"/>
      <c r="L34" s="2924"/>
      <c r="M34" s="2924"/>
      <c r="N34" s="2924"/>
      <c r="O34" s="2924"/>
      <c r="P34" s="2925"/>
      <c r="Q34" s="2906">
        <v>20000000</v>
      </c>
      <c r="R34" s="2907"/>
      <c r="S34" s="2907"/>
      <c r="T34" s="2908"/>
      <c r="U34" s="1552" t="s">
        <v>3101</v>
      </c>
      <c r="V34" s="1553"/>
      <c r="W34" s="1553"/>
      <c r="X34" s="1553"/>
      <c r="Y34" s="1553"/>
      <c r="Z34" s="1553"/>
      <c r="AA34" s="1553"/>
      <c r="AB34" s="1553"/>
      <c r="AC34" s="1553"/>
      <c r="AD34" s="1553"/>
      <c r="AE34" s="1553"/>
      <c r="AF34" s="1553"/>
      <c r="AG34" s="1553"/>
      <c r="AH34" s="1553"/>
      <c r="AI34" s="1554"/>
      <c r="AJ34" s="2909"/>
      <c r="AK34" s="2910"/>
      <c r="AL34" s="2910"/>
      <c r="AM34" s="2911"/>
      <c r="AN34" s="2931"/>
    </row>
    <row r="35" spans="1:40" s="863" customFormat="1" ht="18" customHeight="1">
      <c r="A35" s="872"/>
      <c r="B35" s="2923" t="s">
        <v>3102</v>
      </c>
      <c r="C35" s="2924"/>
      <c r="D35" s="2924"/>
      <c r="E35" s="2924"/>
      <c r="F35" s="2924"/>
      <c r="G35" s="2924"/>
      <c r="H35" s="2924"/>
      <c r="I35" s="2924"/>
      <c r="J35" s="2924"/>
      <c r="K35" s="2924"/>
      <c r="L35" s="2924"/>
      <c r="M35" s="2924"/>
      <c r="N35" s="2924"/>
      <c r="O35" s="2924"/>
      <c r="P35" s="2925"/>
      <c r="Q35" s="2888">
        <v>15000000</v>
      </c>
      <c r="R35" s="2888"/>
      <c r="S35" s="2888"/>
      <c r="T35" s="2888"/>
      <c r="U35" s="1552" t="s">
        <v>3103</v>
      </c>
      <c r="V35" s="1553"/>
      <c r="W35" s="1553"/>
      <c r="X35" s="1553"/>
      <c r="Y35" s="1553"/>
      <c r="Z35" s="1553"/>
      <c r="AA35" s="1553"/>
      <c r="AB35" s="1553"/>
      <c r="AC35" s="1553"/>
      <c r="AD35" s="1553"/>
      <c r="AE35" s="1553"/>
      <c r="AF35" s="1553"/>
      <c r="AG35" s="1553"/>
      <c r="AH35" s="1553"/>
      <c r="AI35" s="1554"/>
      <c r="AJ35" s="2934"/>
      <c r="AK35" s="2934"/>
      <c r="AL35" s="2934"/>
      <c r="AM35" s="2934"/>
      <c r="AN35" s="2931"/>
    </row>
  </sheetData>
  <mergeCells count="88">
    <mergeCell ref="M23:P23"/>
    <mergeCell ref="B11:Q11"/>
    <mergeCell ref="AJ33:AM33"/>
    <mergeCell ref="X30:AA30"/>
    <mergeCell ref="AB30:AD30"/>
    <mergeCell ref="B32:P32"/>
    <mergeCell ref="S11:AK11"/>
    <mergeCell ref="AL11:AM11"/>
    <mergeCell ref="Q23:Y24"/>
    <mergeCell ref="Z23:AA24"/>
    <mergeCell ref="AB23:AI24"/>
    <mergeCell ref="AJ23:AK24"/>
    <mergeCell ref="B16:AM16"/>
    <mergeCell ref="N19:Q19"/>
    <mergeCell ref="N20:Q20"/>
    <mergeCell ref="N17:Q17"/>
    <mergeCell ref="B17:L17"/>
    <mergeCell ref="B18:L18"/>
    <mergeCell ref="AN33:AN35"/>
    <mergeCell ref="Q28:S29"/>
    <mergeCell ref="T28:W29"/>
    <mergeCell ref="AJ35:AM35"/>
    <mergeCell ref="AI28:AL28"/>
    <mergeCell ref="Q30:T30"/>
    <mergeCell ref="U30:W30"/>
    <mergeCell ref="AL30:AM30"/>
    <mergeCell ref="Q32:T32"/>
    <mergeCell ref="AJ32:AM32"/>
    <mergeCell ref="B31:AM31"/>
    <mergeCell ref="B28:L29"/>
    <mergeCell ref="AE28:AG28"/>
    <mergeCell ref="M28:P29"/>
    <mergeCell ref="B33:P33"/>
    <mergeCell ref="B35:P35"/>
    <mergeCell ref="Q35:T35"/>
    <mergeCell ref="AE30:AK30"/>
    <mergeCell ref="B34:P34"/>
    <mergeCell ref="B30:L30"/>
    <mergeCell ref="M30:P30"/>
    <mergeCell ref="X28:Y28"/>
    <mergeCell ref="Z28:AB28"/>
    <mergeCell ref="AC28:AD28"/>
    <mergeCell ref="Q34:T34"/>
    <mergeCell ref="AJ34:AM34"/>
    <mergeCell ref="AC29:AD29"/>
    <mergeCell ref="AE29:AG29"/>
    <mergeCell ref="AI29:AL29"/>
    <mergeCell ref="Z29:AB29"/>
    <mergeCell ref="Q33:T33"/>
    <mergeCell ref="X29:Y29"/>
    <mergeCell ref="B13:K13"/>
    <mergeCell ref="B1:AM1"/>
    <mergeCell ref="G8:L8"/>
    <mergeCell ref="F4:AM4"/>
    <mergeCell ref="B2:AM2"/>
    <mergeCell ref="B4:E4"/>
    <mergeCell ref="B9:E9"/>
    <mergeCell ref="G9:L9"/>
    <mergeCell ref="N9:Q9"/>
    <mergeCell ref="B8:E8"/>
    <mergeCell ref="G5:S5"/>
    <mergeCell ref="B5:F5"/>
    <mergeCell ref="B6:E6"/>
    <mergeCell ref="F6:AM6"/>
    <mergeCell ref="N8:Q8"/>
    <mergeCell ref="V5:AA5"/>
    <mergeCell ref="B26:L26"/>
    <mergeCell ref="M26:P26"/>
    <mergeCell ref="W14:AA14"/>
    <mergeCell ref="B27:L27"/>
    <mergeCell ref="M27:P27"/>
    <mergeCell ref="Q26:AM27"/>
    <mergeCell ref="N18:Q18"/>
    <mergeCell ref="B25:L25"/>
    <mergeCell ref="M25:P25"/>
    <mergeCell ref="D14:I14"/>
    <mergeCell ref="B24:L24"/>
    <mergeCell ref="M24:P24"/>
    <mergeCell ref="B21:L21"/>
    <mergeCell ref="N21:Q21"/>
    <mergeCell ref="B19:L19"/>
    <mergeCell ref="B20:L20"/>
    <mergeCell ref="AC13:AG13"/>
    <mergeCell ref="AC14:AG14"/>
    <mergeCell ref="L13:U13"/>
    <mergeCell ref="N14:S14"/>
    <mergeCell ref="T5:U5"/>
    <mergeCell ref="W13:AA13"/>
  </mergeCells>
  <conditionalFormatting sqref="F4">
    <cfRule type="cellIs" dxfId="403" priority="7" operator="equal">
      <formula>0</formula>
    </cfRule>
  </conditionalFormatting>
  <conditionalFormatting sqref="AL11:AM11">
    <cfRule type="cellIs" dxfId="402" priority="1" operator="greaterThan">
      <formula>0.7501</formula>
    </cfRule>
    <cfRule type="cellIs" dxfId="401" priority="3" operator="lessThanOrEqual">
      <formula>0.75</formula>
    </cfRule>
  </conditionalFormatting>
  <pageMargins left="0.7" right="0.7" top="0.75" bottom="0.75" header="0.3" footer="0.3"/>
  <pageSetup orientation="portrait" r:id="rId1"/>
  <ignoredErrors>
    <ignoredError sqref="AP6 AP3:AP5" unlockedFormula="1"/>
  </ignoredErrors>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tabColor rgb="FF7030A0"/>
  </sheetPr>
  <dimension ref="B1:EB301"/>
  <sheetViews>
    <sheetView showGridLines="0" topLeftCell="A60" zoomScaleNormal="100" zoomScaleSheetLayoutView="100" workbookViewId="0">
      <selection activeCell="AD8" sqref="AD8:AF8"/>
    </sheetView>
  </sheetViews>
  <sheetFormatPr defaultColWidth="9.109375" defaultRowHeight="18" customHeight="1"/>
  <cols>
    <col min="1" max="1" width="4.6640625" style="41" customWidth="1"/>
    <col min="2" max="11" width="4.109375" style="41" customWidth="1"/>
    <col min="12" max="12" width="4.109375" style="42" customWidth="1"/>
    <col min="13" max="131" width="4.109375" style="41" customWidth="1"/>
    <col min="132" max="132" width="9.109375" style="60"/>
    <col min="133" max="16384" width="9.109375" style="41"/>
  </cols>
  <sheetData>
    <row r="1" spans="2:132" s="728" customFormat="1" ht="18" customHeight="1">
      <c r="B1" s="1285"/>
      <c r="C1" s="1285"/>
      <c r="D1" s="1285"/>
      <c r="E1" s="1285"/>
      <c r="F1" s="1285"/>
      <c r="G1" s="1285"/>
      <c r="H1" s="1285"/>
      <c r="I1" s="1285"/>
      <c r="J1" s="1285"/>
      <c r="K1" s="1285"/>
      <c r="L1" s="1576"/>
      <c r="M1" s="1285"/>
      <c r="N1" s="1285"/>
      <c r="O1" s="1285"/>
      <c r="P1" s="1285"/>
      <c r="Q1" s="1285"/>
      <c r="R1" s="1285"/>
      <c r="S1" s="1285"/>
      <c r="T1" s="1285"/>
      <c r="U1" s="1285"/>
      <c r="V1" s="1285"/>
      <c r="W1" s="1285"/>
      <c r="X1" s="1285"/>
      <c r="Y1" s="1285"/>
      <c r="Z1" s="1285"/>
      <c r="AA1" s="1285"/>
      <c r="AB1" s="1285"/>
      <c r="AC1" s="1285"/>
      <c r="AD1" s="1285"/>
      <c r="AE1" s="1285"/>
      <c r="AF1" s="1285"/>
      <c r="AG1" s="1285"/>
      <c r="AH1" s="1285"/>
      <c r="AI1" s="1285"/>
      <c r="AJ1" s="1285"/>
      <c r="AK1" s="1285"/>
      <c r="AL1" s="1285"/>
      <c r="AM1" s="1285"/>
      <c r="AN1" s="1285"/>
      <c r="AO1" s="1285"/>
      <c r="AP1" s="1285"/>
      <c r="AQ1" s="1285"/>
      <c r="AR1" s="1285"/>
      <c r="AS1" s="1285"/>
      <c r="AT1" s="1285"/>
      <c r="AU1" s="1285"/>
      <c r="AV1" s="1285"/>
      <c r="AW1" s="1285"/>
      <c r="AX1" s="1285"/>
      <c r="AY1" s="1285"/>
      <c r="AZ1" s="1285"/>
      <c r="BA1" s="1285"/>
      <c r="BB1" s="1285"/>
      <c r="BC1" s="1285"/>
      <c r="BD1" s="1285"/>
      <c r="BE1" s="1285"/>
      <c r="BF1" s="1285"/>
      <c r="BG1" s="1285"/>
      <c r="BH1" s="1285"/>
      <c r="BI1" s="1285"/>
      <c r="BJ1" s="1285"/>
      <c r="BK1" s="1285"/>
      <c r="BL1" s="1285"/>
      <c r="BM1" s="1285"/>
      <c r="BN1" s="1285"/>
      <c r="BO1" s="1285"/>
      <c r="BP1" s="1285"/>
      <c r="BQ1" s="1285"/>
      <c r="BR1" s="1285"/>
      <c r="BS1" s="1285"/>
      <c r="BT1" s="1285"/>
      <c r="BU1" s="1285"/>
      <c r="BV1" s="1285"/>
      <c r="BW1" s="1285"/>
      <c r="BX1" s="1285"/>
      <c r="BY1" s="1285"/>
      <c r="BZ1" s="1285"/>
      <c r="CA1" s="1285"/>
      <c r="CB1" s="1285"/>
      <c r="CC1" s="1285"/>
      <c r="CD1" s="1285"/>
      <c r="CE1" s="1285"/>
      <c r="CF1" s="1285"/>
      <c r="CG1" s="1285"/>
      <c r="CH1" s="1285"/>
      <c r="CI1" s="1285"/>
      <c r="CJ1" s="1285"/>
      <c r="CK1" s="1285"/>
      <c r="CL1" s="1285"/>
      <c r="CM1" s="1285"/>
      <c r="CN1" s="1285"/>
      <c r="CO1" s="1285"/>
      <c r="CP1" s="1285"/>
      <c r="CQ1" s="1285"/>
      <c r="CR1" s="1285"/>
      <c r="CS1" s="1285"/>
      <c r="CT1" s="1285"/>
      <c r="CU1" s="1285"/>
      <c r="CV1" s="1285"/>
      <c r="CW1" s="1285"/>
      <c r="CX1" s="1285"/>
      <c r="CY1" s="1285"/>
      <c r="CZ1" s="1285"/>
      <c r="DA1" s="1285"/>
      <c r="DB1" s="1285"/>
      <c r="DC1" s="1285"/>
      <c r="DD1" s="1285"/>
      <c r="DE1" s="1285"/>
      <c r="DF1" s="1285"/>
      <c r="DG1" s="1285"/>
      <c r="DH1" s="1285"/>
      <c r="DI1" s="1285"/>
      <c r="DJ1" s="1285"/>
      <c r="DK1" s="1285"/>
      <c r="DL1" s="1285"/>
      <c r="DM1" s="1285"/>
      <c r="DN1" s="1285"/>
      <c r="DO1" s="1285"/>
      <c r="DP1" s="1285"/>
      <c r="DQ1" s="1285"/>
      <c r="DR1" s="1285"/>
      <c r="DS1" s="1285"/>
      <c r="DT1" s="1285"/>
      <c r="DU1" s="1285"/>
      <c r="DV1" s="1285"/>
      <c r="DW1" s="1285"/>
      <c r="DX1" s="1285"/>
      <c r="DY1" s="1285"/>
      <c r="DZ1" s="1285"/>
      <c r="EA1" s="1285"/>
      <c r="EB1" s="60"/>
    </row>
    <row r="2" spans="2:132" ht="18" customHeight="1">
      <c r="B2" s="2975" t="s">
        <v>3737</v>
      </c>
      <c r="C2" s="2975"/>
      <c r="D2" s="2975"/>
      <c r="E2" s="2975"/>
      <c r="F2" s="2975"/>
      <c r="G2" s="2975"/>
      <c r="H2" s="2975"/>
      <c r="I2" s="2975"/>
      <c r="J2" s="2975"/>
      <c r="K2" s="2975"/>
      <c r="L2" s="2975"/>
      <c r="M2" s="2975"/>
      <c r="N2" s="2975"/>
      <c r="O2" s="2975"/>
      <c r="P2" s="2975"/>
      <c r="Q2" s="2975"/>
      <c r="R2" s="2975"/>
      <c r="S2" s="2975"/>
      <c r="T2" s="2975"/>
      <c r="U2" s="2975"/>
      <c r="V2" s="2975"/>
      <c r="W2" s="2975"/>
      <c r="X2" s="2975"/>
      <c r="Y2" s="2975"/>
      <c r="Z2" s="2975"/>
      <c r="AA2" s="2975"/>
      <c r="AB2" s="2975"/>
      <c r="AC2" s="2975"/>
      <c r="AD2" s="2975"/>
      <c r="AE2" s="2975"/>
      <c r="AF2" s="2975"/>
      <c r="AG2" s="2975"/>
      <c r="AH2" s="2975"/>
      <c r="AI2" s="2975"/>
      <c r="AJ2" s="2975"/>
      <c r="AK2" s="2975"/>
      <c r="AL2" s="2975"/>
      <c r="AM2" s="2975"/>
      <c r="AN2" s="2975"/>
      <c r="AO2" s="2975"/>
      <c r="AP2" s="2975"/>
      <c r="AQ2" s="2975"/>
      <c r="AR2" s="2975"/>
      <c r="AS2" s="2975"/>
      <c r="AT2" s="2975"/>
      <c r="AU2" s="2975"/>
      <c r="AV2" s="2975"/>
      <c r="AW2" s="2975"/>
      <c r="AX2" s="2975"/>
      <c r="AY2" s="2975"/>
      <c r="AZ2" s="2975"/>
      <c r="BA2" s="2975"/>
      <c r="BB2" s="2975"/>
      <c r="BC2" s="2975"/>
      <c r="BD2" s="2975"/>
      <c r="BE2" s="2975"/>
      <c r="BF2" s="2975"/>
      <c r="BG2" s="2975"/>
      <c r="BH2" s="2975"/>
      <c r="BI2" s="2975"/>
      <c r="BJ2" s="2975"/>
      <c r="BK2" s="2975"/>
      <c r="BL2" s="2975"/>
      <c r="BM2" s="2975"/>
      <c r="BN2" s="2975"/>
      <c r="BO2" s="2975"/>
      <c r="BP2" s="2975"/>
      <c r="BQ2" s="2976">
        <f>'Cover Page'!$D$41</f>
        <v>44607</v>
      </c>
      <c r="BR2" s="2976"/>
      <c r="BS2" s="2977"/>
      <c r="BT2" s="1285"/>
      <c r="BU2" s="1285"/>
      <c r="BV2" s="1285"/>
      <c r="BW2" s="1285"/>
      <c r="BX2" s="1285"/>
      <c r="BY2" s="1285"/>
      <c r="BZ2" s="1285"/>
      <c r="CA2" s="1285"/>
      <c r="CB2" s="1285"/>
      <c r="CC2" s="1285"/>
      <c r="CD2" s="1285"/>
      <c r="CE2" s="1285"/>
      <c r="CF2" s="1285"/>
      <c r="CG2" s="1285"/>
      <c r="CH2" s="1285"/>
      <c r="CI2" s="1285"/>
      <c r="CJ2" s="1285"/>
      <c r="CK2" s="1285"/>
      <c r="CL2" s="1285"/>
      <c r="CM2" s="1285"/>
      <c r="CN2" s="1285"/>
      <c r="CO2" s="1285"/>
      <c r="CP2" s="1285"/>
      <c r="CQ2" s="1285"/>
      <c r="CR2" s="1285"/>
      <c r="CS2" s="1285"/>
      <c r="CT2" s="1285"/>
      <c r="CU2" s="1285"/>
      <c r="CV2" s="1285"/>
      <c r="CW2" s="1285"/>
      <c r="CX2" s="1285"/>
      <c r="CY2" s="1285"/>
      <c r="CZ2" s="1285"/>
      <c r="DA2" s="1285"/>
      <c r="DB2" s="1285"/>
      <c r="DC2" s="1285"/>
      <c r="DD2" s="1285"/>
      <c r="DE2" s="1285"/>
      <c r="DF2" s="1285"/>
      <c r="DG2" s="1285"/>
      <c r="DH2" s="1285"/>
      <c r="DI2" s="1285"/>
      <c r="DJ2" s="1285"/>
      <c r="DK2" s="1285"/>
      <c r="DL2" s="1285"/>
      <c r="DM2" s="1285"/>
      <c r="DN2" s="1285"/>
      <c r="DO2" s="1285"/>
      <c r="DP2" s="1285"/>
      <c r="DQ2" s="1285"/>
      <c r="DR2" s="1285"/>
      <c r="DS2" s="1285"/>
      <c r="DT2" s="1285"/>
      <c r="DU2" s="1285"/>
      <c r="DV2" s="1285"/>
      <c r="DW2" s="1285"/>
      <c r="DX2" s="1285"/>
      <c r="DY2" s="1285"/>
      <c r="DZ2" s="1285"/>
      <c r="EA2" s="1285"/>
    </row>
    <row r="3" spans="2:132" s="72" customFormat="1" ht="18" customHeight="1">
      <c r="B3" s="3033" t="s">
        <v>3738</v>
      </c>
      <c r="C3" s="3033"/>
      <c r="D3" s="3033"/>
      <c r="E3" s="3033"/>
      <c r="F3" s="3033"/>
      <c r="G3" s="3033"/>
      <c r="H3" s="3033"/>
      <c r="I3" s="3033"/>
      <c r="J3" s="3033"/>
      <c r="K3" s="3033"/>
      <c r="L3" s="3034"/>
      <c r="M3" s="3034"/>
      <c r="N3" s="3034"/>
      <c r="O3" s="3034"/>
      <c r="P3" s="3034"/>
      <c r="Q3" s="3034"/>
      <c r="R3" s="3034"/>
      <c r="S3" s="3034"/>
      <c r="T3" s="3032" t="s">
        <v>3739</v>
      </c>
      <c r="U3" s="3032"/>
      <c r="V3" s="3032"/>
      <c r="W3" s="3032"/>
      <c r="X3" s="3032"/>
      <c r="Y3" s="809">
        <f>IF($T$3&lt;&gt;"Proposed Rents",1,0)</f>
        <v>1</v>
      </c>
      <c r="Z3" s="810"/>
      <c r="AA3" s="811"/>
      <c r="AB3" s="812"/>
      <c r="AC3" s="71"/>
      <c r="AE3" s="73"/>
      <c r="AF3" s="74"/>
      <c r="AG3" s="75"/>
      <c r="AH3" s="75"/>
      <c r="AI3" s="75"/>
      <c r="AJ3" s="75"/>
      <c r="AK3" s="76"/>
      <c r="AL3" s="75"/>
      <c r="AM3" s="75"/>
      <c r="AN3" s="75"/>
      <c r="AO3" s="76"/>
      <c r="AP3" s="75"/>
      <c r="AQ3" s="75"/>
      <c r="AR3" s="75"/>
      <c r="AS3" s="75"/>
      <c r="AT3" s="75"/>
      <c r="AU3" s="76"/>
      <c r="AV3" s="75"/>
      <c r="AW3" s="75"/>
      <c r="AX3" s="75"/>
      <c r="AY3" s="75"/>
      <c r="AZ3" s="75"/>
      <c r="BA3" s="75"/>
      <c r="BB3" s="75"/>
      <c r="BC3" s="75"/>
      <c r="BD3" s="75"/>
      <c r="BE3" s="75"/>
      <c r="BF3" s="75"/>
      <c r="BG3" s="75"/>
      <c r="BH3" s="75"/>
      <c r="BI3" s="75"/>
      <c r="BJ3" s="75"/>
      <c r="BK3" s="75"/>
      <c r="BL3" s="75"/>
      <c r="BM3" s="75"/>
      <c r="BN3" s="75"/>
      <c r="BO3" s="75"/>
      <c r="BP3" s="75"/>
      <c r="BQ3" s="75"/>
      <c r="BR3" s="75"/>
      <c r="BS3" s="75"/>
      <c r="BT3" s="75"/>
      <c r="BU3" s="75"/>
      <c r="BV3" s="75"/>
      <c r="BW3" s="75"/>
      <c r="BX3" s="75"/>
      <c r="BY3" s="75"/>
      <c r="BZ3" s="75"/>
      <c r="CA3" s="75"/>
      <c r="CB3" s="75"/>
      <c r="CC3" s="75"/>
      <c r="CD3" s="75"/>
      <c r="CE3" s="75"/>
      <c r="CF3" s="75"/>
      <c r="CG3" s="75"/>
      <c r="CH3" s="75"/>
      <c r="CI3" s="75"/>
      <c r="CJ3" s="75"/>
      <c r="CK3" s="75"/>
      <c r="CL3" s="75"/>
      <c r="CM3" s="75"/>
      <c r="CN3" s="75"/>
      <c r="CO3" s="75"/>
      <c r="CP3" s="75"/>
      <c r="CQ3" s="75"/>
      <c r="CR3" s="75"/>
      <c r="CS3" s="75"/>
      <c r="CT3" s="75"/>
      <c r="CU3" s="75"/>
      <c r="CV3" s="75"/>
      <c r="CW3" s="75"/>
      <c r="CX3" s="75"/>
      <c r="CY3" s="75"/>
      <c r="CZ3" s="75"/>
      <c r="DA3" s="75"/>
      <c r="DB3" s="75"/>
      <c r="DC3" s="75"/>
      <c r="DD3" s="75"/>
      <c r="DE3" s="75"/>
      <c r="DF3" s="75"/>
      <c r="DG3" s="75"/>
      <c r="DH3" s="75"/>
      <c r="DI3" s="75"/>
      <c r="DJ3" s="75"/>
      <c r="DK3" s="75"/>
      <c r="DL3" s="75"/>
      <c r="DM3" s="75"/>
      <c r="DN3" s="75"/>
      <c r="DO3" s="75"/>
      <c r="DP3" s="75"/>
      <c r="DQ3" s="75"/>
      <c r="DR3" s="75"/>
      <c r="DS3" s="75"/>
      <c r="DT3" s="75"/>
      <c r="DU3" s="75"/>
      <c r="DV3" s="75"/>
      <c r="DW3" s="75"/>
      <c r="DX3" s="75"/>
      <c r="DY3" s="75"/>
      <c r="DZ3" s="75"/>
      <c r="EA3" s="75"/>
      <c r="EB3" s="164"/>
    </row>
    <row r="4" spans="2:132" s="77" customFormat="1" ht="18" customHeight="1">
      <c r="B4" s="3010" t="s">
        <v>3740</v>
      </c>
      <c r="C4" s="3010"/>
      <c r="D4" s="3010"/>
      <c r="E4" s="3010"/>
      <c r="F4" s="3010"/>
      <c r="G4" s="3010"/>
      <c r="H4" s="3010"/>
      <c r="I4" s="3010"/>
      <c r="J4" s="3012" t="s">
        <v>3741</v>
      </c>
      <c r="K4" s="3012"/>
      <c r="L4" s="3011" t="s">
        <v>3742</v>
      </c>
      <c r="M4" s="2984"/>
      <c r="N4" s="2984"/>
      <c r="O4" s="2984" t="s">
        <v>3743</v>
      </c>
      <c r="P4" s="2984"/>
      <c r="Q4" s="2984"/>
      <c r="R4" s="2984" t="s">
        <v>3744</v>
      </c>
      <c r="S4" s="2984"/>
      <c r="T4" s="2984"/>
      <c r="U4" s="2984" t="s">
        <v>3745</v>
      </c>
      <c r="V4" s="2984"/>
      <c r="W4" s="2984"/>
      <c r="X4" s="2984" t="s">
        <v>3746</v>
      </c>
      <c r="Y4" s="2984"/>
      <c r="Z4" s="2984"/>
      <c r="AA4" s="2984" t="s">
        <v>3747</v>
      </c>
      <c r="AB4" s="2984"/>
      <c r="AC4" s="2984"/>
      <c r="AD4" s="2984" t="s">
        <v>3748</v>
      </c>
      <c r="AE4" s="2984"/>
      <c r="AF4" s="2984"/>
      <c r="AG4" s="2984" t="s">
        <v>3749</v>
      </c>
      <c r="AH4" s="2984"/>
      <c r="AI4" s="2984"/>
      <c r="AJ4" s="2984" t="s">
        <v>3750</v>
      </c>
      <c r="AK4" s="2984"/>
      <c r="AL4" s="2984"/>
      <c r="AM4" s="2984" t="s">
        <v>3751</v>
      </c>
      <c r="AN4" s="2984"/>
      <c r="AO4" s="2984"/>
      <c r="AP4" s="2984" t="s">
        <v>3752</v>
      </c>
      <c r="AQ4" s="2984"/>
      <c r="AR4" s="2984"/>
      <c r="AS4" s="2984" t="s">
        <v>3753</v>
      </c>
      <c r="AT4" s="2984"/>
      <c r="AU4" s="2984"/>
      <c r="AV4" s="2984" t="s">
        <v>3754</v>
      </c>
      <c r="AW4" s="2984"/>
      <c r="AX4" s="2984"/>
      <c r="AY4" s="2984" t="s">
        <v>3755</v>
      </c>
      <c r="AZ4" s="2984"/>
      <c r="BA4" s="2984"/>
      <c r="BB4" s="2984" t="s">
        <v>3756</v>
      </c>
      <c r="BC4" s="2984"/>
      <c r="BD4" s="2984"/>
      <c r="BE4" s="2984" t="s">
        <v>3757</v>
      </c>
      <c r="BF4" s="2984"/>
      <c r="BG4" s="2984"/>
      <c r="BH4" s="2984" t="s">
        <v>3758</v>
      </c>
      <c r="BI4" s="2984"/>
      <c r="BJ4" s="2984"/>
      <c r="BK4" s="2984" t="s">
        <v>3759</v>
      </c>
      <c r="BL4" s="2984"/>
      <c r="BM4" s="2984"/>
      <c r="BN4" s="2984" t="s">
        <v>3760</v>
      </c>
      <c r="BO4" s="2984"/>
      <c r="BP4" s="2984"/>
      <c r="BQ4" s="2984" t="s">
        <v>3761</v>
      </c>
      <c r="BR4" s="2984"/>
      <c r="BS4" s="2984"/>
      <c r="BT4" s="2984" t="s">
        <v>3762</v>
      </c>
      <c r="BU4" s="2984"/>
      <c r="BV4" s="2984"/>
      <c r="BW4" s="2984" t="s">
        <v>3763</v>
      </c>
      <c r="BX4" s="2984"/>
      <c r="BY4" s="2984"/>
      <c r="BZ4" s="2984" t="s">
        <v>3764</v>
      </c>
      <c r="CA4" s="2984"/>
      <c r="CB4" s="2984"/>
      <c r="CC4" s="2984" t="s">
        <v>3765</v>
      </c>
      <c r="CD4" s="2984"/>
      <c r="CE4" s="2984"/>
      <c r="CF4" s="2984" t="s">
        <v>3766</v>
      </c>
      <c r="CG4" s="2984"/>
      <c r="CH4" s="2984"/>
      <c r="CI4" s="2984" t="s">
        <v>3767</v>
      </c>
      <c r="CJ4" s="2984"/>
      <c r="CK4" s="2984"/>
      <c r="CL4" s="2984" t="s">
        <v>3768</v>
      </c>
      <c r="CM4" s="2984"/>
      <c r="CN4" s="2984"/>
      <c r="CO4" s="2984" t="s">
        <v>3769</v>
      </c>
      <c r="CP4" s="2984"/>
      <c r="CQ4" s="2984"/>
      <c r="CR4" s="2984" t="s">
        <v>3770</v>
      </c>
      <c r="CS4" s="2984"/>
      <c r="CT4" s="2984"/>
      <c r="CU4" s="2984" t="s">
        <v>3771</v>
      </c>
      <c r="CV4" s="2984"/>
      <c r="CW4" s="2984"/>
      <c r="CX4" s="2984" t="s">
        <v>3772</v>
      </c>
      <c r="CY4" s="2984"/>
      <c r="CZ4" s="2984"/>
      <c r="DA4" s="2984" t="s">
        <v>3773</v>
      </c>
      <c r="DB4" s="2984"/>
      <c r="DC4" s="2984"/>
      <c r="DD4" s="2984" t="s">
        <v>3774</v>
      </c>
      <c r="DE4" s="2984"/>
      <c r="DF4" s="2984"/>
      <c r="DG4" s="2984" t="s">
        <v>3775</v>
      </c>
      <c r="DH4" s="2984"/>
      <c r="DI4" s="2984"/>
      <c r="DJ4" s="2984" t="s">
        <v>3776</v>
      </c>
      <c r="DK4" s="2984"/>
      <c r="DL4" s="2984"/>
      <c r="DM4" s="2984" t="s">
        <v>3777</v>
      </c>
      <c r="DN4" s="2984"/>
      <c r="DO4" s="2984"/>
      <c r="DP4" s="2984" t="s">
        <v>3778</v>
      </c>
      <c r="DQ4" s="2984"/>
      <c r="DR4" s="2984"/>
      <c r="DS4" s="2984" t="s">
        <v>3779</v>
      </c>
      <c r="DT4" s="2984"/>
      <c r="DU4" s="2984"/>
      <c r="DV4" s="2984" t="s">
        <v>3780</v>
      </c>
      <c r="DW4" s="2984"/>
      <c r="DX4" s="2984"/>
      <c r="DY4" s="2984" t="s">
        <v>3781</v>
      </c>
      <c r="DZ4" s="2984"/>
      <c r="EA4" s="3019"/>
    </row>
    <row r="5" spans="2:132" ht="18" customHeight="1">
      <c r="B5" s="3015" t="s">
        <v>3782</v>
      </c>
      <c r="C5" s="3016"/>
      <c r="D5" s="3016"/>
      <c r="E5" s="3016"/>
      <c r="F5" s="3016"/>
      <c r="G5" s="3016"/>
      <c r="H5" s="3016"/>
      <c r="I5" s="3016"/>
      <c r="J5" s="3013">
        <v>2.5000000000000001E-2</v>
      </c>
      <c r="K5" s="3014"/>
      <c r="L5" s="2985">
        <f>IF($Y$3=1,'Unit Mix'!AO8*12,'Unit Mix'!AN8*12)</f>
        <v>0</v>
      </c>
      <c r="M5" s="2985"/>
      <c r="N5" s="2985"/>
      <c r="O5" s="2985">
        <f>L5*(1+$J$5)</f>
        <v>0</v>
      </c>
      <c r="P5" s="2985"/>
      <c r="Q5" s="2985"/>
      <c r="R5" s="2985">
        <f>O5*(1+$J$5)</f>
        <v>0</v>
      </c>
      <c r="S5" s="2985"/>
      <c r="T5" s="2985"/>
      <c r="U5" s="2985">
        <f>R5*(1+$J$5)</f>
        <v>0</v>
      </c>
      <c r="V5" s="2985"/>
      <c r="W5" s="2985"/>
      <c r="X5" s="2985">
        <f>U5*(1+$J$5)</f>
        <v>0</v>
      </c>
      <c r="Y5" s="2985"/>
      <c r="Z5" s="2985"/>
      <c r="AA5" s="2985">
        <f>X5*(1+$J$5)</f>
        <v>0</v>
      </c>
      <c r="AB5" s="2985"/>
      <c r="AC5" s="2985"/>
      <c r="AD5" s="2985">
        <f>AA5*(1+$J$5)</f>
        <v>0</v>
      </c>
      <c r="AE5" s="2985"/>
      <c r="AF5" s="2985"/>
      <c r="AG5" s="2985">
        <f>AD5*(1+$J$5)</f>
        <v>0</v>
      </c>
      <c r="AH5" s="2985"/>
      <c r="AI5" s="2985"/>
      <c r="AJ5" s="2985">
        <f>AG5*(1+$J$5)</f>
        <v>0</v>
      </c>
      <c r="AK5" s="2985"/>
      <c r="AL5" s="2985"/>
      <c r="AM5" s="2985">
        <f>AJ5*(1+$J$5)</f>
        <v>0</v>
      </c>
      <c r="AN5" s="2985"/>
      <c r="AO5" s="2985"/>
      <c r="AP5" s="2985">
        <f>AM5*(1+$J$5)</f>
        <v>0</v>
      </c>
      <c r="AQ5" s="2985"/>
      <c r="AR5" s="2985"/>
      <c r="AS5" s="2985">
        <f>AP5*(1+$J$5)</f>
        <v>0</v>
      </c>
      <c r="AT5" s="2985"/>
      <c r="AU5" s="2985"/>
      <c r="AV5" s="2985">
        <f>AS5*(1+$J$5)</f>
        <v>0</v>
      </c>
      <c r="AW5" s="2985"/>
      <c r="AX5" s="2985"/>
      <c r="AY5" s="2985">
        <f>AV5*(1+$J$5)</f>
        <v>0</v>
      </c>
      <c r="AZ5" s="2985"/>
      <c r="BA5" s="2985"/>
      <c r="BB5" s="2985">
        <f>AY5*(1+$J$5)</f>
        <v>0</v>
      </c>
      <c r="BC5" s="2985"/>
      <c r="BD5" s="2985"/>
      <c r="BE5" s="2985">
        <f>BB5*(1+$J$5)</f>
        <v>0</v>
      </c>
      <c r="BF5" s="2985"/>
      <c r="BG5" s="2985"/>
      <c r="BH5" s="2985">
        <f>BE5*(1+$J$5)</f>
        <v>0</v>
      </c>
      <c r="BI5" s="2985"/>
      <c r="BJ5" s="2985"/>
      <c r="BK5" s="2985">
        <f>BH5*(1+$J$5)</f>
        <v>0</v>
      </c>
      <c r="BL5" s="2985"/>
      <c r="BM5" s="2985"/>
      <c r="BN5" s="2985">
        <f>BK5*(1+$J$5)</f>
        <v>0</v>
      </c>
      <c r="BO5" s="2985"/>
      <c r="BP5" s="2985"/>
      <c r="BQ5" s="2985">
        <f>BN5*(1+$J$5)</f>
        <v>0</v>
      </c>
      <c r="BR5" s="2985"/>
      <c r="BS5" s="2985"/>
      <c r="BT5" s="2985">
        <f>BQ5*(1+$J$5)</f>
        <v>0</v>
      </c>
      <c r="BU5" s="2985"/>
      <c r="BV5" s="2985"/>
      <c r="BW5" s="2985">
        <f>BT5*(1+$J$5)</f>
        <v>0</v>
      </c>
      <c r="BX5" s="2985"/>
      <c r="BY5" s="2985"/>
      <c r="BZ5" s="2985">
        <f>BW5*(1+$J$5)</f>
        <v>0</v>
      </c>
      <c r="CA5" s="2985"/>
      <c r="CB5" s="2985"/>
      <c r="CC5" s="2985">
        <f>BZ5*(1+$J$5)</f>
        <v>0</v>
      </c>
      <c r="CD5" s="2985"/>
      <c r="CE5" s="2985"/>
      <c r="CF5" s="2985">
        <f>CC5*(1+$J$5)</f>
        <v>0</v>
      </c>
      <c r="CG5" s="2985"/>
      <c r="CH5" s="2985"/>
      <c r="CI5" s="2985">
        <f>CF5*(1+$J$5)</f>
        <v>0</v>
      </c>
      <c r="CJ5" s="2985"/>
      <c r="CK5" s="2985"/>
      <c r="CL5" s="2985">
        <f>CI5*(1+$J$5)</f>
        <v>0</v>
      </c>
      <c r="CM5" s="2985"/>
      <c r="CN5" s="2985"/>
      <c r="CO5" s="2985">
        <f>CL5*(1+$J$5)</f>
        <v>0</v>
      </c>
      <c r="CP5" s="2985"/>
      <c r="CQ5" s="2985"/>
      <c r="CR5" s="2985">
        <f>CO5*(1+$J$5)</f>
        <v>0</v>
      </c>
      <c r="CS5" s="2985"/>
      <c r="CT5" s="2985"/>
      <c r="CU5" s="2985">
        <f>CR5*(1+$J$5)</f>
        <v>0</v>
      </c>
      <c r="CV5" s="2985"/>
      <c r="CW5" s="2985"/>
      <c r="CX5" s="2985">
        <f>CU5*(1+$J$5)</f>
        <v>0</v>
      </c>
      <c r="CY5" s="2985"/>
      <c r="CZ5" s="2985"/>
      <c r="DA5" s="2985">
        <f>CX5*(1+$J$5)</f>
        <v>0</v>
      </c>
      <c r="DB5" s="2985"/>
      <c r="DC5" s="2985"/>
      <c r="DD5" s="2985">
        <f>DA5*(1+$J$5)</f>
        <v>0</v>
      </c>
      <c r="DE5" s="2985"/>
      <c r="DF5" s="2985"/>
      <c r="DG5" s="2985">
        <f>DD5*(1+$J$5)</f>
        <v>0</v>
      </c>
      <c r="DH5" s="2985"/>
      <c r="DI5" s="2985"/>
      <c r="DJ5" s="2985">
        <f>DG5*(1+$J$5)</f>
        <v>0</v>
      </c>
      <c r="DK5" s="2985"/>
      <c r="DL5" s="2985"/>
      <c r="DM5" s="2985">
        <f>DJ5*(1+$J$5)</f>
        <v>0</v>
      </c>
      <c r="DN5" s="2985"/>
      <c r="DO5" s="2985"/>
      <c r="DP5" s="2985">
        <f>DM5*(1+$J$5)</f>
        <v>0</v>
      </c>
      <c r="DQ5" s="2985"/>
      <c r="DR5" s="2985"/>
      <c r="DS5" s="2985">
        <f>DP5*(1+$J$5)</f>
        <v>0</v>
      </c>
      <c r="DT5" s="2985"/>
      <c r="DU5" s="2985"/>
      <c r="DV5" s="2985">
        <f>DS5*(1+$J$5)</f>
        <v>0</v>
      </c>
      <c r="DW5" s="2985"/>
      <c r="DX5" s="2985"/>
      <c r="DY5" s="2985">
        <f>DV5*(1+$J$5)</f>
        <v>0</v>
      </c>
      <c r="DZ5" s="2985"/>
      <c r="EA5" s="3020"/>
    </row>
    <row r="6" spans="2:132" ht="18" customHeight="1">
      <c r="B6" s="2996" t="s">
        <v>3783</v>
      </c>
      <c r="C6" s="2997"/>
      <c r="D6" s="2997"/>
      <c r="E6" s="2997"/>
      <c r="F6" s="2997"/>
      <c r="G6" s="2997"/>
      <c r="H6" s="2997"/>
      <c r="I6" s="2997"/>
      <c r="J6" s="2964">
        <v>2.5000000000000001E-2</v>
      </c>
      <c r="K6" s="2965"/>
      <c r="L6" s="2949">
        <f>SUM('Unit Mix'!$AL$91:$AM$102)*12</f>
        <v>0</v>
      </c>
      <c r="M6" s="2949"/>
      <c r="N6" s="2949"/>
      <c r="O6" s="2979">
        <f>L6*(1+$J$6)</f>
        <v>0</v>
      </c>
      <c r="P6" s="2979"/>
      <c r="Q6" s="2979"/>
      <c r="R6" s="2979">
        <f>O6*(1+$J$6)</f>
        <v>0</v>
      </c>
      <c r="S6" s="2979"/>
      <c r="T6" s="2979"/>
      <c r="U6" s="2979">
        <f>R6*(1+$J$6)</f>
        <v>0</v>
      </c>
      <c r="V6" s="2979"/>
      <c r="W6" s="2979"/>
      <c r="X6" s="2979">
        <f>U6*(1+$J$6)</f>
        <v>0</v>
      </c>
      <c r="Y6" s="2979"/>
      <c r="Z6" s="2979"/>
      <c r="AA6" s="2979">
        <f>X6*(1+$J$6)</f>
        <v>0</v>
      </c>
      <c r="AB6" s="2979"/>
      <c r="AC6" s="2979"/>
      <c r="AD6" s="2979">
        <f>AA6*(1+$J$6)</f>
        <v>0</v>
      </c>
      <c r="AE6" s="2979"/>
      <c r="AF6" s="2979"/>
      <c r="AG6" s="2979">
        <f>AD6*(1+$J$6)</f>
        <v>0</v>
      </c>
      <c r="AH6" s="2979"/>
      <c r="AI6" s="2979"/>
      <c r="AJ6" s="2979">
        <f>AG6*(1+$J$6)</f>
        <v>0</v>
      </c>
      <c r="AK6" s="2979"/>
      <c r="AL6" s="2979"/>
      <c r="AM6" s="2979">
        <f>AJ6*(1+$J$6)</f>
        <v>0</v>
      </c>
      <c r="AN6" s="2979"/>
      <c r="AO6" s="2979"/>
      <c r="AP6" s="2979">
        <f>AM6*(1+$J$6)</f>
        <v>0</v>
      </c>
      <c r="AQ6" s="2979"/>
      <c r="AR6" s="2979"/>
      <c r="AS6" s="2979">
        <f>AP6*(1+$J$6)</f>
        <v>0</v>
      </c>
      <c r="AT6" s="2979"/>
      <c r="AU6" s="2979"/>
      <c r="AV6" s="2979">
        <f>AS6*(1+$J$6)</f>
        <v>0</v>
      </c>
      <c r="AW6" s="2979"/>
      <c r="AX6" s="2979"/>
      <c r="AY6" s="2979">
        <f>AV6*(1+$J$6)</f>
        <v>0</v>
      </c>
      <c r="AZ6" s="2979"/>
      <c r="BA6" s="2979"/>
      <c r="BB6" s="2979">
        <f>AY6*(1+$J$6)</f>
        <v>0</v>
      </c>
      <c r="BC6" s="2979"/>
      <c r="BD6" s="2979"/>
      <c r="BE6" s="2979">
        <f>BB6*(1+$J$6)</f>
        <v>0</v>
      </c>
      <c r="BF6" s="2979"/>
      <c r="BG6" s="2979"/>
      <c r="BH6" s="2979">
        <f>BE6*(1+$J$6)</f>
        <v>0</v>
      </c>
      <c r="BI6" s="2979"/>
      <c r="BJ6" s="2979"/>
      <c r="BK6" s="2979">
        <f>BH6*(1+$J$6)</f>
        <v>0</v>
      </c>
      <c r="BL6" s="2979"/>
      <c r="BM6" s="2979"/>
      <c r="BN6" s="2979">
        <f>BK6*(1+$J$6)</f>
        <v>0</v>
      </c>
      <c r="BO6" s="2979"/>
      <c r="BP6" s="2979"/>
      <c r="BQ6" s="2979">
        <f>BN6*(1+$J$6)</f>
        <v>0</v>
      </c>
      <c r="BR6" s="2979"/>
      <c r="BS6" s="2979"/>
      <c r="BT6" s="2979">
        <f>BQ6*(1+$J$6)</f>
        <v>0</v>
      </c>
      <c r="BU6" s="2979"/>
      <c r="BV6" s="2979"/>
      <c r="BW6" s="2979">
        <f>BT6*(1+$J$6)</f>
        <v>0</v>
      </c>
      <c r="BX6" s="2979"/>
      <c r="BY6" s="2979"/>
      <c r="BZ6" s="2979">
        <f>BW6*(1+$J$6)</f>
        <v>0</v>
      </c>
      <c r="CA6" s="2979"/>
      <c r="CB6" s="2979"/>
      <c r="CC6" s="2979">
        <f>BZ6*(1+$J$6)</f>
        <v>0</v>
      </c>
      <c r="CD6" s="2979"/>
      <c r="CE6" s="2979"/>
      <c r="CF6" s="2979">
        <f>CC6*(1+$J$6)</f>
        <v>0</v>
      </c>
      <c r="CG6" s="2979"/>
      <c r="CH6" s="2979"/>
      <c r="CI6" s="2979">
        <f>CF6*(1+$J$6)</f>
        <v>0</v>
      </c>
      <c r="CJ6" s="2979"/>
      <c r="CK6" s="2979"/>
      <c r="CL6" s="2979">
        <f>CI6*(1+$J$6)</f>
        <v>0</v>
      </c>
      <c r="CM6" s="2979"/>
      <c r="CN6" s="2979"/>
      <c r="CO6" s="2979">
        <f>CL6*(1+$J$6)</f>
        <v>0</v>
      </c>
      <c r="CP6" s="2979"/>
      <c r="CQ6" s="2979"/>
      <c r="CR6" s="2979">
        <f>CO6*(1+$J$6)</f>
        <v>0</v>
      </c>
      <c r="CS6" s="2979"/>
      <c r="CT6" s="2979"/>
      <c r="CU6" s="2979">
        <f>CR6*(1+$J$6)</f>
        <v>0</v>
      </c>
      <c r="CV6" s="2979"/>
      <c r="CW6" s="2979"/>
      <c r="CX6" s="2979">
        <f>CU6*(1+$J$6)</f>
        <v>0</v>
      </c>
      <c r="CY6" s="2979"/>
      <c r="CZ6" s="2979"/>
      <c r="DA6" s="2979">
        <f>CX6*(1+$J$6)</f>
        <v>0</v>
      </c>
      <c r="DB6" s="2979"/>
      <c r="DC6" s="2979"/>
      <c r="DD6" s="2979">
        <f>DA6*(1+$J$6)</f>
        <v>0</v>
      </c>
      <c r="DE6" s="2979"/>
      <c r="DF6" s="2979"/>
      <c r="DG6" s="2979">
        <f>DD6*(1+$J$6)</f>
        <v>0</v>
      </c>
      <c r="DH6" s="2979"/>
      <c r="DI6" s="2979"/>
      <c r="DJ6" s="2979">
        <f>DG6*(1+$J$6)</f>
        <v>0</v>
      </c>
      <c r="DK6" s="2979"/>
      <c r="DL6" s="2979"/>
      <c r="DM6" s="2979">
        <f>DJ6*(1+$J$6)</f>
        <v>0</v>
      </c>
      <c r="DN6" s="2979"/>
      <c r="DO6" s="2979"/>
      <c r="DP6" s="2979">
        <f>DM6*(1+$J$6)</f>
        <v>0</v>
      </c>
      <c r="DQ6" s="2979"/>
      <c r="DR6" s="2979"/>
      <c r="DS6" s="2979">
        <f>DP6*(1+$J$6)</f>
        <v>0</v>
      </c>
      <c r="DT6" s="2979"/>
      <c r="DU6" s="2979"/>
      <c r="DV6" s="2979">
        <f>DS6*(1+$J$6)</f>
        <v>0</v>
      </c>
      <c r="DW6" s="2979"/>
      <c r="DX6" s="2979"/>
      <c r="DY6" s="2979">
        <f>DV6*(1+$J$6)</f>
        <v>0</v>
      </c>
      <c r="DZ6" s="2979"/>
      <c r="EA6" s="3021"/>
    </row>
    <row r="7" spans="2:132" ht="18" customHeight="1">
      <c r="B7" s="3017" t="s">
        <v>3638</v>
      </c>
      <c r="C7" s="3018"/>
      <c r="D7" s="3018"/>
      <c r="E7" s="3018"/>
      <c r="F7" s="3018"/>
      <c r="G7" s="3018"/>
      <c r="H7" s="3018"/>
      <c r="I7" s="3018"/>
      <c r="J7" s="2964"/>
      <c r="K7" s="2965"/>
      <c r="L7" s="2959"/>
      <c r="M7" s="2959"/>
      <c r="N7" s="2959"/>
      <c r="O7" s="2959"/>
      <c r="P7" s="2959"/>
      <c r="Q7" s="2959"/>
      <c r="R7" s="2959"/>
      <c r="S7" s="2959"/>
      <c r="T7" s="2959"/>
      <c r="U7" s="2959"/>
      <c r="V7" s="2959"/>
      <c r="W7" s="2959"/>
      <c r="X7" s="2959"/>
      <c r="Y7" s="2959"/>
      <c r="Z7" s="2959"/>
      <c r="AA7" s="2959"/>
      <c r="AB7" s="2959"/>
      <c r="AC7" s="2959"/>
      <c r="AD7" s="2959"/>
      <c r="AE7" s="2959"/>
      <c r="AF7" s="2959"/>
      <c r="AG7" s="2959"/>
      <c r="AH7" s="2959"/>
      <c r="AI7" s="2959"/>
      <c r="AJ7" s="2959"/>
      <c r="AK7" s="2959"/>
      <c r="AL7" s="2959"/>
      <c r="AM7" s="2959"/>
      <c r="AN7" s="2959"/>
      <c r="AO7" s="2959"/>
      <c r="AP7" s="2959"/>
      <c r="AQ7" s="2959"/>
      <c r="AR7" s="2959"/>
      <c r="AS7" s="2959"/>
      <c r="AT7" s="2959"/>
      <c r="AU7" s="2959"/>
      <c r="AV7" s="2959"/>
      <c r="AW7" s="2959"/>
      <c r="AX7" s="2959"/>
      <c r="AY7" s="2959"/>
      <c r="AZ7" s="2959"/>
      <c r="BA7" s="2959"/>
      <c r="BB7" s="2959"/>
      <c r="BC7" s="2959"/>
      <c r="BD7" s="2959"/>
      <c r="BE7" s="2959"/>
      <c r="BF7" s="2959"/>
      <c r="BG7" s="2959"/>
      <c r="BH7" s="2959"/>
      <c r="BI7" s="2959"/>
      <c r="BJ7" s="2959"/>
      <c r="BK7" s="2959"/>
      <c r="BL7" s="2959"/>
      <c r="BM7" s="2959"/>
      <c r="BN7" s="2959"/>
      <c r="BO7" s="2959"/>
      <c r="BP7" s="2959"/>
      <c r="BQ7" s="2959"/>
      <c r="BR7" s="2959"/>
      <c r="BS7" s="2959"/>
      <c r="BT7" s="2959"/>
      <c r="BU7" s="2959"/>
      <c r="BV7" s="2959"/>
      <c r="BW7" s="2959"/>
      <c r="BX7" s="2959"/>
      <c r="BY7" s="2959"/>
      <c r="BZ7" s="2959"/>
      <c r="CA7" s="2959"/>
      <c r="CB7" s="2959"/>
      <c r="CC7" s="2959"/>
      <c r="CD7" s="2959"/>
      <c r="CE7" s="2959"/>
      <c r="CF7" s="2959"/>
      <c r="CG7" s="2959"/>
      <c r="CH7" s="2959"/>
      <c r="CI7" s="2959"/>
      <c r="CJ7" s="2959"/>
      <c r="CK7" s="2959"/>
      <c r="CL7" s="2959"/>
      <c r="CM7" s="2959"/>
      <c r="CN7" s="2959"/>
      <c r="CO7" s="2959"/>
      <c r="CP7" s="2959"/>
      <c r="CQ7" s="2959"/>
      <c r="CR7" s="2959"/>
      <c r="CS7" s="2959"/>
      <c r="CT7" s="2959"/>
      <c r="CU7" s="2959"/>
      <c r="CV7" s="2959"/>
      <c r="CW7" s="2959"/>
      <c r="CX7" s="2959"/>
      <c r="CY7" s="2959"/>
      <c r="CZ7" s="2959"/>
      <c r="DA7" s="2959"/>
      <c r="DB7" s="2959"/>
      <c r="DC7" s="2959"/>
      <c r="DD7" s="2959"/>
      <c r="DE7" s="2959"/>
      <c r="DF7" s="2959"/>
      <c r="DG7" s="2959"/>
      <c r="DH7" s="2959"/>
      <c r="DI7" s="2959"/>
      <c r="DJ7" s="2959"/>
      <c r="DK7" s="2959"/>
      <c r="DL7" s="2959"/>
      <c r="DM7" s="2959"/>
      <c r="DN7" s="2959"/>
      <c r="DO7" s="2959"/>
      <c r="DP7" s="2959"/>
      <c r="DQ7" s="2959"/>
      <c r="DR7" s="2959"/>
      <c r="DS7" s="2959"/>
      <c r="DT7" s="2959"/>
      <c r="DU7" s="2959"/>
      <c r="DV7" s="2959"/>
      <c r="DW7" s="2959"/>
      <c r="DX7" s="2959"/>
      <c r="DY7" s="2959"/>
      <c r="DZ7" s="2959"/>
      <c r="EA7" s="3023"/>
    </row>
    <row r="8" spans="2:132" ht="18" customHeight="1">
      <c r="B8" s="2958" t="str">
        <f>IF('Unit Mix'!$AP$7&gt;0,'Unit Mix'!$AP$7,"")</f>
        <v/>
      </c>
      <c r="C8" s="2569"/>
      <c r="D8" s="2569"/>
      <c r="E8" s="2569"/>
      <c r="F8" s="2569"/>
      <c r="G8" s="2569"/>
      <c r="H8" s="2569"/>
      <c r="I8" s="2569"/>
      <c r="J8" s="2964">
        <v>2.5000000000000001E-2</v>
      </c>
      <c r="K8" s="2965"/>
      <c r="L8" s="2979">
        <f>'Operating Budget'!$E$36</f>
        <v>0</v>
      </c>
      <c r="M8" s="2979"/>
      <c r="N8" s="2979"/>
      <c r="O8" s="2979">
        <f>L8*(1+$J$8)</f>
        <v>0</v>
      </c>
      <c r="P8" s="2979"/>
      <c r="Q8" s="2979"/>
      <c r="R8" s="2979">
        <f>O8*(1+$J$8)</f>
        <v>0</v>
      </c>
      <c r="S8" s="2979"/>
      <c r="T8" s="2979"/>
      <c r="U8" s="2979">
        <f>R8*(1+$J$8)</f>
        <v>0</v>
      </c>
      <c r="V8" s="2979"/>
      <c r="W8" s="2979"/>
      <c r="X8" s="2979">
        <f>U8*(1+$J$8)</f>
        <v>0</v>
      </c>
      <c r="Y8" s="2979"/>
      <c r="Z8" s="2979"/>
      <c r="AA8" s="2979">
        <f>X8*(1+$J$8)</f>
        <v>0</v>
      </c>
      <c r="AB8" s="2979"/>
      <c r="AC8" s="2979"/>
      <c r="AD8" s="2979">
        <f>AA8*(1+$J$8)</f>
        <v>0</v>
      </c>
      <c r="AE8" s="2979"/>
      <c r="AF8" s="2979"/>
      <c r="AG8" s="2979">
        <f>AD8*(1+$J$8)</f>
        <v>0</v>
      </c>
      <c r="AH8" s="2979"/>
      <c r="AI8" s="2979"/>
      <c r="AJ8" s="2979">
        <f>AG8*(1+$J$8)</f>
        <v>0</v>
      </c>
      <c r="AK8" s="2979"/>
      <c r="AL8" s="2979"/>
      <c r="AM8" s="2979">
        <f>AJ8*(1+$J$8)</f>
        <v>0</v>
      </c>
      <c r="AN8" s="2979"/>
      <c r="AO8" s="2979"/>
      <c r="AP8" s="3022">
        <f>AM8*(1+$J$8)</f>
        <v>0</v>
      </c>
      <c r="AQ8" s="3022"/>
      <c r="AR8" s="3022"/>
      <c r="AS8" s="3022">
        <f>AP8*(1+$J$8)</f>
        <v>0</v>
      </c>
      <c r="AT8" s="3022"/>
      <c r="AU8" s="3022"/>
      <c r="AV8" s="3022">
        <f>AS8*(1+$J$8)</f>
        <v>0</v>
      </c>
      <c r="AW8" s="3022"/>
      <c r="AX8" s="3022"/>
      <c r="AY8" s="3022">
        <f>AV8*(1+$J$8)</f>
        <v>0</v>
      </c>
      <c r="AZ8" s="3022"/>
      <c r="BA8" s="3022"/>
      <c r="BB8" s="3022">
        <f>AY8*(1+$J$8)</f>
        <v>0</v>
      </c>
      <c r="BC8" s="3022"/>
      <c r="BD8" s="3022"/>
      <c r="BE8" s="3022">
        <f>BB8*(1+$J$8)</f>
        <v>0</v>
      </c>
      <c r="BF8" s="3022"/>
      <c r="BG8" s="3022"/>
      <c r="BH8" s="3022">
        <f>BE8*(1+$J$8)</f>
        <v>0</v>
      </c>
      <c r="BI8" s="3022"/>
      <c r="BJ8" s="3022"/>
      <c r="BK8" s="3022">
        <f>BH8*(1+$J$8)</f>
        <v>0</v>
      </c>
      <c r="BL8" s="3022"/>
      <c r="BM8" s="3022"/>
      <c r="BN8" s="3022">
        <f>BK8*(1+$J$8)</f>
        <v>0</v>
      </c>
      <c r="BO8" s="3022"/>
      <c r="BP8" s="3022"/>
      <c r="BQ8" s="3022">
        <f>BN8*(1+$J$8)</f>
        <v>0</v>
      </c>
      <c r="BR8" s="3022"/>
      <c r="BS8" s="3022"/>
      <c r="BT8" s="3022">
        <f>BQ8*(1+$J$8)</f>
        <v>0</v>
      </c>
      <c r="BU8" s="3022"/>
      <c r="BV8" s="3022"/>
      <c r="BW8" s="3022">
        <f>BT8*(1+$J$8)</f>
        <v>0</v>
      </c>
      <c r="BX8" s="3022"/>
      <c r="BY8" s="3022"/>
      <c r="BZ8" s="3022">
        <f>BW8*(1+$J$8)</f>
        <v>0</v>
      </c>
      <c r="CA8" s="3022"/>
      <c r="CB8" s="3022"/>
      <c r="CC8" s="3022">
        <f>BZ8*(1+$J$8)</f>
        <v>0</v>
      </c>
      <c r="CD8" s="3022"/>
      <c r="CE8" s="3022"/>
      <c r="CF8" s="3022">
        <f>CC8*(1+$J$8)</f>
        <v>0</v>
      </c>
      <c r="CG8" s="3022"/>
      <c r="CH8" s="3022"/>
      <c r="CI8" s="3022">
        <f>CF8*(1+$J$8)</f>
        <v>0</v>
      </c>
      <c r="CJ8" s="3022"/>
      <c r="CK8" s="3022"/>
      <c r="CL8" s="3022">
        <f>CI8*(1+$J$8)</f>
        <v>0</v>
      </c>
      <c r="CM8" s="3022"/>
      <c r="CN8" s="3022"/>
      <c r="CO8" s="3022">
        <f>CL8*(1+$J$8)</f>
        <v>0</v>
      </c>
      <c r="CP8" s="3022"/>
      <c r="CQ8" s="3022"/>
      <c r="CR8" s="3022">
        <f>CO8*(1+$J$8)</f>
        <v>0</v>
      </c>
      <c r="CS8" s="3022"/>
      <c r="CT8" s="3022"/>
      <c r="CU8" s="3022">
        <f>CR8*(1+$J$8)</f>
        <v>0</v>
      </c>
      <c r="CV8" s="3022"/>
      <c r="CW8" s="3022"/>
      <c r="CX8" s="3022">
        <f>CU8*(1+$J$8)</f>
        <v>0</v>
      </c>
      <c r="CY8" s="3022"/>
      <c r="CZ8" s="3022"/>
      <c r="DA8" s="3022">
        <f>CX8*(1+$J$8)</f>
        <v>0</v>
      </c>
      <c r="DB8" s="3022"/>
      <c r="DC8" s="3022"/>
      <c r="DD8" s="3022">
        <f>DA8*(1+$J$8)</f>
        <v>0</v>
      </c>
      <c r="DE8" s="3022"/>
      <c r="DF8" s="3022"/>
      <c r="DG8" s="3022">
        <f>DD8*(1+$J$8)</f>
        <v>0</v>
      </c>
      <c r="DH8" s="3022"/>
      <c r="DI8" s="3022"/>
      <c r="DJ8" s="3022">
        <f>DG8*(1+$J$8)</f>
        <v>0</v>
      </c>
      <c r="DK8" s="3022"/>
      <c r="DL8" s="3022"/>
      <c r="DM8" s="3022">
        <f>DJ8*(1+$J$8)</f>
        <v>0</v>
      </c>
      <c r="DN8" s="3022"/>
      <c r="DO8" s="3022"/>
      <c r="DP8" s="3022">
        <f>DM8*(1+$J$8)</f>
        <v>0</v>
      </c>
      <c r="DQ8" s="3022"/>
      <c r="DR8" s="3022"/>
      <c r="DS8" s="3022">
        <f>DP8*(1+$J$8)</f>
        <v>0</v>
      </c>
      <c r="DT8" s="3022"/>
      <c r="DU8" s="3022"/>
      <c r="DV8" s="3022">
        <f>DS8*(1+$J$8)</f>
        <v>0</v>
      </c>
      <c r="DW8" s="3022"/>
      <c r="DX8" s="3022"/>
      <c r="DY8" s="3022">
        <f>DV8*(1+$J$8)</f>
        <v>0</v>
      </c>
      <c r="DZ8" s="3022"/>
      <c r="EA8" s="3024"/>
    </row>
    <row r="9" spans="2:132" ht="18" customHeight="1">
      <c r="B9" s="2958" t="str">
        <f>IF('Unit Mix'!$AT$7&gt;0,'Unit Mix'!$AT$7,"")</f>
        <v/>
      </c>
      <c r="C9" s="2569"/>
      <c r="D9" s="2569"/>
      <c r="E9" s="2569"/>
      <c r="F9" s="2569"/>
      <c r="G9" s="2569"/>
      <c r="H9" s="2569"/>
      <c r="I9" s="2569"/>
      <c r="J9" s="2964">
        <v>2.5000000000000001E-2</v>
      </c>
      <c r="K9" s="2965"/>
      <c r="L9" s="2979">
        <f>'Operating Budget'!$E$37</f>
        <v>0</v>
      </c>
      <c r="M9" s="2979"/>
      <c r="N9" s="2979"/>
      <c r="O9" s="2979">
        <f>L9*(1+$J$9)</f>
        <v>0</v>
      </c>
      <c r="P9" s="2979"/>
      <c r="Q9" s="2979"/>
      <c r="R9" s="2979">
        <f>O9*(1+$J$9)</f>
        <v>0</v>
      </c>
      <c r="S9" s="2979"/>
      <c r="T9" s="2979"/>
      <c r="U9" s="2979">
        <f>R9*(1+$J$9)</f>
        <v>0</v>
      </c>
      <c r="V9" s="2979"/>
      <c r="W9" s="2979"/>
      <c r="X9" s="2979">
        <f>U9*(1+$J$9)</f>
        <v>0</v>
      </c>
      <c r="Y9" s="2979"/>
      <c r="Z9" s="2979"/>
      <c r="AA9" s="2979">
        <f>X9*(1+$J$9)</f>
        <v>0</v>
      </c>
      <c r="AB9" s="2979"/>
      <c r="AC9" s="2979"/>
      <c r="AD9" s="2979">
        <f>AA9*(1+$J$9)</f>
        <v>0</v>
      </c>
      <c r="AE9" s="2979"/>
      <c r="AF9" s="2979"/>
      <c r="AG9" s="2979">
        <f>AD9*(1+$J$9)</f>
        <v>0</v>
      </c>
      <c r="AH9" s="2979"/>
      <c r="AI9" s="2979"/>
      <c r="AJ9" s="2979">
        <f>AG9*(1+$J$9)</f>
        <v>0</v>
      </c>
      <c r="AK9" s="2979"/>
      <c r="AL9" s="2979"/>
      <c r="AM9" s="2979">
        <f>AJ9*(1+$J$9)</f>
        <v>0</v>
      </c>
      <c r="AN9" s="2979"/>
      <c r="AO9" s="2979"/>
      <c r="AP9" s="3022">
        <f>AM9*(1+$J$9)</f>
        <v>0</v>
      </c>
      <c r="AQ9" s="3022"/>
      <c r="AR9" s="3022"/>
      <c r="AS9" s="3022">
        <f>AP9*(1+$J$9)</f>
        <v>0</v>
      </c>
      <c r="AT9" s="3022"/>
      <c r="AU9" s="3022"/>
      <c r="AV9" s="3022">
        <f>AS9*(1+$J$9)</f>
        <v>0</v>
      </c>
      <c r="AW9" s="3022"/>
      <c r="AX9" s="3022"/>
      <c r="AY9" s="3022">
        <f>AV9*(1+$J$9)</f>
        <v>0</v>
      </c>
      <c r="AZ9" s="3022"/>
      <c r="BA9" s="3022"/>
      <c r="BB9" s="3022">
        <f>AY9*(1+$J$9)</f>
        <v>0</v>
      </c>
      <c r="BC9" s="3022"/>
      <c r="BD9" s="3022"/>
      <c r="BE9" s="3022">
        <f>BB9*(1+$J$9)</f>
        <v>0</v>
      </c>
      <c r="BF9" s="3022"/>
      <c r="BG9" s="3022"/>
      <c r="BH9" s="3022">
        <f>BE9*(1+$J$9)</f>
        <v>0</v>
      </c>
      <c r="BI9" s="3022"/>
      <c r="BJ9" s="3022"/>
      <c r="BK9" s="3022">
        <f>BH9*(1+$J$9)</f>
        <v>0</v>
      </c>
      <c r="BL9" s="3022"/>
      <c r="BM9" s="3022"/>
      <c r="BN9" s="3022">
        <f>BK9*(1+$J$9)</f>
        <v>0</v>
      </c>
      <c r="BO9" s="3022"/>
      <c r="BP9" s="3022"/>
      <c r="BQ9" s="3022">
        <f>BN9*(1+$J$9)</f>
        <v>0</v>
      </c>
      <c r="BR9" s="3022"/>
      <c r="BS9" s="3022"/>
      <c r="BT9" s="3022">
        <f>BQ9*(1+$J$9)</f>
        <v>0</v>
      </c>
      <c r="BU9" s="3022"/>
      <c r="BV9" s="3022"/>
      <c r="BW9" s="3022">
        <f>BT9*(1+$J$9)</f>
        <v>0</v>
      </c>
      <c r="BX9" s="3022"/>
      <c r="BY9" s="3022"/>
      <c r="BZ9" s="3022">
        <f>BW9*(1+$J$9)</f>
        <v>0</v>
      </c>
      <c r="CA9" s="3022"/>
      <c r="CB9" s="3022"/>
      <c r="CC9" s="3022">
        <f>BZ9*(1+$J$9)</f>
        <v>0</v>
      </c>
      <c r="CD9" s="3022"/>
      <c r="CE9" s="3022"/>
      <c r="CF9" s="3022">
        <f>CC9*(1+$J$9)</f>
        <v>0</v>
      </c>
      <c r="CG9" s="3022"/>
      <c r="CH9" s="3022"/>
      <c r="CI9" s="3022">
        <f>CF9*(1+$J$9)</f>
        <v>0</v>
      </c>
      <c r="CJ9" s="3022"/>
      <c r="CK9" s="3022"/>
      <c r="CL9" s="3022">
        <f>CI9*(1+$J$9)</f>
        <v>0</v>
      </c>
      <c r="CM9" s="3022"/>
      <c r="CN9" s="3022"/>
      <c r="CO9" s="3022">
        <f>CL9*(1+$J$9)</f>
        <v>0</v>
      </c>
      <c r="CP9" s="3022"/>
      <c r="CQ9" s="3022"/>
      <c r="CR9" s="3022">
        <f>CO9*(1+$J$9)</f>
        <v>0</v>
      </c>
      <c r="CS9" s="3022"/>
      <c r="CT9" s="3022"/>
      <c r="CU9" s="3022">
        <f>CR9*(1+$J$9)</f>
        <v>0</v>
      </c>
      <c r="CV9" s="3022"/>
      <c r="CW9" s="3022"/>
      <c r="CX9" s="3022">
        <f>CU9*(1+$J$9)</f>
        <v>0</v>
      </c>
      <c r="CY9" s="3022"/>
      <c r="CZ9" s="3022"/>
      <c r="DA9" s="3022">
        <f>CX9*(1+$J$9)</f>
        <v>0</v>
      </c>
      <c r="DB9" s="3022"/>
      <c r="DC9" s="3022"/>
      <c r="DD9" s="3022">
        <f>DA9*(1+$J$9)</f>
        <v>0</v>
      </c>
      <c r="DE9" s="3022"/>
      <c r="DF9" s="3022"/>
      <c r="DG9" s="3022">
        <f>DD9*(1+$J$9)</f>
        <v>0</v>
      </c>
      <c r="DH9" s="3022"/>
      <c r="DI9" s="3022"/>
      <c r="DJ9" s="3022">
        <f>DG9*(1+$J$9)</f>
        <v>0</v>
      </c>
      <c r="DK9" s="3022"/>
      <c r="DL9" s="3022"/>
      <c r="DM9" s="3022">
        <f>DJ9*(1+$J$9)</f>
        <v>0</v>
      </c>
      <c r="DN9" s="3022"/>
      <c r="DO9" s="3022"/>
      <c r="DP9" s="3022">
        <f>DM9*(1+$J$9)</f>
        <v>0</v>
      </c>
      <c r="DQ9" s="3022"/>
      <c r="DR9" s="3022"/>
      <c r="DS9" s="3022">
        <f>DP9*(1+$J$9)</f>
        <v>0</v>
      </c>
      <c r="DT9" s="3022"/>
      <c r="DU9" s="3022"/>
      <c r="DV9" s="3022">
        <f>DS9*(1+$J$9)</f>
        <v>0</v>
      </c>
      <c r="DW9" s="3022"/>
      <c r="DX9" s="3022"/>
      <c r="DY9" s="3022">
        <f>DV9*(1+$J$9)</f>
        <v>0</v>
      </c>
      <c r="DZ9" s="3022"/>
      <c r="EA9" s="3024"/>
    </row>
    <row r="10" spans="2:132" ht="18" customHeight="1">
      <c r="B10" s="2968" t="s">
        <v>3639</v>
      </c>
      <c r="C10" s="2526"/>
      <c r="D10" s="2526"/>
      <c r="E10" s="2526"/>
      <c r="F10" s="2526"/>
      <c r="G10" s="2526"/>
      <c r="H10" s="2526"/>
      <c r="I10" s="2526"/>
      <c r="J10" s="2964">
        <v>0.02</v>
      </c>
      <c r="K10" s="2965"/>
      <c r="L10" s="2989">
        <f>'Operating Budget'!$E$38</f>
        <v>0</v>
      </c>
      <c r="M10" s="2989"/>
      <c r="N10" s="2989"/>
      <c r="O10" s="2980">
        <f>L10*(1+$J$10)</f>
        <v>0</v>
      </c>
      <c r="P10" s="2980"/>
      <c r="Q10" s="2980"/>
      <c r="R10" s="2980">
        <f>O10*(1+$J$10)</f>
        <v>0</v>
      </c>
      <c r="S10" s="2980"/>
      <c r="T10" s="2980"/>
      <c r="U10" s="2980">
        <f>R10*(1+$J$10)</f>
        <v>0</v>
      </c>
      <c r="V10" s="2980"/>
      <c r="W10" s="2980"/>
      <c r="X10" s="2980">
        <f>U10*(1+$J$10)</f>
        <v>0</v>
      </c>
      <c r="Y10" s="2980"/>
      <c r="Z10" s="2980"/>
      <c r="AA10" s="2980">
        <f>X10*(1+$J$10)</f>
        <v>0</v>
      </c>
      <c r="AB10" s="2980"/>
      <c r="AC10" s="2980"/>
      <c r="AD10" s="2980">
        <f>AA10*(1+$J$10)</f>
        <v>0</v>
      </c>
      <c r="AE10" s="2980"/>
      <c r="AF10" s="2980"/>
      <c r="AG10" s="2980">
        <f>AD10*(1+$J$10)</f>
        <v>0</v>
      </c>
      <c r="AH10" s="2980"/>
      <c r="AI10" s="2980"/>
      <c r="AJ10" s="2980">
        <f>AG10*(1+$J$10)</f>
        <v>0</v>
      </c>
      <c r="AK10" s="2980"/>
      <c r="AL10" s="2980"/>
      <c r="AM10" s="2980">
        <f>AJ10*(1+$J$10)</f>
        <v>0</v>
      </c>
      <c r="AN10" s="2980"/>
      <c r="AO10" s="2980"/>
      <c r="AP10" s="3025">
        <f>AM10*(1+$J$10)</f>
        <v>0</v>
      </c>
      <c r="AQ10" s="3025"/>
      <c r="AR10" s="3025"/>
      <c r="AS10" s="3025">
        <f>AP10*(1+$J$10)</f>
        <v>0</v>
      </c>
      <c r="AT10" s="3025"/>
      <c r="AU10" s="3025"/>
      <c r="AV10" s="3025">
        <f>AS10*(1+$J$10)</f>
        <v>0</v>
      </c>
      <c r="AW10" s="3025"/>
      <c r="AX10" s="3025"/>
      <c r="AY10" s="3025">
        <f>AV10*(1+$J$10)</f>
        <v>0</v>
      </c>
      <c r="AZ10" s="3025"/>
      <c r="BA10" s="3025"/>
      <c r="BB10" s="3025">
        <f>AY10*(1+$J$10)</f>
        <v>0</v>
      </c>
      <c r="BC10" s="3025"/>
      <c r="BD10" s="3025"/>
      <c r="BE10" s="3025">
        <f>BB10*(1+$J$10)</f>
        <v>0</v>
      </c>
      <c r="BF10" s="3025"/>
      <c r="BG10" s="3025"/>
      <c r="BH10" s="3025">
        <f>BE10*(1+$J$10)</f>
        <v>0</v>
      </c>
      <c r="BI10" s="3025"/>
      <c r="BJ10" s="3025"/>
      <c r="BK10" s="3025">
        <f>BH10*(1+$J$10)</f>
        <v>0</v>
      </c>
      <c r="BL10" s="3025"/>
      <c r="BM10" s="3025"/>
      <c r="BN10" s="3025">
        <f>BK10*(1+$J$10)</f>
        <v>0</v>
      </c>
      <c r="BO10" s="3025"/>
      <c r="BP10" s="3025"/>
      <c r="BQ10" s="3025">
        <f>BN10*(1+$J$10)</f>
        <v>0</v>
      </c>
      <c r="BR10" s="3025"/>
      <c r="BS10" s="3025"/>
      <c r="BT10" s="3025">
        <f>BQ10*(1+$J$10)</f>
        <v>0</v>
      </c>
      <c r="BU10" s="3025"/>
      <c r="BV10" s="3025"/>
      <c r="BW10" s="3025">
        <f>BT10*(1+$J$10)</f>
        <v>0</v>
      </c>
      <c r="BX10" s="3025"/>
      <c r="BY10" s="3025"/>
      <c r="BZ10" s="3025">
        <f>BW10*(1+$J$10)</f>
        <v>0</v>
      </c>
      <c r="CA10" s="3025"/>
      <c r="CB10" s="3025"/>
      <c r="CC10" s="3025">
        <f>BZ10*(1+$J$10)</f>
        <v>0</v>
      </c>
      <c r="CD10" s="3025"/>
      <c r="CE10" s="3025"/>
      <c r="CF10" s="3025">
        <f>CC10*(1+$J$10)</f>
        <v>0</v>
      </c>
      <c r="CG10" s="3025"/>
      <c r="CH10" s="3025"/>
      <c r="CI10" s="3025">
        <f>CF10*(1+$J$10)</f>
        <v>0</v>
      </c>
      <c r="CJ10" s="3025"/>
      <c r="CK10" s="3025"/>
      <c r="CL10" s="3025">
        <f>CI10*(1+$J$10)</f>
        <v>0</v>
      </c>
      <c r="CM10" s="3025"/>
      <c r="CN10" s="3025"/>
      <c r="CO10" s="3025">
        <f>CL10*(1+$J$10)</f>
        <v>0</v>
      </c>
      <c r="CP10" s="3025"/>
      <c r="CQ10" s="3025"/>
      <c r="CR10" s="3025">
        <f>CO10*(1+$J$10)</f>
        <v>0</v>
      </c>
      <c r="CS10" s="3025"/>
      <c r="CT10" s="3025"/>
      <c r="CU10" s="3025">
        <f>CR10*(1+$J$10)</f>
        <v>0</v>
      </c>
      <c r="CV10" s="3025"/>
      <c r="CW10" s="3025"/>
      <c r="CX10" s="3025">
        <f>CU10*(1+$J$10)</f>
        <v>0</v>
      </c>
      <c r="CY10" s="3025"/>
      <c r="CZ10" s="3025"/>
      <c r="DA10" s="3025">
        <f>CX10*(1+$J$10)</f>
        <v>0</v>
      </c>
      <c r="DB10" s="3025"/>
      <c r="DC10" s="3025"/>
      <c r="DD10" s="3025">
        <f>DA10*(1+$J$10)</f>
        <v>0</v>
      </c>
      <c r="DE10" s="3025"/>
      <c r="DF10" s="3025"/>
      <c r="DG10" s="3025">
        <f>DD10*(1+$J$10)</f>
        <v>0</v>
      </c>
      <c r="DH10" s="3025"/>
      <c r="DI10" s="3025"/>
      <c r="DJ10" s="3025">
        <f>DG10*(1+$J$10)</f>
        <v>0</v>
      </c>
      <c r="DK10" s="3025"/>
      <c r="DL10" s="3025"/>
      <c r="DM10" s="3025">
        <f>DJ10*(1+$J$10)</f>
        <v>0</v>
      </c>
      <c r="DN10" s="3025"/>
      <c r="DO10" s="3025"/>
      <c r="DP10" s="3025">
        <f>DM10*(1+$J$10)</f>
        <v>0</v>
      </c>
      <c r="DQ10" s="3025"/>
      <c r="DR10" s="3025"/>
      <c r="DS10" s="3025">
        <f>DP10*(1+$J$10)</f>
        <v>0</v>
      </c>
      <c r="DT10" s="3025"/>
      <c r="DU10" s="3025"/>
      <c r="DV10" s="3025">
        <f>DS10*(1+$J$10)</f>
        <v>0</v>
      </c>
      <c r="DW10" s="3025"/>
      <c r="DX10" s="3025"/>
      <c r="DY10" s="3025">
        <f>DV10*(1+$J$10)</f>
        <v>0</v>
      </c>
      <c r="DZ10" s="3025"/>
      <c r="EA10" s="3026"/>
    </row>
    <row r="11" spans="2:132" ht="18" customHeight="1">
      <c r="B11" s="3000" t="str">
        <f>'Operating Budget'!$D$39</f>
        <v>Other: (Specify)</v>
      </c>
      <c r="C11" s="3001"/>
      <c r="D11" s="3001"/>
      <c r="E11" s="3001"/>
      <c r="F11" s="3001"/>
      <c r="G11" s="3001"/>
      <c r="H11" s="3001"/>
      <c r="I11" s="3001"/>
      <c r="J11" s="3008">
        <f>J8</f>
        <v>2.5000000000000001E-2</v>
      </c>
      <c r="K11" s="3009"/>
      <c r="L11" s="2981">
        <v>0</v>
      </c>
      <c r="M11" s="2981"/>
      <c r="N11" s="2981"/>
      <c r="O11" s="2981">
        <v>0</v>
      </c>
      <c r="P11" s="2981"/>
      <c r="Q11" s="2981"/>
      <c r="R11" s="2981">
        <v>0</v>
      </c>
      <c r="S11" s="2981"/>
      <c r="T11" s="2981"/>
      <c r="U11" s="2981">
        <v>0</v>
      </c>
      <c r="V11" s="2981"/>
      <c r="W11" s="2981"/>
      <c r="X11" s="2981">
        <v>0</v>
      </c>
      <c r="Y11" s="2981"/>
      <c r="Z11" s="2981"/>
      <c r="AA11" s="2981">
        <v>0</v>
      </c>
      <c r="AB11" s="2981"/>
      <c r="AC11" s="2981"/>
      <c r="AD11" s="2981">
        <v>0</v>
      </c>
      <c r="AE11" s="2981"/>
      <c r="AF11" s="2981"/>
      <c r="AG11" s="2981">
        <v>0</v>
      </c>
      <c r="AH11" s="2981"/>
      <c r="AI11" s="2981"/>
      <c r="AJ11" s="2981">
        <v>0</v>
      </c>
      <c r="AK11" s="2981"/>
      <c r="AL11" s="2981"/>
      <c r="AM11" s="2981">
        <v>0</v>
      </c>
      <c r="AN11" s="2981"/>
      <c r="AO11" s="2981"/>
      <c r="AP11" s="2981">
        <v>0</v>
      </c>
      <c r="AQ11" s="2981"/>
      <c r="AR11" s="2981"/>
      <c r="AS11" s="2981">
        <v>0</v>
      </c>
      <c r="AT11" s="2981"/>
      <c r="AU11" s="2981"/>
      <c r="AV11" s="2981">
        <v>0</v>
      </c>
      <c r="AW11" s="2981"/>
      <c r="AX11" s="2981"/>
      <c r="AY11" s="2981">
        <v>0</v>
      </c>
      <c r="AZ11" s="2981"/>
      <c r="BA11" s="2981"/>
      <c r="BB11" s="2981">
        <v>0</v>
      </c>
      <c r="BC11" s="2981"/>
      <c r="BD11" s="2981"/>
      <c r="BE11" s="2981">
        <v>0</v>
      </c>
      <c r="BF11" s="2981"/>
      <c r="BG11" s="2981"/>
      <c r="BH11" s="2981">
        <v>0</v>
      </c>
      <c r="BI11" s="2981"/>
      <c r="BJ11" s="2981"/>
      <c r="BK11" s="2981">
        <v>0</v>
      </c>
      <c r="BL11" s="2981"/>
      <c r="BM11" s="2981"/>
      <c r="BN11" s="2981">
        <v>0</v>
      </c>
      <c r="BO11" s="2981"/>
      <c r="BP11" s="2981"/>
      <c r="BQ11" s="2981">
        <v>0</v>
      </c>
      <c r="BR11" s="2981"/>
      <c r="BS11" s="2981"/>
      <c r="BT11" s="2981">
        <v>0</v>
      </c>
      <c r="BU11" s="2981"/>
      <c r="BV11" s="2981"/>
      <c r="BW11" s="2981">
        <v>0</v>
      </c>
      <c r="BX11" s="2981"/>
      <c r="BY11" s="2981"/>
      <c r="BZ11" s="2981">
        <v>0</v>
      </c>
      <c r="CA11" s="2981"/>
      <c r="CB11" s="2981"/>
      <c r="CC11" s="2981">
        <v>0</v>
      </c>
      <c r="CD11" s="2981"/>
      <c r="CE11" s="2981"/>
      <c r="CF11" s="2981">
        <v>0</v>
      </c>
      <c r="CG11" s="2981"/>
      <c r="CH11" s="2981"/>
      <c r="CI11" s="2981">
        <v>0</v>
      </c>
      <c r="CJ11" s="2981"/>
      <c r="CK11" s="2981"/>
      <c r="CL11" s="2981">
        <v>0</v>
      </c>
      <c r="CM11" s="2981"/>
      <c r="CN11" s="2981"/>
      <c r="CO11" s="2981">
        <v>0</v>
      </c>
      <c r="CP11" s="2981"/>
      <c r="CQ11" s="2981"/>
      <c r="CR11" s="2981">
        <v>0</v>
      </c>
      <c r="CS11" s="2981"/>
      <c r="CT11" s="2981"/>
      <c r="CU11" s="2981">
        <v>0</v>
      </c>
      <c r="CV11" s="2981"/>
      <c r="CW11" s="2981"/>
      <c r="CX11" s="2981">
        <v>0</v>
      </c>
      <c r="CY11" s="2981"/>
      <c r="CZ11" s="2981"/>
      <c r="DA11" s="2981">
        <v>0</v>
      </c>
      <c r="DB11" s="2981"/>
      <c r="DC11" s="2981"/>
      <c r="DD11" s="2981">
        <v>0</v>
      </c>
      <c r="DE11" s="2981"/>
      <c r="DF11" s="2981"/>
      <c r="DG11" s="2981">
        <v>0</v>
      </c>
      <c r="DH11" s="2981"/>
      <c r="DI11" s="2981"/>
      <c r="DJ11" s="2981">
        <v>0</v>
      </c>
      <c r="DK11" s="2981"/>
      <c r="DL11" s="2981"/>
      <c r="DM11" s="2981">
        <v>0</v>
      </c>
      <c r="DN11" s="2981"/>
      <c r="DO11" s="2981"/>
      <c r="DP11" s="2981">
        <v>0</v>
      </c>
      <c r="DQ11" s="2981"/>
      <c r="DR11" s="2981"/>
      <c r="DS11" s="2981">
        <v>0</v>
      </c>
      <c r="DT11" s="2981"/>
      <c r="DU11" s="2981"/>
      <c r="DV11" s="2981">
        <v>0</v>
      </c>
      <c r="DW11" s="2981"/>
      <c r="DX11" s="2981"/>
      <c r="DY11" s="2981">
        <v>0</v>
      </c>
      <c r="DZ11" s="2981"/>
      <c r="EA11" s="3027"/>
    </row>
    <row r="12" spans="2:132" s="78" customFormat="1" ht="18" customHeight="1" thickBot="1">
      <c r="B12" s="3002" t="s">
        <v>3784</v>
      </c>
      <c r="C12" s="3003"/>
      <c r="D12" s="3003"/>
      <c r="E12" s="3003"/>
      <c r="F12" s="3003"/>
      <c r="G12" s="3003"/>
      <c r="H12" s="3003"/>
      <c r="I12" s="3003"/>
      <c r="J12" s="3003"/>
      <c r="K12" s="3004"/>
      <c r="L12" s="2982">
        <f>SUM(L5:N11)</f>
        <v>0</v>
      </c>
      <c r="M12" s="2983"/>
      <c r="N12" s="2983"/>
      <c r="O12" s="2983">
        <f>SUM(O5:O11)</f>
        <v>0</v>
      </c>
      <c r="P12" s="2983"/>
      <c r="Q12" s="2983"/>
      <c r="R12" s="2983">
        <f>SUM(R5:R11)</f>
        <v>0</v>
      </c>
      <c r="S12" s="2983"/>
      <c r="T12" s="2983"/>
      <c r="U12" s="2983">
        <f>SUM(U5:U11)</f>
        <v>0</v>
      </c>
      <c r="V12" s="2983"/>
      <c r="W12" s="2983"/>
      <c r="X12" s="2983">
        <f>SUM(X5:X11)</f>
        <v>0</v>
      </c>
      <c r="Y12" s="2983"/>
      <c r="Z12" s="2983"/>
      <c r="AA12" s="2983">
        <f>SUM(AA5:AA11)</f>
        <v>0</v>
      </c>
      <c r="AB12" s="2983"/>
      <c r="AC12" s="2983"/>
      <c r="AD12" s="2983">
        <f>SUM(AD5:AD11)</f>
        <v>0</v>
      </c>
      <c r="AE12" s="2983"/>
      <c r="AF12" s="2983"/>
      <c r="AG12" s="2983">
        <f>SUM(AG5:AG11)</f>
        <v>0</v>
      </c>
      <c r="AH12" s="2983"/>
      <c r="AI12" s="2983"/>
      <c r="AJ12" s="2983">
        <f>SUM(AJ5:AJ11)</f>
        <v>0</v>
      </c>
      <c r="AK12" s="2983"/>
      <c r="AL12" s="2983"/>
      <c r="AM12" s="2983">
        <f>SUM(AM5:AM11)</f>
        <v>0</v>
      </c>
      <c r="AN12" s="2983"/>
      <c r="AO12" s="2983"/>
      <c r="AP12" s="2983">
        <f>SUM(AP5:AP11)</f>
        <v>0</v>
      </c>
      <c r="AQ12" s="2983"/>
      <c r="AR12" s="2983"/>
      <c r="AS12" s="2983">
        <f>SUM(AS5:AS11)</f>
        <v>0</v>
      </c>
      <c r="AT12" s="2983"/>
      <c r="AU12" s="2983"/>
      <c r="AV12" s="2983">
        <f>SUM(AV5:AV11)</f>
        <v>0</v>
      </c>
      <c r="AW12" s="2983"/>
      <c r="AX12" s="2983"/>
      <c r="AY12" s="2983">
        <f>SUM(AY5:AY11)</f>
        <v>0</v>
      </c>
      <c r="AZ12" s="2983"/>
      <c r="BA12" s="2983"/>
      <c r="BB12" s="2983">
        <f>SUM(BB5:BB11)</f>
        <v>0</v>
      </c>
      <c r="BC12" s="2983"/>
      <c r="BD12" s="2983"/>
      <c r="BE12" s="2983">
        <f>SUM(BE5:BE11)</f>
        <v>0</v>
      </c>
      <c r="BF12" s="2983"/>
      <c r="BG12" s="2983"/>
      <c r="BH12" s="2983">
        <f>SUM(BH5:BH11)</f>
        <v>0</v>
      </c>
      <c r="BI12" s="2983"/>
      <c r="BJ12" s="2983"/>
      <c r="BK12" s="2983">
        <f>SUM(BK5:BK11)</f>
        <v>0</v>
      </c>
      <c r="BL12" s="2983"/>
      <c r="BM12" s="2983"/>
      <c r="BN12" s="2983">
        <f>SUM(BN5:BN11)</f>
        <v>0</v>
      </c>
      <c r="BO12" s="2983"/>
      <c r="BP12" s="2983"/>
      <c r="BQ12" s="2983">
        <f>SUM(BQ5:BQ11)</f>
        <v>0</v>
      </c>
      <c r="BR12" s="2983"/>
      <c r="BS12" s="2983"/>
      <c r="BT12" s="2983">
        <f>SUM(BT5:BT11)</f>
        <v>0</v>
      </c>
      <c r="BU12" s="2983"/>
      <c r="BV12" s="2983"/>
      <c r="BW12" s="2983">
        <f>SUM(BW5:BW11)</f>
        <v>0</v>
      </c>
      <c r="BX12" s="2983"/>
      <c r="BY12" s="2983"/>
      <c r="BZ12" s="2983">
        <f>SUM(BZ5:BZ11)</f>
        <v>0</v>
      </c>
      <c r="CA12" s="2983"/>
      <c r="CB12" s="2983"/>
      <c r="CC12" s="2983">
        <f>SUM(CC5:CC11)</f>
        <v>0</v>
      </c>
      <c r="CD12" s="2983"/>
      <c r="CE12" s="2983"/>
      <c r="CF12" s="2983">
        <f>SUM(CF5:CF11)</f>
        <v>0</v>
      </c>
      <c r="CG12" s="2983"/>
      <c r="CH12" s="2983"/>
      <c r="CI12" s="2983">
        <f>SUM(CI5:CI11)</f>
        <v>0</v>
      </c>
      <c r="CJ12" s="2983"/>
      <c r="CK12" s="2983"/>
      <c r="CL12" s="2983">
        <f>SUM(CL5:CL11)</f>
        <v>0</v>
      </c>
      <c r="CM12" s="2983"/>
      <c r="CN12" s="2983"/>
      <c r="CO12" s="2983">
        <f>SUM(CO5:CO11)</f>
        <v>0</v>
      </c>
      <c r="CP12" s="2983"/>
      <c r="CQ12" s="2983"/>
      <c r="CR12" s="2983">
        <f>SUM(CR5:CR11)</f>
        <v>0</v>
      </c>
      <c r="CS12" s="2983"/>
      <c r="CT12" s="2983"/>
      <c r="CU12" s="2983">
        <f>SUM(CU5:CU11)</f>
        <v>0</v>
      </c>
      <c r="CV12" s="2983"/>
      <c r="CW12" s="2983"/>
      <c r="CX12" s="2983">
        <f>SUM(CX5:CX11)</f>
        <v>0</v>
      </c>
      <c r="CY12" s="2983"/>
      <c r="CZ12" s="2983"/>
      <c r="DA12" s="2983">
        <f>SUM(DA5:DA11)</f>
        <v>0</v>
      </c>
      <c r="DB12" s="2983"/>
      <c r="DC12" s="2983"/>
      <c r="DD12" s="2983">
        <f>SUM(DD5:DD11)</f>
        <v>0</v>
      </c>
      <c r="DE12" s="2983"/>
      <c r="DF12" s="2983"/>
      <c r="DG12" s="2983">
        <f>SUM(DG5:DG11)</f>
        <v>0</v>
      </c>
      <c r="DH12" s="2983"/>
      <c r="DI12" s="2983"/>
      <c r="DJ12" s="2983">
        <f>SUM(DJ5:DJ11)</f>
        <v>0</v>
      </c>
      <c r="DK12" s="2983"/>
      <c r="DL12" s="2983"/>
      <c r="DM12" s="2983">
        <f>SUM(DM5:DM11)</f>
        <v>0</v>
      </c>
      <c r="DN12" s="2983"/>
      <c r="DO12" s="2983"/>
      <c r="DP12" s="2983">
        <f>SUM(DP5:DP11)</f>
        <v>0</v>
      </c>
      <c r="DQ12" s="2983"/>
      <c r="DR12" s="2983"/>
      <c r="DS12" s="2983">
        <f>SUM(DS5:DS11)</f>
        <v>0</v>
      </c>
      <c r="DT12" s="2983"/>
      <c r="DU12" s="2983"/>
      <c r="DV12" s="2983">
        <f>SUM(DV5:DV11)</f>
        <v>0</v>
      </c>
      <c r="DW12" s="2983"/>
      <c r="DX12" s="2983"/>
      <c r="DY12" s="2983">
        <f>SUM(DY5:DY11)</f>
        <v>0</v>
      </c>
      <c r="DZ12" s="2983"/>
      <c r="EA12" s="3028"/>
    </row>
    <row r="13" spans="2:132" ht="18" customHeight="1" thickTop="1">
      <c r="B13" s="808"/>
      <c r="C13" s="808"/>
      <c r="D13" s="808"/>
      <c r="E13" s="808"/>
      <c r="F13" s="808"/>
      <c r="G13" s="808"/>
      <c r="H13" s="808"/>
      <c r="I13" s="808"/>
      <c r="J13" s="808"/>
      <c r="K13" s="808"/>
      <c r="L13" s="808"/>
      <c r="M13" s="808"/>
      <c r="N13" s="808"/>
      <c r="O13" s="808"/>
      <c r="P13" s="808"/>
      <c r="Q13" s="808"/>
      <c r="R13" s="808"/>
      <c r="S13" s="808"/>
      <c r="T13" s="808"/>
      <c r="U13" s="808"/>
      <c r="V13" s="808"/>
      <c r="W13" s="808"/>
      <c r="X13" s="808"/>
      <c r="Y13" s="808"/>
      <c r="Z13" s="808"/>
      <c r="AA13" s="808"/>
      <c r="AB13" s="808"/>
      <c r="AC13" s="808"/>
      <c r="AD13" s="808"/>
      <c r="AE13" s="808"/>
      <c r="AF13" s="808"/>
      <c r="AG13" s="808"/>
      <c r="AH13" s="808"/>
      <c r="AI13" s="808"/>
      <c r="AJ13" s="808"/>
      <c r="AK13" s="808"/>
      <c r="AL13" s="808"/>
      <c r="AM13" s="808"/>
      <c r="AN13" s="808"/>
      <c r="AO13" s="808"/>
      <c r="AP13" s="808"/>
      <c r="AQ13" s="808"/>
      <c r="AR13" s="808"/>
      <c r="AS13" s="808"/>
      <c r="AT13" s="808"/>
      <c r="AU13" s="808"/>
      <c r="AV13" s="808"/>
      <c r="AW13" s="808"/>
      <c r="AX13" s="808"/>
      <c r="AY13" s="808"/>
      <c r="AZ13" s="808"/>
      <c r="BA13" s="808"/>
      <c r="BB13" s="808"/>
      <c r="BC13" s="808"/>
      <c r="BD13" s="808"/>
      <c r="BE13" s="808"/>
      <c r="BF13" s="808"/>
      <c r="BG13" s="808"/>
      <c r="BH13" s="808"/>
      <c r="BI13" s="808"/>
      <c r="BJ13" s="808"/>
      <c r="BK13" s="808"/>
      <c r="BL13" s="808"/>
      <c r="BM13" s="808"/>
      <c r="BN13" s="808"/>
      <c r="BO13" s="808"/>
      <c r="BP13" s="808"/>
      <c r="BQ13" s="808"/>
      <c r="BR13" s="808"/>
      <c r="BS13" s="808"/>
      <c r="BT13" s="808"/>
      <c r="BU13" s="808"/>
      <c r="BV13" s="808"/>
      <c r="BW13" s="808"/>
      <c r="BX13" s="808"/>
      <c r="BY13" s="808"/>
      <c r="BZ13" s="808"/>
      <c r="CA13" s="808"/>
      <c r="CB13" s="808"/>
      <c r="CC13" s="808"/>
      <c r="CD13" s="808"/>
      <c r="CE13" s="808"/>
      <c r="CF13" s="808"/>
      <c r="CG13" s="808"/>
      <c r="CH13" s="808"/>
      <c r="CI13" s="808"/>
      <c r="CJ13" s="808"/>
      <c r="CK13" s="808"/>
      <c r="CL13" s="808"/>
      <c r="CM13" s="808"/>
      <c r="CN13" s="808"/>
      <c r="CO13" s="808"/>
      <c r="CP13" s="808"/>
      <c r="CQ13" s="808"/>
      <c r="CR13" s="808"/>
      <c r="CS13" s="808"/>
      <c r="CT13" s="808"/>
      <c r="CU13" s="808"/>
      <c r="CV13" s="808"/>
      <c r="CW13" s="808"/>
      <c r="CX13" s="808"/>
      <c r="CY13" s="808"/>
      <c r="CZ13" s="808"/>
      <c r="DA13" s="808"/>
      <c r="DB13" s="808"/>
      <c r="DC13" s="808"/>
      <c r="DD13" s="808"/>
      <c r="DE13" s="808"/>
      <c r="DF13" s="808"/>
      <c r="DG13" s="808"/>
      <c r="DH13" s="808"/>
      <c r="DI13" s="808"/>
      <c r="DJ13" s="808"/>
      <c r="DK13" s="808"/>
      <c r="DL13" s="808"/>
      <c r="DM13" s="808"/>
      <c r="DN13" s="808"/>
      <c r="DO13" s="808"/>
      <c r="DP13" s="808"/>
      <c r="DQ13" s="808"/>
      <c r="DR13" s="808"/>
      <c r="DS13" s="808"/>
      <c r="DT13" s="808"/>
      <c r="DU13" s="808"/>
      <c r="DV13" s="808"/>
      <c r="DW13" s="808"/>
      <c r="DX13" s="808"/>
      <c r="DY13" s="808"/>
      <c r="DZ13" s="808"/>
      <c r="EA13" s="808"/>
    </row>
    <row r="14" spans="2:132" s="60" customFormat="1" ht="18" customHeight="1">
      <c r="B14" s="2993" t="s">
        <v>3785</v>
      </c>
      <c r="C14" s="2994"/>
      <c r="D14" s="2994"/>
      <c r="E14" s="2994"/>
      <c r="F14" s="2994"/>
      <c r="G14" s="2994"/>
      <c r="H14" s="2994"/>
      <c r="I14" s="2994"/>
      <c r="J14" s="2994"/>
      <c r="K14" s="2995"/>
      <c r="L14" s="3011" t="s">
        <v>3742</v>
      </c>
      <c r="M14" s="2984"/>
      <c r="N14" s="2984"/>
      <c r="O14" s="2984" t="s">
        <v>3743</v>
      </c>
      <c r="P14" s="2984"/>
      <c r="Q14" s="2984"/>
      <c r="R14" s="2984" t="s">
        <v>3744</v>
      </c>
      <c r="S14" s="2984"/>
      <c r="T14" s="2984"/>
      <c r="U14" s="2984" t="s">
        <v>3745</v>
      </c>
      <c r="V14" s="2984"/>
      <c r="W14" s="2984"/>
      <c r="X14" s="2984" t="s">
        <v>3746</v>
      </c>
      <c r="Y14" s="2984"/>
      <c r="Z14" s="2984"/>
      <c r="AA14" s="2984" t="s">
        <v>3747</v>
      </c>
      <c r="AB14" s="2984"/>
      <c r="AC14" s="2984"/>
      <c r="AD14" s="2984" t="s">
        <v>3748</v>
      </c>
      <c r="AE14" s="2984"/>
      <c r="AF14" s="2984"/>
      <c r="AG14" s="2984" t="s">
        <v>3749</v>
      </c>
      <c r="AH14" s="2984"/>
      <c r="AI14" s="2984"/>
      <c r="AJ14" s="2984" t="s">
        <v>3750</v>
      </c>
      <c r="AK14" s="2984"/>
      <c r="AL14" s="2984"/>
      <c r="AM14" s="2984" t="s">
        <v>3751</v>
      </c>
      <c r="AN14" s="2984"/>
      <c r="AO14" s="2984"/>
      <c r="AP14" s="2984" t="s">
        <v>3752</v>
      </c>
      <c r="AQ14" s="2984"/>
      <c r="AR14" s="2984"/>
      <c r="AS14" s="2984" t="s">
        <v>3753</v>
      </c>
      <c r="AT14" s="2984"/>
      <c r="AU14" s="2984"/>
      <c r="AV14" s="2984" t="s">
        <v>3754</v>
      </c>
      <c r="AW14" s="2984"/>
      <c r="AX14" s="2984"/>
      <c r="AY14" s="2984" t="s">
        <v>3755</v>
      </c>
      <c r="AZ14" s="2984"/>
      <c r="BA14" s="2984"/>
      <c r="BB14" s="2984" t="s">
        <v>3756</v>
      </c>
      <c r="BC14" s="2984"/>
      <c r="BD14" s="2984"/>
      <c r="BE14" s="2984" t="s">
        <v>3757</v>
      </c>
      <c r="BF14" s="2984"/>
      <c r="BG14" s="2984"/>
      <c r="BH14" s="2984" t="s">
        <v>3758</v>
      </c>
      <c r="BI14" s="2984"/>
      <c r="BJ14" s="2984"/>
      <c r="BK14" s="2984" t="s">
        <v>3759</v>
      </c>
      <c r="BL14" s="2984"/>
      <c r="BM14" s="2984"/>
      <c r="BN14" s="2984" t="s">
        <v>3760</v>
      </c>
      <c r="BO14" s="2984"/>
      <c r="BP14" s="2984"/>
      <c r="BQ14" s="2984" t="s">
        <v>3761</v>
      </c>
      <c r="BR14" s="2984"/>
      <c r="BS14" s="2984"/>
      <c r="BT14" s="2984" t="s">
        <v>3762</v>
      </c>
      <c r="BU14" s="2984"/>
      <c r="BV14" s="2984"/>
      <c r="BW14" s="2984" t="s">
        <v>3763</v>
      </c>
      <c r="BX14" s="2984"/>
      <c r="BY14" s="2984"/>
      <c r="BZ14" s="2984" t="s">
        <v>3764</v>
      </c>
      <c r="CA14" s="2984"/>
      <c r="CB14" s="2984"/>
      <c r="CC14" s="2984" t="s">
        <v>3765</v>
      </c>
      <c r="CD14" s="2984"/>
      <c r="CE14" s="2984"/>
      <c r="CF14" s="2984" t="s">
        <v>3766</v>
      </c>
      <c r="CG14" s="2984"/>
      <c r="CH14" s="2984"/>
      <c r="CI14" s="2984" t="s">
        <v>3767</v>
      </c>
      <c r="CJ14" s="2984"/>
      <c r="CK14" s="2984"/>
      <c r="CL14" s="2984" t="s">
        <v>3768</v>
      </c>
      <c r="CM14" s="2984"/>
      <c r="CN14" s="2984"/>
      <c r="CO14" s="2984" t="s">
        <v>3769</v>
      </c>
      <c r="CP14" s="2984"/>
      <c r="CQ14" s="2984"/>
      <c r="CR14" s="2984" t="s">
        <v>3770</v>
      </c>
      <c r="CS14" s="2984"/>
      <c r="CT14" s="2984"/>
      <c r="CU14" s="2984" t="s">
        <v>3771</v>
      </c>
      <c r="CV14" s="2984"/>
      <c r="CW14" s="2984"/>
      <c r="CX14" s="2984" t="s">
        <v>3772</v>
      </c>
      <c r="CY14" s="2984"/>
      <c r="CZ14" s="2984"/>
      <c r="DA14" s="2984" t="s">
        <v>3773</v>
      </c>
      <c r="DB14" s="2984"/>
      <c r="DC14" s="2984"/>
      <c r="DD14" s="2984" t="s">
        <v>3774</v>
      </c>
      <c r="DE14" s="2984"/>
      <c r="DF14" s="2984"/>
      <c r="DG14" s="2984" t="s">
        <v>3775</v>
      </c>
      <c r="DH14" s="2984"/>
      <c r="DI14" s="2984"/>
      <c r="DJ14" s="2984" t="s">
        <v>3776</v>
      </c>
      <c r="DK14" s="2984"/>
      <c r="DL14" s="2984"/>
      <c r="DM14" s="2984" t="s">
        <v>3777</v>
      </c>
      <c r="DN14" s="2984"/>
      <c r="DO14" s="2984"/>
      <c r="DP14" s="2984" t="s">
        <v>3778</v>
      </c>
      <c r="DQ14" s="2984"/>
      <c r="DR14" s="2984"/>
      <c r="DS14" s="2984" t="s">
        <v>3779</v>
      </c>
      <c r="DT14" s="2984"/>
      <c r="DU14" s="2984"/>
      <c r="DV14" s="2984" t="s">
        <v>3780</v>
      </c>
      <c r="DW14" s="2984"/>
      <c r="DX14" s="2984"/>
      <c r="DY14" s="2984" t="s">
        <v>3781</v>
      </c>
      <c r="DZ14" s="2984"/>
      <c r="EA14" s="3019"/>
    </row>
    <row r="15" spans="2:132" ht="18" customHeight="1">
      <c r="B15" s="2996" t="s">
        <v>3786</v>
      </c>
      <c r="C15" s="2997"/>
      <c r="D15" s="2997"/>
      <c r="E15" s="2997"/>
      <c r="F15" s="2997"/>
      <c r="G15" s="2997"/>
      <c r="H15" s="2997"/>
      <c r="I15" s="2997"/>
      <c r="J15" s="2964">
        <v>2.5000000000000001E-2</v>
      </c>
      <c r="K15" s="2965"/>
      <c r="L15" s="3005">
        <f>'Operating Budget'!$E$40</f>
        <v>71760</v>
      </c>
      <c r="M15" s="2985"/>
      <c r="N15" s="2985"/>
      <c r="O15" s="2985">
        <f>L15*(1+$J$15)</f>
        <v>73554</v>
      </c>
      <c r="P15" s="2985"/>
      <c r="Q15" s="2985"/>
      <c r="R15" s="2985">
        <f>O15*(1+$J$15)</f>
        <v>75392.849999999991</v>
      </c>
      <c r="S15" s="2985"/>
      <c r="T15" s="2985"/>
      <c r="U15" s="2985">
        <f>R15*(1+$J$15)</f>
        <v>77277.671249999985</v>
      </c>
      <c r="V15" s="2985"/>
      <c r="W15" s="2985"/>
      <c r="X15" s="2985">
        <f>U15*(1+$J$15)</f>
        <v>79209.613031249974</v>
      </c>
      <c r="Y15" s="2985"/>
      <c r="Z15" s="2985"/>
      <c r="AA15" s="2985">
        <f>X15*(1+$J$15)</f>
        <v>81189.853357031214</v>
      </c>
      <c r="AB15" s="2985"/>
      <c r="AC15" s="2985"/>
      <c r="AD15" s="2985">
        <f>AA15*(1+$J$15)</f>
        <v>83219.59969095698</v>
      </c>
      <c r="AE15" s="2985"/>
      <c r="AF15" s="2985"/>
      <c r="AG15" s="2985">
        <f>AD15*(1+$J$15)</f>
        <v>85300.089683230894</v>
      </c>
      <c r="AH15" s="2985"/>
      <c r="AI15" s="2985"/>
      <c r="AJ15" s="2985">
        <f>AG15*(1+$J$15)</f>
        <v>87432.591925311659</v>
      </c>
      <c r="AK15" s="2985"/>
      <c r="AL15" s="2985"/>
      <c r="AM15" s="2985">
        <f>AJ15*(1+$J$15)</f>
        <v>89618.406723444437</v>
      </c>
      <c r="AN15" s="2985"/>
      <c r="AO15" s="2985"/>
      <c r="AP15" s="2985">
        <f>AM15*(1+$J$15)</f>
        <v>91858.866891530546</v>
      </c>
      <c r="AQ15" s="2985"/>
      <c r="AR15" s="2985"/>
      <c r="AS15" s="2985">
        <f>AP15*(1+$J$15)</f>
        <v>94155.338563818805</v>
      </c>
      <c r="AT15" s="2985"/>
      <c r="AU15" s="2985"/>
      <c r="AV15" s="2985">
        <f>AS15*(1+$J$15)</f>
        <v>96509.222027914264</v>
      </c>
      <c r="AW15" s="2985"/>
      <c r="AX15" s="2985"/>
      <c r="AY15" s="2985">
        <f>AV15*(1+$J$15)</f>
        <v>98921.952578612108</v>
      </c>
      <c r="AZ15" s="2985"/>
      <c r="BA15" s="2985"/>
      <c r="BB15" s="2985">
        <f>AY15*(1+$J$15)</f>
        <v>101395.0013930774</v>
      </c>
      <c r="BC15" s="2985"/>
      <c r="BD15" s="2985"/>
      <c r="BE15" s="2985">
        <f>BB15*(1+$J$15)</f>
        <v>103929.87642790432</v>
      </c>
      <c r="BF15" s="2985"/>
      <c r="BG15" s="2985"/>
      <c r="BH15" s="2985">
        <f>BE15*(1+$J$15)</f>
        <v>106528.12333860193</v>
      </c>
      <c r="BI15" s="2985"/>
      <c r="BJ15" s="2985"/>
      <c r="BK15" s="2985">
        <f>BH15*(1+$J$15)</f>
        <v>109191.32642206697</v>
      </c>
      <c r="BL15" s="2985"/>
      <c r="BM15" s="2985"/>
      <c r="BN15" s="2985">
        <f>BK15*(1+$J$15)</f>
        <v>111921.10958261864</v>
      </c>
      <c r="BO15" s="2985"/>
      <c r="BP15" s="2985"/>
      <c r="BQ15" s="2985">
        <f>BN15*(1+$J$15)</f>
        <v>114719.13732218409</v>
      </c>
      <c r="BR15" s="2985"/>
      <c r="BS15" s="2985"/>
      <c r="BT15" s="2985">
        <f>BQ15*(1+$J$15)</f>
        <v>117587.11575523869</v>
      </c>
      <c r="BU15" s="2985"/>
      <c r="BV15" s="2985"/>
      <c r="BW15" s="2985">
        <f>BT15*(1+$J$15)</f>
        <v>120526.79364911965</v>
      </c>
      <c r="BX15" s="2985"/>
      <c r="BY15" s="2985"/>
      <c r="BZ15" s="2985">
        <f>BW15*(1+$J$15)</f>
        <v>123539.96349034763</v>
      </c>
      <c r="CA15" s="2985"/>
      <c r="CB15" s="2985"/>
      <c r="CC15" s="2985">
        <f>BZ15*(1+$J$15)</f>
        <v>126628.4625776063</v>
      </c>
      <c r="CD15" s="2985"/>
      <c r="CE15" s="2985"/>
      <c r="CF15" s="2985">
        <f>CC15*(1+$J$15)</f>
        <v>129794.17414204645</v>
      </c>
      <c r="CG15" s="2985"/>
      <c r="CH15" s="2985"/>
      <c r="CI15" s="2985">
        <f>CF15*(1+$J$15)</f>
        <v>133039.02849559759</v>
      </c>
      <c r="CJ15" s="2985"/>
      <c r="CK15" s="2985"/>
      <c r="CL15" s="2985">
        <f>CI15*(1+$J$15)</f>
        <v>136365.00420798751</v>
      </c>
      <c r="CM15" s="2985"/>
      <c r="CN15" s="2985"/>
      <c r="CO15" s="2985">
        <f>CL15*(1+$J$15)</f>
        <v>139774.12931318718</v>
      </c>
      <c r="CP15" s="2985"/>
      <c r="CQ15" s="2985"/>
      <c r="CR15" s="2985">
        <f>CO15*(1+$J$15)</f>
        <v>143268.48254601684</v>
      </c>
      <c r="CS15" s="2985"/>
      <c r="CT15" s="2985"/>
      <c r="CU15" s="2985">
        <f>CR15*(1+$J$15)</f>
        <v>146850.19460966723</v>
      </c>
      <c r="CV15" s="2985"/>
      <c r="CW15" s="2985"/>
      <c r="CX15" s="2985">
        <f>CU15*(1+$J$15)</f>
        <v>150521.44947490891</v>
      </c>
      <c r="CY15" s="2985"/>
      <c r="CZ15" s="2985"/>
      <c r="DA15" s="2985">
        <f>CX15*(1+$J$15)</f>
        <v>154284.48571178163</v>
      </c>
      <c r="DB15" s="2985"/>
      <c r="DC15" s="2985"/>
      <c r="DD15" s="2985">
        <f>DA15*(1+$J$15)</f>
        <v>158141.59785457616</v>
      </c>
      <c r="DE15" s="2985"/>
      <c r="DF15" s="2985"/>
      <c r="DG15" s="2985">
        <f>DD15*(1+$J$15)</f>
        <v>162095.13780094055</v>
      </c>
      <c r="DH15" s="2985"/>
      <c r="DI15" s="2985"/>
      <c r="DJ15" s="2985">
        <f>DG15*(1+$J$15)</f>
        <v>166147.51624596404</v>
      </c>
      <c r="DK15" s="2985"/>
      <c r="DL15" s="2985"/>
      <c r="DM15" s="2985">
        <f>DJ15*(1+$J$15)</f>
        <v>170301.20415211312</v>
      </c>
      <c r="DN15" s="2985"/>
      <c r="DO15" s="2985"/>
      <c r="DP15" s="2985">
        <f>DM15*(1+$J$15)</f>
        <v>174558.73425591594</v>
      </c>
      <c r="DQ15" s="2985"/>
      <c r="DR15" s="2985"/>
      <c r="DS15" s="2985">
        <f>DP15*(1+$J$15)</f>
        <v>178922.70261231382</v>
      </c>
      <c r="DT15" s="2985"/>
      <c r="DU15" s="2985"/>
      <c r="DV15" s="2985">
        <f>DS15*(1+$J$15)</f>
        <v>183395.77017762166</v>
      </c>
      <c r="DW15" s="2985"/>
      <c r="DX15" s="2985"/>
      <c r="DY15" s="2985">
        <f>DV15*(1+$J$15)</f>
        <v>187980.66443206219</v>
      </c>
      <c r="DZ15" s="2985"/>
      <c r="EA15" s="3020"/>
    </row>
    <row r="16" spans="2:132" ht="18" customHeight="1">
      <c r="B16" s="2998" t="s">
        <v>3787</v>
      </c>
      <c r="C16" s="2999"/>
      <c r="D16" s="2999"/>
      <c r="E16" s="2999"/>
      <c r="F16" s="2999"/>
      <c r="G16" s="2999"/>
      <c r="H16" s="2999"/>
      <c r="I16" s="2999"/>
      <c r="J16" s="2964">
        <v>2.5000000000000001E-2</v>
      </c>
      <c r="K16" s="2965"/>
      <c r="L16" s="3006">
        <f>'Operating Budget'!$E$41+'Operating Budget'!$E$42</f>
        <v>197640</v>
      </c>
      <c r="M16" s="2949"/>
      <c r="N16" s="2949"/>
      <c r="O16" s="3007">
        <f>L16*(1+$J$16)</f>
        <v>202580.99999999997</v>
      </c>
      <c r="P16" s="3007"/>
      <c r="Q16" s="3007"/>
      <c r="R16" s="3007">
        <f>O16*(1+$J$16)</f>
        <v>207645.52499999997</v>
      </c>
      <c r="S16" s="3007"/>
      <c r="T16" s="3007"/>
      <c r="U16" s="3007">
        <f>R16*(1+$J$16)</f>
        <v>212836.66312499993</v>
      </c>
      <c r="V16" s="3007"/>
      <c r="W16" s="3007"/>
      <c r="X16" s="3007">
        <f>U16*(1+$J$16)</f>
        <v>218157.57970312491</v>
      </c>
      <c r="Y16" s="3007"/>
      <c r="Z16" s="3007"/>
      <c r="AA16" s="3007">
        <f>X16*(1+$J$16)</f>
        <v>223611.519195703</v>
      </c>
      <c r="AB16" s="3007"/>
      <c r="AC16" s="3007"/>
      <c r="AD16" s="3007">
        <f>AA16*(1+$J$16)</f>
        <v>229201.80717559555</v>
      </c>
      <c r="AE16" s="3007"/>
      <c r="AF16" s="3007"/>
      <c r="AG16" s="3007">
        <f>AD16*(1+$J$16)</f>
        <v>234931.85235498543</v>
      </c>
      <c r="AH16" s="3007"/>
      <c r="AI16" s="3007"/>
      <c r="AJ16" s="3007">
        <f>AG16*(1+$J$16)</f>
        <v>240805.14866386005</v>
      </c>
      <c r="AK16" s="3007"/>
      <c r="AL16" s="3007"/>
      <c r="AM16" s="3007">
        <f>AJ16*(1+$J$16)</f>
        <v>246825.27738045654</v>
      </c>
      <c r="AN16" s="3007"/>
      <c r="AO16" s="3007"/>
      <c r="AP16" s="3007">
        <f>AM16*(1+$J$16)</f>
        <v>252995.90931496792</v>
      </c>
      <c r="AQ16" s="3007"/>
      <c r="AR16" s="3007"/>
      <c r="AS16" s="3007">
        <f>AP16*(1+$J$16)</f>
        <v>259320.8070478421</v>
      </c>
      <c r="AT16" s="3007"/>
      <c r="AU16" s="3007"/>
      <c r="AV16" s="3007">
        <f>AS16*(1+$J$16)</f>
        <v>265803.82722403813</v>
      </c>
      <c r="AW16" s="3007"/>
      <c r="AX16" s="3007"/>
      <c r="AY16" s="3007">
        <f>AV16*(1+$J$16)</f>
        <v>272448.92290463904</v>
      </c>
      <c r="AZ16" s="3007"/>
      <c r="BA16" s="3007"/>
      <c r="BB16" s="3007">
        <f>AY16*(1+$J$16)</f>
        <v>279260.14597725502</v>
      </c>
      <c r="BC16" s="3007"/>
      <c r="BD16" s="3007"/>
      <c r="BE16" s="3007">
        <f>BB16*(1+$J$16)</f>
        <v>286241.64962668635</v>
      </c>
      <c r="BF16" s="3007"/>
      <c r="BG16" s="3007"/>
      <c r="BH16" s="3007">
        <f>BE16*(1+$J$16)</f>
        <v>293397.69086735346</v>
      </c>
      <c r="BI16" s="3007"/>
      <c r="BJ16" s="3007"/>
      <c r="BK16" s="3007">
        <f>BH16*(1+$J$16)</f>
        <v>300732.63313903729</v>
      </c>
      <c r="BL16" s="3007"/>
      <c r="BM16" s="3007"/>
      <c r="BN16" s="3007">
        <f>BK16*(1+$J$16)</f>
        <v>308250.94896751322</v>
      </c>
      <c r="BO16" s="3007"/>
      <c r="BP16" s="3007"/>
      <c r="BQ16" s="3007">
        <f>BN16*(1+$J$16)</f>
        <v>315957.22269170103</v>
      </c>
      <c r="BR16" s="3007"/>
      <c r="BS16" s="3007"/>
      <c r="BT16" s="3007">
        <f>BQ16*(1+$J$16)</f>
        <v>323856.15325899352</v>
      </c>
      <c r="BU16" s="3007"/>
      <c r="BV16" s="3007"/>
      <c r="BW16" s="3007">
        <f>BT16*(1+$J$16)</f>
        <v>331952.55709046836</v>
      </c>
      <c r="BX16" s="3007"/>
      <c r="BY16" s="3007"/>
      <c r="BZ16" s="3007">
        <f>BW16*(1+$J$16)</f>
        <v>340251.37101773004</v>
      </c>
      <c r="CA16" s="3007"/>
      <c r="CB16" s="3007"/>
      <c r="CC16" s="3007">
        <f>BZ16*(1+$J$16)</f>
        <v>348757.65529317327</v>
      </c>
      <c r="CD16" s="3007"/>
      <c r="CE16" s="3007"/>
      <c r="CF16" s="3007">
        <f>CC16*(1+$J$16)</f>
        <v>357476.5966755026</v>
      </c>
      <c r="CG16" s="3007"/>
      <c r="CH16" s="3007"/>
      <c r="CI16" s="3007">
        <f>CF16*(1+$J$16)</f>
        <v>366413.51159239013</v>
      </c>
      <c r="CJ16" s="3007"/>
      <c r="CK16" s="3007"/>
      <c r="CL16" s="3007">
        <f>CI16*(1+$J$16)</f>
        <v>375573.84938219987</v>
      </c>
      <c r="CM16" s="3007"/>
      <c r="CN16" s="3007"/>
      <c r="CO16" s="3007">
        <f>CL16*(1+$J$16)</f>
        <v>384963.19561675482</v>
      </c>
      <c r="CP16" s="3007"/>
      <c r="CQ16" s="3007"/>
      <c r="CR16" s="3007">
        <f>CO16*(1+$J$16)</f>
        <v>394587.27550717368</v>
      </c>
      <c r="CS16" s="3007"/>
      <c r="CT16" s="3007"/>
      <c r="CU16" s="3007">
        <f>CR16*(1+$J$16)</f>
        <v>404451.957394853</v>
      </c>
      <c r="CV16" s="3007"/>
      <c r="CW16" s="3007"/>
      <c r="CX16" s="3007">
        <f>CU16*(1+$J$16)</f>
        <v>414563.25632972427</v>
      </c>
      <c r="CY16" s="3007"/>
      <c r="CZ16" s="3007"/>
      <c r="DA16" s="3007">
        <f>CX16*(1+$J$16)</f>
        <v>424927.33773796732</v>
      </c>
      <c r="DB16" s="3007"/>
      <c r="DC16" s="3007"/>
      <c r="DD16" s="3007">
        <f>DA16*(1+$J$16)</f>
        <v>435550.52118141646</v>
      </c>
      <c r="DE16" s="3007"/>
      <c r="DF16" s="3007"/>
      <c r="DG16" s="3007">
        <f>DD16*(1+$J$16)</f>
        <v>446439.28421095182</v>
      </c>
      <c r="DH16" s="3007"/>
      <c r="DI16" s="3007"/>
      <c r="DJ16" s="3007">
        <f>DG16*(1+$J$16)</f>
        <v>457600.26631622558</v>
      </c>
      <c r="DK16" s="3007"/>
      <c r="DL16" s="3007"/>
      <c r="DM16" s="3007">
        <f>DJ16*(1+$J$16)</f>
        <v>469040.27297413116</v>
      </c>
      <c r="DN16" s="3007"/>
      <c r="DO16" s="3007"/>
      <c r="DP16" s="3007">
        <f>DM16*(1+$J$16)</f>
        <v>480766.27979848441</v>
      </c>
      <c r="DQ16" s="3007"/>
      <c r="DR16" s="3007"/>
      <c r="DS16" s="3007">
        <f>DP16*(1+$J$16)</f>
        <v>492785.43679344648</v>
      </c>
      <c r="DT16" s="3007"/>
      <c r="DU16" s="3007"/>
      <c r="DV16" s="3007">
        <f>DS16*(1+$J$16)</f>
        <v>505105.0727132826</v>
      </c>
      <c r="DW16" s="3007"/>
      <c r="DX16" s="3007"/>
      <c r="DY16" s="2949">
        <f>DV16*(1+$J$16)</f>
        <v>517732.6995311146</v>
      </c>
      <c r="DZ16" s="2949"/>
      <c r="EA16" s="2950"/>
    </row>
    <row r="17" spans="2:132" ht="18" customHeight="1">
      <c r="B17" s="2968" t="s">
        <v>3263</v>
      </c>
      <c r="C17" s="2526"/>
      <c r="D17" s="2526"/>
      <c r="E17" s="2526"/>
      <c r="F17" s="2526"/>
      <c r="G17" s="2526"/>
      <c r="H17" s="2526"/>
      <c r="I17" s="2526"/>
      <c r="J17" s="2964">
        <v>2.5000000000000001E-2</v>
      </c>
      <c r="K17" s="2965"/>
      <c r="L17" s="3006">
        <f>'Operating Budget'!$F$43</f>
        <v>184884</v>
      </c>
      <c r="M17" s="2949"/>
      <c r="N17" s="2949"/>
      <c r="O17" s="2949">
        <f>L17*(1+$J$17)</f>
        <v>189506.09999999998</v>
      </c>
      <c r="P17" s="2949"/>
      <c r="Q17" s="2949"/>
      <c r="R17" s="2949">
        <f>O17*(1+$J$17)</f>
        <v>194243.75249999997</v>
      </c>
      <c r="S17" s="2949"/>
      <c r="T17" s="2949"/>
      <c r="U17" s="2949">
        <f>R17*(1+$J$17)</f>
        <v>199099.84631249995</v>
      </c>
      <c r="V17" s="2949"/>
      <c r="W17" s="2949"/>
      <c r="X17" s="2949">
        <f>U17*(1+$J$17)</f>
        <v>204077.34247031243</v>
      </c>
      <c r="Y17" s="2949"/>
      <c r="Z17" s="2949"/>
      <c r="AA17" s="2949">
        <f>X17*(1+$J$17)</f>
        <v>209179.27603207022</v>
      </c>
      <c r="AB17" s="2949"/>
      <c r="AC17" s="2949"/>
      <c r="AD17" s="2949">
        <f>AA17*(1+$J$17)</f>
        <v>214408.75793287196</v>
      </c>
      <c r="AE17" s="2949"/>
      <c r="AF17" s="2949"/>
      <c r="AG17" s="2949">
        <f>AD17*(1+$J$17)</f>
        <v>219768.97688119372</v>
      </c>
      <c r="AH17" s="2949"/>
      <c r="AI17" s="2949"/>
      <c r="AJ17" s="2949">
        <f>AG17*(1+$J$17)</f>
        <v>225263.20130322356</v>
      </c>
      <c r="AK17" s="2949"/>
      <c r="AL17" s="2949"/>
      <c r="AM17" s="2949">
        <f>AJ17*(1+$J$17)</f>
        <v>230894.78133580412</v>
      </c>
      <c r="AN17" s="2949"/>
      <c r="AO17" s="2949"/>
      <c r="AP17" s="2949">
        <f>AM17*(1+$J$17)</f>
        <v>236667.15086919919</v>
      </c>
      <c r="AQ17" s="2949"/>
      <c r="AR17" s="2949"/>
      <c r="AS17" s="2949">
        <f>AP17*(1+$J$17)</f>
        <v>242583.82964092915</v>
      </c>
      <c r="AT17" s="2949"/>
      <c r="AU17" s="2949"/>
      <c r="AV17" s="2949">
        <f>AS17*(1+$J$17)</f>
        <v>248648.42538195234</v>
      </c>
      <c r="AW17" s="2949"/>
      <c r="AX17" s="2949"/>
      <c r="AY17" s="2949">
        <f>AV17*(1+$J$17)</f>
        <v>254864.63601650114</v>
      </c>
      <c r="AZ17" s="2949"/>
      <c r="BA17" s="2949"/>
      <c r="BB17" s="2949">
        <f>AY17*(1+$J$17)</f>
        <v>261236.25191691364</v>
      </c>
      <c r="BC17" s="2949"/>
      <c r="BD17" s="2949"/>
      <c r="BE17" s="2949">
        <f>BB17*(1+$J$17)</f>
        <v>267767.15821483644</v>
      </c>
      <c r="BF17" s="2949"/>
      <c r="BG17" s="2949"/>
      <c r="BH17" s="2949">
        <f>BE17*(1+$J$17)</f>
        <v>274461.33717020735</v>
      </c>
      <c r="BI17" s="2949"/>
      <c r="BJ17" s="2949"/>
      <c r="BK17" s="2949">
        <f>BH17*(1+$J$17)</f>
        <v>281322.87059946253</v>
      </c>
      <c r="BL17" s="2949"/>
      <c r="BM17" s="2949"/>
      <c r="BN17" s="2949">
        <f>BK17*(1+$J$17)</f>
        <v>288355.94236444909</v>
      </c>
      <c r="BO17" s="2949"/>
      <c r="BP17" s="2949"/>
      <c r="BQ17" s="2949">
        <f>BN17*(1+$J$17)</f>
        <v>295564.84092356032</v>
      </c>
      <c r="BR17" s="2949"/>
      <c r="BS17" s="2949"/>
      <c r="BT17" s="2949">
        <f>BQ17*(1+$J$17)</f>
        <v>302953.9619466493</v>
      </c>
      <c r="BU17" s="2949"/>
      <c r="BV17" s="2949"/>
      <c r="BW17" s="2949">
        <f>BT17*(1+$J$17)</f>
        <v>310527.81099531549</v>
      </c>
      <c r="BX17" s="2949"/>
      <c r="BY17" s="2949"/>
      <c r="BZ17" s="2949">
        <f>BW17*(1+$J$17)</f>
        <v>318291.00627019833</v>
      </c>
      <c r="CA17" s="2949"/>
      <c r="CB17" s="2949"/>
      <c r="CC17" s="2949">
        <f>BZ17*(1+$J$17)</f>
        <v>326248.28142695327</v>
      </c>
      <c r="CD17" s="2949"/>
      <c r="CE17" s="2949"/>
      <c r="CF17" s="2949">
        <f>CC17*(1+$J$17)</f>
        <v>334404.48846262705</v>
      </c>
      <c r="CG17" s="2949"/>
      <c r="CH17" s="2949"/>
      <c r="CI17" s="2949">
        <f>CF17*(1+$J$17)</f>
        <v>342764.60067419271</v>
      </c>
      <c r="CJ17" s="2949"/>
      <c r="CK17" s="2949"/>
      <c r="CL17" s="2949">
        <f>CI17*(1+$J$17)</f>
        <v>351333.71569104749</v>
      </c>
      <c r="CM17" s="2949"/>
      <c r="CN17" s="2949"/>
      <c r="CO17" s="2949">
        <f>CL17*(1+$J$17)</f>
        <v>360117.05858332367</v>
      </c>
      <c r="CP17" s="2949"/>
      <c r="CQ17" s="2949"/>
      <c r="CR17" s="2949">
        <f>CO17*(1+$J$17)</f>
        <v>369119.98504790675</v>
      </c>
      <c r="CS17" s="2949"/>
      <c r="CT17" s="2949"/>
      <c r="CU17" s="2949">
        <f>CR17*(1+$J$17)</f>
        <v>378347.98467410437</v>
      </c>
      <c r="CV17" s="2949"/>
      <c r="CW17" s="2949"/>
      <c r="CX17" s="2949">
        <f>CU17*(1+$J$17)</f>
        <v>387806.68429095694</v>
      </c>
      <c r="CY17" s="2949"/>
      <c r="CZ17" s="2949"/>
      <c r="DA17" s="2949">
        <f>CX17*(1+$J$17)</f>
        <v>397501.85139823082</v>
      </c>
      <c r="DB17" s="2949"/>
      <c r="DC17" s="2949"/>
      <c r="DD17" s="2949">
        <f>DA17*(1+$J$17)</f>
        <v>407439.39768318657</v>
      </c>
      <c r="DE17" s="2949"/>
      <c r="DF17" s="2949"/>
      <c r="DG17" s="2949">
        <f>DD17*(1+$J$17)</f>
        <v>417625.38262526621</v>
      </c>
      <c r="DH17" s="2949"/>
      <c r="DI17" s="2949"/>
      <c r="DJ17" s="2949">
        <f>DG17*(1+$J$17)</f>
        <v>428066.01719089784</v>
      </c>
      <c r="DK17" s="2949"/>
      <c r="DL17" s="2949"/>
      <c r="DM17" s="2949">
        <f>DJ17*(1+$J$17)</f>
        <v>438767.66762067023</v>
      </c>
      <c r="DN17" s="2949"/>
      <c r="DO17" s="2949"/>
      <c r="DP17" s="2949">
        <f>DM17*(1+$J$17)</f>
        <v>449736.85931118694</v>
      </c>
      <c r="DQ17" s="2949"/>
      <c r="DR17" s="2949"/>
      <c r="DS17" s="2949">
        <f>DP17*(1+$J$17)</f>
        <v>460980.28079396655</v>
      </c>
      <c r="DT17" s="2949"/>
      <c r="DU17" s="2949"/>
      <c r="DV17" s="2949">
        <f>DS17*(1+$J$17)</f>
        <v>472504.7878138157</v>
      </c>
      <c r="DW17" s="2949"/>
      <c r="DX17" s="2949"/>
      <c r="DY17" s="2949">
        <f>DV17*(1+$J$17)</f>
        <v>484317.40750916104</v>
      </c>
      <c r="DZ17" s="2949"/>
      <c r="EA17" s="2950"/>
    </row>
    <row r="18" spans="2:132" ht="18" customHeight="1">
      <c r="B18" s="2991" t="s">
        <v>3788</v>
      </c>
      <c r="C18" s="2992"/>
      <c r="D18" s="2992"/>
      <c r="E18" s="2992"/>
      <c r="F18" s="2992"/>
      <c r="G18" s="2992"/>
      <c r="H18" s="2992"/>
      <c r="I18" s="2992"/>
      <c r="J18" s="2992"/>
      <c r="K18" s="2992"/>
      <c r="L18" s="2990">
        <f t="shared" ref="L18:R18" si="0">SUM(L15:L17)</f>
        <v>454284</v>
      </c>
      <c r="M18" s="2979"/>
      <c r="N18" s="2979"/>
      <c r="O18" s="2979">
        <f t="shared" si="0"/>
        <v>465641.1</v>
      </c>
      <c r="P18" s="2979"/>
      <c r="Q18" s="2979"/>
      <c r="R18" s="2979">
        <f t="shared" si="0"/>
        <v>477282.12749999994</v>
      </c>
      <c r="S18" s="2979"/>
      <c r="T18" s="2979"/>
      <c r="U18" s="2979">
        <f>SUM(U15:U17)</f>
        <v>489214.18068749987</v>
      </c>
      <c r="V18" s="2979"/>
      <c r="W18" s="2979"/>
      <c r="X18" s="2979">
        <f>SUM(X15:X17)</f>
        <v>501444.53520468733</v>
      </c>
      <c r="Y18" s="2979"/>
      <c r="Z18" s="2979"/>
      <c r="AA18" s="2979">
        <f>SUM(AA15:AA17)</f>
        <v>513980.64858480444</v>
      </c>
      <c r="AB18" s="2979"/>
      <c r="AC18" s="2979"/>
      <c r="AD18" s="2979">
        <f>SUM(AD15:AD17)</f>
        <v>526830.16479942447</v>
      </c>
      <c r="AE18" s="2979"/>
      <c r="AF18" s="2979"/>
      <c r="AG18" s="2979">
        <f>SUM(AG15:AG17)</f>
        <v>540000.91891941009</v>
      </c>
      <c r="AH18" s="2979"/>
      <c r="AI18" s="2979"/>
      <c r="AJ18" s="2979">
        <f>SUM(AJ15:AJ17)</f>
        <v>553500.94189239526</v>
      </c>
      <c r="AK18" s="2979"/>
      <c r="AL18" s="2979"/>
      <c r="AM18" s="2979">
        <f>SUM(AM15:AM17)</f>
        <v>567338.46543970506</v>
      </c>
      <c r="AN18" s="2979"/>
      <c r="AO18" s="2979"/>
      <c r="AP18" s="2979">
        <f>SUM(AP15:AP17)</f>
        <v>581521.92707569769</v>
      </c>
      <c r="AQ18" s="2979"/>
      <c r="AR18" s="2979"/>
      <c r="AS18" s="2979">
        <f>SUM(AS15:AS17)</f>
        <v>596059.97525259003</v>
      </c>
      <c r="AT18" s="2979"/>
      <c r="AU18" s="2979"/>
      <c r="AV18" s="2979">
        <f>SUM(AV15:AV17)</f>
        <v>610961.47463390476</v>
      </c>
      <c r="AW18" s="2979"/>
      <c r="AX18" s="2979"/>
      <c r="AY18" s="2979">
        <f>SUM(AY15:AY17)</f>
        <v>626235.51149975229</v>
      </c>
      <c r="AZ18" s="2979"/>
      <c r="BA18" s="2979"/>
      <c r="BB18" s="2979">
        <f>SUM(BB15:BB17)</f>
        <v>641891.39928724605</v>
      </c>
      <c r="BC18" s="2979"/>
      <c r="BD18" s="2979"/>
      <c r="BE18" s="2979">
        <f>SUM(BE15:BE17)</f>
        <v>657938.68426942709</v>
      </c>
      <c r="BF18" s="2979"/>
      <c r="BG18" s="2979"/>
      <c r="BH18" s="2979">
        <f>SUM(BH15:BH17)</f>
        <v>674387.15137616266</v>
      </c>
      <c r="BI18" s="2979"/>
      <c r="BJ18" s="2979"/>
      <c r="BK18" s="2979">
        <f>SUM(BK15:BK17)</f>
        <v>691246.83016056684</v>
      </c>
      <c r="BL18" s="2979"/>
      <c r="BM18" s="2979"/>
      <c r="BN18" s="2979">
        <f>SUM(BN15:BN17)</f>
        <v>708528.00091458089</v>
      </c>
      <c r="BO18" s="2979"/>
      <c r="BP18" s="2979"/>
      <c r="BQ18" s="2979">
        <f>SUM(BQ15:BQ17)</f>
        <v>726241.20093744551</v>
      </c>
      <c r="BR18" s="2979"/>
      <c r="BS18" s="2979"/>
      <c r="BT18" s="2979">
        <f>SUM(BT15:BT17)</f>
        <v>744397.23096088157</v>
      </c>
      <c r="BU18" s="2979"/>
      <c r="BV18" s="2979"/>
      <c r="BW18" s="2979">
        <f>SUM(BW15:BW17)</f>
        <v>763007.16173490346</v>
      </c>
      <c r="BX18" s="2979"/>
      <c r="BY18" s="2979"/>
      <c r="BZ18" s="2979">
        <f>SUM(BZ15:BZ17)</f>
        <v>782082.34077827598</v>
      </c>
      <c r="CA18" s="2979"/>
      <c r="CB18" s="2979"/>
      <c r="CC18" s="2979">
        <f>SUM(CC15:CC17)</f>
        <v>801634.39929773286</v>
      </c>
      <c r="CD18" s="2979"/>
      <c r="CE18" s="2979"/>
      <c r="CF18" s="2979">
        <f>SUM(CF15:CF17)</f>
        <v>821675.25928017613</v>
      </c>
      <c r="CG18" s="2979"/>
      <c r="CH18" s="2979"/>
      <c r="CI18" s="2979">
        <f>SUM(CI15:CI17)</f>
        <v>842217.14076218044</v>
      </c>
      <c r="CJ18" s="2979"/>
      <c r="CK18" s="2979"/>
      <c r="CL18" s="2979">
        <f>SUM(CL15:CL17)</f>
        <v>863272.56928123487</v>
      </c>
      <c r="CM18" s="2979"/>
      <c r="CN18" s="2979"/>
      <c r="CO18" s="2979">
        <f>SUM(CO15:CO17)</f>
        <v>884854.38351326576</v>
      </c>
      <c r="CP18" s="2979"/>
      <c r="CQ18" s="2979"/>
      <c r="CR18" s="2979">
        <f>SUM(CR15:CR17)</f>
        <v>906975.74310109729</v>
      </c>
      <c r="CS18" s="2979"/>
      <c r="CT18" s="2979"/>
      <c r="CU18" s="2979">
        <f>SUM(CU15:CU17)</f>
        <v>929650.13667862455</v>
      </c>
      <c r="CV18" s="2979"/>
      <c r="CW18" s="2979"/>
      <c r="CX18" s="2979">
        <f>SUM(CX15:CX17)</f>
        <v>952891.39009559015</v>
      </c>
      <c r="CY18" s="2979"/>
      <c r="CZ18" s="2979"/>
      <c r="DA18" s="2979">
        <f>SUM(DA15:DA17)</f>
        <v>976713.6748479798</v>
      </c>
      <c r="DB18" s="2979"/>
      <c r="DC18" s="2979"/>
      <c r="DD18" s="2979">
        <f>SUM(DD15:DD17)</f>
        <v>1001131.5167191792</v>
      </c>
      <c r="DE18" s="2979"/>
      <c r="DF18" s="2979"/>
      <c r="DG18" s="2979">
        <f>SUM(DG15:DG17)</f>
        <v>1026159.8046371585</v>
      </c>
      <c r="DH18" s="2979"/>
      <c r="DI18" s="2979"/>
      <c r="DJ18" s="2979">
        <f>SUM(DJ15:DJ17)</f>
        <v>1051813.7997530876</v>
      </c>
      <c r="DK18" s="2979"/>
      <c r="DL18" s="2979"/>
      <c r="DM18" s="2979">
        <f>SUM(DM15:DM17)</f>
        <v>1078109.1447469145</v>
      </c>
      <c r="DN18" s="2979"/>
      <c r="DO18" s="2979"/>
      <c r="DP18" s="2979">
        <f>SUM(DP15:DP17)</f>
        <v>1105061.8733655873</v>
      </c>
      <c r="DQ18" s="2979"/>
      <c r="DR18" s="2979"/>
      <c r="DS18" s="2979">
        <f>SUM(DS15:DS17)</f>
        <v>1132688.4201997269</v>
      </c>
      <c r="DT18" s="2979"/>
      <c r="DU18" s="2979"/>
      <c r="DV18" s="2979">
        <f>SUM(DV15:DV17)</f>
        <v>1161005.63070472</v>
      </c>
      <c r="DW18" s="2979"/>
      <c r="DX18" s="2979"/>
      <c r="DY18" s="2979">
        <f>SUM(DY15:DY17)</f>
        <v>1190030.7714723377</v>
      </c>
      <c r="DZ18" s="2979"/>
      <c r="EA18" s="3021"/>
    </row>
    <row r="19" spans="2:132" s="55" customFormat="1" ht="18" customHeight="1" thickBot="1">
      <c r="B19" s="2986" t="s">
        <v>3789</v>
      </c>
      <c r="C19" s="2987"/>
      <c r="D19" s="2987"/>
      <c r="E19" s="2987"/>
      <c r="F19" s="2987"/>
      <c r="G19" s="2987"/>
      <c r="H19" s="2987"/>
      <c r="I19" s="2987"/>
      <c r="J19" s="2987"/>
      <c r="K19" s="2988"/>
      <c r="L19" s="3029">
        <f>L12+L18</f>
        <v>454284</v>
      </c>
      <c r="M19" s="3030"/>
      <c r="N19" s="3030"/>
      <c r="O19" s="3030">
        <f>O12+O18</f>
        <v>465641.1</v>
      </c>
      <c r="P19" s="3030"/>
      <c r="Q19" s="3030"/>
      <c r="R19" s="3030">
        <f>R12+R18</f>
        <v>477282.12749999994</v>
      </c>
      <c r="S19" s="3030"/>
      <c r="T19" s="3030"/>
      <c r="U19" s="3030">
        <f>U12+U18</f>
        <v>489214.18068749987</v>
      </c>
      <c r="V19" s="3030"/>
      <c r="W19" s="3030"/>
      <c r="X19" s="3030">
        <f>X12+X18</f>
        <v>501444.53520468733</v>
      </c>
      <c r="Y19" s="3030"/>
      <c r="Z19" s="3030"/>
      <c r="AA19" s="3030">
        <f>AA12+AA18</f>
        <v>513980.64858480444</v>
      </c>
      <c r="AB19" s="3030"/>
      <c r="AC19" s="3030"/>
      <c r="AD19" s="3030">
        <f>AD12+AD18</f>
        <v>526830.16479942447</v>
      </c>
      <c r="AE19" s="3030"/>
      <c r="AF19" s="3030"/>
      <c r="AG19" s="3030">
        <f>AG12+AG18</f>
        <v>540000.91891941009</v>
      </c>
      <c r="AH19" s="3030"/>
      <c r="AI19" s="3030"/>
      <c r="AJ19" s="3030">
        <f>AJ12+AJ18</f>
        <v>553500.94189239526</v>
      </c>
      <c r="AK19" s="3030"/>
      <c r="AL19" s="3030"/>
      <c r="AM19" s="3030">
        <f>AM12+AM18</f>
        <v>567338.46543970506</v>
      </c>
      <c r="AN19" s="3030"/>
      <c r="AO19" s="3030"/>
      <c r="AP19" s="3030">
        <f>AP12+AP18</f>
        <v>581521.92707569769</v>
      </c>
      <c r="AQ19" s="3030"/>
      <c r="AR19" s="3030"/>
      <c r="AS19" s="3030">
        <f>AS12+AS18</f>
        <v>596059.97525259003</v>
      </c>
      <c r="AT19" s="3030"/>
      <c r="AU19" s="3030"/>
      <c r="AV19" s="3030">
        <f>AV12+AV18</f>
        <v>610961.47463390476</v>
      </c>
      <c r="AW19" s="3030"/>
      <c r="AX19" s="3030"/>
      <c r="AY19" s="3030">
        <f>AY12+AY18</f>
        <v>626235.51149975229</v>
      </c>
      <c r="AZ19" s="3030"/>
      <c r="BA19" s="3030"/>
      <c r="BB19" s="3030">
        <f>BB12+BB18</f>
        <v>641891.39928724605</v>
      </c>
      <c r="BC19" s="3030"/>
      <c r="BD19" s="3030"/>
      <c r="BE19" s="3030">
        <f>BE12+BE18</f>
        <v>657938.68426942709</v>
      </c>
      <c r="BF19" s="3030"/>
      <c r="BG19" s="3030"/>
      <c r="BH19" s="3030">
        <f>BH12+BH18</f>
        <v>674387.15137616266</v>
      </c>
      <c r="BI19" s="3030"/>
      <c r="BJ19" s="3030"/>
      <c r="BK19" s="3030">
        <f>BK12+BK18</f>
        <v>691246.83016056684</v>
      </c>
      <c r="BL19" s="3030"/>
      <c r="BM19" s="3030"/>
      <c r="BN19" s="3030">
        <f>BN12+BN18</f>
        <v>708528.00091458089</v>
      </c>
      <c r="BO19" s="3030"/>
      <c r="BP19" s="3030"/>
      <c r="BQ19" s="3030">
        <f>BQ12+BQ18</f>
        <v>726241.20093744551</v>
      </c>
      <c r="BR19" s="3030"/>
      <c r="BS19" s="3030"/>
      <c r="BT19" s="3030">
        <f>BT12+BT18</f>
        <v>744397.23096088157</v>
      </c>
      <c r="BU19" s="3030"/>
      <c r="BV19" s="3030"/>
      <c r="BW19" s="3030">
        <f>BW12+BW18</f>
        <v>763007.16173490346</v>
      </c>
      <c r="BX19" s="3030"/>
      <c r="BY19" s="3030"/>
      <c r="BZ19" s="3030">
        <f>BZ12+BZ18</f>
        <v>782082.34077827598</v>
      </c>
      <c r="CA19" s="3030"/>
      <c r="CB19" s="3030"/>
      <c r="CC19" s="3030">
        <f>CC12+CC18</f>
        <v>801634.39929773286</v>
      </c>
      <c r="CD19" s="3030"/>
      <c r="CE19" s="3030"/>
      <c r="CF19" s="3030">
        <f>CF12+CF18</f>
        <v>821675.25928017613</v>
      </c>
      <c r="CG19" s="3030"/>
      <c r="CH19" s="3030"/>
      <c r="CI19" s="3030">
        <f>CI12+CI18</f>
        <v>842217.14076218044</v>
      </c>
      <c r="CJ19" s="3030"/>
      <c r="CK19" s="3030"/>
      <c r="CL19" s="3030">
        <f>CL12+CL18</f>
        <v>863272.56928123487</v>
      </c>
      <c r="CM19" s="3030"/>
      <c r="CN19" s="3030"/>
      <c r="CO19" s="3030">
        <f>CO12+CO18</f>
        <v>884854.38351326576</v>
      </c>
      <c r="CP19" s="3030"/>
      <c r="CQ19" s="3030"/>
      <c r="CR19" s="3030">
        <f>CR12+CR18</f>
        <v>906975.74310109729</v>
      </c>
      <c r="CS19" s="3030"/>
      <c r="CT19" s="3030"/>
      <c r="CU19" s="3030">
        <f>CU12+CU18</f>
        <v>929650.13667862455</v>
      </c>
      <c r="CV19" s="3030"/>
      <c r="CW19" s="3030"/>
      <c r="CX19" s="3030">
        <f>CX12+CX18</f>
        <v>952891.39009559015</v>
      </c>
      <c r="CY19" s="3030"/>
      <c r="CZ19" s="3030"/>
      <c r="DA19" s="3030">
        <f>DA12+DA18</f>
        <v>976713.6748479798</v>
      </c>
      <c r="DB19" s="3030"/>
      <c r="DC19" s="3030"/>
      <c r="DD19" s="3030">
        <f>DD12+DD18</f>
        <v>1001131.5167191792</v>
      </c>
      <c r="DE19" s="3030"/>
      <c r="DF19" s="3030"/>
      <c r="DG19" s="3030">
        <f>DG12+DG18</f>
        <v>1026159.8046371585</v>
      </c>
      <c r="DH19" s="3030"/>
      <c r="DI19" s="3030"/>
      <c r="DJ19" s="3030">
        <f>DJ12+DJ18</f>
        <v>1051813.7997530876</v>
      </c>
      <c r="DK19" s="3030"/>
      <c r="DL19" s="3030"/>
      <c r="DM19" s="3030">
        <f>DM12+DM18</f>
        <v>1078109.1447469145</v>
      </c>
      <c r="DN19" s="3030"/>
      <c r="DO19" s="3030"/>
      <c r="DP19" s="3030">
        <f>DP12+DP18</f>
        <v>1105061.8733655873</v>
      </c>
      <c r="DQ19" s="3030"/>
      <c r="DR19" s="3030"/>
      <c r="DS19" s="3030">
        <f>DS12+DS18</f>
        <v>1132688.4201997269</v>
      </c>
      <c r="DT19" s="3030"/>
      <c r="DU19" s="3030"/>
      <c r="DV19" s="3030">
        <f>DV12+DV18</f>
        <v>1161005.63070472</v>
      </c>
      <c r="DW19" s="3030"/>
      <c r="DX19" s="3030"/>
      <c r="DY19" s="3030">
        <f>DY12+DY18</f>
        <v>1190030.7714723377</v>
      </c>
      <c r="DZ19" s="3030"/>
      <c r="EA19" s="3031"/>
      <c r="EB19" s="165"/>
    </row>
    <row r="20" spans="2:132" ht="18" customHeight="1" thickTop="1">
      <c r="B20" s="79"/>
      <c r="C20" s="79"/>
      <c r="D20" s="79"/>
      <c r="E20" s="79"/>
      <c r="F20" s="79"/>
      <c r="G20" s="79"/>
      <c r="H20" s="79"/>
      <c r="I20" s="79"/>
      <c r="J20" s="79"/>
      <c r="K20" s="79"/>
      <c r="L20" s="79"/>
      <c r="M20" s="79"/>
      <c r="N20" s="79"/>
      <c r="O20" s="79"/>
      <c r="P20" s="79"/>
      <c r="Q20" s="79"/>
      <c r="R20" s="79"/>
      <c r="S20" s="79"/>
      <c r="T20" s="79"/>
      <c r="U20" s="79"/>
      <c r="V20" s="79"/>
      <c r="W20" s="79"/>
      <c r="X20" s="79"/>
      <c r="Y20" s="79"/>
      <c r="Z20" s="79"/>
      <c r="AA20" s="79"/>
      <c r="AB20" s="79"/>
      <c r="AC20" s="79"/>
      <c r="AD20" s="79"/>
      <c r="AE20" s="79"/>
      <c r="AF20" s="79"/>
      <c r="AG20" s="79"/>
      <c r="AH20" s="79"/>
      <c r="AI20" s="79"/>
      <c r="AJ20" s="79"/>
      <c r="AK20" s="79"/>
      <c r="AL20" s="79"/>
      <c r="AM20" s="79"/>
      <c r="AN20" s="79"/>
      <c r="AO20" s="79"/>
      <c r="AP20" s="79"/>
      <c r="AQ20" s="79"/>
      <c r="AR20" s="79"/>
      <c r="AS20" s="79"/>
      <c r="AT20" s="79"/>
      <c r="AU20" s="79"/>
      <c r="AV20" s="79"/>
      <c r="AW20" s="79"/>
      <c r="AX20" s="79"/>
      <c r="AY20" s="79"/>
      <c r="AZ20" s="79"/>
      <c r="BA20" s="79"/>
      <c r="BB20" s="79"/>
      <c r="BC20" s="79"/>
      <c r="BD20" s="79"/>
      <c r="BE20" s="79"/>
      <c r="BF20" s="79"/>
      <c r="BG20" s="79"/>
      <c r="BH20" s="79"/>
      <c r="BI20" s="79"/>
      <c r="BJ20" s="79"/>
      <c r="BK20" s="79"/>
      <c r="BL20" s="79"/>
      <c r="BM20" s="79"/>
      <c r="BN20" s="79"/>
      <c r="BO20" s="79"/>
      <c r="BP20" s="79"/>
      <c r="BQ20" s="79"/>
      <c r="BR20" s="79"/>
      <c r="BS20" s="79"/>
      <c r="BT20" s="79"/>
      <c r="BU20" s="79"/>
      <c r="BV20" s="79"/>
      <c r="BW20" s="79"/>
      <c r="BX20" s="79"/>
      <c r="BY20" s="79"/>
      <c r="BZ20" s="79"/>
      <c r="CA20" s="79"/>
      <c r="CB20" s="79"/>
      <c r="CC20" s="79"/>
      <c r="CD20" s="79"/>
      <c r="CE20" s="79"/>
      <c r="CF20" s="79"/>
      <c r="CG20" s="79"/>
      <c r="CH20" s="79"/>
      <c r="CI20" s="79"/>
      <c r="CJ20" s="79"/>
      <c r="CK20" s="79"/>
      <c r="CL20" s="79"/>
      <c r="CM20" s="79"/>
      <c r="CN20" s="79"/>
      <c r="CO20" s="79"/>
      <c r="CP20" s="79"/>
      <c r="CQ20" s="79"/>
      <c r="CR20" s="79"/>
      <c r="CS20" s="79"/>
      <c r="CT20" s="79"/>
      <c r="CU20" s="79"/>
      <c r="CV20" s="79"/>
      <c r="CW20" s="79"/>
      <c r="CX20" s="79"/>
      <c r="CY20" s="79"/>
      <c r="CZ20" s="79"/>
      <c r="DA20" s="79"/>
      <c r="DB20" s="79"/>
      <c r="DC20" s="79"/>
      <c r="DD20" s="79"/>
      <c r="DE20" s="79"/>
      <c r="DF20" s="79"/>
      <c r="DG20" s="79"/>
      <c r="DH20" s="79"/>
      <c r="DI20" s="79"/>
      <c r="DJ20" s="79"/>
      <c r="DK20" s="79"/>
      <c r="DL20" s="79"/>
      <c r="DM20" s="79"/>
      <c r="DN20" s="79"/>
      <c r="DO20" s="79"/>
      <c r="DP20" s="79"/>
      <c r="DQ20" s="79"/>
      <c r="DR20" s="79"/>
      <c r="DS20" s="79"/>
      <c r="DT20" s="79"/>
      <c r="DU20" s="79"/>
      <c r="DV20" s="79"/>
      <c r="DW20" s="79"/>
      <c r="DX20" s="79"/>
      <c r="DY20" s="79"/>
      <c r="DZ20" s="79"/>
      <c r="EA20" s="80"/>
    </row>
    <row r="21" spans="2:132" s="60" customFormat="1" ht="18" customHeight="1">
      <c r="B21" s="2993" t="s">
        <v>3790</v>
      </c>
      <c r="C21" s="2994"/>
      <c r="D21" s="2994"/>
      <c r="E21" s="2994"/>
      <c r="F21" s="2994"/>
      <c r="G21" s="2994"/>
      <c r="H21" s="2994"/>
      <c r="I21" s="2994"/>
      <c r="J21" s="2994"/>
      <c r="K21" s="2995"/>
      <c r="L21" s="3011" t="s">
        <v>3742</v>
      </c>
      <c r="M21" s="2984"/>
      <c r="N21" s="2984"/>
      <c r="O21" s="2984" t="s">
        <v>3743</v>
      </c>
      <c r="P21" s="2984"/>
      <c r="Q21" s="2984"/>
      <c r="R21" s="2984" t="s">
        <v>3744</v>
      </c>
      <c r="S21" s="2984"/>
      <c r="T21" s="2984"/>
      <c r="U21" s="2984" t="s">
        <v>3745</v>
      </c>
      <c r="V21" s="2984"/>
      <c r="W21" s="2984"/>
      <c r="X21" s="2984" t="s">
        <v>3746</v>
      </c>
      <c r="Y21" s="2984"/>
      <c r="Z21" s="2984"/>
      <c r="AA21" s="2984" t="s">
        <v>3747</v>
      </c>
      <c r="AB21" s="2984"/>
      <c r="AC21" s="2984"/>
      <c r="AD21" s="2984" t="s">
        <v>3748</v>
      </c>
      <c r="AE21" s="2984"/>
      <c r="AF21" s="2984"/>
      <c r="AG21" s="2984" t="s">
        <v>3749</v>
      </c>
      <c r="AH21" s="2984"/>
      <c r="AI21" s="2984"/>
      <c r="AJ21" s="2984" t="s">
        <v>3750</v>
      </c>
      <c r="AK21" s="2984"/>
      <c r="AL21" s="2984"/>
      <c r="AM21" s="2984" t="s">
        <v>3751</v>
      </c>
      <c r="AN21" s="2984"/>
      <c r="AO21" s="2984"/>
      <c r="AP21" s="2984" t="s">
        <v>3752</v>
      </c>
      <c r="AQ21" s="2984"/>
      <c r="AR21" s="2984"/>
      <c r="AS21" s="2984" t="s">
        <v>3753</v>
      </c>
      <c r="AT21" s="2984"/>
      <c r="AU21" s="2984"/>
      <c r="AV21" s="2984" t="s">
        <v>3754</v>
      </c>
      <c r="AW21" s="2984"/>
      <c r="AX21" s="2984"/>
      <c r="AY21" s="2984" t="s">
        <v>3755</v>
      </c>
      <c r="AZ21" s="2984"/>
      <c r="BA21" s="2984"/>
      <c r="BB21" s="2984" t="s">
        <v>3756</v>
      </c>
      <c r="BC21" s="2984"/>
      <c r="BD21" s="2984"/>
      <c r="BE21" s="2984" t="s">
        <v>3757</v>
      </c>
      <c r="BF21" s="2984"/>
      <c r="BG21" s="2984"/>
      <c r="BH21" s="2984" t="s">
        <v>3758</v>
      </c>
      <c r="BI21" s="2984"/>
      <c r="BJ21" s="2984"/>
      <c r="BK21" s="2984" t="s">
        <v>3759</v>
      </c>
      <c r="BL21" s="2984"/>
      <c r="BM21" s="2984"/>
      <c r="BN21" s="2984" t="s">
        <v>3760</v>
      </c>
      <c r="BO21" s="2984"/>
      <c r="BP21" s="2984"/>
      <c r="BQ21" s="2984" t="s">
        <v>3761</v>
      </c>
      <c r="BR21" s="2984"/>
      <c r="BS21" s="2984"/>
      <c r="BT21" s="2984" t="s">
        <v>3762</v>
      </c>
      <c r="BU21" s="2984"/>
      <c r="BV21" s="2984"/>
      <c r="BW21" s="2984" t="s">
        <v>3763</v>
      </c>
      <c r="BX21" s="2984"/>
      <c r="BY21" s="2984"/>
      <c r="BZ21" s="2984" t="s">
        <v>3764</v>
      </c>
      <c r="CA21" s="2984"/>
      <c r="CB21" s="2984"/>
      <c r="CC21" s="2984" t="s">
        <v>3765</v>
      </c>
      <c r="CD21" s="2984"/>
      <c r="CE21" s="2984"/>
      <c r="CF21" s="2984" t="s">
        <v>3766</v>
      </c>
      <c r="CG21" s="2984"/>
      <c r="CH21" s="2984"/>
      <c r="CI21" s="2984" t="s">
        <v>3767</v>
      </c>
      <c r="CJ21" s="2984"/>
      <c r="CK21" s="2984"/>
      <c r="CL21" s="2984" t="s">
        <v>3768</v>
      </c>
      <c r="CM21" s="2984"/>
      <c r="CN21" s="2984"/>
      <c r="CO21" s="2984" t="s">
        <v>3769</v>
      </c>
      <c r="CP21" s="2984"/>
      <c r="CQ21" s="2984"/>
      <c r="CR21" s="2984" t="s">
        <v>3770</v>
      </c>
      <c r="CS21" s="2984"/>
      <c r="CT21" s="2984"/>
      <c r="CU21" s="2984" t="s">
        <v>3771</v>
      </c>
      <c r="CV21" s="2984"/>
      <c r="CW21" s="2984"/>
      <c r="CX21" s="2984" t="s">
        <v>3772</v>
      </c>
      <c r="CY21" s="2984"/>
      <c r="CZ21" s="2984"/>
      <c r="DA21" s="2984" t="s">
        <v>3773</v>
      </c>
      <c r="DB21" s="2984"/>
      <c r="DC21" s="2984"/>
      <c r="DD21" s="2984" t="s">
        <v>3774</v>
      </c>
      <c r="DE21" s="2984"/>
      <c r="DF21" s="2984"/>
      <c r="DG21" s="2984" t="s">
        <v>3775</v>
      </c>
      <c r="DH21" s="2984"/>
      <c r="DI21" s="2984"/>
      <c r="DJ21" s="2984" t="s">
        <v>3776</v>
      </c>
      <c r="DK21" s="2984"/>
      <c r="DL21" s="2984"/>
      <c r="DM21" s="2984" t="s">
        <v>3777</v>
      </c>
      <c r="DN21" s="2984"/>
      <c r="DO21" s="2984"/>
      <c r="DP21" s="2984" t="s">
        <v>3778</v>
      </c>
      <c r="DQ21" s="2984"/>
      <c r="DR21" s="2984"/>
      <c r="DS21" s="2984" t="s">
        <v>3779</v>
      </c>
      <c r="DT21" s="2984"/>
      <c r="DU21" s="2984"/>
      <c r="DV21" s="2984" t="s">
        <v>3780</v>
      </c>
      <c r="DW21" s="2984"/>
      <c r="DX21" s="2984"/>
      <c r="DY21" s="2984" t="s">
        <v>3781</v>
      </c>
      <c r="DZ21" s="2984"/>
      <c r="EA21" s="3019"/>
    </row>
    <row r="22" spans="2:132" ht="18" customHeight="1">
      <c r="B22" s="2966" t="s">
        <v>386</v>
      </c>
      <c r="C22" s="2967"/>
      <c r="D22" s="2967"/>
      <c r="E22" s="2967"/>
      <c r="F22" s="2967"/>
      <c r="G22" s="2967"/>
      <c r="H22" s="2967"/>
      <c r="I22" s="2967"/>
      <c r="J22" s="3013">
        <f>'Operating Budget'!$E$44</f>
        <v>0.05</v>
      </c>
      <c r="K22" s="3014"/>
      <c r="L22" s="3035">
        <f>+$J22*L5</f>
        <v>0</v>
      </c>
      <c r="M22" s="3036"/>
      <c r="N22" s="3036"/>
      <c r="O22" s="3036">
        <f>+$J22*O5</f>
        <v>0</v>
      </c>
      <c r="P22" s="3036"/>
      <c r="Q22" s="3036"/>
      <c r="R22" s="3036">
        <f>+$J22*R5</f>
        <v>0</v>
      </c>
      <c r="S22" s="3036"/>
      <c r="T22" s="3036"/>
      <c r="U22" s="3036">
        <f>+$J22*U5</f>
        <v>0</v>
      </c>
      <c r="V22" s="3036"/>
      <c r="W22" s="3036"/>
      <c r="X22" s="3036">
        <f>+$J22*X5</f>
        <v>0</v>
      </c>
      <c r="Y22" s="3036"/>
      <c r="Z22" s="3036"/>
      <c r="AA22" s="3036">
        <f>+$J22*AA5</f>
        <v>0</v>
      </c>
      <c r="AB22" s="3036"/>
      <c r="AC22" s="3036"/>
      <c r="AD22" s="3036">
        <f>+$J22*AD5</f>
        <v>0</v>
      </c>
      <c r="AE22" s="3036"/>
      <c r="AF22" s="3036"/>
      <c r="AG22" s="3036">
        <f>+$J22*AG5</f>
        <v>0</v>
      </c>
      <c r="AH22" s="3036"/>
      <c r="AI22" s="3036"/>
      <c r="AJ22" s="3036">
        <f>+$J22*AJ5</f>
        <v>0</v>
      </c>
      <c r="AK22" s="3036"/>
      <c r="AL22" s="3036"/>
      <c r="AM22" s="3036">
        <f>+$J22*AM5</f>
        <v>0</v>
      </c>
      <c r="AN22" s="3036"/>
      <c r="AO22" s="3036"/>
      <c r="AP22" s="3036">
        <f>+$J22*AP5</f>
        <v>0</v>
      </c>
      <c r="AQ22" s="3036"/>
      <c r="AR22" s="3036"/>
      <c r="AS22" s="3036">
        <f>+$J22*AS5</f>
        <v>0</v>
      </c>
      <c r="AT22" s="3036"/>
      <c r="AU22" s="3036"/>
      <c r="AV22" s="3036">
        <f>+$J22*AV5</f>
        <v>0</v>
      </c>
      <c r="AW22" s="3036"/>
      <c r="AX22" s="3036"/>
      <c r="AY22" s="3036">
        <f>+$J22*AY5</f>
        <v>0</v>
      </c>
      <c r="AZ22" s="3036"/>
      <c r="BA22" s="3036"/>
      <c r="BB22" s="3036">
        <f>+$J22*BB5</f>
        <v>0</v>
      </c>
      <c r="BC22" s="3036"/>
      <c r="BD22" s="3036"/>
      <c r="BE22" s="3036">
        <f>+$J22*BE5</f>
        <v>0</v>
      </c>
      <c r="BF22" s="3036"/>
      <c r="BG22" s="3036"/>
      <c r="BH22" s="3036">
        <f>+$J22*BH5</f>
        <v>0</v>
      </c>
      <c r="BI22" s="3036"/>
      <c r="BJ22" s="3036"/>
      <c r="BK22" s="3036">
        <f>+$J22*BK5</f>
        <v>0</v>
      </c>
      <c r="BL22" s="3036"/>
      <c r="BM22" s="3036"/>
      <c r="BN22" s="3036">
        <f>+$J22*BN5</f>
        <v>0</v>
      </c>
      <c r="BO22" s="3036"/>
      <c r="BP22" s="3036"/>
      <c r="BQ22" s="3036">
        <f>+$J22*BQ5</f>
        <v>0</v>
      </c>
      <c r="BR22" s="3036"/>
      <c r="BS22" s="3036"/>
      <c r="BT22" s="3036">
        <f>+$J22*BT5</f>
        <v>0</v>
      </c>
      <c r="BU22" s="3036"/>
      <c r="BV22" s="3036"/>
      <c r="BW22" s="3036">
        <f>+$J22*BW5</f>
        <v>0</v>
      </c>
      <c r="BX22" s="3036"/>
      <c r="BY22" s="3036"/>
      <c r="BZ22" s="3036">
        <f>+$J22*BZ5</f>
        <v>0</v>
      </c>
      <c r="CA22" s="3036"/>
      <c r="CB22" s="3036"/>
      <c r="CC22" s="3036">
        <f>+$J22*CC5</f>
        <v>0</v>
      </c>
      <c r="CD22" s="3036"/>
      <c r="CE22" s="3036"/>
      <c r="CF22" s="3036">
        <f>+$J22*CF5</f>
        <v>0</v>
      </c>
      <c r="CG22" s="3036"/>
      <c r="CH22" s="3036"/>
      <c r="CI22" s="3036">
        <f>+$J22*CI5</f>
        <v>0</v>
      </c>
      <c r="CJ22" s="3036"/>
      <c r="CK22" s="3036"/>
      <c r="CL22" s="3036">
        <f>+$J22*CL5</f>
        <v>0</v>
      </c>
      <c r="CM22" s="3036"/>
      <c r="CN22" s="3036"/>
      <c r="CO22" s="3036">
        <f>+$J22*CO5</f>
        <v>0</v>
      </c>
      <c r="CP22" s="3036"/>
      <c r="CQ22" s="3036"/>
      <c r="CR22" s="3036">
        <f>+$J22*CR5</f>
        <v>0</v>
      </c>
      <c r="CS22" s="3036"/>
      <c r="CT22" s="3036"/>
      <c r="CU22" s="3036">
        <f>+$J22*CU5</f>
        <v>0</v>
      </c>
      <c r="CV22" s="3036"/>
      <c r="CW22" s="3036"/>
      <c r="CX22" s="3036">
        <f>+$J22*CX5</f>
        <v>0</v>
      </c>
      <c r="CY22" s="3036"/>
      <c r="CZ22" s="3036"/>
      <c r="DA22" s="3036">
        <f>+$J22*DA5</f>
        <v>0</v>
      </c>
      <c r="DB22" s="3036"/>
      <c r="DC22" s="3036"/>
      <c r="DD22" s="3036">
        <f>+$J22*DD5</f>
        <v>0</v>
      </c>
      <c r="DE22" s="3036"/>
      <c r="DF22" s="3036"/>
      <c r="DG22" s="3036">
        <f>+$J22*DG5</f>
        <v>0</v>
      </c>
      <c r="DH22" s="3036"/>
      <c r="DI22" s="3036"/>
      <c r="DJ22" s="3036">
        <f>+$J22*DJ5</f>
        <v>0</v>
      </c>
      <c r="DK22" s="3036"/>
      <c r="DL22" s="3036"/>
      <c r="DM22" s="3036">
        <f>+$J22*DM5</f>
        <v>0</v>
      </c>
      <c r="DN22" s="3036"/>
      <c r="DO22" s="3036"/>
      <c r="DP22" s="3036">
        <f>+$J22*DP5</f>
        <v>0</v>
      </c>
      <c r="DQ22" s="3036"/>
      <c r="DR22" s="3036"/>
      <c r="DS22" s="3036">
        <f>+$J22*DS5</f>
        <v>0</v>
      </c>
      <c r="DT22" s="3036"/>
      <c r="DU22" s="3036"/>
      <c r="DV22" s="3036">
        <f>+$J22*DV5</f>
        <v>0</v>
      </c>
      <c r="DW22" s="3036"/>
      <c r="DX22" s="3036"/>
      <c r="DY22" s="3036">
        <f>+$J22*DY5</f>
        <v>0</v>
      </c>
      <c r="DZ22" s="3036"/>
      <c r="EA22" s="3044"/>
    </row>
    <row r="23" spans="2:132" ht="18" customHeight="1">
      <c r="B23" s="2968" t="s">
        <v>3783</v>
      </c>
      <c r="C23" s="2526"/>
      <c r="D23" s="2526"/>
      <c r="E23" s="2526"/>
      <c r="F23" s="2526"/>
      <c r="G23" s="2526"/>
      <c r="H23" s="2526"/>
      <c r="I23" s="2526"/>
      <c r="J23" s="3039">
        <f>'Operating Budget'!$E$45</f>
        <v>0.05</v>
      </c>
      <c r="K23" s="3040"/>
      <c r="L23" s="3041">
        <f>+$J23*L6</f>
        <v>0</v>
      </c>
      <c r="M23" s="2970"/>
      <c r="N23" s="2970"/>
      <c r="O23" s="2969">
        <f>+$J23*O6</f>
        <v>0</v>
      </c>
      <c r="P23" s="2969"/>
      <c r="Q23" s="2969"/>
      <c r="R23" s="2969">
        <f>+$J23*R6</f>
        <v>0</v>
      </c>
      <c r="S23" s="2969"/>
      <c r="T23" s="2969"/>
      <c r="U23" s="2969">
        <f>+$J23*U6</f>
        <v>0</v>
      </c>
      <c r="V23" s="2969"/>
      <c r="W23" s="2969"/>
      <c r="X23" s="2969">
        <f>+$J23*X6</f>
        <v>0</v>
      </c>
      <c r="Y23" s="2969"/>
      <c r="Z23" s="2969"/>
      <c r="AA23" s="2969">
        <f>+$J23*AA6</f>
        <v>0</v>
      </c>
      <c r="AB23" s="2969"/>
      <c r="AC23" s="2969"/>
      <c r="AD23" s="2969">
        <f>+$J23*AD6</f>
        <v>0</v>
      </c>
      <c r="AE23" s="2969"/>
      <c r="AF23" s="2969"/>
      <c r="AG23" s="2969">
        <f>+$J23*AG6</f>
        <v>0</v>
      </c>
      <c r="AH23" s="2969"/>
      <c r="AI23" s="2969"/>
      <c r="AJ23" s="2969">
        <f>+$J23*AJ6</f>
        <v>0</v>
      </c>
      <c r="AK23" s="2969"/>
      <c r="AL23" s="2969"/>
      <c r="AM23" s="2969">
        <f>+$J23*AM6</f>
        <v>0</v>
      </c>
      <c r="AN23" s="2969"/>
      <c r="AO23" s="2969"/>
      <c r="AP23" s="2969">
        <f>+$J23*AP6</f>
        <v>0</v>
      </c>
      <c r="AQ23" s="2969"/>
      <c r="AR23" s="2969"/>
      <c r="AS23" s="2969">
        <f>+$J23*AS6</f>
        <v>0</v>
      </c>
      <c r="AT23" s="2969"/>
      <c r="AU23" s="2969"/>
      <c r="AV23" s="2969">
        <f>+$J23*AV6</f>
        <v>0</v>
      </c>
      <c r="AW23" s="2969"/>
      <c r="AX23" s="2969"/>
      <c r="AY23" s="2969">
        <f>+$J23*AY6</f>
        <v>0</v>
      </c>
      <c r="AZ23" s="2969"/>
      <c r="BA23" s="2969"/>
      <c r="BB23" s="2969">
        <f>+$J23*BB6</f>
        <v>0</v>
      </c>
      <c r="BC23" s="2969"/>
      <c r="BD23" s="2969"/>
      <c r="BE23" s="2969">
        <f>+$J23*BE6</f>
        <v>0</v>
      </c>
      <c r="BF23" s="2969"/>
      <c r="BG23" s="2969"/>
      <c r="BH23" s="2969">
        <f>+$J23*BH6</f>
        <v>0</v>
      </c>
      <c r="BI23" s="2969"/>
      <c r="BJ23" s="2969"/>
      <c r="BK23" s="2969">
        <f>+$J23*BK6</f>
        <v>0</v>
      </c>
      <c r="BL23" s="2969"/>
      <c r="BM23" s="2969"/>
      <c r="BN23" s="2969">
        <f>+$J23*BN6</f>
        <v>0</v>
      </c>
      <c r="BO23" s="2969"/>
      <c r="BP23" s="2969"/>
      <c r="BQ23" s="2969">
        <f>+$J23*BQ6</f>
        <v>0</v>
      </c>
      <c r="BR23" s="2969"/>
      <c r="BS23" s="2969"/>
      <c r="BT23" s="2969">
        <f>+$J23*BT6</f>
        <v>0</v>
      </c>
      <c r="BU23" s="2969"/>
      <c r="BV23" s="2969"/>
      <c r="BW23" s="2969">
        <f>+$J23*BW6</f>
        <v>0</v>
      </c>
      <c r="BX23" s="2969"/>
      <c r="BY23" s="2969"/>
      <c r="BZ23" s="2969">
        <f>+$J23*BZ6</f>
        <v>0</v>
      </c>
      <c r="CA23" s="2969"/>
      <c r="CB23" s="2969"/>
      <c r="CC23" s="2969">
        <f>+$J23*CC6</f>
        <v>0</v>
      </c>
      <c r="CD23" s="2969"/>
      <c r="CE23" s="2969"/>
      <c r="CF23" s="2969">
        <f>+$J23*CF6</f>
        <v>0</v>
      </c>
      <c r="CG23" s="2969"/>
      <c r="CH23" s="2969"/>
      <c r="CI23" s="2969">
        <f>+$J23*CI6</f>
        <v>0</v>
      </c>
      <c r="CJ23" s="2969"/>
      <c r="CK23" s="2969"/>
      <c r="CL23" s="2969">
        <f>+$J23*CL6</f>
        <v>0</v>
      </c>
      <c r="CM23" s="2969"/>
      <c r="CN23" s="2969"/>
      <c r="CO23" s="2969">
        <f>+$J23*CO6</f>
        <v>0</v>
      </c>
      <c r="CP23" s="2969"/>
      <c r="CQ23" s="2969"/>
      <c r="CR23" s="2969">
        <f>+$J23*CR6</f>
        <v>0</v>
      </c>
      <c r="CS23" s="2969"/>
      <c r="CT23" s="2969"/>
      <c r="CU23" s="2969">
        <f>+$J23*CU6</f>
        <v>0</v>
      </c>
      <c r="CV23" s="2969"/>
      <c r="CW23" s="2969"/>
      <c r="CX23" s="2969">
        <f>+$J23*CX6</f>
        <v>0</v>
      </c>
      <c r="CY23" s="2969"/>
      <c r="CZ23" s="2969"/>
      <c r="DA23" s="2969">
        <f>+$J23*DA6</f>
        <v>0</v>
      </c>
      <c r="DB23" s="2969"/>
      <c r="DC23" s="2969"/>
      <c r="DD23" s="2969">
        <f>+$J23*DD6</f>
        <v>0</v>
      </c>
      <c r="DE23" s="2969"/>
      <c r="DF23" s="2969"/>
      <c r="DG23" s="2969">
        <f>+$J23*DG6</f>
        <v>0</v>
      </c>
      <c r="DH23" s="2969"/>
      <c r="DI23" s="2969"/>
      <c r="DJ23" s="2969">
        <f>+$J23*DJ6</f>
        <v>0</v>
      </c>
      <c r="DK23" s="2969"/>
      <c r="DL23" s="2969"/>
      <c r="DM23" s="2969">
        <f>+$J23*DM6</f>
        <v>0</v>
      </c>
      <c r="DN23" s="2969"/>
      <c r="DO23" s="2969"/>
      <c r="DP23" s="2969">
        <f>+$J23*DP6</f>
        <v>0</v>
      </c>
      <c r="DQ23" s="2969"/>
      <c r="DR23" s="2969"/>
      <c r="DS23" s="2969">
        <f>+$J23*DS6</f>
        <v>0</v>
      </c>
      <c r="DT23" s="2969"/>
      <c r="DU23" s="2969"/>
      <c r="DV23" s="2969">
        <f>+$J23*DV6</f>
        <v>0</v>
      </c>
      <c r="DW23" s="2969"/>
      <c r="DX23" s="2969"/>
      <c r="DY23" s="2970">
        <f>+$J23*DY6</f>
        <v>0</v>
      </c>
      <c r="DZ23" s="2970"/>
      <c r="EA23" s="3045"/>
    </row>
    <row r="24" spans="2:132" ht="18" customHeight="1">
      <c r="B24" s="2968" t="s">
        <v>3638</v>
      </c>
      <c r="C24" s="2526"/>
      <c r="D24" s="2526"/>
      <c r="E24" s="2526"/>
      <c r="F24" s="2526"/>
      <c r="G24" s="2526"/>
      <c r="H24" s="2526"/>
      <c r="I24" s="2526"/>
      <c r="J24" s="3039">
        <f>'Operating Budget'!$E$46</f>
        <v>0.05</v>
      </c>
      <c r="K24" s="3040"/>
      <c r="L24" s="3041">
        <f>+$J24*(L8+L9)</f>
        <v>0</v>
      </c>
      <c r="M24" s="2970"/>
      <c r="N24" s="2970"/>
      <c r="O24" s="2969">
        <f>+$J24*(O8+O9)</f>
        <v>0</v>
      </c>
      <c r="P24" s="2969"/>
      <c r="Q24" s="2969"/>
      <c r="R24" s="2969">
        <f>+$J24*(R8+R9)</f>
        <v>0</v>
      </c>
      <c r="S24" s="2969"/>
      <c r="T24" s="2969"/>
      <c r="U24" s="2969">
        <f>+$J24*(U8+U9)</f>
        <v>0</v>
      </c>
      <c r="V24" s="2969"/>
      <c r="W24" s="2969"/>
      <c r="X24" s="2969">
        <f>+$J24*(X8+X9)</f>
        <v>0</v>
      </c>
      <c r="Y24" s="2969"/>
      <c r="Z24" s="2969"/>
      <c r="AA24" s="2969">
        <f>+$J24*(AA8+AA9)</f>
        <v>0</v>
      </c>
      <c r="AB24" s="2969"/>
      <c r="AC24" s="2969"/>
      <c r="AD24" s="2969">
        <f>+$J24*(AD8+AD9)</f>
        <v>0</v>
      </c>
      <c r="AE24" s="2969"/>
      <c r="AF24" s="2969"/>
      <c r="AG24" s="2969">
        <f>+$J24*(AG8+AG9)</f>
        <v>0</v>
      </c>
      <c r="AH24" s="2969"/>
      <c r="AI24" s="2969"/>
      <c r="AJ24" s="2969">
        <f>+$J24*(AJ8+AJ9)</f>
        <v>0</v>
      </c>
      <c r="AK24" s="2969"/>
      <c r="AL24" s="2969"/>
      <c r="AM24" s="2969">
        <f>+$J24*(AM8+AM9)</f>
        <v>0</v>
      </c>
      <c r="AN24" s="2969"/>
      <c r="AO24" s="2969"/>
      <c r="AP24" s="2969">
        <f>+$J24*(AP8+AP9)</f>
        <v>0</v>
      </c>
      <c r="AQ24" s="2969"/>
      <c r="AR24" s="2969"/>
      <c r="AS24" s="2969">
        <f>+$J24*(AS8+AS9)</f>
        <v>0</v>
      </c>
      <c r="AT24" s="2969"/>
      <c r="AU24" s="2969"/>
      <c r="AV24" s="2969">
        <f>+$J24*(AV8+AV9)</f>
        <v>0</v>
      </c>
      <c r="AW24" s="2969"/>
      <c r="AX24" s="2969"/>
      <c r="AY24" s="2969">
        <f>+$J24*(AY8+AY9)</f>
        <v>0</v>
      </c>
      <c r="AZ24" s="2969"/>
      <c r="BA24" s="2969"/>
      <c r="BB24" s="2969">
        <f>+$J24*(BB8+BB9)</f>
        <v>0</v>
      </c>
      <c r="BC24" s="2969"/>
      <c r="BD24" s="2969"/>
      <c r="BE24" s="2969">
        <f>+$J24*(BE8+BE9)</f>
        <v>0</v>
      </c>
      <c r="BF24" s="2969"/>
      <c r="BG24" s="2969"/>
      <c r="BH24" s="2969">
        <f>+$J24*(BH8+BH9)</f>
        <v>0</v>
      </c>
      <c r="BI24" s="2969"/>
      <c r="BJ24" s="2969"/>
      <c r="BK24" s="2969">
        <f>+$J24*(BK8+BK9)</f>
        <v>0</v>
      </c>
      <c r="BL24" s="2969"/>
      <c r="BM24" s="2969"/>
      <c r="BN24" s="2969">
        <f>+$J24*(BN8+BN9)</f>
        <v>0</v>
      </c>
      <c r="BO24" s="2969"/>
      <c r="BP24" s="2969"/>
      <c r="BQ24" s="2969">
        <f>+$J24*(BQ8+BQ9)</f>
        <v>0</v>
      </c>
      <c r="BR24" s="2969"/>
      <c r="BS24" s="2969"/>
      <c r="BT24" s="2969">
        <f>+$J24*(BT8+BT9)</f>
        <v>0</v>
      </c>
      <c r="BU24" s="2969"/>
      <c r="BV24" s="2969"/>
      <c r="BW24" s="2969">
        <f>+$J24*(BW8+BW9)</f>
        <v>0</v>
      </c>
      <c r="BX24" s="2969"/>
      <c r="BY24" s="2969"/>
      <c r="BZ24" s="2969">
        <f>+$J24*(BZ8+BZ9)</f>
        <v>0</v>
      </c>
      <c r="CA24" s="2969"/>
      <c r="CB24" s="2969"/>
      <c r="CC24" s="2969">
        <f>+$J24*(CC8+CC9)</f>
        <v>0</v>
      </c>
      <c r="CD24" s="2969"/>
      <c r="CE24" s="2969"/>
      <c r="CF24" s="2969">
        <f>+$J24*(CF8+CF9)</f>
        <v>0</v>
      </c>
      <c r="CG24" s="2969"/>
      <c r="CH24" s="2969"/>
      <c r="CI24" s="2969">
        <f>+$J24*(CI8+CI9)</f>
        <v>0</v>
      </c>
      <c r="CJ24" s="2969"/>
      <c r="CK24" s="2969"/>
      <c r="CL24" s="2969">
        <f>+$J24*(CL8+CL9)</f>
        <v>0</v>
      </c>
      <c r="CM24" s="2969"/>
      <c r="CN24" s="2969"/>
      <c r="CO24" s="2969">
        <f>+$J24*(CO8+CO9)</f>
        <v>0</v>
      </c>
      <c r="CP24" s="2969"/>
      <c r="CQ24" s="2969"/>
      <c r="CR24" s="2969">
        <f>+$J24*(CR8+CR9)</f>
        <v>0</v>
      </c>
      <c r="CS24" s="2969"/>
      <c r="CT24" s="2969"/>
      <c r="CU24" s="2969">
        <f>+$J24*(CU8+CU9)</f>
        <v>0</v>
      </c>
      <c r="CV24" s="2969"/>
      <c r="CW24" s="2969"/>
      <c r="CX24" s="2969">
        <f>+$J24*(CX8+CX9)</f>
        <v>0</v>
      </c>
      <c r="CY24" s="2969"/>
      <c r="CZ24" s="2969"/>
      <c r="DA24" s="2969">
        <f>+$J24*(DA8+DA9)</f>
        <v>0</v>
      </c>
      <c r="DB24" s="2969"/>
      <c r="DC24" s="2969"/>
      <c r="DD24" s="2969">
        <f>+$J24*(DD8+DD9)</f>
        <v>0</v>
      </c>
      <c r="DE24" s="2969"/>
      <c r="DF24" s="2969"/>
      <c r="DG24" s="2969">
        <f>+$J24*(DG8+DG9)</f>
        <v>0</v>
      </c>
      <c r="DH24" s="2969"/>
      <c r="DI24" s="2969"/>
      <c r="DJ24" s="2969">
        <f>+$J24*(DJ8+DJ9)</f>
        <v>0</v>
      </c>
      <c r="DK24" s="2969"/>
      <c r="DL24" s="2969"/>
      <c r="DM24" s="2969">
        <f>+$J24*(DM8+DM9)</f>
        <v>0</v>
      </c>
      <c r="DN24" s="2969"/>
      <c r="DO24" s="2969"/>
      <c r="DP24" s="2969">
        <f>+$J24*(DP8+DP9)</f>
        <v>0</v>
      </c>
      <c r="DQ24" s="2969"/>
      <c r="DR24" s="2969"/>
      <c r="DS24" s="2969">
        <f>+$J24*(DS8+DS9)</f>
        <v>0</v>
      </c>
      <c r="DT24" s="2969"/>
      <c r="DU24" s="2969"/>
      <c r="DV24" s="2969">
        <f>+$J24*(DV8+DV9)</f>
        <v>0</v>
      </c>
      <c r="DW24" s="2969"/>
      <c r="DX24" s="2969"/>
      <c r="DY24" s="2970">
        <f>+$J24*(DY8+DY9)</f>
        <v>0</v>
      </c>
      <c r="DZ24" s="2970"/>
      <c r="EA24" s="3045"/>
    </row>
    <row r="25" spans="2:132" ht="18" customHeight="1">
      <c r="B25" s="2968" t="str">
        <f>'Operating Budget'!$D$39</f>
        <v>Other: (Specify)</v>
      </c>
      <c r="C25" s="2526"/>
      <c r="D25" s="2526"/>
      <c r="E25" s="2526"/>
      <c r="F25" s="2526"/>
      <c r="G25" s="2526"/>
      <c r="H25" s="2526"/>
      <c r="I25" s="2526"/>
      <c r="J25" s="3039">
        <f>'Operating Budget'!$E$47</f>
        <v>0.05</v>
      </c>
      <c r="K25" s="3040"/>
      <c r="L25" s="3041">
        <f>+$J25*L11</f>
        <v>0</v>
      </c>
      <c r="M25" s="2970"/>
      <c r="N25" s="2970"/>
      <c r="O25" s="2969">
        <f>+$J25*O11</f>
        <v>0</v>
      </c>
      <c r="P25" s="2969"/>
      <c r="Q25" s="2969"/>
      <c r="R25" s="2969">
        <f>+$J25*R11</f>
        <v>0</v>
      </c>
      <c r="S25" s="2969"/>
      <c r="T25" s="2969"/>
      <c r="U25" s="2969">
        <f>+$J25*U11</f>
        <v>0</v>
      </c>
      <c r="V25" s="2969"/>
      <c r="W25" s="2969"/>
      <c r="X25" s="2969">
        <f>+$J25*X11</f>
        <v>0</v>
      </c>
      <c r="Y25" s="2969"/>
      <c r="Z25" s="2969"/>
      <c r="AA25" s="2969">
        <f>+$J25*AA11</f>
        <v>0</v>
      </c>
      <c r="AB25" s="2969"/>
      <c r="AC25" s="2969"/>
      <c r="AD25" s="2969">
        <f>+$J25*AD11</f>
        <v>0</v>
      </c>
      <c r="AE25" s="2969"/>
      <c r="AF25" s="2969"/>
      <c r="AG25" s="2969">
        <f>+$J25*AG11</f>
        <v>0</v>
      </c>
      <c r="AH25" s="2969"/>
      <c r="AI25" s="2969"/>
      <c r="AJ25" s="2969">
        <f>+$J25*AJ11</f>
        <v>0</v>
      </c>
      <c r="AK25" s="2969"/>
      <c r="AL25" s="2969"/>
      <c r="AM25" s="2969">
        <f>+$J25*AM11</f>
        <v>0</v>
      </c>
      <c r="AN25" s="2969"/>
      <c r="AO25" s="2969"/>
      <c r="AP25" s="2969">
        <f>+$J25*AP11</f>
        <v>0</v>
      </c>
      <c r="AQ25" s="2969"/>
      <c r="AR25" s="2969"/>
      <c r="AS25" s="2969">
        <f>+$J25*AS11</f>
        <v>0</v>
      </c>
      <c r="AT25" s="2969"/>
      <c r="AU25" s="2969"/>
      <c r="AV25" s="2969">
        <f>+$J25*AV11</f>
        <v>0</v>
      </c>
      <c r="AW25" s="2969"/>
      <c r="AX25" s="2969"/>
      <c r="AY25" s="2969">
        <f>+$J25*AY11</f>
        <v>0</v>
      </c>
      <c r="AZ25" s="2969"/>
      <c r="BA25" s="2969"/>
      <c r="BB25" s="2969">
        <f>+$J25*BB11</f>
        <v>0</v>
      </c>
      <c r="BC25" s="2969"/>
      <c r="BD25" s="2969"/>
      <c r="BE25" s="2969">
        <f>+$J25*BE11</f>
        <v>0</v>
      </c>
      <c r="BF25" s="2969"/>
      <c r="BG25" s="2969"/>
      <c r="BH25" s="2969">
        <f>+$J25*BH11</f>
        <v>0</v>
      </c>
      <c r="BI25" s="2969"/>
      <c r="BJ25" s="2969"/>
      <c r="BK25" s="2969">
        <f>+$J25*BK11</f>
        <v>0</v>
      </c>
      <c r="BL25" s="2969"/>
      <c r="BM25" s="2969"/>
      <c r="BN25" s="2969">
        <f>+$J25*BN11</f>
        <v>0</v>
      </c>
      <c r="BO25" s="2969"/>
      <c r="BP25" s="2969"/>
      <c r="BQ25" s="2969">
        <f>+$J25*BQ11</f>
        <v>0</v>
      </c>
      <c r="BR25" s="2969"/>
      <c r="BS25" s="2969"/>
      <c r="BT25" s="2969">
        <f>+$J25*BT11</f>
        <v>0</v>
      </c>
      <c r="BU25" s="2969"/>
      <c r="BV25" s="2969"/>
      <c r="BW25" s="2969">
        <f>+$J25*BW11</f>
        <v>0</v>
      </c>
      <c r="BX25" s="2969"/>
      <c r="BY25" s="2969"/>
      <c r="BZ25" s="2969">
        <f>+$J25*BZ11</f>
        <v>0</v>
      </c>
      <c r="CA25" s="2969"/>
      <c r="CB25" s="2969"/>
      <c r="CC25" s="2969">
        <f>+$J25*CC11</f>
        <v>0</v>
      </c>
      <c r="CD25" s="2969"/>
      <c r="CE25" s="2969"/>
      <c r="CF25" s="2969">
        <f>+$J25*CF11</f>
        <v>0</v>
      </c>
      <c r="CG25" s="2969"/>
      <c r="CH25" s="2969"/>
      <c r="CI25" s="2969">
        <f>+$J25*CI11</f>
        <v>0</v>
      </c>
      <c r="CJ25" s="2969"/>
      <c r="CK25" s="2969"/>
      <c r="CL25" s="2969">
        <f>+$J25*CL11</f>
        <v>0</v>
      </c>
      <c r="CM25" s="2969"/>
      <c r="CN25" s="2969"/>
      <c r="CO25" s="2969">
        <f>+$J25*CO11</f>
        <v>0</v>
      </c>
      <c r="CP25" s="2969"/>
      <c r="CQ25" s="2969"/>
      <c r="CR25" s="2969">
        <f>+$J25*CR11</f>
        <v>0</v>
      </c>
      <c r="CS25" s="2969"/>
      <c r="CT25" s="2969"/>
      <c r="CU25" s="2969">
        <f>+$J25*CU11</f>
        <v>0</v>
      </c>
      <c r="CV25" s="2969"/>
      <c r="CW25" s="2969"/>
      <c r="CX25" s="2969">
        <f>+$J25*CX11</f>
        <v>0</v>
      </c>
      <c r="CY25" s="2969"/>
      <c r="CZ25" s="2969"/>
      <c r="DA25" s="2969">
        <f>+$J25*DA11</f>
        <v>0</v>
      </c>
      <c r="DB25" s="2969"/>
      <c r="DC25" s="2969"/>
      <c r="DD25" s="2969">
        <f>+$J25*DD11</f>
        <v>0</v>
      </c>
      <c r="DE25" s="2969"/>
      <c r="DF25" s="2969"/>
      <c r="DG25" s="2969">
        <f>+$J25*DG11</f>
        <v>0</v>
      </c>
      <c r="DH25" s="2969"/>
      <c r="DI25" s="2969"/>
      <c r="DJ25" s="2969">
        <f>+$J25*DJ11</f>
        <v>0</v>
      </c>
      <c r="DK25" s="2969"/>
      <c r="DL25" s="2969"/>
      <c r="DM25" s="2969">
        <f>+$J25*DM11</f>
        <v>0</v>
      </c>
      <c r="DN25" s="2969"/>
      <c r="DO25" s="2969"/>
      <c r="DP25" s="2969">
        <f>+$J25*DP11</f>
        <v>0</v>
      </c>
      <c r="DQ25" s="2969"/>
      <c r="DR25" s="2969"/>
      <c r="DS25" s="2969">
        <f>+$J25*DS11</f>
        <v>0</v>
      </c>
      <c r="DT25" s="2969"/>
      <c r="DU25" s="2969"/>
      <c r="DV25" s="2969">
        <f>+$J25*DV11</f>
        <v>0</v>
      </c>
      <c r="DW25" s="2969"/>
      <c r="DX25" s="2969"/>
      <c r="DY25" s="2970">
        <f>+$J25*DY11</f>
        <v>0</v>
      </c>
      <c r="DZ25" s="2970"/>
      <c r="EA25" s="3045"/>
    </row>
    <row r="26" spans="2:132" ht="18" customHeight="1">
      <c r="B26" s="2968" t="s">
        <v>3791</v>
      </c>
      <c r="C26" s="2526"/>
      <c r="D26" s="2526"/>
      <c r="E26" s="2526"/>
      <c r="F26" s="2526"/>
      <c r="G26" s="2526"/>
      <c r="H26" s="2526"/>
      <c r="I26" s="2526"/>
      <c r="J26" s="3039">
        <f>'Operating Budget'!$E$48</f>
        <v>0.05</v>
      </c>
      <c r="K26" s="3040"/>
      <c r="L26" s="3041">
        <f>+$J26*(L15+L16)</f>
        <v>13470</v>
      </c>
      <c r="M26" s="2970"/>
      <c r="N26" s="2970"/>
      <c r="O26" s="2969">
        <f>+$J26*(O15+O16)</f>
        <v>13806.75</v>
      </c>
      <c r="P26" s="2969"/>
      <c r="Q26" s="2969"/>
      <c r="R26" s="2969">
        <f>+$J26*(R15+R16)</f>
        <v>14151.918749999997</v>
      </c>
      <c r="S26" s="2969"/>
      <c r="T26" s="2969"/>
      <c r="U26" s="2969">
        <f>+$J26*(U15+U16)</f>
        <v>14505.716718749996</v>
      </c>
      <c r="V26" s="2969"/>
      <c r="W26" s="2969"/>
      <c r="X26" s="2969">
        <f>+$J26*(X15+X16)</f>
        <v>14868.359636718746</v>
      </c>
      <c r="Y26" s="2969"/>
      <c r="Z26" s="2969"/>
      <c r="AA26" s="2969">
        <f>+$J26*(AA15+AA16)</f>
        <v>15240.068627636712</v>
      </c>
      <c r="AB26" s="2969"/>
      <c r="AC26" s="2969"/>
      <c r="AD26" s="2969">
        <f>+$J26*(AD15+AD16)</f>
        <v>15621.070343327629</v>
      </c>
      <c r="AE26" s="2969"/>
      <c r="AF26" s="2969"/>
      <c r="AG26" s="2969">
        <f>+$J26*(AG15+AG16)</f>
        <v>16011.597101910818</v>
      </c>
      <c r="AH26" s="2969"/>
      <c r="AI26" s="2969"/>
      <c r="AJ26" s="2969">
        <f>+$J26*(AJ15+AJ16)</f>
        <v>16411.887029458587</v>
      </c>
      <c r="AK26" s="2969"/>
      <c r="AL26" s="2969"/>
      <c r="AM26" s="2969">
        <f>+$J26*(AM15+AM16)</f>
        <v>16822.184205195048</v>
      </c>
      <c r="AN26" s="2969"/>
      <c r="AO26" s="2969"/>
      <c r="AP26" s="2969">
        <f>+$J26*(AP15+AP16)</f>
        <v>17242.738810324925</v>
      </c>
      <c r="AQ26" s="2969"/>
      <c r="AR26" s="2969"/>
      <c r="AS26" s="2969">
        <f>+$J26*(AS15+AS16)</f>
        <v>17673.807280583045</v>
      </c>
      <c r="AT26" s="2969"/>
      <c r="AU26" s="2969"/>
      <c r="AV26" s="2969">
        <f>+$J26*(AV15+AV16)</f>
        <v>18115.65246259762</v>
      </c>
      <c r="AW26" s="2969"/>
      <c r="AX26" s="2969"/>
      <c r="AY26" s="2969">
        <f>+$J26*(AY15+AY16)</f>
        <v>18568.543774162561</v>
      </c>
      <c r="AZ26" s="2969"/>
      <c r="BA26" s="2969"/>
      <c r="BB26" s="2969">
        <f>+$J26*(BB15+BB16)</f>
        <v>19032.757368516621</v>
      </c>
      <c r="BC26" s="2969"/>
      <c r="BD26" s="2969"/>
      <c r="BE26" s="2969">
        <f>+$J26*(BE15+BE16)</f>
        <v>19508.576302729536</v>
      </c>
      <c r="BF26" s="2969"/>
      <c r="BG26" s="2969"/>
      <c r="BH26" s="2969">
        <f>+$J26*(BH15+BH16)</f>
        <v>19996.29071029777</v>
      </c>
      <c r="BI26" s="2969"/>
      <c r="BJ26" s="2969"/>
      <c r="BK26" s="2969">
        <f>+$J26*(BK15+BK16)</f>
        <v>20496.197978055214</v>
      </c>
      <c r="BL26" s="2969"/>
      <c r="BM26" s="2969"/>
      <c r="BN26" s="2969">
        <f>+$J26*(BN15+BN16)</f>
        <v>21008.602927506596</v>
      </c>
      <c r="BO26" s="2969"/>
      <c r="BP26" s="2969"/>
      <c r="BQ26" s="2969">
        <f>+$J26*(BQ15+BQ16)</f>
        <v>21533.818000694257</v>
      </c>
      <c r="BR26" s="2969"/>
      <c r="BS26" s="2969"/>
      <c r="BT26" s="2969">
        <f>+$J26*(BT15+BT16)</f>
        <v>22072.16345071161</v>
      </c>
      <c r="BU26" s="2969"/>
      <c r="BV26" s="2969"/>
      <c r="BW26" s="2969">
        <f>+$J26*(BW15+BW16)</f>
        <v>22623.967536979402</v>
      </c>
      <c r="BX26" s="2969"/>
      <c r="BY26" s="2969"/>
      <c r="BZ26" s="2969">
        <f>+$J26*(BZ15+BZ16)</f>
        <v>23189.566725403885</v>
      </c>
      <c r="CA26" s="2969"/>
      <c r="CB26" s="2969"/>
      <c r="CC26" s="2969">
        <f>+$J26*(CC15+CC16)</f>
        <v>23769.305893538982</v>
      </c>
      <c r="CD26" s="2969"/>
      <c r="CE26" s="2969"/>
      <c r="CF26" s="2969">
        <f>+$J26*(CF15+CF16)</f>
        <v>24363.538540877456</v>
      </c>
      <c r="CG26" s="2969"/>
      <c r="CH26" s="2969"/>
      <c r="CI26" s="2969">
        <f>+$J26*(CI15+CI16)</f>
        <v>24972.627004399386</v>
      </c>
      <c r="CJ26" s="2969"/>
      <c r="CK26" s="2969"/>
      <c r="CL26" s="2969">
        <f>+$J26*(CL15+CL16)</f>
        <v>25596.942679509371</v>
      </c>
      <c r="CM26" s="2969"/>
      <c r="CN26" s="2969"/>
      <c r="CO26" s="2969">
        <f>+$J26*(CO15+CO16)</f>
        <v>26236.866246497102</v>
      </c>
      <c r="CP26" s="2969"/>
      <c r="CQ26" s="2969"/>
      <c r="CR26" s="2969">
        <f>+$J26*(CR15+CR16)</f>
        <v>26892.787902659529</v>
      </c>
      <c r="CS26" s="2969"/>
      <c r="CT26" s="2969"/>
      <c r="CU26" s="2969">
        <f>+$J26*(CU15+CU16)</f>
        <v>27565.107600226009</v>
      </c>
      <c r="CV26" s="2969"/>
      <c r="CW26" s="2969"/>
      <c r="CX26" s="2969">
        <f>+$J26*(CX15+CX16)</f>
        <v>28254.235290231663</v>
      </c>
      <c r="CY26" s="2969"/>
      <c r="CZ26" s="2969"/>
      <c r="DA26" s="2969">
        <f>+$J26*(DA15+DA16)</f>
        <v>28960.591172487446</v>
      </c>
      <c r="DB26" s="2969"/>
      <c r="DC26" s="2969"/>
      <c r="DD26" s="2969">
        <f>+$J26*(DD15+DD16)</f>
        <v>29684.605951799633</v>
      </c>
      <c r="DE26" s="2969"/>
      <c r="DF26" s="2969"/>
      <c r="DG26" s="2969">
        <f>+$J26*(DG15+DG16)</f>
        <v>30426.721100594616</v>
      </c>
      <c r="DH26" s="2969"/>
      <c r="DI26" s="2969"/>
      <c r="DJ26" s="2969">
        <f>+$J26*(DJ15+DJ16)</f>
        <v>31187.389128109484</v>
      </c>
      <c r="DK26" s="2969"/>
      <c r="DL26" s="2969"/>
      <c r="DM26" s="2969">
        <f>+$J26*(DM15+DM16)</f>
        <v>31967.073856312214</v>
      </c>
      <c r="DN26" s="2969"/>
      <c r="DO26" s="2969"/>
      <c r="DP26" s="2969">
        <f>+$J26*(DP15+DP16)</f>
        <v>32766.250702720019</v>
      </c>
      <c r="DQ26" s="2969"/>
      <c r="DR26" s="2969"/>
      <c r="DS26" s="2969">
        <f>+$J26*(DS15+DS16)</f>
        <v>33585.406970288015</v>
      </c>
      <c r="DT26" s="2969"/>
      <c r="DU26" s="2969"/>
      <c r="DV26" s="2969">
        <f>+$J26*(DV15+DV16)</f>
        <v>34425.042144545216</v>
      </c>
      <c r="DW26" s="2969"/>
      <c r="DX26" s="2969"/>
      <c r="DY26" s="2970">
        <f>+$J26*(DY15+DY16)</f>
        <v>35285.668198158841</v>
      </c>
      <c r="DZ26" s="2970"/>
      <c r="EA26" s="3045"/>
    </row>
    <row r="27" spans="2:132" ht="18" customHeight="1">
      <c r="B27" s="2968" t="s">
        <v>3792</v>
      </c>
      <c r="C27" s="2526"/>
      <c r="D27" s="2526"/>
      <c r="E27" s="2526"/>
      <c r="F27" s="2526"/>
      <c r="G27" s="2526"/>
      <c r="H27" s="2526"/>
      <c r="I27" s="2526"/>
      <c r="J27" s="3039">
        <f>'Operating Budget'!$F$49</f>
        <v>0.5</v>
      </c>
      <c r="K27" s="3040"/>
      <c r="L27" s="3041">
        <f>+$J27*L17</f>
        <v>92442</v>
      </c>
      <c r="M27" s="2970"/>
      <c r="N27" s="2970"/>
      <c r="O27" s="2970">
        <f>+$J27*O17</f>
        <v>94753.049999999988</v>
      </c>
      <c r="P27" s="2970"/>
      <c r="Q27" s="2970"/>
      <c r="R27" s="2970">
        <f>+$J27*R17</f>
        <v>97121.876249999987</v>
      </c>
      <c r="S27" s="2970"/>
      <c r="T27" s="2970"/>
      <c r="U27" s="2970">
        <f>+$J27*U17</f>
        <v>99549.923156249977</v>
      </c>
      <c r="V27" s="2970"/>
      <c r="W27" s="2970"/>
      <c r="X27" s="2970">
        <f>+$J27*X17</f>
        <v>102038.67123515622</v>
      </c>
      <c r="Y27" s="2970"/>
      <c r="Z27" s="2970"/>
      <c r="AA27" s="2970">
        <f>+$J27*AA17</f>
        <v>104589.63801603511</v>
      </c>
      <c r="AB27" s="2970"/>
      <c r="AC27" s="2970"/>
      <c r="AD27" s="2970">
        <f>+$J27*AD17</f>
        <v>107204.37896643598</v>
      </c>
      <c r="AE27" s="2970"/>
      <c r="AF27" s="2970"/>
      <c r="AG27" s="2970">
        <f>+$J27*AG17</f>
        <v>109884.48844059686</v>
      </c>
      <c r="AH27" s="2970"/>
      <c r="AI27" s="2970"/>
      <c r="AJ27" s="2970">
        <f>+$J27*AJ17</f>
        <v>112631.60065161178</v>
      </c>
      <c r="AK27" s="2970"/>
      <c r="AL27" s="2970"/>
      <c r="AM27" s="2970">
        <f>+$J27*AM17</f>
        <v>115447.39066790206</v>
      </c>
      <c r="AN27" s="2970"/>
      <c r="AO27" s="2970"/>
      <c r="AP27" s="2970">
        <f>+$J27*AP17</f>
        <v>118333.5754345996</v>
      </c>
      <c r="AQ27" s="2970"/>
      <c r="AR27" s="2970"/>
      <c r="AS27" s="2970">
        <f>+$J27*AS17</f>
        <v>121291.91482046458</v>
      </c>
      <c r="AT27" s="2970"/>
      <c r="AU27" s="2970"/>
      <c r="AV27" s="2970">
        <f>+$J27*AV17</f>
        <v>124324.21269097617</v>
      </c>
      <c r="AW27" s="2970"/>
      <c r="AX27" s="2970"/>
      <c r="AY27" s="2970">
        <f>+$J27*AY17</f>
        <v>127432.31800825057</v>
      </c>
      <c r="AZ27" s="2970"/>
      <c r="BA27" s="2970"/>
      <c r="BB27" s="2970">
        <f>+$J27*BB17</f>
        <v>130618.12595845682</v>
      </c>
      <c r="BC27" s="2970"/>
      <c r="BD27" s="2970"/>
      <c r="BE27" s="2970">
        <f>+$J27*BE17</f>
        <v>133883.57910741822</v>
      </c>
      <c r="BF27" s="2970"/>
      <c r="BG27" s="2970"/>
      <c r="BH27" s="2970">
        <f>+$J27*BH17</f>
        <v>137230.66858510367</v>
      </c>
      <c r="BI27" s="2970"/>
      <c r="BJ27" s="2970"/>
      <c r="BK27" s="2970">
        <f>+$J27*BK17</f>
        <v>140661.43529973127</v>
      </c>
      <c r="BL27" s="2970"/>
      <c r="BM27" s="2970"/>
      <c r="BN27" s="2970">
        <f>+$J27*BN17</f>
        <v>144177.97118222454</v>
      </c>
      <c r="BO27" s="2970"/>
      <c r="BP27" s="2970"/>
      <c r="BQ27" s="2970">
        <f>+$J27*BQ17</f>
        <v>147782.42046178016</v>
      </c>
      <c r="BR27" s="2970"/>
      <c r="BS27" s="2970"/>
      <c r="BT27" s="2970">
        <f>+$J27*BT17</f>
        <v>151476.98097332465</v>
      </c>
      <c r="BU27" s="2970"/>
      <c r="BV27" s="2970"/>
      <c r="BW27" s="2970">
        <f>+$J27*BW17</f>
        <v>155263.90549765775</v>
      </c>
      <c r="BX27" s="2970"/>
      <c r="BY27" s="2970"/>
      <c r="BZ27" s="2970">
        <f>+$J27*BZ17</f>
        <v>159145.50313509916</v>
      </c>
      <c r="CA27" s="2970"/>
      <c r="CB27" s="2970"/>
      <c r="CC27" s="2970">
        <f>+$J27*CC17</f>
        <v>163124.14071347663</v>
      </c>
      <c r="CD27" s="2970"/>
      <c r="CE27" s="2970"/>
      <c r="CF27" s="2970">
        <f>+$J27*CF17</f>
        <v>167202.24423131353</v>
      </c>
      <c r="CG27" s="2970"/>
      <c r="CH27" s="2970"/>
      <c r="CI27" s="2970">
        <f>+$J27*CI17</f>
        <v>171382.30033709636</v>
      </c>
      <c r="CJ27" s="2970"/>
      <c r="CK27" s="2970"/>
      <c r="CL27" s="2970">
        <f>+$J27*CL17</f>
        <v>175666.85784552374</v>
      </c>
      <c r="CM27" s="2970"/>
      <c r="CN27" s="2970"/>
      <c r="CO27" s="2970">
        <f>+$J27*CO17</f>
        <v>180058.52929166183</v>
      </c>
      <c r="CP27" s="2970"/>
      <c r="CQ27" s="2970"/>
      <c r="CR27" s="2970">
        <f>+$J27*CR17</f>
        <v>184559.99252395338</v>
      </c>
      <c r="CS27" s="2970"/>
      <c r="CT27" s="2970"/>
      <c r="CU27" s="2970">
        <f>+$J27*CU17</f>
        <v>189173.99233705219</v>
      </c>
      <c r="CV27" s="2970"/>
      <c r="CW27" s="2970"/>
      <c r="CX27" s="2970">
        <f>+$J27*CX17</f>
        <v>193903.34214547847</v>
      </c>
      <c r="CY27" s="2970"/>
      <c r="CZ27" s="2970"/>
      <c r="DA27" s="2970">
        <f>+$J27*DA17</f>
        <v>198750.92569911541</v>
      </c>
      <c r="DB27" s="2970"/>
      <c r="DC27" s="2970"/>
      <c r="DD27" s="2970">
        <f>+$J27*DD17</f>
        <v>203719.69884159329</v>
      </c>
      <c r="DE27" s="2970"/>
      <c r="DF27" s="2970"/>
      <c r="DG27" s="2970">
        <f>+$J27*DG17</f>
        <v>208812.69131263311</v>
      </c>
      <c r="DH27" s="2970"/>
      <c r="DI27" s="2970"/>
      <c r="DJ27" s="2970">
        <f>+$J27*DJ17</f>
        <v>214033.00859544892</v>
      </c>
      <c r="DK27" s="2970"/>
      <c r="DL27" s="2970"/>
      <c r="DM27" s="2970">
        <f>+$J27*DM17</f>
        <v>219383.83381033511</v>
      </c>
      <c r="DN27" s="2970"/>
      <c r="DO27" s="2970"/>
      <c r="DP27" s="2970">
        <f>+$J27*DP17</f>
        <v>224868.42965559347</v>
      </c>
      <c r="DQ27" s="2970"/>
      <c r="DR27" s="2970"/>
      <c r="DS27" s="2970">
        <f>+$J27*DS17</f>
        <v>230490.14039698328</v>
      </c>
      <c r="DT27" s="2970"/>
      <c r="DU27" s="2970"/>
      <c r="DV27" s="2970">
        <f>+$J27*DV17</f>
        <v>236252.39390690785</v>
      </c>
      <c r="DW27" s="2970"/>
      <c r="DX27" s="2970"/>
      <c r="DY27" s="2970">
        <f>+$J27*DY17</f>
        <v>242158.70375458052</v>
      </c>
      <c r="DZ27" s="2970"/>
      <c r="EA27" s="3045"/>
    </row>
    <row r="28" spans="2:132" s="58" customFormat="1" ht="18" customHeight="1">
      <c r="B28" s="3042" t="s">
        <v>3793</v>
      </c>
      <c r="C28" s="3043"/>
      <c r="D28" s="3043"/>
      <c r="E28" s="3043"/>
      <c r="F28" s="3043"/>
      <c r="G28" s="3043"/>
      <c r="H28" s="3043"/>
      <c r="I28" s="3043"/>
      <c r="J28" s="3043"/>
      <c r="K28" s="3043"/>
      <c r="L28" s="3037">
        <f>SUM(L22:L27)</f>
        <v>105912</v>
      </c>
      <c r="M28" s="3038"/>
      <c r="N28" s="3038"/>
      <c r="O28" s="3038">
        <f>SUM(O22:Q27)</f>
        <v>108559.79999999999</v>
      </c>
      <c r="P28" s="3038"/>
      <c r="Q28" s="3038"/>
      <c r="R28" s="3038">
        <f>SUM(R22:T27)</f>
        <v>111273.79499999998</v>
      </c>
      <c r="S28" s="3038"/>
      <c r="T28" s="3038"/>
      <c r="U28" s="3038">
        <f>SUM(U22:W27)</f>
        <v>114055.63987499998</v>
      </c>
      <c r="V28" s="3038"/>
      <c r="W28" s="3038"/>
      <c r="X28" s="3038">
        <f>SUM(X22:Z27)</f>
        <v>116907.03087187496</v>
      </c>
      <c r="Y28" s="3038"/>
      <c r="Z28" s="3038"/>
      <c r="AA28" s="3038">
        <f>SUM(AA22:AC27)</f>
        <v>119829.70664367182</v>
      </c>
      <c r="AB28" s="3038"/>
      <c r="AC28" s="3038"/>
      <c r="AD28" s="3038">
        <f>SUM(AD22:AF27)</f>
        <v>122825.44930976362</v>
      </c>
      <c r="AE28" s="3038"/>
      <c r="AF28" s="3038"/>
      <c r="AG28" s="3038">
        <f>SUM(AG22:AI27)</f>
        <v>125896.08554250767</v>
      </c>
      <c r="AH28" s="3038"/>
      <c r="AI28" s="3038"/>
      <c r="AJ28" s="3038">
        <f>SUM(AJ22:AL27)</f>
        <v>129043.48768107037</v>
      </c>
      <c r="AK28" s="3038"/>
      <c r="AL28" s="3038"/>
      <c r="AM28" s="3038">
        <f>SUM(AM22:AO27)</f>
        <v>132269.5748730971</v>
      </c>
      <c r="AN28" s="3038"/>
      <c r="AO28" s="3038"/>
      <c r="AP28" s="3038">
        <f>SUM(AP22:AR27)</f>
        <v>135576.31424492452</v>
      </c>
      <c r="AQ28" s="3038"/>
      <c r="AR28" s="3038"/>
      <c r="AS28" s="3038">
        <f>SUM(AS22:AU27)</f>
        <v>138965.72210104764</v>
      </c>
      <c r="AT28" s="3038"/>
      <c r="AU28" s="3038"/>
      <c r="AV28" s="3038">
        <f>SUM(AV22:AX27)</f>
        <v>142439.8651535738</v>
      </c>
      <c r="AW28" s="3038"/>
      <c r="AX28" s="3038"/>
      <c r="AY28" s="3038">
        <f>SUM(AY22:BA27)</f>
        <v>146000.86178241312</v>
      </c>
      <c r="AZ28" s="3038"/>
      <c r="BA28" s="3038"/>
      <c r="BB28" s="3038">
        <f>SUM(BB22:BD27)</f>
        <v>149650.88332697345</v>
      </c>
      <c r="BC28" s="3038"/>
      <c r="BD28" s="3038"/>
      <c r="BE28" s="3038">
        <f>SUM(BE22:BG27)</f>
        <v>153392.15541014777</v>
      </c>
      <c r="BF28" s="3038"/>
      <c r="BG28" s="3038"/>
      <c r="BH28" s="3038">
        <f>SUM(BH22:BJ27)</f>
        <v>157226.95929540144</v>
      </c>
      <c r="BI28" s="3038"/>
      <c r="BJ28" s="3038"/>
      <c r="BK28" s="3038">
        <f>SUM(BK22:BM27)</f>
        <v>161157.63327778649</v>
      </c>
      <c r="BL28" s="3038"/>
      <c r="BM28" s="3038"/>
      <c r="BN28" s="3038">
        <f>SUM(BN22:BP27)</f>
        <v>165186.57410973113</v>
      </c>
      <c r="BO28" s="3038"/>
      <c r="BP28" s="3038"/>
      <c r="BQ28" s="3038">
        <f>SUM(BQ22:BS27)</f>
        <v>169316.23846247443</v>
      </c>
      <c r="BR28" s="3038"/>
      <c r="BS28" s="3038"/>
      <c r="BT28" s="3038">
        <f>SUM(BT22:BV27)</f>
        <v>173549.14442403626</v>
      </c>
      <c r="BU28" s="3038"/>
      <c r="BV28" s="3038"/>
      <c r="BW28" s="3038">
        <f>SUM(BW22:BY27)</f>
        <v>177887.87303463716</v>
      </c>
      <c r="BX28" s="3038"/>
      <c r="BY28" s="3038"/>
      <c r="BZ28" s="3038">
        <f>SUM(BZ22:CB27)</f>
        <v>182335.06986050305</v>
      </c>
      <c r="CA28" s="3038"/>
      <c r="CB28" s="3038"/>
      <c r="CC28" s="3038">
        <f>SUM(CC22:CE27)</f>
        <v>186893.44660701562</v>
      </c>
      <c r="CD28" s="3038"/>
      <c r="CE28" s="3038"/>
      <c r="CF28" s="3038">
        <f>SUM(CF22:CH27)</f>
        <v>191565.78277219099</v>
      </c>
      <c r="CG28" s="3038"/>
      <c r="CH28" s="3038"/>
      <c r="CI28" s="3038">
        <f>SUM(CI22:CK27)</f>
        <v>196354.92734149576</v>
      </c>
      <c r="CJ28" s="3038"/>
      <c r="CK28" s="3038"/>
      <c r="CL28" s="3038">
        <f>SUM(CL22:CN27)</f>
        <v>201263.80052503312</v>
      </c>
      <c r="CM28" s="3038"/>
      <c r="CN28" s="3038"/>
      <c r="CO28" s="3038">
        <f>SUM(CO22:CQ27)</f>
        <v>206295.39553815895</v>
      </c>
      <c r="CP28" s="3038"/>
      <c r="CQ28" s="3038"/>
      <c r="CR28" s="3038">
        <f>SUM(CR22:CT27)</f>
        <v>211452.78042661291</v>
      </c>
      <c r="CS28" s="3038"/>
      <c r="CT28" s="3038"/>
      <c r="CU28" s="3038">
        <f>SUM(CU22:CW27)</f>
        <v>216739.0999372782</v>
      </c>
      <c r="CV28" s="3038"/>
      <c r="CW28" s="3038"/>
      <c r="CX28" s="3038">
        <f>SUM(CX22:CZ27)</f>
        <v>222157.57743571012</v>
      </c>
      <c r="CY28" s="3038"/>
      <c r="CZ28" s="3038"/>
      <c r="DA28" s="3038">
        <f>SUM(DA22:DC27)</f>
        <v>227711.51687160286</v>
      </c>
      <c r="DB28" s="3038"/>
      <c r="DC28" s="3038"/>
      <c r="DD28" s="3038">
        <f>SUM(DD22:DF27)</f>
        <v>233404.30479339292</v>
      </c>
      <c r="DE28" s="3038"/>
      <c r="DF28" s="3038"/>
      <c r="DG28" s="3038">
        <f>SUM(DG22:DI27)</f>
        <v>239239.41241322772</v>
      </c>
      <c r="DH28" s="3038"/>
      <c r="DI28" s="3038"/>
      <c r="DJ28" s="3038">
        <f>SUM(DJ22:DL27)</f>
        <v>245220.39772355842</v>
      </c>
      <c r="DK28" s="3038"/>
      <c r="DL28" s="3038"/>
      <c r="DM28" s="3038">
        <f>SUM(DM22:DO27)</f>
        <v>251350.90766664734</v>
      </c>
      <c r="DN28" s="3038"/>
      <c r="DO28" s="3038"/>
      <c r="DP28" s="3038">
        <f>SUM(DP22:DR27)</f>
        <v>257634.68035831349</v>
      </c>
      <c r="DQ28" s="3038"/>
      <c r="DR28" s="3038"/>
      <c r="DS28" s="3038">
        <f>SUM(DS22:DU27)</f>
        <v>264075.54736727127</v>
      </c>
      <c r="DT28" s="3038"/>
      <c r="DU28" s="3038"/>
      <c r="DV28" s="3038">
        <f>SUM(DV22:DX27)</f>
        <v>270677.43605145306</v>
      </c>
      <c r="DW28" s="3038"/>
      <c r="DX28" s="3038"/>
      <c r="DY28" s="3038">
        <f>SUM(DY22:EA27)</f>
        <v>277444.37195273937</v>
      </c>
      <c r="DZ28" s="3038"/>
      <c r="EA28" s="3047"/>
      <c r="EB28" s="78"/>
    </row>
    <row r="29" spans="2:132" s="58" customFormat="1" ht="18" customHeight="1" thickBot="1">
      <c r="B29" s="2971" t="s">
        <v>3794</v>
      </c>
      <c r="C29" s="2972"/>
      <c r="D29" s="2972"/>
      <c r="E29" s="2972"/>
      <c r="F29" s="2972"/>
      <c r="G29" s="2972"/>
      <c r="H29" s="2972"/>
      <c r="I29" s="2972"/>
      <c r="J29" s="2972"/>
      <c r="K29" s="2973"/>
      <c r="L29" s="2974">
        <f>L19-L28</f>
        <v>348372</v>
      </c>
      <c r="M29" s="2974"/>
      <c r="N29" s="2974"/>
      <c r="O29" s="2974">
        <f>O19-O28</f>
        <v>357081.3</v>
      </c>
      <c r="P29" s="2974"/>
      <c r="Q29" s="2974"/>
      <c r="R29" s="2974">
        <f>R19-R28</f>
        <v>366008.33249999996</v>
      </c>
      <c r="S29" s="2974"/>
      <c r="T29" s="2974"/>
      <c r="U29" s="2974">
        <f>U19-U28</f>
        <v>375158.54081249988</v>
      </c>
      <c r="V29" s="2974"/>
      <c r="W29" s="2974"/>
      <c r="X29" s="2974">
        <f>X19-X28</f>
        <v>384537.50433281239</v>
      </c>
      <c r="Y29" s="2974"/>
      <c r="Z29" s="2974"/>
      <c r="AA29" s="2974">
        <f>AA19-AA28</f>
        <v>394150.94194113265</v>
      </c>
      <c r="AB29" s="2974"/>
      <c r="AC29" s="2974"/>
      <c r="AD29" s="2974">
        <f>AD19-AD28</f>
        <v>404004.71548966086</v>
      </c>
      <c r="AE29" s="2974"/>
      <c r="AF29" s="2974"/>
      <c r="AG29" s="2974">
        <f>AG19-AG28</f>
        <v>414104.83337690239</v>
      </c>
      <c r="AH29" s="2974"/>
      <c r="AI29" s="2974"/>
      <c r="AJ29" s="2974">
        <f>AJ19-AJ28</f>
        <v>424457.45421132492</v>
      </c>
      <c r="AK29" s="2974"/>
      <c r="AL29" s="2974"/>
      <c r="AM29" s="2974">
        <f>AM19-AM28</f>
        <v>435068.89056660794</v>
      </c>
      <c r="AN29" s="2974"/>
      <c r="AO29" s="2974"/>
      <c r="AP29" s="2974">
        <f>AP19-AP28</f>
        <v>445945.61283077317</v>
      </c>
      <c r="AQ29" s="2974"/>
      <c r="AR29" s="2974"/>
      <c r="AS29" s="2974">
        <f>AS19-AS28</f>
        <v>457094.25315154239</v>
      </c>
      <c r="AT29" s="2974"/>
      <c r="AU29" s="2974"/>
      <c r="AV29" s="2974">
        <f>AV19-AV28</f>
        <v>468521.60948033095</v>
      </c>
      <c r="AW29" s="2974"/>
      <c r="AX29" s="2974"/>
      <c r="AY29" s="2974">
        <f>AY19-AY28</f>
        <v>480234.6497173392</v>
      </c>
      <c r="AZ29" s="2974"/>
      <c r="BA29" s="2974"/>
      <c r="BB29" s="2974">
        <f>BB19-BB28</f>
        <v>492240.51596027263</v>
      </c>
      <c r="BC29" s="2974"/>
      <c r="BD29" s="2974"/>
      <c r="BE29" s="2974">
        <f>BE19-BE28</f>
        <v>504546.52885927935</v>
      </c>
      <c r="BF29" s="2974"/>
      <c r="BG29" s="2974"/>
      <c r="BH29" s="2974">
        <f>BH19-BH28</f>
        <v>517160.19208076119</v>
      </c>
      <c r="BI29" s="2974"/>
      <c r="BJ29" s="2974"/>
      <c r="BK29" s="2974">
        <f>BK19-BK28</f>
        <v>530089.19688278041</v>
      </c>
      <c r="BL29" s="2974"/>
      <c r="BM29" s="2974"/>
      <c r="BN29" s="2974">
        <f>BN19-BN28</f>
        <v>543341.42680484976</v>
      </c>
      <c r="BO29" s="2974"/>
      <c r="BP29" s="2974"/>
      <c r="BQ29" s="2974">
        <f>BQ19-BQ28</f>
        <v>556924.96247497108</v>
      </c>
      <c r="BR29" s="2974"/>
      <c r="BS29" s="2974"/>
      <c r="BT29" s="2974">
        <f>BT19-BT28</f>
        <v>570848.08653684531</v>
      </c>
      <c r="BU29" s="2974"/>
      <c r="BV29" s="2974"/>
      <c r="BW29" s="2974">
        <f>BW19-BW28</f>
        <v>585119.28870026628</v>
      </c>
      <c r="BX29" s="2974"/>
      <c r="BY29" s="2974"/>
      <c r="BZ29" s="2974">
        <f>BZ19-BZ28</f>
        <v>599747.2709177729</v>
      </c>
      <c r="CA29" s="2974"/>
      <c r="CB29" s="2974"/>
      <c r="CC29" s="2974">
        <f>CC19-CC28</f>
        <v>614740.9526907173</v>
      </c>
      <c r="CD29" s="2974"/>
      <c r="CE29" s="2974"/>
      <c r="CF29" s="2974">
        <f>CF19-CF28</f>
        <v>630109.47650798515</v>
      </c>
      <c r="CG29" s="2974"/>
      <c r="CH29" s="2974"/>
      <c r="CI29" s="2974">
        <f>CI19-CI28</f>
        <v>645862.21342068468</v>
      </c>
      <c r="CJ29" s="2974"/>
      <c r="CK29" s="2974"/>
      <c r="CL29" s="2974">
        <f>CL19-CL28</f>
        <v>662008.76875620172</v>
      </c>
      <c r="CM29" s="2974"/>
      <c r="CN29" s="2974"/>
      <c r="CO29" s="2974">
        <f>CO19-CO28</f>
        <v>678558.98797510681</v>
      </c>
      <c r="CP29" s="2974"/>
      <c r="CQ29" s="2974"/>
      <c r="CR29" s="2974">
        <f>CR19-CR28</f>
        <v>695522.96267448436</v>
      </c>
      <c r="CS29" s="2974"/>
      <c r="CT29" s="2974"/>
      <c r="CU29" s="2974">
        <f>CU19-CU28</f>
        <v>712911.03674134635</v>
      </c>
      <c r="CV29" s="2974"/>
      <c r="CW29" s="2974"/>
      <c r="CX29" s="2974">
        <f>CX19-CX28</f>
        <v>730733.81265988003</v>
      </c>
      <c r="CY29" s="2974"/>
      <c r="CZ29" s="2974"/>
      <c r="DA29" s="2974">
        <f>DA19-DA28</f>
        <v>749002.15797637694</v>
      </c>
      <c r="DB29" s="2974"/>
      <c r="DC29" s="2974"/>
      <c r="DD29" s="2974">
        <f>DD19-DD28</f>
        <v>767727.21192578634</v>
      </c>
      <c r="DE29" s="2974"/>
      <c r="DF29" s="2974"/>
      <c r="DG29" s="2974">
        <f>DG19-DG28</f>
        <v>786920.3922239308</v>
      </c>
      <c r="DH29" s="2974"/>
      <c r="DI29" s="2974"/>
      <c r="DJ29" s="2974">
        <f>DJ19-DJ28</f>
        <v>806593.40202952921</v>
      </c>
      <c r="DK29" s="2974"/>
      <c r="DL29" s="2974"/>
      <c r="DM29" s="2974">
        <f>DM19-DM28</f>
        <v>826758.23708026716</v>
      </c>
      <c r="DN29" s="2974"/>
      <c r="DO29" s="2974"/>
      <c r="DP29" s="2974">
        <f>DP19-DP28</f>
        <v>847427.19300727383</v>
      </c>
      <c r="DQ29" s="2974"/>
      <c r="DR29" s="2974"/>
      <c r="DS29" s="2974">
        <f>DS19-DS28</f>
        <v>868612.87283245567</v>
      </c>
      <c r="DT29" s="2974"/>
      <c r="DU29" s="2974"/>
      <c r="DV29" s="2974">
        <f>DV19-DV28</f>
        <v>890328.19465326704</v>
      </c>
      <c r="DW29" s="2974"/>
      <c r="DX29" s="2974"/>
      <c r="DY29" s="2974">
        <f>DY19-DY28</f>
        <v>912586.39951959834</v>
      </c>
      <c r="DZ29" s="2974"/>
      <c r="EA29" s="3046"/>
      <c r="EB29" s="78"/>
    </row>
    <row r="30" spans="2:132" ht="18" customHeight="1" thickTop="1">
      <c r="B30" s="1285"/>
      <c r="C30" s="1285"/>
      <c r="D30" s="81"/>
      <c r="E30" s="81"/>
      <c r="F30" s="81"/>
      <c r="G30" s="81"/>
      <c r="H30" s="81"/>
      <c r="I30" s="81"/>
      <c r="J30" s="81"/>
      <c r="K30" s="82"/>
      <c r="L30" s="83"/>
      <c r="M30" s="84"/>
      <c r="N30" s="84"/>
      <c r="O30" s="85"/>
      <c r="P30" s="85"/>
      <c r="Q30" s="85"/>
      <c r="R30" s="85"/>
      <c r="S30" s="85"/>
      <c r="T30" s="85"/>
      <c r="U30" s="85"/>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row>
    <row r="31" spans="2:132" s="60" customFormat="1" ht="18" customHeight="1">
      <c r="B31" s="3048" t="s">
        <v>3795</v>
      </c>
      <c r="C31" s="3048"/>
      <c r="D31" s="3048"/>
      <c r="E31" s="3048"/>
      <c r="F31" s="3048"/>
      <c r="G31" s="3048"/>
      <c r="H31" s="3048"/>
      <c r="I31" s="3048"/>
      <c r="J31" s="3048"/>
      <c r="K31" s="3048"/>
      <c r="L31" s="3011" t="s">
        <v>3742</v>
      </c>
      <c r="M31" s="2984"/>
      <c r="N31" s="2984"/>
      <c r="O31" s="2984" t="s">
        <v>3743</v>
      </c>
      <c r="P31" s="2984"/>
      <c r="Q31" s="2984"/>
      <c r="R31" s="2984" t="s">
        <v>3744</v>
      </c>
      <c r="S31" s="2984"/>
      <c r="T31" s="2984"/>
      <c r="U31" s="2984" t="s">
        <v>3745</v>
      </c>
      <c r="V31" s="2984"/>
      <c r="W31" s="2984"/>
      <c r="X31" s="2984" t="s">
        <v>3746</v>
      </c>
      <c r="Y31" s="2984"/>
      <c r="Z31" s="2984"/>
      <c r="AA31" s="2984" t="s">
        <v>3747</v>
      </c>
      <c r="AB31" s="2984"/>
      <c r="AC31" s="2984"/>
      <c r="AD31" s="2984" t="s">
        <v>3748</v>
      </c>
      <c r="AE31" s="2984"/>
      <c r="AF31" s="2984"/>
      <c r="AG31" s="2984" t="s">
        <v>3749</v>
      </c>
      <c r="AH31" s="2984"/>
      <c r="AI31" s="2984"/>
      <c r="AJ31" s="2984" t="s">
        <v>3750</v>
      </c>
      <c r="AK31" s="2984"/>
      <c r="AL31" s="2984"/>
      <c r="AM31" s="2984" t="s">
        <v>3751</v>
      </c>
      <c r="AN31" s="2984"/>
      <c r="AO31" s="2984"/>
      <c r="AP31" s="2984" t="s">
        <v>3752</v>
      </c>
      <c r="AQ31" s="2984"/>
      <c r="AR31" s="2984"/>
      <c r="AS31" s="2984" t="s">
        <v>3753</v>
      </c>
      <c r="AT31" s="2984"/>
      <c r="AU31" s="2984"/>
      <c r="AV31" s="2984" t="s">
        <v>3754</v>
      </c>
      <c r="AW31" s="2984"/>
      <c r="AX31" s="2984"/>
      <c r="AY31" s="2984" t="s">
        <v>3755</v>
      </c>
      <c r="AZ31" s="2984"/>
      <c r="BA31" s="2984"/>
      <c r="BB31" s="2984" t="s">
        <v>3756</v>
      </c>
      <c r="BC31" s="2984"/>
      <c r="BD31" s="2984"/>
      <c r="BE31" s="2984" t="s">
        <v>3757</v>
      </c>
      <c r="BF31" s="2984"/>
      <c r="BG31" s="2984"/>
      <c r="BH31" s="2984" t="s">
        <v>3758</v>
      </c>
      <c r="BI31" s="2984"/>
      <c r="BJ31" s="2984"/>
      <c r="BK31" s="2984" t="s">
        <v>3759</v>
      </c>
      <c r="BL31" s="2984"/>
      <c r="BM31" s="2984"/>
      <c r="BN31" s="2984" t="s">
        <v>3760</v>
      </c>
      <c r="BO31" s="2984"/>
      <c r="BP31" s="2984"/>
      <c r="BQ31" s="2984" t="s">
        <v>3761</v>
      </c>
      <c r="BR31" s="2984"/>
      <c r="BS31" s="2984"/>
      <c r="BT31" s="2984" t="s">
        <v>3762</v>
      </c>
      <c r="BU31" s="2984"/>
      <c r="BV31" s="2984"/>
      <c r="BW31" s="2984" t="s">
        <v>3763</v>
      </c>
      <c r="BX31" s="2984"/>
      <c r="BY31" s="2984"/>
      <c r="BZ31" s="2984" t="s">
        <v>3764</v>
      </c>
      <c r="CA31" s="2984"/>
      <c r="CB31" s="2984"/>
      <c r="CC31" s="2984" t="s">
        <v>3765</v>
      </c>
      <c r="CD31" s="2984"/>
      <c r="CE31" s="2984"/>
      <c r="CF31" s="2984" t="s">
        <v>3766</v>
      </c>
      <c r="CG31" s="2984"/>
      <c r="CH31" s="2984"/>
      <c r="CI31" s="2984" t="s">
        <v>3767</v>
      </c>
      <c r="CJ31" s="2984"/>
      <c r="CK31" s="2984"/>
      <c r="CL31" s="2984" t="s">
        <v>3768</v>
      </c>
      <c r="CM31" s="2984"/>
      <c r="CN31" s="2984"/>
      <c r="CO31" s="2984" t="s">
        <v>3769</v>
      </c>
      <c r="CP31" s="2984"/>
      <c r="CQ31" s="2984"/>
      <c r="CR31" s="2984" t="s">
        <v>3770</v>
      </c>
      <c r="CS31" s="2984"/>
      <c r="CT31" s="2984"/>
      <c r="CU31" s="2984" t="s">
        <v>3771</v>
      </c>
      <c r="CV31" s="2984"/>
      <c r="CW31" s="2984"/>
      <c r="CX31" s="2984" t="s">
        <v>3772</v>
      </c>
      <c r="CY31" s="2984"/>
      <c r="CZ31" s="2984"/>
      <c r="DA31" s="2984" t="s">
        <v>3773</v>
      </c>
      <c r="DB31" s="2984"/>
      <c r="DC31" s="2984"/>
      <c r="DD31" s="2984" t="s">
        <v>3774</v>
      </c>
      <c r="DE31" s="2984"/>
      <c r="DF31" s="2984"/>
      <c r="DG31" s="2984" t="s">
        <v>3775</v>
      </c>
      <c r="DH31" s="2984"/>
      <c r="DI31" s="2984"/>
      <c r="DJ31" s="2984" t="s">
        <v>3776</v>
      </c>
      <c r="DK31" s="2984"/>
      <c r="DL31" s="2984"/>
      <c r="DM31" s="2984" t="s">
        <v>3777</v>
      </c>
      <c r="DN31" s="2984"/>
      <c r="DO31" s="2984"/>
      <c r="DP31" s="2984" t="s">
        <v>3778</v>
      </c>
      <c r="DQ31" s="2984"/>
      <c r="DR31" s="2984"/>
      <c r="DS31" s="2984" t="s">
        <v>3779</v>
      </c>
      <c r="DT31" s="2984"/>
      <c r="DU31" s="2984"/>
      <c r="DV31" s="2984" t="s">
        <v>3780</v>
      </c>
      <c r="DW31" s="2984"/>
      <c r="DX31" s="2984"/>
      <c r="DY31" s="2984" t="s">
        <v>3781</v>
      </c>
      <c r="DZ31" s="2984"/>
      <c r="EA31" s="3019"/>
    </row>
    <row r="32" spans="2:132" ht="36" customHeight="1">
      <c r="B32" s="3050" t="s">
        <v>3796</v>
      </c>
      <c r="C32" s="3051"/>
      <c r="D32" s="3051"/>
      <c r="E32" s="3051"/>
      <c r="F32" s="3051"/>
      <c r="G32" s="3051"/>
      <c r="H32" s="3051"/>
      <c r="I32" s="3051"/>
      <c r="J32" s="2964">
        <v>3.5000000000000003E-2</v>
      </c>
      <c r="K32" s="2965"/>
      <c r="L32" s="3005">
        <f>+'Operating Budget'!$E$110-'Operating Budget'!$E$92-'Operating Budget'!$E$109</f>
        <v>0</v>
      </c>
      <c r="M32" s="2985"/>
      <c r="N32" s="2985"/>
      <c r="O32" s="2985">
        <f>(1+$J$32)*L32</f>
        <v>0</v>
      </c>
      <c r="P32" s="2985"/>
      <c r="Q32" s="2985"/>
      <c r="R32" s="2985">
        <f>(1+$J$32)*O32</f>
        <v>0</v>
      </c>
      <c r="S32" s="2985"/>
      <c r="T32" s="2985"/>
      <c r="U32" s="2985">
        <f>(1+$J$32)*R32</f>
        <v>0</v>
      </c>
      <c r="V32" s="2985"/>
      <c r="W32" s="2985"/>
      <c r="X32" s="2985">
        <f>(1+$J$32)*U32</f>
        <v>0</v>
      </c>
      <c r="Y32" s="2985"/>
      <c r="Z32" s="2985"/>
      <c r="AA32" s="2985">
        <f>(1+$J$32)*X32</f>
        <v>0</v>
      </c>
      <c r="AB32" s="2985"/>
      <c r="AC32" s="2985"/>
      <c r="AD32" s="2985">
        <f>(1+$J$32)*AA32</f>
        <v>0</v>
      </c>
      <c r="AE32" s="2985"/>
      <c r="AF32" s="2985"/>
      <c r="AG32" s="2985">
        <f>(1+$J$32)*AD32</f>
        <v>0</v>
      </c>
      <c r="AH32" s="2985"/>
      <c r="AI32" s="2985"/>
      <c r="AJ32" s="2985">
        <f>(1+$J$32)*AG32</f>
        <v>0</v>
      </c>
      <c r="AK32" s="2985"/>
      <c r="AL32" s="2985"/>
      <c r="AM32" s="2985">
        <f>(1+$J$32)*AJ32</f>
        <v>0</v>
      </c>
      <c r="AN32" s="2985"/>
      <c r="AO32" s="2985"/>
      <c r="AP32" s="2985">
        <f>(1+$J$32)*AM32</f>
        <v>0</v>
      </c>
      <c r="AQ32" s="2985"/>
      <c r="AR32" s="2985"/>
      <c r="AS32" s="2985">
        <f>(1+$J$32)*AP32</f>
        <v>0</v>
      </c>
      <c r="AT32" s="2985"/>
      <c r="AU32" s="2985"/>
      <c r="AV32" s="2985">
        <f>(1+$J$32)*AS32</f>
        <v>0</v>
      </c>
      <c r="AW32" s="2985"/>
      <c r="AX32" s="2985"/>
      <c r="AY32" s="2985">
        <f>(1+$J$32)*AV32</f>
        <v>0</v>
      </c>
      <c r="AZ32" s="2985"/>
      <c r="BA32" s="2985"/>
      <c r="BB32" s="2985">
        <f>(1+$J$32)*AY32</f>
        <v>0</v>
      </c>
      <c r="BC32" s="2985"/>
      <c r="BD32" s="2985"/>
      <c r="BE32" s="2985">
        <f>(1+$J$32)*BB32</f>
        <v>0</v>
      </c>
      <c r="BF32" s="2985"/>
      <c r="BG32" s="2985"/>
      <c r="BH32" s="2985">
        <f>(1+$J$32)*BE32</f>
        <v>0</v>
      </c>
      <c r="BI32" s="2985"/>
      <c r="BJ32" s="2985"/>
      <c r="BK32" s="2985">
        <f>(1+$J$32)*BH32</f>
        <v>0</v>
      </c>
      <c r="BL32" s="2985"/>
      <c r="BM32" s="2985"/>
      <c r="BN32" s="2985">
        <f>(1+$J$32)*BK32</f>
        <v>0</v>
      </c>
      <c r="BO32" s="2985"/>
      <c r="BP32" s="2985"/>
      <c r="BQ32" s="2985">
        <f>(1+$J$32)*BN32</f>
        <v>0</v>
      </c>
      <c r="BR32" s="2985"/>
      <c r="BS32" s="2985"/>
      <c r="BT32" s="2985">
        <f>(1+$J$32)*BQ32</f>
        <v>0</v>
      </c>
      <c r="BU32" s="2985"/>
      <c r="BV32" s="2985"/>
      <c r="BW32" s="2985">
        <f>(1+$J$32)*BT32</f>
        <v>0</v>
      </c>
      <c r="BX32" s="2985"/>
      <c r="BY32" s="2985"/>
      <c r="BZ32" s="2985">
        <f>(1+$J$32)*BW32</f>
        <v>0</v>
      </c>
      <c r="CA32" s="2985"/>
      <c r="CB32" s="2985"/>
      <c r="CC32" s="2985">
        <f>(1+$J$32)*BZ32</f>
        <v>0</v>
      </c>
      <c r="CD32" s="2985"/>
      <c r="CE32" s="2985"/>
      <c r="CF32" s="2985">
        <f>(1+$J$32)*CC32</f>
        <v>0</v>
      </c>
      <c r="CG32" s="2985"/>
      <c r="CH32" s="2985"/>
      <c r="CI32" s="2985">
        <f>(1+$J$32)*CF32</f>
        <v>0</v>
      </c>
      <c r="CJ32" s="2985"/>
      <c r="CK32" s="2985"/>
      <c r="CL32" s="2985">
        <f>(1+$J$32)*CI32</f>
        <v>0</v>
      </c>
      <c r="CM32" s="2985"/>
      <c r="CN32" s="2985"/>
      <c r="CO32" s="2985">
        <f>(1+$J$32)*CL32</f>
        <v>0</v>
      </c>
      <c r="CP32" s="2985"/>
      <c r="CQ32" s="2985"/>
      <c r="CR32" s="2985">
        <f>(1+$J$32)*CO32</f>
        <v>0</v>
      </c>
      <c r="CS32" s="2985"/>
      <c r="CT32" s="2985"/>
      <c r="CU32" s="2985">
        <f>(1+$J$32)*CR32</f>
        <v>0</v>
      </c>
      <c r="CV32" s="2985"/>
      <c r="CW32" s="2985"/>
      <c r="CX32" s="2985">
        <f>(1+$J$32)*CU32</f>
        <v>0</v>
      </c>
      <c r="CY32" s="2985"/>
      <c r="CZ32" s="2985"/>
      <c r="DA32" s="2985">
        <f>(1+$J$32)*CX32</f>
        <v>0</v>
      </c>
      <c r="DB32" s="2985"/>
      <c r="DC32" s="2985"/>
      <c r="DD32" s="2985">
        <f>(1+$J$32)*DA32</f>
        <v>0</v>
      </c>
      <c r="DE32" s="2985"/>
      <c r="DF32" s="2985"/>
      <c r="DG32" s="2985">
        <f>(1+$J$32)*DD32</f>
        <v>0</v>
      </c>
      <c r="DH32" s="2985"/>
      <c r="DI32" s="2985"/>
      <c r="DJ32" s="2985">
        <f>(1+$J$32)*DG32</f>
        <v>0</v>
      </c>
      <c r="DK32" s="2985"/>
      <c r="DL32" s="2985"/>
      <c r="DM32" s="2985">
        <f>(1+$J$32)*DJ32</f>
        <v>0</v>
      </c>
      <c r="DN32" s="2985"/>
      <c r="DO32" s="2985"/>
      <c r="DP32" s="2985">
        <f>(1+$J$32)*DM32</f>
        <v>0</v>
      </c>
      <c r="DQ32" s="2985"/>
      <c r="DR32" s="2985"/>
      <c r="DS32" s="2985">
        <f>(1+$J$32)*DP32</f>
        <v>0</v>
      </c>
      <c r="DT32" s="2985"/>
      <c r="DU32" s="2985"/>
      <c r="DV32" s="2985">
        <f>(1+$J$32)*DS32</f>
        <v>0</v>
      </c>
      <c r="DW32" s="2985"/>
      <c r="DX32" s="2985"/>
      <c r="DY32" s="2985">
        <f>(1+$J$32)*DV32</f>
        <v>0</v>
      </c>
      <c r="DZ32" s="2985"/>
      <c r="EA32" s="3020"/>
    </row>
    <row r="33" spans="2:132" ht="18" customHeight="1">
      <c r="B33" s="2996" t="s">
        <v>3301</v>
      </c>
      <c r="C33" s="2997"/>
      <c r="D33" s="2997"/>
      <c r="E33" s="2997"/>
      <c r="F33" s="2997"/>
      <c r="G33" s="2997"/>
      <c r="H33" s="2997"/>
      <c r="I33" s="2997"/>
      <c r="J33" s="2964">
        <v>0.02</v>
      </c>
      <c r="K33" s="2965"/>
      <c r="L33" s="2990">
        <f>+'Operating Budget'!$E$92</f>
        <v>0</v>
      </c>
      <c r="M33" s="2979"/>
      <c r="N33" s="2979"/>
      <c r="O33" s="3049">
        <f>(1+$J$33)*L33</f>
        <v>0</v>
      </c>
      <c r="P33" s="3049"/>
      <c r="Q33" s="3049"/>
      <c r="R33" s="3049">
        <f>(1+$J$33)*O33</f>
        <v>0</v>
      </c>
      <c r="S33" s="3049"/>
      <c r="T33" s="3049"/>
      <c r="U33" s="3049">
        <f>(1+$J$33)*R33</f>
        <v>0</v>
      </c>
      <c r="V33" s="3049"/>
      <c r="W33" s="3049"/>
      <c r="X33" s="3049">
        <f>(1+$J$33)*U33</f>
        <v>0</v>
      </c>
      <c r="Y33" s="3049"/>
      <c r="Z33" s="3049"/>
      <c r="AA33" s="3049">
        <f>(1+$J$33)*X33</f>
        <v>0</v>
      </c>
      <c r="AB33" s="3049"/>
      <c r="AC33" s="3049"/>
      <c r="AD33" s="3049">
        <f>(1+$J$33)*AA33</f>
        <v>0</v>
      </c>
      <c r="AE33" s="3049"/>
      <c r="AF33" s="3049"/>
      <c r="AG33" s="3049">
        <f>(1+$J$33)*AD33</f>
        <v>0</v>
      </c>
      <c r="AH33" s="3049"/>
      <c r="AI33" s="3049"/>
      <c r="AJ33" s="3049">
        <f>(1+$J$33)*AG33</f>
        <v>0</v>
      </c>
      <c r="AK33" s="3049"/>
      <c r="AL33" s="3049"/>
      <c r="AM33" s="3049">
        <f>(1+$J$33)*AJ33</f>
        <v>0</v>
      </c>
      <c r="AN33" s="3049"/>
      <c r="AO33" s="3049"/>
      <c r="AP33" s="3049">
        <f>(1+$J$33)*AM33</f>
        <v>0</v>
      </c>
      <c r="AQ33" s="3049"/>
      <c r="AR33" s="3049"/>
      <c r="AS33" s="3049">
        <f>(1+$J$33)*AP33</f>
        <v>0</v>
      </c>
      <c r="AT33" s="3049"/>
      <c r="AU33" s="3049"/>
      <c r="AV33" s="3049">
        <f>(1+$J$33)*AS33</f>
        <v>0</v>
      </c>
      <c r="AW33" s="3049"/>
      <c r="AX33" s="3049"/>
      <c r="AY33" s="3049">
        <f>(1+$J$33)*AV33</f>
        <v>0</v>
      </c>
      <c r="AZ33" s="3049"/>
      <c r="BA33" s="3049"/>
      <c r="BB33" s="3049">
        <f>(1+$J$33)*AY33</f>
        <v>0</v>
      </c>
      <c r="BC33" s="3049"/>
      <c r="BD33" s="3049"/>
      <c r="BE33" s="3049">
        <f>(1+$J$33)*BB33</f>
        <v>0</v>
      </c>
      <c r="BF33" s="3049"/>
      <c r="BG33" s="3049"/>
      <c r="BH33" s="3049">
        <f>(1+$J$33)*BE33</f>
        <v>0</v>
      </c>
      <c r="BI33" s="3049"/>
      <c r="BJ33" s="3049"/>
      <c r="BK33" s="3049">
        <f>(1+$J$33)*BH33</f>
        <v>0</v>
      </c>
      <c r="BL33" s="3049"/>
      <c r="BM33" s="3049"/>
      <c r="BN33" s="3049">
        <f>(1+$J$33)*BK33</f>
        <v>0</v>
      </c>
      <c r="BO33" s="3049"/>
      <c r="BP33" s="3049"/>
      <c r="BQ33" s="3049">
        <f>(1+$J$33)*BN33</f>
        <v>0</v>
      </c>
      <c r="BR33" s="3049"/>
      <c r="BS33" s="3049"/>
      <c r="BT33" s="3049">
        <f>(1+$J$33)*BQ33</f>
        <v>0</v>
      </c>
      <c r="BU33" s="3049"/>
      <c r="BV33" s="3049"/>
      <c r="BW33" s="3049">
        <f>(1+$J$33)*BT33</f>
        <v>0</v>
      </c>
      <c r="BX33" s="3049"/>
      <c r="BY33" s="3049"/>
      <c r="BZ33" s="3049">
        <f>(1+$J$33)*BW33</f>
        <v>0</v>
      </c>
      <c r="CA33" s="3049"/>
      <c r="CB33" s="3049"/>
      <c r="CC33" s="3049">
        <f>(1+$J$33)*BZ33</f>
        <v>0</v>
      </c>
      <c r="CD33" s="3049"/>
      <c r="CE33" s="3049"/>
      <c r="CF33" s="3049">
        <f>(1+$J$33)*CC33</f>
        <v>0</v>
      </c>
      <c r="CG33" s="3049"/>
      <c r="CH33" s="3049"/>
      <c r="CI33" s="3049">
        <f>(1+$J$33)*CF33</f>
        <v>0</v>
      </c>
      <c r="CJ33" s="3049"/>
      <c r="CK33" s="3049"/>
      <c r="CL33" s="3049">
        <f>(1+$J$33)*CI33</f>
        <v>0</v>
      </c>
      <c r="CM33" s="3049"/>
      <c r="CN33" s="3049"/>
      <c r="CO33" s="3049">
        <f>(1+$J$33)*CL33</f>
        <v>0</v>
      </c>
      <c r="CP33" s="3049"/>
      <c r="CQ33" s="3049"/>
      <c r="CR33" s="3049">
        <f>(1+$J$33)*CO33</f>
        <v>0</v>
      </c>
      <c r="CS33" s="3049"/>
      <c r="CT33" s="3049"/>
      <c r="CU33" s="3049">
        <f>(1+$J$33)*CR33</f>
        <v>0</v>
      </c>
      <c r="CV33" s="3049"/>
      <c r="CW33" s="3049"/>
      <c r="CX33" s="3049">
        <f>(1+$J$33)*CU33</f>
        <v>0</v>
      </c>
      <c r="CY33" s="3049"/>
      <c r="CZ33" s="3049"/>
      <c r="DA33" s="3049">
        <f>(1+$J$33)*CX33</f>
        <v>0</v>
      </c>
      <c r="DB33" s="3049"/>
      <c r="DC33" s="3049"/>
      <c r="DD33" s="3049">
        <f>(1+$J$33)*DA33</f>
        <v>0</v>
      </c>
      <c r="DE33" s="3049"/>
      <c r="DF33" s="3049"/>
      <c r="DG33" s="3049">
        <f>(1+$J$33)*DD33</f>
        <v>0</v>
      </c>
      <c r="DH33" s="3049"/>
      <c r="DI33" s="3049"/>
      <c r="DJ33" s="3049">
        <f>(1+$J$33)*DG33</f>
        <v>0</v>
      </c>
      <c r="DK33" s="3049"/>
      <c r="DL33" s="3049"/>
      <c r="DM33" s="3049">
        <f>(1+$J$33)*DJ33</f>
        <v>0</v>
      </c>
      <c r="DN33" s="3049"/>
      <c r="DO33" s="3049"/>
      <c r="DP33" s="3049">
        <f>(1+$J$33)*DM33</f>
        <v>0</v>
      </c>
      <c r="DQ33" s="3049"/>
      <c r="DR33" s="3049"/>
      <c r="DS33" s="3049">
        <f>(1+$J$33)*DP33</f>
        <v>0</v>
      </c>
      <c r="DT33" s="3049"/>
      <c r="DU33" s="3049"/>
      <c r="DV33" s="3049">
        <f>(1+$J$33)*DS33</f>
        <v>0</v>
      </c>
      <c r="DW33" s="3049"/>
      <c r="DX33" s="3049"/>
      <c r="DY33" s="2979">
        <f>(1+$J$33)*DV33</f>
        <v>0</v>
      </c>
      <c r="DZ33" s="2979"/>
      <c r="EA33" s="3021"/>
    </row>
    <row r="34" spans="2:132" ht="18" customHeight="1">
      <c r="B34" s="2996" t="s">
        <v>3697</v>
      </c>
      <c r="C34" s="2997"/>
      <c r="D34" s="2997"/>
      <c r="E34" s="2997"/>
      <c r="F34" s="2997"/>
      <c r="G34" s="2997"/>
      <c r="H34" s="2997"/>
      <c r="I34" s="2997"/>
      <c r="J34" s="2964">
        <v>2.5000000000000001E-2</v>
      </c>
      <c r="K34" s="2965"/>
      <c r="L34" s="2990">
        <f>'Operating Budget'!$E$109</f>
        <v>0</v>
      </c>
      <c r="M34" s="2979"/>
      <c r="N34" s="2979"/>
      <c r="O34" s="3049">
        <f>(1+$J$34)*L34</f>
        <v>0</v>
      </c>
      <c r="P34" s="3049"/>
      <c r="Q34" s="3049"/>
      <c r="R34" s="3049">
        <f>(1+$J$34)*O34</f>
        <v>0</v>
      </c>
      <c r="S34" s="3049"/>
      <c r="T34" s="3049"/>
      <c r="U34" s="3049">
        <f>(1+$J$34)*R34</f>
        <v>0</v>
      </c>
      <c r="V34" s="3049"/>
      <c r="W34" s="3049"/>
      <c r="X34" s="3049">
        <f>(1+$J$34)*U34</f>
        <v>0</v>
      </c>
      <c r="Y34" s="3049"/>
      <c r="Z34" s="3049"/>
      <c r="AA34" s="3049">
        <f>(1+$J$34)*X34</f>
        <v>0</v>
      </c>
      <c r="AB34" s="3049"/>
      <c r="AC34" s="3049"/>
      <c r="AD34" s="3049">
        <f>(1+$J$34)*AA34</f>
        <v>0</v>
      </c>
      <c r="AE34" s="3049"/>
      <c r="AF34" s="3049"/>
      <c r="AG34" s="3049">
        <f>(1+$J$34)*AD34</f>
        <v>0</v>
      </c>
      <c r="AH34" s="3049"/>
      <c r="AI34" s="3049"/>
      <c r="AJ34" s="3049">
        <f>(1+$J$34)*AG34</f>
        <v>0</v>
      </c>
      <c r="AK34" s="3049"/>
      <c r="AL34" s="3049"/>
      <c r="AM34" s="3049">
        <f>(1+$J$34)*AJ34</f>
        <v>0</v>
      </c>
      <c r="AN34" s="3049"/>
      <c r="AO34" s="3049"/>
      <c r="AP34" s="3049">
        <f>(1+$J$34)*AM34</f>
        <v>0</v>
      </c>
      <c r="AQ34" s="3049"/>
      <c r="AR34" s="3049"/>
      <c r="AS34" s="3049">
        <f>(1+$J$34)*AP34</f>
        <v>0</v>
      </c>
      <c r="AT34" s="3049"/>
      <c r="AU34" s="3049"/>
      <c r="AV34" s="3049">
        <f>(1+$J$34)*AS34</f>
        <v>0</v>
      </c>
      <c r="AW34" s="3049"/>
      <c r="AX34" s="3049"/>
      <c r="AY34" s="3049">
        <f>(1+$J$34)*AV34</f>
        <v>0</v>
      </c>
      <c r="AZ34" s="3049"/>
      <c r="BA34" s="3049"/>
      <c r="BB34" s="3049">
        <f>(1+$J$34)*AY34</f>
        <v>0</v>
      </c>
      <c r="BC34" s="3049"/>
      <c r="BD34" s="3049"/>
      <c r="BE34" s="3049">
        <f>(1+$J$34)*BB34</f>
        <v>0</v>
      </c>
      <c r="BF34" s="3049"/>
      <c r="BG34" s="3049"/>
      <c r="BH34" s="3049">
        <f>(1+$J$34)*BE34</f>
        <v>0</v>
      </c>
      <c r="BI34" s="3049"/>
      <c r="BJ34" s="3049"/>
      <c r="BK34" s="3049">
        <f>(1+$J$34)*BH34</f>
        <v>0</v>
      </c>
      <c r="BL34" s="3049"/>
      <c r="BM34" s="3049"/>
      <c r="BN34" s="3049">
        <f>(1+$J$34)*BK34</f>
        <v>0</v>
      </c>
      <c r="BO34" s="3049"/>
      <c r="BP34" s="3049"/>
      <c r="BQ34" s="3049">
        <f>(1+$J$34)*BN34</f>
        <v>0</v>
      </c>
      <c r="BR34" s="3049"/>
      <c r="BS34" s="3049"/>
      <c r="BT34" s="3049">
        <f>(1+$J$34)*BQ34</f>
        <v>0</v>
      </c>
      <c r="BU34" s="3049"/>
      <c r="BV34" s="3049"/>
      <c r="BW34" s="3049">
        <f>(1+$J$34)*BT34</f>
        <v>0</v>
      </c>
      <c r="BX34" s="3049"/>
      <c r="BY34" s="3049"/>
      <c r="BZ34" s="3049">
        <f>(1+$J$34)*BW34</f>
        <v>0</v>
      </c>
      <c r="CA34" s="3049"/>
      <c r="CB34" s="3049"/>
      <c r="CC34" s="3049">
        <f>(1+$J$34)*BZ34</f>
        <v>0</v>
      </c>
      <c r="CD34" s="3049"/>
      <c r="CE34" s="3049"/>
      <c r="CF34" s="3049">
        <f>(1+$J$34)*CC34</f>
        <v>0</v>
      </c>
      <c r="CG34" s="3049"/>
      <c r="CH34" s="3049"/>
      <c r="CI34" s="3049">
        <f>(1+$J$34)*CF34</f>
        <v>0</v>
      </c>
      <c r="CJ34" s="3049"/>
      <c r="CK34" s="3049"/>
      <c r="CL34" s="3049">
        <f>(1+$J$34)*CI34</f>
        <v>0</v>
      </c>
      <c r="CM34" s="3049"/>
      <c r="CN34" s="3049"/>
      <c r="CO34" s="3049">
        <f>(1+$J$34)*CL34</f>
        <v>0</v>
      </c>
      <c r="CP34" s="3049"/>
      <c r="CQ34" s="3049"/>
      <c r="CR34" s="3049">
        <f>(1+$J$34)*CO34</f>
        <v>0</v>
      </c>
      <c r="CS34" s="3049"/>
      <c r="CT34" s="3049"/>
      <c r="CU34" s="3049">
        <f>(1+$J$34)*CR34</f>
        <v>0</v>
      </c>
      <c r="CV34" s="3049"/>
      <c r="CW34" s="3049"/>
      <c r="CX34" s="3049">
        <f>(1+$J$34)*CU34</f>
        <v>0</v>
      </c>
      <c r="CY34" s="3049"/>
      <c r="CZ34" s="3049"/>
      <c r="DA34" s="3049">
        <f>(1+$J$34)*CX34</f>
        <v>0</v>
      </c>
      <c r="DB34" s="3049"/>
      <c r="DC34" s="3049"/>
      <c r="DD34" s="3049">
        <f>(1+$J$34)*DA34</f>
        <v>0</v>
      </c>
      <c r="DE34" s="3049"/>
      <c r="DF34" s="3049"/>
      <c r="DG34" s="3049">
        <f>(1+$J$34)*DD34</f>
        <v>0</v>
      </c>
      <c r="DH34" s="3049"/>
      <c r="DI34" s="3049"/>
      <c r="DJ34" s="3049">
        <f>(1+$J$34)*DG34</f>
        <v>0</v>
      </c>
      <c r="DK34" s="3049"/>
      <c r="DL34" s="3049"/>
      <c r="DM34" s="3049">
        <f>(1+$J$34)*DJ34</f>
        <v>0</v>
      </c>
      <c r="DN34" s="3049"/>
      <c r="DO34" s="3049"/>
      <c r="DP34" s="3049">
        <f>(1+$J$34)*DM34</f>
        <v>0</v>
      </c>
      <c r="DQ34" s="3049"/>
      <c r="DR34" s="3049"/>
      <c r="DS34" s="3049">
        <f>(1+$J$34)*DP34</f>
        <v>0</v>
      </c>
      <c r="DT34" s="3049"/>
      <c r="DU34" s="3049"/>
      <c r="DV34" s="3049">
        <f>(1+$J$34)*DS34</f>
        <v>0</v>
      </c>
      <c r="DW34" s="3049"/>
      <c r="DX34" s="3049"/>
      <c r="DY34" s="2979">
        <f>(1+$J$34)*DV34</f>
        <v>0</v>
      </c>
      <c r="DZ34" s="2979"/>
      <c r="EA34" s="3021"/>
    </row>
    <row r="35" spans="2:132" ht="18" customHeight="1">
      <c r="B35" s="2996" t="s">
        <v>3471</v>
      </c>
      <c r="C35" s="2997"/>
      <c r="D35" s="2997"/>
      <c r="E35" s="2997"/>
      <c r="F35" s="2997"/>
      <c r="G35" s="2997"/>
      <c r="H35" s="2997"/>
      <c r="I35" s="2997"/>
      <c r="J35" s="2964">
        <v>0</v>
      </c>
      <c r="K35" s="2965"/>
      <c r="L35" s="2990">
        <f>+'Operating Budget'!$E$113+'Operating Budget'!$F$113</f>
        <v>0</v>
      </c>
      <c r="M35" s="2979"/>
      <c r="N35" s="2979"/>
      <c r="O35" s="3049">
        <f>(1+$J$35)*L35</f>
        <v>0</v>
      </c>
      <c r="P35" s="3049"/>
      <c r="Q35" s="3049"/>
      <c r="R35" s="3049">
        <f>(1+$J$35)*O35</f>
        <v>0</v>
      </c>
      <c r="S35" s="3049"/>
      <c r="T35" s="3049"/>
      <c r="U35" s="3049">
        <f>(1+$J$35)*R35</f>
        <v>0</v>
      </c>
      <c r="V35" s="3049"/>
      <c r="W35" s="3049"/>
      <c r="X35" s="3049">
        <f>(1+$J$35)*U35</f>
        <v>0</v>
      </c>
      <c r="Y35" s="3049"/>
      <c r="Z35" s="3049"/>
      <c r="AA35" s="3049">
        <f>(1+$J$35)*X35</f>
        <v>0</v>
      </c>
      <c r="AB35" s="3049"/>
      <c r="AC35" s="3049"/>
      <c r="AD35" s="3049">
        <f>(1+$J$35)*AA35</f>
        <v>0</v>
      </c>
      <c r="AE35" s="3049"/>
      <c r="AF35" s="3049"/>
      <c r="AG35" s="3049">
        <f>(1+$J$35)*AD35</f>
        <v>0</v>
      </c>
      <c r="AH35" s="3049"/>
      <c r="AI35" s="3049"/>
      <c r="AJ35" s="3049">
        <f>(1+$J$35)*AG35</f>
        <v>0</v>
      </c>
      <c r="AK35" s="3049"/>
      <c r="AL35" s="3049"/>
      <c r="AM35" s="3049">
        <f>(1+$J$35)*AJ35</f>
        <v>0</v>
      </c>
      <c r="AN35" s="3049"/>
      <c r="AO35" s="3049"/>
      <c r="AP35" s="3049">
        <f>(1+$J$35)*AM35</f>
        <v>0</v>
      </c>
      <c r="AQ35" s="3049"/>
      <c r="AR35" s="3049"/>
      <c r="AS35" s="3049">
        <f>(1+$J$35)*AP35</f>
        <v>0</v>
      </c>
      <c r="AT35" s="3049"/>
      <c r="AU35" s="3049"/>
      <c r="AV35" s="3049">
        <f>(1+$J$35)*AS35</f>
        <v>0</v>
      </c>
      <c r="AW35" s="3049"/>
      <c r="AX35" s="3049"/>
      <c r="AY35" s="3049">
        <f>(1+$J$35)*AV35</f>
        <v>0</v>
      </c>
      <c r="AZ35" s="3049"/>
      <c r="BA35" s="3049"/>
      <c r="BB35" s="3049">
        <f>(1+$J$35)*AY35</f>
        <v>0</v>
      </c>
      <c r="BC35" s="3049"/>
      <c r="BD35" s="3049"/>
      <c r="BE35" s="3049">
        <f>(1+$J$35)*BB35</f>
        <v>0</v>
      </c>
      <c r="BF35" s="3049"/>
      <c r="BG35" s="3049"/>
      <c r="BH35" s="3049">
        <f>(1+$J$35)*BE35</f>
        <v>0</v>
      </c>
      <c r="BI35" s="3049"/>
      <c r="BJ35" s="3049"/>
      <c r="BK35" s="3049">
        <f>(1+$J$35)*BH35</f>
        <v>0</v>
      </c>
      <c r="BL35" s="3049"/>
      <c r="BM35" s="3049"/>
      <c r="BN35" s="3049">
        <f>(1+$J$35)*BK35</f>
        <v>0</v>
      </c>
      <c r="BO35" s="3049"/>
      <c r="BP35" s="3049"/>
      <c r="BQ35" s="3049">
        <f>(1+$J$35)*BN35</f>
        <v>0</v>
      </c>
      <c r="BR35" s="3049"/>
      <c r="BS35" s="3049"/>
      <c r="BT35" s="3049">
        <f>(1+$J$35)*BQ35</f>
        <v>0</v>
      </c>
      <c r="BU35" s="3049"/>
      <c r="BV35" s="3049"/>
      <c r="BW35" s="3049">
        <f>(1+$J$35)*BT35</f>
        <v>0</v>
      </c>
      <c r="BX35" s="3049"/>
      <c r="BY35" s="3049"/>
      <c r="BZ35" s="3049">
        <f>(1+$J$35)*BW35</f>
        <v>0</v>
      </c>
      <c r="CA35" s="3049"/>
      <c r="CB35" s="3049"/>
      <c r="CC35" s="3049">
        <f>(1+$J$35)*BZ35</f>
        <v>0</v>
      </c>
      <c r="CD35" s="3049"/>
      <c r="CE35" s="3049"/>
      <c r="CF35" s="3049">
        <f>(1+$J$35)*CC35</f>
        <v>0</v>
      </c>
      <c r="CG35" s="3049"/>
      <c r="CH35" s="3049"/>
      <c r="CI35" s="3049">
        <f>(1+$J$35)*CF35</f>
        <v>0</v>
      </c>
      <c r="CJ35" s="3049"/>
      <c r="CK35" s="3049"/>
      <c r="CL35" s="3049">
        <f>(1+$J$35)*CI35</f>
        <v>0</v>
      </c>
      <c r="CM35" s="3049"/>
      <c r="CN35" s="3049"/>
      <c r="CO35" s="3049">
        <f>(1+$J$35)*CL35</f>
        <v>0</v>
      </c>
      <c r="CP35" s="3049"/>
      <c r="CQ35" s="3049"/>
      <c r="CR35" s="3049">
        <f>(1+$J$35)*CO35</f>
        <v>0</v>
      </c>
      <c r="CS35" s="3049"/>
      <c r="CT35" s="3049"/>
      <c r="CU35" s="3049">
        <f>(1+$J$35)*CR35</f>
        <v>0</v>
      </c>
      <c r="CV35" s="3049"/>
      <c r="CW35" s="3049"/>
      <c r="CX35" s="3049">
        <f>(1+$J$35)*CU35</f>
        <v>0</v>
      </c>
      <c r="CY35" s="3049"/>
      <c r="CZ35" s="3049"/>
      <c r="DA35" s="3049">
        <f>(1+$J$35)*CX35</f>
        <v>0</v>
      </c>
      <c r="DB35" s="3049"/>
      <c r="DC35" s="3049"/>
      <c r="DD35" s="3049">
        <f>(1+$J$35)*DA35</f>
        <v>0</v>
      </c>
      <c r="DE35" s="3049"/>
      <c r="DF35" s="3049"/>
      <c r="DG35" s="3049">
        <f>(1+$J$35)*DD35</f>
        <v>0</v>
      </c>
      <c r="DH35" s="3049"/>
      <c r="DI35" s="3049"/>
      <c r="DJ35" s="3049">
        <f>(1+$J$35)*DG35</f>
        <v>0</v>
      </c>
      <c r="DK35" s="3049"/>
      <c r="DL35" s="3049"/>
      <c r="DM35" s="3049">
        <f>(1+$J$35)*DJ35</f>
        <v>0</v>
      </c>
      <c r="DN35" s="3049"/>
      <c r="DO35" s="3049"/>
      <c r="DP35" s="3049">
        <f>(1+$J$35)*DM35</f>
        <v>0</v>
      </c>
      <c r="DQ35" s="3049"/>
      <c r="DR35" s="3049"/>
      <c r="DS35" s="3049">
        <f>(1+$J$35)*DP35</f>
        <v>0</v>
      </c>
      <c r="DT35" s="3049"/>
      <c r="DU35" s="3049"/>
      <c r="DV35" s="3049">
        <f>(1+$J$35)*DS35</f>
        <v>0</v>
      </c>
      <c r="DW35" s="3049"/>
      <c r="DX35" s="3049"/>
      <c r="DY35" s="2979">
        <f>(1+$J$35)*DV35</f>
        <v>0</v>
      </c>
      <c r="DZ35" s="2979"/>
      <c r="EA35" s="3021"/>
    </row>
    <row r="36" spans="2:132" ht="18" customHeight="1">
      <c r="B36" s="2996" t="s">
        <v>3797</v>
      </c>
      <c r="C36" s="2997"/>
      <c r="D36" s="2997"/>
      <c r="E36" s="2997"/>
      <c r="F36" s="2997"/>
      <c r="G36" s="2997"/>
      <c r="H36" s="2997"/>
      <c r="I36" s="2997"/>
      <c r="J36" s="2964">
        <v>0</v>
      </c>
      <c r="K36" s="2965"/>
      <c r="L36" s="2990">
        <f>+'Operating Budget'!$E$114+'Operating Budget'!$E$115+'Operating Budget'!$E$116+'Operating Budget'!$F$114+'Operating Budget'!$F$115+'Operating Budget'!$F$116</f>
        <v>0</v>
      </c>
      <c r="M36" s="2979"/>
      <c r="N36" s="2979"/>
      <c r="O36" s="3049">
        <f>(1+$J$36)*L36</f>
        <v>0</v>
      </c>
      <c r="P36" s="3049"/>
      <c r="Q36" s="3049"/>
      <c r="R36" s="3049">
        <f>(1+$J$36)*O36</f>
        <v>0</v>
      </c>
      <c r="S36" s="3049"/>
      <c r="T36" s="3049"/>
      <c r="U36" s="3049">
        <f>(1+$J$36)*R36</f>
        <v>0</v>
      </c>
      <c r="V36" s="3049"/>
      <c r="W36" s="3049"/>
      <c r="X36" s="3049">
        <f>(1+$J$36)*U36</f>
        <v>0</v>
      </c>
      <c r="Y36" s="3049"/>
      <c r="Z36" s="3049"/>
      <c r="AA36" s="3049">
        <f>(1+$J$36)*X36</f>
        <v>0</v>
      </c>
      <c r="AB36" s="3049"/>
      <c r="AC36" s="3049"/>
      <c r="AD36" s="3049">
        <f>(1+$J$36)*AA36</f>
        <v>0</v>
      </c>
      <c r="AE36" s="3049"/>
      <c r="AF36" s="3049"/>
      <c r="AG36" s="3049">
        <f>(1+$J$36)*AD36</f>
        <v>0</v>
      </c>
      <c r="AH36" s="3049"/>
      <c r="AI36" s="3049"/>
      <c r="AJ36" s="3049">
        <f>(1+$J$36)*AG36</f>
        <v>0</v>
      </c>
      <c r="AK36" s="3049"/>
      <c r="AL36" s="3049"/>
      <c r="AM36" s="3049">
        <f>(1+$J$36)*AJ36</f>
        <v>0</v>
      </c>
      <c r="AN36" s="3049"/>
      <c r="AO36" s="3049"/>
      <c r="AP36" s="3049">
        <f>(1+$J$36)*AM36</f>
        <v>0</v>
      </c>
      <c r="AQ36" s="3049"/>
      <c r="AR36" s="3049"/>
      <c r="AS36" s="3049">
        <f>(1+$J$36)*AP36</f>
        <v>0</v>
      </c>
      <c r="AT36" s="3049"/>
      <c r="AU36" s="3049"/>
      <c r="AV36" s="3049">
        <f>(1+$J$36)*AS36</f>
        <v>0</v>
      </c>
      <c r="AW36" s="3049"/>
      <c r="AX36" s="3049"/>
      <c r="AY36" s="3049">
        <f>(1+$J$36)*AV36</f>
        <v>0</v>
      </c>
      <c r="AZ36" s="3049"/>
      <c r="BA36" s="3049"/>
      <c r="BB36" s="3049">
        <f>(1+$J$36)*AY36</f>
        <v>0</v>
      </c>
      <c r="BC36" s="3049"/>
      <c r="BD36" s="3049"/>
      <c r="BE36" s="3049">
        <f>(1+$J$36)*BB36</f>
        <v>0</v>
      </c>
      <c r="BF36" s="3049"/>
      <c r="BG36" s="3049"/>
      <c r="BH36" s="3049">
        <f>(1+$J$36)*BE36</f>
        <v>0</v>
      </c>
      <c r="BI36" s="3049"/>
      <c r="BJ36" s="3049"/>
      <c r="BK36" s="3049">
        <f>(1+$J$36)*BH36</f>
        <v>0</v>
      </c>
      <c r="BL36" s="3049"/>
      <c r="BM36" s="3049"/>
      <c r="BN36" s="3049">
        <f>(1+$J$36)*BK36</f>
        <v>0</v>
      </c>
      <c r="BO36" s="3049"/>
      <c r="BP36" s="3049"/>
      <c r="BQ36" s="3049">
        <f>(1+$J$36)*BN36</f>
        <v>0</v>
      </c>
      <c r="BR36" s="3049"/>
      <c r="BS36" s="3049"/>
      <c r="BT36" s="3049">
        <f>(1+$J$36)*BQ36</f>
        <v>0</v>
      </c>
      <c r="BU36" s="3049"/>
      <c r="BV36" s="3049"/>
      <c r="BW36" s="3049">
        <f>(1+$J$36)*BT36</f>
        <v>0</v>
      </c>
      <c r="BX36" s="3049"/>
      <c r="BY36" s="3049"/>
      <c r="BZ36" s="3049">
        <f>(1+$J$36)*BW36</f>
        <v>0</v>
      </c>
      <c r="CA36" s="3049"/>
      <c r="CB36" s="3049"/>
      <c r="CC36" s="3049">
        <f>(1+$J$36)*BZ36</f>
        <v>0</v>
      </c>
      <c r="CD36" s="3049"/>
      <c r="CE36" s="3049"/>
      <c r="CF36" s="3049">
        <f>(1+$J$36)*CC36</f>
        <v>0</v>
      </c>
      <c r="CG36" s="3049"/>
      <c r="CH36" s="3049"/>
      <c r="CI36" s="3049">
        <f>(1+$J$36)*CF36</f>
        <v>0</v>
      </c>
      <c r="CJ36" s="3049"/>
      <c r="CK36" s="3049"/>
      <c r="CL36" s="3049">
        <f>(1+$J$36)*CI36</f>
        <v>0</v>
      </c>
      <c r="CM36" s="3049"/>
      <c r="CN36" s="3049"/>
      <c r="CO36" s="3049">
        <f>(1+$J$36)*CL36</f>
        <v>0</v>
      </c>
      <c r="CP36" s="3049"/>
      <c r="CQ36" s="3049"/>
      <c r="CR36" s="3049">
        <f>(1+$J$36)*CO36</f>
        <v>0</v>
      </c>
      <c r="CS36" s="3049"/>
      <c r="CT36" s="3049"/>
      <c r="CU36" s="3049">
        <f>(1+$J$36)*CR36</f>
        <v>0</v>
      </c>
      <c r="CV36" s="3049"/>
      <c r="CW36" s="3049"/>
      <c r="CX36" s="3049">
        <f>(1+$J$36)*CU36</f>
        <v>0</v>
      </c>
      <c r="CY36" s="3049"/>
      <c r="CZ36" s="3049"/>
      <c r="DA36" s="3049">
        <f>(1+$J$36)*CX36</f>
        <v>0</v>
      </c>
      <c r="DB36" s="3049"/>
      <c r="DC36" s="3049"/>
      <c r="DD36" s="3049">
        <f>(1+$J$36)*DA36</f>
        <v>0</v>
      </c>
      <c r="DE36" s="3049"/>
      <c r="DF36" s="3049"/>
      <c r="DG36" s="3049">
        <f>(1+$J$36)*DD36</f>
        <v>0</v>
      </c>
      <c r="DH36" s="3049"/>
      <c r="DI36" s="3049"/>
      <c r="DJ36" s="3049">
        <f>(1+$J$36)*DG36</f>
        <v>0</v>
      </c>
      <c r="DK36" s="3049"/>
      <c r="DL36" s="3049"/>
      <c r="DM36" s="3049">
        <f>(1+$J$36)*DJ36</f>
        <v>0</v>
      </c>
      <c r="DN36" s="3049"/>
      <c r="DO36" s="3049"/>
      <c r="DP36" s="3049">
        <f>(1+$J$36)*DM36</f>
        <v>0</v>
      </c>
      <c r="DQ36" s="3049"/>
      <c r="DR36" s="3049"/>
      <c r="DS36" s="3049">
        <f>(1+$J$36)*DP36</f>
        <v>0</v>
      </c>
      <c r="DT36" s="3049"/>
      <c r="DU36" s="3049"/>
      <c r="DV36" s="3049">
        <f>(1+$J$36)*DS36</f>
        <v>0</v>
      </c>
      <c r="DW36" s="3049"/>
      <c r="DX36" s="3049"/>
      <c r="DY36" s="2979">
        <f>(1+$J$36)*DV36</f>
        <v>0</v>
      </c>
      <c r="DZ36" s="2979"/>
      <c r="EA36" s="3021"/>
    </row>
    <row r="37" spans="2:132" ht="18" customHeight="1">
      <c r="B37" s="3052" t="s">
        <v>3710</v>
      </c>
      <c r="C37" s="3053"/>
      <c r="D37" s="3053"/>
      <c r="E37" s="3053"/>
      <c r="F37" s="3053"/>
      <c r="G37" s="3053"/>
      <c r="H37" s="3053"/>
      <c r="I37" s="3053"/>
      <c r="J37" s="2964">
        <v>0.02</v>
      </c>
      <c r="K37" s="2965"/>
      <c r="L37" s="3006">
        <f>'Operating Budget'!$E$120+'Operating Budget'!$F$120</f>
        <v>0</v>
      </c>
      <c r="M37" s="2949"/>
      <c r="N37" s="2949"/>
      <c r="O37" s="3049">
        <f>(1+$J$37)*L37</f>
        <v>0</v>
      </c>
      <c r="P37" s="3049"/>
      <c r="Q37" s="3049"/>
      <c r="R37" s="3049">
        <f>(1+$J$37)*O37</f>
        <v>0</v>
      </c>
      <c r="S37" s="3049"/>
      <c r="T37" s="3049"/>
      <c r="U37" s="3049">
        <f>(1+$J$37)*R37</f>
        <v>0</v>
      </c>
      <c r="V37" s="3049"/>
      <c r="W37" s="3049"/>
      <c r="X37" s="3049">
        <f>(1+$J$37)*U37</f>
        <v>0</v>
      </c>
      <c r="Y37" s="3049"/>
      <c r="Z37" s="3049"/>
      <c r="AA37" s="3049">
        <f>(1+$J$37)*X37</f>
        <v>0</v>
      </c>
      <c r="AB37" s="3049"/>
      <c r="AC37" s="3049"/>
      <c r="AD37" s="3049">
        <f>(1+$J$37)*AA37</f>
        <v>0</v>
      </c>
      <c r="AE37" s="3049"/>
      <c r="AF37" s="3049"/>
      <c r="AG37" s="3049">
        <f>(1+$J$37)*AD37</f>
        <v>0</v>
      </c>
      <c r="AH37" s="3049"/>
      <c r="AI37" s="3049"/>
      <c r="AJ37" s="3049">
        <f>(1+$J$37)*AG37</f>
        <v>0</v>
      </c>
      <c r="AK37" s="3049"/>
      <c r="AL37" s="3049"/>
      <c r="AM37" s="3049">
        <f>(1+$J$37)*AJ37</f>
        <v>0</v>
      </c>
      <c r="AN37" s="3049"/>
      <c r="AO37" s="3049"/>
      <c r="AP37" s="3049">
        <f>(1+$J$37)*AM37</f>
        <v>0</v>
      </c>
      <c r="AQ37" s="3049"/>
      <c r="AR37" s="3049"/>
      <c r="AS37" s="3049">
        <f>(1+$J$37)*AP37</f>
        <v>0</v>
      </c>
      <c r="AT37" s="3049"/>
      <c r="AU37" s="3049"/>
      <c r="AV37" s="3049">
        <f>(1+$J$37)*AS37</f>
        <v>0</v>
      </c>
      <c r="AW37" s="3049"/>
      <c r="AX37" s="3049"/>
      <c r="AY37" s="3049">
        <f>(1+$J$37)*AV37</f>
        <v>0</v>
      </c>
      <c r="AZ37" s="3049"/>
      <c r="BA37" s="3049"/>
      <c r="BB37" s="3049">
        <f>(1+$J$37)*AY37</f>
        <v>0</v>
      </c>
      <c r="BC37" s="3049"/>
      <c r="BD37" s="3049"/>
      <c r="BE37" s="3049">
        <f>(1+$J$37)*BB37</f>
        <v>0</v>
      </c>
      <c r="BF37" s="3049"/>
      <c r="BG37" s="3049"/>
      <c r="BH37" s="3049">
        <f>(1+$J$37)*BE37</f>
        <v>0</v>
      </c>
      <c r="BI37" s="3049"/>
      <c r="BJ37" s="3049"/>
      <c r="BK37" s="3049">
        <f>(1+$J$37)*BH37</f>
        <v>0</v>
      </c>
      <c r="BL37" s="3049"/>
      <c r="BM37" s="3049"/>
      <c r="BN37" s="3049">
        <f>(1+$J$37)*BK37</f>
        <v>0</v>
      </c>
      <c r="BO37" s="3049"/>
      <c r="BP37" s="3049"/>
      <c r="BQ37" s="3049">
        <f>(1+$J$37)*BN37</f>
        <v>0</v>
      </c>
      <c r="BR37" s="3049"/>
      <c r="BS37" s="3049"/>
      <c r="BT37" s="3049">
        <f>(1+$J$37)*BQ37</f>
        <v>0</v>
      </c>
      <c r="BU37" s="3049"/>
      <c r="BV37" s="3049"/>
      <c r="BW37" s="3049">
        <f>(1+$J$37)*BT37</f>
        <v>0</v>
      </c>
      <c r="BX37" s="3049"/>
      <c r="BY37" s="3049"/>
      <c r="BZ37" s="3049">
        <f>(1+$J$37)*BW37</f>
        <v>0</v>
      </c>
      <c r="CA37" s="3049"/>
      <c r="CB37" s="3049"/>
      <c r="CC37" s="3049">
        <f>(1+$J$37)*BZ37</f>
        <v>0</v>
      </c>
      <c r="CD37" s="3049"/>
      <c r="CE37" s="3049"/>
      <c r="CF37" s="3049">
        <f>(1+$J$37)*CC37</f>
        <v>0</v>
      </c>
      <c r="CG37" s="3049"/>
      <c r="CH37" s="3049"/>
      <c r="CI37" s="3049">
        <f>(1+$J$37)*CF37</f>
        <v>0</v>
      </c>
      <c r="CJ37" s="3049"/>
      <c r="CK37" s="3049"/>
      <c r="CL37" s="3049">
        <f>(1+$J$37)*CI37</f>
        <v>0</v>
      </c>
      <c r="CM37" s="3049"/>
      <c r="CN37" s="3049"/>
      <c r="CO37" s="3049">
        <f>(1+$J$37)*CL37</f>
        <v>0</v>
      </c>
      <c r="CP37" s="3049"/>
      <c r="CQ37" s="3049"/>
      <c r="CR37" s="3049">
        <f>(1+$J$37)*CO37</f>
        <v>0</v>
      </c>
      <c r="CS37" s="3049"/>
      <c r="CT37" s="3049"/>
      <c r="CU37" s="3049">
        <f>(1+$J$37)*CR37</f>
        <v>0</v>
      </c>
      <c r="CV37" s="3049"/>
      <c r="CW37" s="3049"/>
      <c r="CX37" s="3049">
        <f>(1+$J$37)*CU37</f>
        <v>0</v>
      </c>
      <c r="CY37" s="3049"/>
      <c r="CZ37" s="3049"/>
      <c r="DA37" s="3049">
        <f>(1+$J$37)*CX37</f>
        <v>0</v>
      </c>
      <c r="DB37" s="3049"/>
      <c r="DC37" s="3049"/>
      <c r="DD37" s="3049">
        <f>(1+$J$37)*DA37</f>
        <v>0</v>
      </c>
      <c r="DE37" s="3049"/>
      <c r="DF37" s="3049"/>
      <c r="DG37" s="3049">
        <f>(1+$J$37)*DD37</f>
        <v>0</v>
      </c>
      <c r="DH37" s="3049"/>
      <c r="DI37" s="3049"/>
      <c r="DJ37" s="3049">
        <f>(1+$J$37)*DG37</f>
        <v>0</v>
      </c>
      <c r="DK37" s="3049"/>
      <c r="DL37" s="3049"/>
      <c r="DM37" s="3049">
        <f>(1+$J$37)*DJ37</f>
        <v>0</v>
      </c>
      <c r="DN37" s="3049"/>
      <c r="DO37" s="3049"/>
      <c r="DP37" s="3049">
        <f>(1+$J$37)*DM37</f>
        <v>0</v>
      </c>
      <c r="DQ37" s="3049"/>
      <c r="DR37" s="3049"/>
      <c r="DS37" s="3049">
        <f>(1+$J$37)*DP37</f>
        <v>0</v>
      </c>
      <c r="DT37" s="3049"/>
      <c r="DU37" s="3049"/>
      <c r="DV37" s="3049">
        <f>(1+$J$37)*DS37</f>
        <v>0</v>
      </c>
      <c r="DW37" s="3049"/>
      <c r="DX37" s="3049"/>
      <c r="DY37" s="2979">
        <f>(1+$J$37)*DV37</f>
        <v>0</v>
      </c>
      <c r="DZ37" s="2979"/>
      <c r="EA37" s="3021"/>
    </row>
    <row r="38" spans="2:132" ht="18" customHeight="1">
      <c r="B38" s="2996" t="s">
        <v>3798</v>
      </c>
      <c r="C38" s="2997"/>
      <c r="D38" s="2997"/>
      <c r="E38" s="2997"/>
      <c r="F38" s="2997"/>
      <c r="G38" s="2997"/>
      <c r="H38" s="2997"/>
      <c r="I38" s="2997"/>
      <c r="J38" s="2964">
        <v>3.5000000000000003E-2</v>
      </c>
      <c r="K38" s="2965"/>
      <c r="L38" s="2990">
        <f>'Operating Budget'!$F$110</f>
        <v>0</v>
      </c>
      <c r="M38" s="2979"/>
      <c r="N38" s="2979"/>
      <c r="O38" s="2979">
        <f>(1+$J$38)*L38</f>
        <v>0</v>
      </c>
      <c r="P38" s="2979"/>
      <c r="Q38" s="2979"/>
      <c r="R38" s="2979">
        <f>(1+$J$38)*O38</f>
        <v>0</v>
      </c>
      <c r="S38" s="2979"/>
      <c r="T38" s="2979"/>
      <c r="U38" s="2979">
        <f>(1+$J$38)*R38</f>
        <v>0</v>
      </c>
      <c r="V38" s="2979"/>
      <c r="W38" s="2979"/>
      <c r="X38" s="2979">
        <f>(1+$J$38)*U38</f>
        <v>0</v>
      </c>
      <c r="Y38" s="2979"/>
      <c r="Z38" s="2979"/>
      <c r="AA38" s="2979">
        <f>(1+$J$38)*X38</f>
        <v>0</v>
      </c>
      <c r="AB38" s="2979"/>
      <c r="AC38" s="2979"/>
      <c r="AD38" s="2979">
        <f>(1+$J$38)*AA38</f>
        <v>0</v>
      </c>
      <c r="AE38" s="2979"/>
      <c r="AF38" s="2979"/>
      <c r="AG38" s="2979">
        <f>(1+$J$38)*AD38</f>
        <v>0</v>
      </c>
      <c r="AH38" s="2979"/>
      <c r="AI38" s="2979"/>
      <c r="AJ38" s="2979">
        <f>(1+$J$38)*AG38</f>
        <v>0</v>
      </c>
      <c r="AK38" s="2979"/>
      <c r="AL38" s="2979"/>
      <c r="AM38" s="2979">
        <f>(1+$J$38)*AJ38</f>
        <v>0</v>
      </c>
      <c r="AN38" s="2979"/>
      <c r="AO38" s="2979"/>
      <c r="AP38" s="2979">
        <f>(1+$J$38)*AM38</f>
        <v>0</v>
      </c>
      <c r="AQ38" s="2979"/>
      <c r="AR38" s="2979"/>
      <c r="AS38" s="2979">
        <f>(1+$J$38)*AP38</f>
        <v>0</v>
      </c>
      <c r="AT38" s="2979"/>
      <c r="AU38" s="2979"/>
      <c r="AV38" s="2979">
        <f>(1+$J$38)*AS38</f>
        <v>0</v>
      </c>
      <c r="AW38" s="2979"/>
      <c r="AX38" s="2979"/>
      <c r="AY38" s="2979">
        <f>(1+$J$38)*AV38</f>
        <v>0</v>
      </c>
      <c r="AZ38" s="2979"/>
      <c r="BA38" s="2979"/>
      <c r="BB38" s="2979">
        <f>(1+$J$38)*AY38</f>
        <v>0</v>
      </c>
      <c r="BC38" s="2979"/>
      <c r="BD38" s="2979"/>
      <c r="BE38" s="2979">
        <f>(1+$J$38)*BB38</f>
        <v>0</v>
      </c>
      <c r="BF38" s="2979"/>
      <c r="BG38" s="2979"/>
      <c r="BH38" s="2979">
        <f>(1+$J$38)*BE38</f>
        <v>0</v>
      </c>
      <c r="BI38" s="2979"/>
      <c r="BJ38" s="2979"/>
      <c r="BK38" s="2979">
        <f>(1+$J$38)*BH38</f>
        <v>0</v>
      </c>
      <c r="BL38" s="2979"/>
      <c r="BM38" s="2979"/>
      <c r="BN38" s="2979">
        <f>(1+$J$38)*BK38</f>
        <v>0</v>
      </c>
      <c r="BO38" s="2979"/>
      <c r="BP38" s="2979"/>
      <c r="BQ38" s="2979">
        <f>(1+$J$38)*BN38</f>
        <v>0</v>
      </c>
      <c r="BR38" s="2979"/>
      <c r="BS38" s="2979"/>
      <c r="BT38" s="2979">
        <f>(1+$J$38)*BQ38</f>
        <v>0</v>
      </c>
      <c r="BU38" s="2979"/>
      <c r="BV38" s="2979"/>
      <c r="BW38" s="2979">
        <f>(1+$J$38)*BT38</f>
        <v>0</v>
      </c>
      <c r="BX38" s="2979"/>
      <c r="BY38" s="2979"/>
      <c r="BZ38" s="2979">
        <f>(1+$J$38)*BW38</f>
        <v>0</v>
      </c>
      <c r="CA38" s="2979"/>
      <c r="CB38" s="2979"/>
      <c r="CC38" s="2979">
        <f>(1+$J$38)*BZ38</f>
        <v>0</v>
      </c>
      <c r="CD38" s="2979"/>
      <c r="CE38" s="2979"/>
      <c r="CF38" s="2979">
        <f>(1+$J$38)*CC38</f>
        <v>0</v>
      </c>
      <c r="CG38" s="2979"/>
      <c r="CH38" s="2979"/>
      <c r="CI38" s="2979">
        <f>(1+$J$38)*CF38</f>
        <v>0</v>
      </c>
      <c r="CJ38" s="2979"/>
      <c r="CK38" s="2979"/>
      <c r="CL38" s="2979">
        <f>(1+$J$38)*CI38</f>
        <v>0</v>
      </c>
      <c r="CM38" s="2979"/>
      <c r="CN38" s="2979"/>
      <c r="CO38" s="2979">
        <f>(1+$J$38)*CL38</f>
        <v>0</v>
      </c>
      <c r="CP38" s="2979"/>
      <c r="CQ38" s="2979"/>
      <c r="CR38" s="2979">
        <f>(1+$J$38)*CO38</f>
        <v>0</v>
      </c>
      <c r="CS38" s="2979"/>
      <c r="CT38" s="2979"/>
      <c r="CU38" s="2979">
        <f>(1+$J$38)*CR38</f>
        <v>0</v>
      </c>
      <c r="CV38" s="2979"/>
      <c r="CW38" s="2979"/>
      <c r="CX38" s="2979">
        <f>(1+$J$38)*CU38</f>
        <v>0</v>
      </c>
      <c r="CY38" s="2979"/>
      <c r="CZ38" s="2979"/>
      <c r="DA38" s="2979">
        <f>(1+$J$38)*CX38</f>
        <v>0</v>
      </c>
      <c r="DB38" s="2979"/>
      <c r="DC38" s="2979"/>
      <c r="DD38" s="2979">
        <f>(1+$J$38)*DA38</f>
        <v>0</v>
      </c>
      <c r="DE38" s="2979"/>
      <c r="DF38" s="2979"/>
      <c r="DG38" s="2979">
        <f>(1+$J$38)*DD38</f>
        <v>0</v>
      </c>
      <c r="DH38" s="2979"/>
      <c r="DI38" s="2979"/>
      <c r="DJ38" s="2979">
        <f>(1+$J$38)*DG38</f>
        <v>0</v>
      </c>
      <c r="DK38" s="2979"/>
      <c r="DL38" s="2979"/>
      <c r="DM38" s="2979">
        <f>(1+$J$38)*DJ38</f>
        <v>0</v>
      </c>
      <c r="DN38" s="2979"/>
      <c r="DO38" s="2979"/>
      <c r="DP38" s="2979">
        <f>(1+$J$38)*DM38</f>
        <v>0</v>
      </c>
      <c r="DQ38" s="2979"/>
      <c r="DR38" s="2979"/>
      <c r="DS38" s="2979">
        <f>(1+$J$38)*DP38</f>
        <v>0</v>
      </c>
      <c r="DT38" s="2979"/>
      <c r="DU38" s="2979"/>
      <c r="DV38" s="2979">
        <f>(1+$J$38)*DS38</f>
        <v>0</v>
      </c>
      <c r="DW38" s="2979"/>
      <c r="DX38" s="2979"/>
      <c r="DY38" s="2979">
        <f>(1+$J$38)*DV38</f>
        <v>0</v>
      </c>
      <c r="DZ38" s="2979"/>
      <c r="EA38" s="3021"/>
    </row>
    <row r="39" spans="2:132" s="58" customFormat="1" ht="18" customHeight="1">
      <c r="B39" s="3058" t="s">
        <v>3799</v>
      </c>
      <c r="C39" s="3059"/>
      <c r="D39" s="3059"/>
      <c r="E39" s="3059"/>
      <c r="F39" s="3059"/>
      <c r="G39" s="3059"/>
      <c r="H39" s="3059"/>
      <c r="I39" s="3059"/>
      <c r="J39" s="3059"/>
      <c r="K39" s="3059"/>
      <c r="L39" s="3037">
        <f t="shared" ref="L39:R39" si="1">SUM(L32:L38)</f>
        <v>0</v>
      </c>
      <c r="M39" s="3038"/>
      <c r="N39" s="3038"/>
      <c r="O39" s="3038">
        <f t="shared" si="1"/>
        <v>0</v>
      </c>
      <c r="P39" s="3038"/>
      <c r="Q39" s="3038"/>
      <c r="R39" s="3038">
        <f t="shared" si="1"/>
        <v>0</v>
      </c>
      <c r="S39" s="3038"/>
      <c r="T39" s="3038"/>
      <c r="U39" s="3038">
        <f>SUM(U32:U38)</f>
        <v>0</v>
      </c>
      <c r="V39" s="3038"/>
      <c r="W39" s="3038"/>
      <c r="X39" s="3038">
        <f>SUM(X32:X38)</f>
        <v>0</v>
      </c>
      <c r="Y39" s="3038"/>
      <c r="Z39" s="3038"/>
      <c r="AA39" s="3038">
        <f>SUM(AA32:AA38)</f>
        <v>0</v>
      </c>
      <c r="AB39" s="3038"/>
      <c r="AC39" s="3038"/>
      <c r="AD39" s="3038">
        <f>SUM(AD32:AD38)</f>
        <v>0</v>
      </c>
      <c r="AE39" s="3038"/>
      <c r="AF39" s="3038"/>
      <c r="AG39" s="3038">
        <f>SUM(AG32:AG38)</f>
        <v>0</v>
      </c>
      <c r="AH39" s="3038"/>
      <c r="AI39" s="3038"/>
      <c r="AJ39" s="3038">
        <f>SUM(AJ32:AJ38)</f>
        <v>0</v>
      </c>
      <c r="AK39" s="3038"/>
      <c r="AL39" s="3038"/>
      <c r="AM39" s="3038">
        <f>SUM(AM32:AM38)</f>
        <v>0</v>
      </c>
      <c r="AN39" s="3038"/>
      <c r="AO39" s="3038"/>
      <c r="AP39" s="3038">
        <f>SUM(AP32:AP38)</f>
        <v>0</v>
      </c>
      <c r="AQ39" s="3038"/>
      <c r="AR39" s="3038"/>
      <c r="AS39" s="3038">
        <f>SUM(AS32:AS38)</f>
        <v>0</v>
      </c>
      <c r="AT39" s="3038"/>
      <c r="AU39" s="3038"/>
      <c r="AV39" s="3038">
        <f>SUM(AV32:AV38)</f>
        <v>0</v>
      </c>
      <c r="AW39" s="3038"/>
      <c r="AX39" s="3038"/>
      <c r="AY39" s="3038">
        <f>SUM(AY32:AY38)</f>
        <v>0</v>
      </c>
      <c r="AZ39" s="3038"/>
      <c r="BA39" s="3038"/>
      <c r="BB39" s="3038">
        <f>SUM(BB32:BB38)</f>
        <v>0</v>
      </c>
      <c r="BC39" s="3038"/>
      <c r="BD39" s="3038"/>
      <c r="BE39" s="3038">
        <f>SUM(BE32:BE38)</f>
        <v>0</v>
      </c>
      <c r="BF39" s="3038"/>
      <c r="BG39" s="3038"/>
      <c r="BH39" s="3038">
        <f>SUM(BH32:BH38)</f>
        <v>0</v>
      </c>
      <c r="BI39" s="3038"/>
      <c r="BJ39" s="3038"/>
      <c r="BK39" s="3038">
        <f>SUM(BK32:BK38)</f>
        <v>0</v>
      </c>
      <c r="BL39" s="3038"/>
      <c r="BM39" s="3038"/>
      <c r="BN39" s="3038">
        <f>SUM(BN32:BN38)</f>
        <v>0</v>
      </c>
      <c r="BO39" s="3038"/>
      <c r="BP39" s="3038"/>
      <c r="BQ39" s="3038">
        <f>SUM(BQ32:BQ38)</f>
        <v>0</v>
      </c>
      <c r="BR39" s="3038"/>
      <c r="BS39" s="3038"/>
      <c r="BT39" s="3038">
        <f>SUM(BT32:BT38)</f>
        <v>0</v>
      </c>
      <c r="BU39" s="3038"/>
      <c r="BV39" s="3038"/>
      <c r="BW39" s="3038">
        <f>SUM(BW32:BW38)</f>
        <v>0</v>
      </c>
      <c r="BX39" s="3038"/>
      <c r="BY39" s="3038"/>
      <c r="BZ39" s="3038">
        <f>SUM(BZ32:BZ38)</f>
        <v>0</v>
      </c>
      <c r="CA39" s="3038"/>
      <c r="CB39" s="3038"/>
      <c r="CC39" s="3038">
        <f>SUM(CC32:CC38)</f>
        <v>0</v>
      </c>
      <c r="CD39" s="3038"/>
      <c r="CE39" s="3038"/>
      <c r="CF39" s="3038">
        <f>SUM(CF32:CF38)</f>
        <v>0</v>
      </c>
      <c r="CG39" s="3038"/>
      <c r="CH39" s="3038"/>
      <c r="CI39" s="3038">
        <f>SUM(CI32:CI38)</f>
        <v>0</v>
      </c>
      <c r="CJ39" s="3038"/>
      <c r="CK39" s="3038"/>
      <c r="CL39" s="3038">
        <f>SUM(CL32:CL38)</f>
        <v>0</v>
      </c>
      <c r="CM39" s="3038"/>
      <c r="CN39" s="3038"/>
      <c r="CO39" s="3038">
        <f>SUM(CO32:CO38)</f>
        <v>0</v>
      </c>
      <c r="CP39" s="3038"/>
      <c r="CQ39" s="3038"/>
      <c r="CR39" s="3038">
        <f>SUM(CR32:CR38)</f>
        <v>0</v>
      </c>
      <c r="CS39" s="3038"/>
      <c r="CT39" s="3038"/>
      <c r="CU39" s="3038">
        <f>SUM(CU32:CU38)</f>
        <v>0</v>
      </c>
      <c r="CV39" s="3038"/>
      <c r="CW39" s="3038"/>
      <c r="CX39" s="3038">
        <f>SUM(CX32:CX38)</f>
        <v>0</v>
      </c>
      <c r="CY39" s="3038"/>
      <c r="CZ39" s="3038"/>
      <c r="DA39" s="3038">
        <f>SUM(DA32:DA38)</f>
        <v>0</v>
      </c>
      <c r="DB39" s="3038"/>
      <c r="DC39" s="3038"/>
      <c r="DD39" s="3038">
        <f>SUM(DD32:DD38)</f>
        <v>0</v>
      </c>
      <c r="DE39" s="3038"/>
      <c r="DF39" s="3038"/>
      <c r="DG39" s="3038">
        <f>SUM(DG32:DG38)</f>
        <v>0</v>
      </c>
      <c r="DH39" s="3038"/>
      <c r="DI39" s="3038"/>
      <c r="DJ39" s="3038">
        <f>SUM(DJ32:DJ38)</f>
        <v>0</v>
      </c>
      <c r="DK39" s="3038"/>
      <c r="DL39" s="3038"/>
      <c r="DM39" s="3038">
        <f>SUM(DM32:DM38)</f>
        <v>0</v>
      </c>
      <c r="DN39" s="3038"/>
      <c r="DO39" s="3038"/>
      <c r="DP39" s="3038">
        <f>SUM(DP32:DP38)</f>
        <v>0</v>
      </c>
      <c r="DQ39" s="3038"/>
      <c r="DR39" s="3038"/>
      <c r="DS39" s="3038">
        <f>SUM(DS32:DS38)</f>
        <v>0</v>
      </c>
      <c r="DT39" s="3038"/>
      <c r="DU39" s="3038"/>
      <c r="DV39" s="3038">
        <f>SUM(DV32:DV38)</f>
        <v>0</v>
      </c>
      <c r="DW39" s="3038"/>
      <c r="DX39" s="3038"/>
      <c r="DY39" s="3038">
        <f>SUM(DY32:DY38)</f>
        <v>0</v>
      </c>
      <c r="DZ39" s="3038"/>
      <c r="EA39" s="3047"/>
      <c r="EB39" s="78"/>
    </row>
    <row r="40" spans="2:132" s="86" customFormat="1" ht="18" customHeight="1" thickBot="1">
      <c r="B40" s="3055" t="s">
        <v>3800</v>
      </c>
      <c r="C40" s="3056"/>
      <c r="D40" s="3056"/>
      <c r="E40" s="3056"/>
      <c r="F40" s="3056"/>
      <c r="G40" s="3056"/>
      <c r="H40" s="3056"/>
      <c r="I40" s="3056"/>
      <c r="J40" s="3056"/>
      <c r="K40" s="3057"/>
      <c r="L40" s="3054">
        <f>L29-L39</f>
        <v>348372</v>
      </c>
      <c r="M40" s="3054"/>
      <c r="N40" s="3054"/>
      <c r="O40" s="3054">
        <f>O29-O39</f>
        <v>357081.3</v>
      </c>
      <c r="P40" s="3054"/>
      <c r="Q40" s="3054"/>
      <c r="R40" s="3054">
        <f>R29-R39</f>
        <v>366008.33249999996</v>
      </c>
      <c r="S40" s="3054"/>
      <c r="T40" s="3054"/>
      <c r="U40" s="3054">
        <f>U29-U39</f>
        <v>375158.54081249988</v>
      </c>
      <c r="V40" s="3054"/>
      <c r="W40" s="3054"/>
      <c r="X40" s="3054">
        <f>X29-X39</f>
        <v>384537.50433281239</v>
      </c>
      <c r="Y40" s="3054"/>
      <c r="Z40" s="3054"/>
      <c r="AA40" s="3054">
        <f>AA29-AA39</f>
        <v>394150.94194113265</v>
      </c>
      <c r="AB40" s="3054"/>
      <c r="AC40" s="3054"/>
      <c r="AD40" s="3054">
        <f>AD29-AD39</f>
        <v>404004.71548966086</v>
      </c>
      <c r="AE40" s="3054"/>
      <c r="AF40" s="3054"/>
      <c r="AG40" s="3054">
        <f>AG29-AG39</f>
        <v>414104.83337690239</v>
      </c>
      <c r="AH40" s="3054"/>
      <c r="AI40" s="3054"/>
      <c r="AJ40" s="3054">
        <f>AJ29-AJ39</f>
        <v>424457.45421132492</v>
      </c>
      <c r="AK40" s="3054"/>
      <c r="AL40" s="3054"/>
      <c r="AM40" s="3054">
        <f>AM29-AM39</f>
        <v>435068.89056660794</v>
      </c>
      <c r="AN40" s="3054"/>
      <c r="AO40" s="3054"/>
      <c r="AP40" s="3054">
        <f>AP29-AP39</f>
        <v>445945.61283077317</v>
      </c>
      <c r="AQ40" s="3054"/>
      <c r="AR40" s="3054"/>
      <c r="AS40" s="3054">
        <f>AS29-AS39</f>
        <v>457094.25315154239</v>
      </c>
      <c r="AT40" s="3054"/>
      <c r="AU40" s="3054"/>
      <c r="AV40" s="3054">
        <f>AV29-AV39</f>
        <v>468521.60948033095</v>
      </c>
      <c r="AW40" s="3054"/>
      <c r="AX40" s="3054"/>
      <c r="AY40" s="3054">
        <f>AY29-AY39</f>
        <v>480234.6497173392</v>
      </c>
      <c r="AZ40" s="3054"/>
      <c r="BA40" s="3054"/>
      <c r="BB40" s="3054">
        <f>BB29-BB39</f>
        <v>492240.51596027263</v>
      </c>
      <c r="BC40" s="3054"/>
      <c r="BD40" s="3054"/>
      <c r="BE40" s="3054">
        <f>BE29-BE39</f>
        <v>504546.52885927935</v>
      </c>
      <c r="BF40" s="3054"/>
      <c r="BG40" s="3054"/>
      <c r="BH40" s="3054">
        <f>BH29-BH39</f>
        <v>517160.19208076119</v>
      </c>
      <c r="BI40" s="3054"/>
      <c r="BJ40" s="3054"/>
      <c r="BK40" s="3054">
        <f>BK29-BK39</f>
        <v>530089.19688278041</v>
      </c>
      <c r="BL40" s="3054"/>
      <c r="BM40" s="3054"/>
      <c r="BN40" s="3054">
        <f>BN29-BN39</f>
        <v>543341.42680484976</v>
      </c>
      <c r="BO40" s="3054"/>
      <c r="BP40" s="3054"/>
      <c r="BQ40" s="3054">
        <f>BQ29-BQ39</f>
        <v>556924.96247497108</v>
      </c>
      <c r="BR40" s="3054"/>
      <c r="BS40" s="3054"/>
      <c r="BT40" s="3054">
        <f>BT29-BT39</f>
        <v>570848.08653684531</v>
      </c>
      <c r="BU40" s="3054"/>
      <c r="BV40" s="3054"/>
      <c r="BW40" s="3054">
        <f>BW29-BW39</f>
        <v>585119.28870026628</v>
      </c>
      <c r="BX40" s="3054"/>
      <c r="BY40" s="3054"/>
      <c r="BZ40" s="3054">
        <f>BZ29-BZ39</f>
        <v>599747.2709177729</v>
      </c>
      <c r="CA40" s="3054"/>
      <c r="CB40" s="3054"/>
      <c r="CC40" s="3054">
        <f>CC29-CC39</f>
        <v>614740.9526907173</v>
      </c>
      <c r="CD40" s="3054"/>
      <c r="CE40" s="3054"/>
      <c r="CF40" s="3054">
        <f>CF29-CF39</f>
        <v>630109.47650798515</v>
      </c>
      <c r="CG40" s="3054"/>
      <c r="CH40" s="3054"/>
      <c r="CI40" s="3054">
        <f>CI29-CI39</f>
        <v>645862.21342068468</v>
      </c>
      <c r="CJ40" s="3054"/>
      <c r="CK40" s="3054"/>
      <c r="CL40" s="3054">
        <f>CL29-CL39</f>
        <v>662008.76875620172</v>
      </c>
      <c r="CM40" s="3054"/>
      <c r="CN40" s="3054"/>
      <c r="CO40" s="3054">
        <f>CO29-CO39</f>
        <v>678558.98797510681</v>
      </c>
      <c r="CP40" s="3054"/>
      <c r="CQ40" s="3054"/>
      <c r="CR40" s="3054">
        <f>CR29-CR39</f>
        <v>695522.96267448436</v>
      </c>
      <c r="CS40" s="3054"/>
      <c r="CT40" s="3054"/>
      <c r="CU40" s="3054">
        <f>CU29-CU39</f>
        <v>712911.03674134635</v>
      </c>
      <c r="CV40" s="3054"/>
      <c r="CW40" s="3054"/>
      <c r="CX40" s="3054">
        <f>CX29-CX39</f>
        <v>730733.81265988003</v>
      </c>
      <c r="CY40" s="3054"/>
      <c r="CZ40" s="3054"/>
      <c r="DA40" s="3054">
        <f>DA29-DA39</f>
        <v>749002.15797637694</v>
      </c>
      <c r="DB40" s="3054"/>
      <c r="DC40" s="3054"/>
      <c r="DD40" s="3054">
        <f>DD29-DD39</f>
        <v>767727.21192578634</v>
      </c>
      <c r="DE40" s="3054"/>
      <c r="DF40" s="3054"/>
      <c r="DG40" s="3054">
        <f>DG29-DG39</f>
        <v>786920.3922239308</v>
      </c>
      <c r="DH40" s="3054"/>
      <c r="DI40" s="3054"/>
      <c r="DJ40" s="3054">
        <f>DJ29-DJ39</f>
        <v>806593.40202952921</v>
      </c>
      <c r="DK40" s="3054"/>
      <c r="DL40" s="3054"/>
      <c r="DM40" s="3054">
        <f>DM29-DM39</f>
        <v>826758.23708026716</v>
      </c>
      <c r="DN40" s="3054"/>
      <c r="DO40" s="3054"/>
      <c r="DP40" s="3054">
        <f>DP29-DP39</f>
        <v>847427.19300727383</v>
      </c>
      <c r="DQ40" s="3054"/>
      <c r="DR40" s="3054"/>
      <c r="DS40" s="3054">
        <f>DS29-DS39</f>
        <v>868612.87283245567</v>
      </c>
      <c r="DT40" s="3054"/>
      <c r="DU40" s="3054"/>
      <c r="DV40" s="3054">
        <f>DV29-DV39</f>
        <v>890328.19465326704</v>
      </c>
      <c r="DW40" s="3054"/>
      <c r="DX40" s="3054"/>
      <c r="DY40" s="3054">
        <f>DY29-DY39</f>
        <v>912586.39951959834</v>
      </c>
      <c r="DZ40" s="3054"/>
      <c r="EA40" s="3061"/>
      <c r="EB40" s="166"/>
    </row>
    <row r="41" spans="2:132" ht="18" customHeight="1" thickTop="1">
      <c r="B41" s="1285"/>
      <c r="C41" s="1285"/>
      <c r="D41" s="87"/>
      <c r="E41" s="87"/>
      <c r="F41" s="87"/>
      <c r="G41" s="87"/>
      <c r="H41" s="87"/>
      <c r="I41" s="87"/>
      <c r="J41" s="87"/>
      <c r="K41" s="88"/>
      <c r="L41" s="89"/>
      <c r="M41" s="90"/>
      <c r="N41" s="90"/>
      <c r="O41" s="91"/>
      <c r="P41" s="91"/>
      <c r="Q41" s="91"/>
      <c r="R41" s="91"/>
      <c r="S41" s="91"/>
      <c r="T41" s="91"/>
      <c r="U41" s="91"/>
      <c r="V41" s="91"/>
      <c r="W41" s="91"/>
      <c r="X41" s="91"/>
      <c r="Y41" s="91"/>
      <c r="Z41" s="91"/>
      <c r="AA41" s="91"/>
      <c r="AB41" s="91"/>
      <c r="AC41" s="91"/>
      <c r="AD41" s="91"/>
      <c r="AE41" s="91"/>
      <c r="AF41" s="91"/>
      <c r="AG41" s="91"/>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1"/>
      <c r="CT41" s="91"/>
      <c r="CU41" s="91"/>
      <c r="CV41" s="91"/>
      <c r="CW41" s="91"/>
      <c r="CX41" s="91"/>
      <c r="CY41" s="91"/>
      <c r="CZ41" s="91"/>
      <c r="DA41" s="91"/>
      <c r="DB41" s="91"/>
      <c r="DC41" s="91"/>
      <c r="DD41" s="91"/>
      <c r="DE41" s="91"/>
      <c r="DF41" s="91"/>
      <c r="DG41" s="91"/>
      <c r="DH41" s="91"/>
      <c r="DI41" s="91"/>
      <c r="DJ41" s="91"/>
      <c r="DK41" s="91"/>
      <c r="DL41" s="91"/>
      <c r="DM41" s="91"/>
      <c r="DN41" s="91"/>
      <c r="DO41" s="91"/>
      <c r="DP41" s="91"/>
      <c r="DQ41" s="91"/>
      <c r="DR41" s="91"/>
      <c r="DS41" s="91"/>
      <c r="DT41" s="91"/>
      <c r="DU41" s="91"/>
      <c r="DV41" s="91"/>
      <c r="DW41" s="91"/>
      <c r="DX41" s="91"/>
      <c r="DY41" s="91"/>
      <c r="DZ41" s="91"/>
      <c r="EA41" s="91"/>
    </row>
    <row r="42" spans="2:132" s="60" customFormat="1" ht="18" customHeight="1">
      <c r="B42" s="3060" t="s">
        <v>3801</v>
      </c>
      <c r="C42" s="3060"/>
      <c r="D42" s="3060"/>
      <c r="E42" s="3060"/>
      <c r="F42" s="3060"/>
      <c r="G42" s="3060"/>
      <c r="H42" s="3060"/>
      <c r="I42" s="3060"/>
      <c r="J42" s="3060"/>
      <c r="K42" s="3060"/>
      <c r="L42" s="3011" t="s">
        <v>3742</v>
      </c>
      <c r="M42" s="2984"/>
      <c r="N42" s="2984"/>
      <c r="O42" s="2984" t="s">
        <v>3743</v>
      </c>
      <c r="P42" s="2984"/>
      <c r="Q42" s="2984"/>
      <c r="R42" s="2984" t="s">
        <v>3744</v>
      </c>
      <c r="S42" s="2984"/>
      <c r="T42" s="2984"/>
      <c r="U42" s="2984" t="s">
        <v>3745</v>
      </c>
      <c r="V42" s="2984"/>
      <c r="W42" s="2984"/>
      <c r="X42" s="2984" t="s">
        <v>3746</v>
      </c>
      <c r="Y42" s="2984"/>
      <c r="Z42" s="2984"/>
      <c r="AA42" s="2984" t="s">
        <v>3747</v>
      </c>
      <c r="AB42" s="2984"/>
      <c r="AC42" s="2984"/>
      <c r="AD42" s="2984" t="s">
        <v>3748</v>
      </c>
      <c r="AE42" s="2984"/>
      <c r="AF42" s="2984"/>
      <c r="AG42" s="2984" t="s">
        <v>3749</v>
      </c>
      <c r="AH42" s="2984"/>
      <c r="AI42" s="2984"/>
      <c r="AJ42" s="2984" t="s">
        <v>3750</v>
      </c>
      <c r="AK42" s="2984"/>
      <c r="AL42" s="2984"/>
      <c r="AM42" s="2984" t="s">
        <v>3751</v>
      </c>
      <c r="AN42" s="2984"/>
      <c r="AO42" s="2984"/>
      <c r="AP42" s="2984" t="s">
        <v>3752</v>
      </c>
      <c r="AQ42" s="2984"/>
      <c r="AR42" s="2984"/>
      <c r="AS42" s="2984" t="s">
        <v>3753</v>
      </c>
      <c r="AT42" s="2984"/>
      <c r="AU42" s="2984"/>
      <c r="AV42" s="2984" t="s">
        <v>3754</v>
      </c>
      <c r="AW42" s="2984"/>
      <c r="AX42" s="2984"/>
      <c r="AY42" s="2984" t="s">
        <v>3755</v>
      </c>
      <c r="AZ42" s="2984"/>
      <c r="BA42" s="2984"/>
      <c r="BB42" s="2984" t="s">
        <v>3756</v>
      </c>
      <c r="BC42" s="2984"/>
      <c r="BD42" s="2984"/>
      <c r="BE42" s="2984" t="s">
        <v>3757</v>
      </c>
      <c r="BF42" s="2984"/>
      <c r="BG42" s="2984"/>
      <c r="BH42" s="2984" t="s">
        <v>3758</v>
      </c>
      <c r="BI42" s="2984"/>
      <c r="BJ42" s="2984"/>
      <c r="BK42" s="2984" t="s">
        <v>3759</v>
      </c>
      <c r="BL42" s="2984"/>
      <c r="BM42" s="2984"/>
      <c r="BN42" s="2984" t="s">
        <v>3760</v>
      </c>
      <c r="BO42" s="2984"/>
      <c r="BP42" s="2984"/>
      <c r="BQ42" s="2984" t="s">
        <v>3761</v>
      </c>
      <c r="BR42" s="2984"/>
      <c r="BS42" s="2984"/>
      <c r="BT42" s="2984" t="s">
        <v>3762</v>
      </c>
      <c r="BU42" s="2984"/>
      <c r="BV42" s="2984"/>
      <c r="BW42" s="2984" t="s">
        <v>3763</v>
      </c>
      <c r="BX42" s="2984"/>
      <c r="BY42" s="2984"/>
      <c r="BZ42" s="2984" t="s">
        <v>3764</v>
      </c>
      <c r="CA42" s="2984"/>
      <c r="CB42" s="2984"/>
      <c r="CC42" s="2984" t="s">
        <v>3765</v>
      </c>
      <c r="CD42" s="2984"/>
      <c r="CE42" s="2984"/>
      <c r="CF42" s="2984" t="s">
        <v>3766</v>
      </c>
      <c r="CG42" s="2984"/>
      <c r="CH42" s="2984"/>
      <c r="CI42" s="2984" t="s">
        <v>3767</v>
      </c>
      <c r="CJ42" s="2984"/>
      <c r="CK42" s="2984"/>
      <c r="CL42" s="2984" t="s">
        <v>3768</v>
      </c>
      <c r="CM42" s="2984"/>
      <c r="CN42" s="2984"/>
      <c r="CO42" s="2984" t="s">
        <v>3769</v>
      </c>
      <c r="CP42" s="2984"/>
      <c r="CQ42" s="2984"/>
      <c r="CR42" s="2984" t="s">
        <v>3770</v>
      </c>
      <c r="CS42" s="2984"/>
      <c r="CT42" s="2984"/>
      <c r="CU42" s="2984" t="s">
        <v>3771</v>
      </c>
      <c r="CV42" s="2984"/>
      <c r="CW42" s="2984"/>
      <c r="CX42" s="2984" t="s">
        <v>3772</v>
      </c>
      <c r="CY42" s="2984"/>
      <c r="CZ42" s="2984"/>
      <c r="DA42" s="2984" t="s">
        <v>3773</v>
      </c>
      <c r="DB42" s="2984"/>
      <c r="DC42" s="2984"/>
      <c r="DD42" s="2984" t="s">
        <v>3774</v>
      </c>
      <c r="DE42" s="2984"/>
      <c r="DF42" s="2984"/>
      <c r="DG42" s="2984" t="s">
        <v>3775</v>
      </c>
      <c r="DH42" s="2984"/>
      <c r="DI42" s="2984"/>
      <c r="DJ42" s="2984" t="s">
        <v>3776</v>
      </c>
      <c r="DK42" s="2984"/>
      <c r="DL42" s="2984"/>
      <c r="DM42" s="2984" t="s">
        <v>3777</v>
      </c>
      <c r="DN42" s="2984"/>
      <c r="DO42" s="2984"/>
      <c r="DP42" s="2984" t="s">
        <v>3778</v>
      </c>
      <c r="DQ42" s="2984"/>
      <c r="DR42" s="2984"/>
      <c r="DS42" s="2984" t="s">
        <v>3779</v>
      </c>
      <c r="DT42" s="2984"/>
      <c r="DU42" s="2984"/>
      <c r="DV42" s="2984" t="s">
        <v>3780</v>
      </c>
      <c r="DW42" s="2984"/>
      <c r="DX42" s="2984"/>
      <c r="DY42" s="2984" t="s">
        <v>3781</v>
      </c>
      <c r="DZ42" s="2984"/>
      <c r="EA42" s="3019"/>
    </row>
    <row r="43" spans="2:132" ht="18" customHeight="1">
      <c r="B43" s="3110" t="str">
        <f>'Operating Budget'!$D$125</f>
        <v>1st Mortgage Debt Service (Specify)</v>
      </c>
      <c r="C43" s="3111"/>
      <c r="D43" s="3111"/>
      <c r="E43" s="3111"/>
      <c r="F43" s="3111"/>
      <c r="G43" s="3111"/>
      <c r="H43" s="3111"/>
      <c r="I43" s="3111"/>
      <c r="J43" s="3111"/>
      <c r="K43" s="3112"/>
      <c r="L43" s="3065">
        <f>+'Operating Budget'!$E$125+'Operating Budget'!$F$125</f>
        <v>0</v>
      </c>
      <c r="M43" s="3066"/>
      <c r="N43" s="3066"/>
      <c r="O43" s="3066">
        <f>$L$43</f>
        <v>0</v>
      </c>
      <c r="P43" s="3066"/>
      <c r="Q43" s="3066"/>
      <c r="R43" s="3066">
        <f>$L$43</f>
        <v>0</v>
      </c>
      <c r="S43" s="3066"/>
      <c r="T43" s="3066"/>
      <c r="U43" s="3066">
        <f>$L$43</f>
        <v>0</v>
      </c>
      <c r="V43" s="3066"/>
      <c r="W43" s="3066"/>
      <c r="X43" s="3066">
        <f>$L$43</f>
        <v>0</v>
      </c>
      <c r="Y43" s="3066"/>
      <c r="Z43" s="3066"/>
      <c r="AA43" s="3066">
        <f>$L$43</f>
        <v>0</v>
      </c>
      <c r="AB43" s="3066"/>
      <c r="AC43" s="3066"/>
      <c r="AD43" s="3066">
        <f>$L$43</f>
        <v>0</v>
      </c>
      <c r="AE43" s="3066"/>
      <c r="AF43" s="3066"/>
      <c r="AG43" s="3066">
        <f>$L$43</f>
        <v>0</v>
      </c>
      <c r="AH43" s="3066"/>
      <c r="AI43" s="3066"/>
      <c r="AJ43" s="3066">
        <f>$L$43</f>
        <v>0</v>
      </c>
      <c r="AK43" s="3066"/>
      <c r="AL43" s="3066"/>
      <c r="AM43" s="3066">
        <f>$L$43</f>
        <v>0</v>
      </c>
      <c r="AN43" s="3066"/>
      <c r="AO43" s="3066"/>
      <c r="AP43" s="3066">
        <f>$L$43</f>
        <v>0</v>
      </c>
      <c r="AQ43" s="3066"/>
      <c r="AR43" s="3066"/>
      <c r="AS43" s="3066">
        <f>$L$43</f>
        <v>0</v>
      </c>
      <c r="AT43" s="3066"/>
      <c r="AU43" s="3066"/>
      <c r="AV43" s="3066">
        <f>$L$43</f>
        <v>0</v>
      </c>
      <c r="AW43" s="3066"/>
      <c r="AX43" s="3066"/>
      <c r="AY43" s="3066">
        <f>$L$43</f>
        <v>0</v>
      </c>
      <c r="AZ43" s="3066"/>
      <c r="BA43" s="3066"/>
      <c r="BB43" s="3066">
        <f>$L$43</f>
        <v>0</v>
      </c>
      <c r="BC43" s="3066"/>
      <c r="BD43" s="3066"/>
      <c r="BE43" s="3066">
        <f>$L$43</f>
        <v>0</v>
      </c>
      <c r="BF43" s="3066"/>
      <c r="BG43" s="3066"/>
      <c r="BH43" s="3066">
        <f>$L$43</f>
        <v>0</v>
      </c>
      <c r="BI43" s="3066"/>
      <c r="BJ43" s="3066"/>
      <c r="BK43" s="3066">
        <f>$L$43</f>
        <v>0</v>
      </c>
      <c r="BL43" s="3066"/>
      <c r="BM43" s="3066"/>
      <c r="BN43" s="3066">
        <f>$L$43</f>
        <v>0</v>
      </c>
      <c r="BO43" s="3066"/>
      <c r="BP43" s="3066"/>
      <c r="BQ43" s="3066">
        <f>$L$43</f>
        <v>0</v>
      </c>
      <c r="BR43" s="3066"/>
      <c r="BS43" s="3066"/>
      <c r="BT43" s="3066">
        <f>$L$43</f>
        <v>0</v>
      </c>
      <c r="BU43" s="3066"/>
      <c r="BV43" s="3066"/>
      <c r="BW43" s="3066">
        <f>$L$43</f>
        <v>0</v>
      </c>
      <c r="BX43" s="3066"/>
      <c r="BY43" s="3066"/>
      <c r="BZ43" s="3066">
        <f>$L$43</f>
        <v>0</v>
      </c>
      <c r="CA43" s="3066"/>
      <c r="CB43" s="3066"/>
      <c r="CC43" s="3066">
        <f>$L$43</f>
        <v>0</v>
      </c>
      <c r="CD43" s="3066"/>
      <c r="CE43" s="3066"/>
      <c r="CF43" s="3066">
        <f>$L$43</f>
        <v>0</v>
      </c>
      <c r="CG43" s="3066"/>
      <c r="CH43" s="3066"/>
      <c r="CI43" s="3066">
        <f>$L$43</f>
        <v>0</v>
      </c>
      <c r="CJ43" s="3066"/>
      <c r="CK43" s="3066"/>
      <c r="CL43" s="3066">
        <f>$L$43</f>
        <v>0</v>
      </c>
      <c r="CM43" s="3066"/>
      <c r="CN43" s="3066"/>
      <c r="CO43" s="3066">
        <f>$L$43</f>
        <v>0</v>
      </c>
      <c r="CP43" s="3066"/>
      <c r="CQ43" s="3066"/>
      <c r="CR43" s="3066">
        <f>$L$43</f>
        <v>0</v>
      </c>
      <c r="CS43" s="3066"/>
      <c r="CT43" s="3066"/>
      <c r="CU43" s="3066">
        <f>$L$43</f>
        <v>0</v>
      </c>
      <c r="CV43" s="3066"/>
      <c r="CW43" s="3066"/>
      <c r="CX43" s="3066">
        <f>$L$43</f>
        <v>0</v>
      </c>
      <c r="CY43" s="3066"/>
      <c r="CZ43" s="3066"/>
      <c r="DA43" s="3066">
        <f>$L$43</f>
        <v>0</v>
      </c>
      <c r="DB43" s="3066"/>
      <c r="DC43" s="3066"/>
      <c r="DD43" s="3066">
        <f>$L$43</f>
        <v>0</v>
      </c>
      <c r="DE43" s="3066"/>
      <c r="DF43" s="3066"/>
      <c r="DG43" s="3066">
        <f>$L$43</f>
        <v>0</v>
      </c>
      <c r="DH43" s="3066"/>
      <c r="DI43" s="3066"/>
      <c r="DJ43" s="3066">
        <f>$L$43</f>
        <v>0</v>
      </c>
      <c r="DK43" s="3066"/>
      <c r="DL43" s="3066"/>
      <c r="DM43" s="3066">
        <f>$L$43</f>
        <v>0</v>
      </c>
      <c r="DN43" s="3066"/>
      <c r="DO43" s="3066"/>
      <c r="DP43" s="3066">
        <f>$L$43</f>
        <v>0</v>
      </c>
      <c r="DQ43" s="3066"/>
      <c r="DR43" s="3066"/>
      <c r="DS43" s="3066">
        <f>$L$43</f>
        <v>0</v>
      </c>
      <c r="DT43" s="3066"/>
      <c r="DU43" s="3066"/>
      <c r="DV43" s="3066">
        <f>$L$43</f>
        <v>0</v>
      </c>
      <c r="DW43" s="3066"/>
      <c r="DX43" s="3066"/>
      <c r="DY43" s="3066">
        <f>$L$43</f>
        <v>0</v>
      </c>
      <c r="DZ43" s="3066"/>
      <c r="EA43" s="3071"/>
    </row>
    <row r="44" spans="2:132" ht="18" customHeight="1">
      <c r="B44" s="3062" t="s">
        <v>3802</v>
      </c>
      <c r="C44" s="3063"/>
      <c r="D44" s="3063"/>
      <c r="E44" s="3063"/>
      <c r="F44" s="3063"/>
      <c r="G44" s="3063"/>
      <c r="H44" s="3063"/>
      <c r="I44" s="3063"/>
      <c r="J44" s="3063"/>
      <c r="K44" s="3064"/>
      <c r="L44" s="3067"/>
      <c r="M44" s="3068"/>
      <c r="N44" s="3068"/>
      <c r="O44" s="3069"/>
      <c r="P44" s="3069"/>
      <c r="Q44" s="3069"/>
      <c r="R44" s="3069"/>
      <c r="S44" s="3069"/>
      <c r="T44" s="3069"/>
      <c r="U44" s="3069"/>
      <c r="V44" s="3069"/>
      <c r="W44" s="3069"/>
      <c r="X44" s="3069"/>
      <c r="Y44" s="3069"/>
      <c r="Z44" s="3069"/>
      <c r="AA44" s="3069"/>
      <c r="AB44" s="3069"/>
      <c r="AC44" s="3069"/>
      <c r="AD44" s="3069"/>
      <c r="AE44" s="3069"/>
      <c r="AF44" s="3069"/>
      <c r="AG44" s="3069"/>
      <c r="AH44" s="3069"/>
      <c r="AI44" s="3069"/>
      <c r="AJ44" s="3069"/>
      <c r="AK44" s="3069"/>
      <c r="AL44" s="3069"/>
      <c r="AM44" s="3069"/>
      <c r="AN44" s="3069"/>
      <c r="AO44" s="3069"/>
      <c r="AP44" s="3069"/>
      <c r="AQ44" s="3069"/>
      <c r="AR44" s="3069"/>
      <c r="AS44" s="3069"/>
      <c r="AT44" s="3069"/>
      <c r="AU44" s="3069"/>
      <c r="AV44" s="3069"/>
      <c r="AW44" s="3069"/>
      <c r="AX44" s="3069"/>
      <c r="AY44" s="3069"/>
      <c r="AZ44" s="3069"/>
      <c r="BA44" s="3069"/>
      <c r="BB44" s="3069"/>
      <c r="BC44" s="3069"/>
      <c r="BD44" s="3069"/>
      <c r="BE44" s="3069"/>
      <c r="BF44" s="3069"/>
      <c r="BG44" s="3069"/>
      <c r="BH44" s="3069"/>
      <c r="BI44" s="3069"/>
      <c r="BJ44" s="3069"/>
      <c r="BK44" s="3069"/>
      <c r="BL44" s="3069"/>
      <c r="BM44" s="3069"/>
      <c r="BN44" s="3069"/>
      <c r="BO44" s="3069"/>
      <c r="BP44" s="3069"/>
      <c r="BQ44" s="3069"/>
      <c r="BR44" s="3069"/>
      <c r="BS44" s="3069"/>
      <c r="BT44" s="3069"/>
      <c r="BU44" s="3069"/>
      <c r="BV44" s="3069"/>
      <c r="BW44" s="3069"/>
      <c r="BX44" s="3069"/>
      <c r="BY44" s="3069"/>
      <c r="BZ44" s="3069"/>
      <c r="CA44" s="3069"/>
      <c r="CB44" s="3069"/>
      <c r="CC44" s="3069"/>
      <c r="CD44" s="3069"/>
      <c r="CE44" s="3069"/>
      <c r="CF44" s="3069"/>
      <c r="CG44" s="3069"/>
      <c r="CH44" s="3069"/>
      <c r="CI44" s="3069"/>
      <c r="CJ44" s="3069"/>
      <c r="CK44" s="3069"/>
      <c r="CL44" s="3069"/>
      <c r="CM44" s="3069"/>
      <c r="CN44" s="3069"/>
      <c r="CO44" s="3069"/>
      <c r="CP44" s="3069"/>
      <c r="CQ44" s="3069"/>
      <c r="CR44" s="3069"/>
      <c r="CS44" s="3069"/>
      <c r="CT44" s="3069"/>
      <c r="CU44" s="3069"/>
      <c r="CV44" s="3069"/>
      <c r="CW44" s="3069"/>
      <c r="CX44" s="3069"/>
      <c r="CY44" s="3069"/>
      <c r="CZ44" s="3069"/>
      <c r="DA44" s="3069"/>
      <c r="DB44" s="3069"/>
      <c r="DC44" s="3069"/>
      <c r="DD44" s="3069"/>
      <c r="DE44" s="3069"/>
      <c r="DF44" s="3069"/>
      <c r="DG44" s="3069"/>
      <c r="DH44" s="3069"/>
      <c r="DI44" s="3069"/>
      <c r="DJ44" s="3069"/>
      <c r="DK44" s="3069"/>
      <c r="DL44" s="3069"/>
      <c r="DM44" s="3069"/>
      <c r="DN44" s="3069"/>
      <c r="DO44" s="3069"/>
      <c r="DP44" s="3069"/>
      <c r="DQ44" s="3069"/>
      <c r="DR44" s="3069"/>
      <c r="DS44" s="3069"/>
      <c r="DT44" s="3069"/>
      <c r="DU44" s="3069"/>
      <c r="DV44" s="3069"/>
      <c r="DW44" s="3069"/>
      <c r="DX44" s="3069"/>
      <c r="DY44" s="3068"/>
      <c r="DZ44" s="3068"/>
      <c r="EA44" s="3072"/>
    </row>
    <row r="45" spans="2:132" ht="18" customHeight="1">
      <c r="B45" s="2960" t="str">
        <f>'Operating Budget'!$D$126</f>
        <v>2nd Mortgage Debt Service (Specify)</v>
      </c>
      <c r="C45" s="2961"/>
      <c r="D45" s="2961"/>
      <c r="E45" s="2961"/>
      <c r="F45" s="2961"/>
      <c r="G45" s="2961"/>
      <c r="H45" s="2961"/>
      <c r="I45" s="2961"/>
      <c r="J45" s="2961"/>
      <c r="K45" s="3073"/>
      <c r="L45" s="3006">
        <f>+'Operating Budget'!$E$126+'Operating Budget'!$F$126</f>
        <v>0</v>
      </c>
      <c r="M45" s="2949"/>
      <c r="N45" s="2949"/>
      <c r="O45" s="3007">
        <f>$L$45</f>
        <v>0</v>
      </c>
      <c r="P45" s="3007"/>
      <c r="Q45" s="3007"/>
      <c r="R45" s="3007">
        <f>$L$45</f>
        <v>0</v>
      </c>
      <c r="S45" s="3007"/>
      <c r="T45" s="3007"/>
      <c r="U45" s="3007">
        <f>$L$45</f>
        <v>0</v>
      </c>
      <c r="V45" s="3007"/>
      <c r="W45" s="3007"/>
      <c r="X45" s="3007">
        <f>$L$45</f>
        <v>0</v>
      </c>
      <c r="Y45" s="3007"/>
      <c r="Z45" s="3007"/>
      <c r="AA45" s="3007">
        <f>$L$45</f>
        <v>0</v>
      </c>
      <c r="AB45" s="3007"/>
      <c r="AC45" s="3007"/>
      <c r="AD45" s="3007">
        <f>$L$45</f>
        <v>0</v>
      </c>
      <c r="AE45" s="3007"/>
      <c r="AF45" s="3007"/>
      <c r="AG45" s="3007">
        <f>$L$45</f>
        <v>0</v>
      </c>
      <c r="AH45" s="3007"/>
      <c r="AI45" s="3007"/>
      <c r="AJ45" s="3007">
        <f>$L$45</f>
        <v>0</v>
      </c>
      <c r="AK45" s="3007"/>
      <c r="AL45" s="3007"/>
      <c r="AM45" s="3007">
        <f>$L$45</f>
        <v>0</v>
      </c>
      <c r="AN45" s="3007"/>
      <c r="AO45" s="3007"/>
      <c r="AP45" s="3007">
        <f>$L$45</f>
        <v>0</v>
      </c>
      <c r="AQ45" s="3007"/>
      <c r="AR45" s="3007"/>
      <c r="AS45" s="3007">
        <f>$L$45</f>
        <v>0</v>
      </c>
      <c r="AT45" s="3007"/>
      <c r="AU45" s="3007"/>
      <c r="AV45" s="3007">
        <f>$L$45</f>
        <v>0</v>
      </c>
      <c r="AW45" s="3007"/>
      <c r="AX45" s="3007"/>
      <c r="AY45" s="3007">
        <f>$L$45</f>
        <v>0</v>
      </c>
      <c r="AZ45" s="3007"/>
      <c r="BA45" s="3007"/>
      <c r="BB45" s="3007">
        <f>$L$45</f>
        <v>0</v>
      </c>
      <c r="BC45" s="3007"/>
      <c r="BD45" s="3007"/>
      <c r="BE45" s="3007">
        <f>$L$45</f>
        <v>0</v>
      </c>
      <c r="BF45" s="3007"/>
      <c r="BG45" s="3007"/>
      <c r="BH45" s="3007">
        <f>$L$45</f>
        <v>0</v>
      </c>
      <c r="BI45" s="3007"/>
      <c r="BJ45" s="3007"/>
      <c r="BK45" s="3007">
        <f>$L$45</f>
        <v>0</v>
      </c>
      <c r="BL45" s="3007"/>
      <c r="BM45" s="3007"/>
      <c r="BN45" s="3007">
        <f>$L$45</f>
        <v>0</v>
      </c>
      <c r="BO45" s="3007"/>
      <c r="BP45" s="3007"/>
      <c r="BQ45" s="3007">
        <f>$L$45</f>
        <v>0</v>
      </c>
      <c r="BR45" s="3007"/>
      <c r="BS45" s="3007"/>
      <c r="BT45" s="3007">
        <f>$L$45</f>
        <v>0</v>
      </c>
      <c r="BU45" s="3007"/>
      <c r="BV45" s="3007"/>
      <c r="BW45" s="3007">
        <f>$L$45</f>
        <v>0</v>
      </c>
      <c r="BX45" s="3007"/>
      <c r="BY45" s="3007"/>
      <c r="BZ45" s="3007">
        <f>$L$45</f>
        <v>0</v>
      </c>
      <c r="CA45" s="3007"/>
      <c r="CB45" s="3007"/>
      <c r="CC45" s="3007">
        <f>$L$45</f>
        <v>0</v>
      </c>
      <c r="CD45" s="3007"/>
      <c r="CE45" s="3007"/>
      <c r="CF45" s="3007">
        <f>$L$45</f>
        <v>0</v>
      </c>
      <c r="CG45" s="3007"/>
      <c r="CH45" s="3007"/>
      <c r="CI45" s="3007">
        <f>$L$45</f>
        <v>0</v>
      </c>
      <c r="CJ45" s="3007"/>
      <c r="CK45" s="3007"/>
      <c r="CL45" s="3007">
        <f>$L$45</f>
        <v>0</v>
      </c>
      <c r="CM45" s="3007"/>
      <c r="CN45" s="3007"/>
      <c r="CO45" s="3007">
        <f>$L$45</f>
        <v>0</v>
      </c>
      <c r="CP45" s="3007"/>
      <c r="CQ45" s="3007"/>
      <c r="CR45" s="3007">
        <f>$L$45</f>
        <v>0</v>
      </c>
      <c r="CS45" s="3007"/>
      <c r="CT45" s="3007"/>
      <c r="CU45" s="3007">
        <f>$L$45</f>
        <v>0</v>
      </c>
      <c r="CV45" s="3007"/>
      <c r="CW45" s="3007"/>
      <c r="CX45" s="3007">
        <f>$L$45</f>
        <v>0</v>
      </c>
      <c r="CY45" s="3007"/>
      <c r="CZ45" s="3007"/>
      <c r="DA45" s="3007">
        <f>$L$45</f>
        <v>0</v>
      </c>
      <c r="DB45" s="3007"/>
      <c r="DC45" s="3007"/>
      <c r="DD45" s="3007">
        <f>$L$45</f>
        <v>0</v>
      </c>
      <c r="DE45" s="3007"/>
      <c r="DF45" s="3007"/>
      <c r="DG45" s="3007">
        <f>$L$45</f>
        <v>0</v>
      </c>
      <c r="DH45" s="3007"/>
      <c r="DI45" s="3007"/>
      <c r="DJ45" s="3007">
        <f>$L$45</f>
        <v>0</v>
      </c>
      <c r="DK45" s="3007"/>
      <c r="DL45" s="3007"/>
      <c r="DM45" s="3007">
        <f>$L$45</f>
        <v>0</v>
      </c>
      <c r="DN45" s="3007"/>
      <c r="DO45" s="3007"/>
      <c r="DP45" s="3007">
        <f>$L$45</f>
        <v>0</v>
      </c>
      <c r="DQ45" s="3007"/>
      <c r="DR45" s="3007"/>
      <c r="DS45" s="3007">
        <f>$L$45</f>
        <v>0</v>
      </c>
      <c r="DT45" s="3007"/>
      <c r="DU45" s="3007"/>
      <c r="DV45" s="3007">
        <f>$L$45</f>
        <v>0</v>
      </c>
      <c r="DW45" s="3007"/>
      <c r="DX45" s="3007"/>
      <c r="DY45" s="2949">
        <f>$L$45</f>
        <v>0</v>
      </c>
      <c r="DZ45" s="2949"/>
      <c r="EA45" s="2950"/>
    </row>
    <row r="46" spans="2:132" ht="18" customHeight="1">
      <c r="B46" s="2960" t="str">
        <f>'Operating Budget'!$D$127</f>
        <v>3rd Mortgage Debt Service (Specify)</v>
      </c>
      <c r="C46" s="2961"/>
      <c r="D46" s="2961"/>
      <c r="E46" s="2961"/>
      <c r="F46" s="2961"/>
      <c r="G46" s="2961"/>
      <c r="H46" s="2961"/>
      <c r="I46" s="2961"/>
      <c r="J46" s="2961"/>
      <c r="K46" s="3073"/>
      <c r="L46" s="3006">
        <f>+'Operating Budget'!$E$127+'Operating Budget'!$F$127</f>
        <v>0</v>
      </c>
      <c r="M46" s="2949"/>
      <c r="N46" s="2949"/>
      <c r="O46" s="3007">
        <f>$L$46</f>
        <v>0</v>
      </c>
      <c r="P46" s="3007"/>
      <c r="Q46" s="3007"/>
      <c r="R46" s="3007">
        <f>$L$46</f>
        <v>0</v>
      </c>
      <c r="S46" s="3007"/>
      <c r="T46" s="3007"/>
      <c r="U46" s="3007">
        <f>$L$46</f>
        <v>0</v>
      </c>
      <c r="V46" s="3007"/>
      <c r="W46" s="3007"/>
      <c r="X46" s="3007">
        <f>$L$46</f>
        <v>0</v>
      </c>
      <c r="Y46" s="3007"/>
      <c r="Z46" s="3007"/>
      <c r="AA46" s="3007">
        <f>$L$46</f>
        <v>0</v>
      </c>
      <c r="AB46" s="3007"/>
      <c r="AC46" s="3007"/>
      <c r="AD46" s="3007">
        <f>$L$46</f>
        <v>0</v>
      </c>
      <c r="AE46" s="3007"/>
      <c r="AF46" s="3007"/>
      <c r="AG46" s="3007">
        <f>$L$46</f>
        <v>0</v>
      </c>
      <c r="AH46" s="3007"/>
      <c r="AI46" s="3007"/>
      <c r="AJ46" s="3007">
        <f>$L$46</f>
        <v>0</v>
      </c>
      <c r="AK46" s="3007"/>
      <c r="AL46" s="3007"/>
      <c r="AM46" s="3007">
        <f>$L$46</f>
        <v>0</v>
      </c>
      <c r="AN46" s="3007"/>
      <c r="AO46" s="3007"/>
      <c r="AP46" s="3007">
        <f>$L$46</f>
        <v>0</v>
      </c>
      <c r="AQ46" s="3007"/>
      <c r="AR46" s="3007"/>
      <c r="AS46" s="3007">
        <f>$L$46</f>
        <v>0</v>
      </c>
      <c r="AT46" s="3007"/>
      <c r="AU46" s="3007"/>
      <c r="AV46" s="3007">
        <f>$L$46</f>
        <v>0</v>
      </c>
      <c r="AW46" s="3007"/>
      <c r="AX46" s="3007"/>
      <c r="AY46" s="3007">
        <f>$L$46</f>
        <v>0</v>
      </c>
      <c r="AZ46" s="3007"/>
      <c r="BA46" s="3007"/>
      <c r="BB46" s="3007">
        <f>$L$46</f>
        <v>0</v>
      </c>
      <c r="BC46" s="3007"/>
      <c r="BD46" s="3007"/>
      <c r="BE46" s="3007">
        <f>$L$46</f>
        <v>0</v>
      </c>
      <c r="BF46" s="3007"/>
      <c r="BG46" s="3007"/>
      <c r="BH46" s="3007">
        <f>$L$46</f>
        <v>0</v>
      </c>
      <c r="BI46" s="3007"/>
      <c r="BJ46" s="3007"/>
      <c r="BK46" s="3007">
        <f>$L$46</f>
        <v>0</v>
      </c>
      <c r="BL46" s="3007"/>
      <c r="BM46" s="3007"/>
      <c r="BN46" s="3007">
        <f>$L$46</f>
        <v>0</v>
      </c>
      <c r="BO46" s="3007"/>
      <c r="BP46" s="3007"/>
      <c r="BQ46" s="3007">
        <f>$L$46</f>
        <v>0</v>
      </c>
      <c r="BR46" s="3007"/>
      <c r="BS46" s="3007"/>
      <c r="BT46" s="3007">
        <f>$L$46</f>
        <v>0</v>
      </c>
      <c r="BU46" s="3007"/>
      <c r="BV46" s="3007"/>
      <c r="BW46" s="3007">
        <f>$L$46</f>
        <v>0</v>
      </c>
      <c r="BX46" s="3007"/>
      <c r="BY46" s="3007"/>
      <c r="BZ46" s="3007">
        <f>$L$46</f>
        <v>0</v>
      </c>
      <c r="CA46" s="3007"/>
      <c r="CB46" s="3007"/>
      <c r="CC46" s="3007">
        <f>$L$46</f>
        <v>0</v>
      </c>
      <c r="CD46" s="3007"/>
      <c r="CE46" s="3007"/>
      <c r="CF46" s="3007">
        <f>$L$46</f>
        <v>0</v>
      </c>
      <c r="CG46" s="3007"/>
      <c r="CH46" s="3007"/>
      <c r="CI46" s="3007">
        <f>$L$46</f>
        <v>0</v>
      </c>
      <c r="CJ46" s="3007"/>
      <c r="CK46" s="3007"/>
      <c r="CL46" s="3007">
        <f>$L$46</f>
        <v>0</v>
      </c>
      <c r="CM46" s="3007"/>
      <c r="CN46" s="3007"/>
      <c r="CO46" s="3007">
        <f>$L$46</f>
        <v>0</v>
      </c>
      <c r="CP46" s="3007"/>
      <c r="CQ46" s="3007"/>
      <c r="CR46" s="3007">
        <f>$L$46</f>
        <v>0</v>
      </c>
      <c r="CS46" s="3007"/>
      <c r="CT46" s="3007"/>
      <c r="CU46" s="3007">
        <f>$L$46</f>
        <v>0</v>
      </c>
      <c r="CV46" s="3007"/>
      <c r="CW46" s="3007"/>
      <c r="CX46" s="3007">
        <f>$L$46</f>
        <v>0</v>
      </c>
      <c r="CY46" s="3007"/>
      <c r="CZ46" s="3007"/>
      <c r="DA46" s="3007">
        <f>$L$46</f>
        <v>0</v>
      </c>
      <c r="DB46" s="3007"/>
      <c r="DC46" s="3007"/>
      <c r="DD46" s="3007">
        <f>$L$46</f>
        <v>0</v>
      </c>
      <c r="DE46" s="3007"/>
      <c r="DF46" s="3007"/>
      <c r="DG46" s="3007">
        <f>$L$46</f>
        <v>0</v>
      </c>
      <c r="DH46" s="3007"/>
      <c r="DI46" s="3007"/>
      <c r="DJ46" s="3007">
        <f>$L$46</f>
        <v>0</v>
      </c>
      <c r="DK46" s="3007"/>
      <c r="DL46" s="3007"/>
      <c r="DM46" s="3007">
        <f>$L$46</f>
        <v>0</v>
      </c>
      <c r="DN46" s="3007"/>
      <c r="DO46" s="3007"/>
      <c r="DP46" s="3007">
        <f>$L$46</f>
        <v>0</v>
      </c>
      <c r="DQ46" s="3007"/>
      <c r="DR46" s="3007"/>
      <c r="DS46" s="3007">
        <f>$L$46</f>
        <v>0</v>
      </c>
      <c r="DT46" s="3007"/>
      <c r="DU46" s="3007"/>
      <c r="DV46" s="3007">
        <f>$L$46</f>
        <v>0</v>
      </c>
      <c r="DW46" s="3007"/>
      <c r="DX46" s="3007"/>
      <c r="DY46" s="2949">
        <f>$L$46</f>
        <v>0</v>
      </c>
      <c r="DZ46" s="2949"/>
      <c r="EA46" s="2950"/>
    </row>
    <row r="47" spans="2:132" ht="18" customHeight="1">
      <c r="B47" s="2960" t="str">
        <f>'Operating Budget'!$D$128</f>
        <v>IIG .42% Fee</v>
      </c>
      <c r="C47" s="2961"/>
      <c r="D47" s="2961"/>
      <c r="E47" s="2961"/>
      <c r="F47" s="2961"/>
      <c r="G47" s="2961"/>
      <c r="H47" s="2961"/>
      <c r="I47" s="2961"/>
      <c r="J47" s="2961"/>
      <c r="K47" s="2961"/>
      <c r="L47" s="2962">
        <f>IF(IsIig,'Operating Budget'!$E$128+'Operating Budget'!$F$128,0)</f>
        <v>0</v>
      </c>
      <c r="M47" s="2963"/>
      <c r="N47" s="2963"/>
      <c r="O47" s="2949">
        <f>$L$47</f>
        <v>0</v>
      </c>
      <c r="P47" s="2949"/>
      <c r="Q47" s="2949"/>
      <c r="R47" s="2949">
        <f>$L$47</f>
        <v>0</v>
      </c>
      <c r="S47" s="2949"/>
      <c r="T47" s="2949"/>
      <c r="U47" s="2949">
        <f>$L$47</f>
        <v>0</v>
      </c>
      <c r="V47" s="2949"/>
      <c r="W47" s="2949"/>
      <c r="X47" s="2949">
        <f>$L$47</f>
        <v>0</v>
      </c>
      <c r="Y47" s="2949"/>
      <c r="Z47" s="2949"/>
      <c r="AA47" s="2949">
        <f>$L$47</f>
        <v>0</v>
      </c>
      <c r="AB47" s="2949"/>
      <c r="AC47" s="2949"/>
      <c r="AD47" s="2949">
        <f>$L$47</f>
        <v>0</v>
      </c>
      <c r="AE47" s="2949"/>
      <c r="AF47" s="2949"/>
      <c r="AG47" s="2949">
        <f>$L$47</f>
        <v>0</v>
      </c>
      <c r="AH47" s="2949"/>
      <c r="AI47" s="2949"/>
      <c r="AJ47" s="2949">
        <f>$L$47</f>
        <v>0</v>
      </c>
      <c r="AK47" s="2949"/>
      <c r="AL47" s="2949"/>
      <c r="AM47" s="2949">
        <f>$L$47</f>
        <v>0</v>
      </c>
      <c r="AN47" s="2949"/>
      <c r="AO47" s="2949"/>
      <c r="AP47" s="2949">
        <f>$L$47</f>
        <v>0</v>
      </c>
      <c r="AQ47" s="2949"/>
      <c r="AR47" s="2949"/>
      <c r="AS47" s="2949">
        <f>$L$47</f>
        <v>0</v>
      </c>
      <c r="AT47" s="2949"/>
      <c r="AU47" s="2949"/>
      <c r="AV47" s="2949">
        <f>$L$47</f>
        <v>0</v>
      </c>
      <c r="AW47" s="2949"/>
      <c r="AX47" s="2949"/>
      <c r="AY47" s="2949">
        <f>$L$47</f>
        <v>0</v>
      </c>
      <c r="AZ47" s="2949"/>
      <c r="BA47" s="2949"/>
      <c r="BB47" s="2949">
        <f>$L$47</f>
        <v>0</v>
      </c>
      <c r="BC47" s="2949"/>
      <c r="BD47" s="2949"/>
      <c r="BE47" s="2949">
        <f>$L$47</f>
        <v>0</v>
      </c>
      <c r="BF47" s="2949"/>
      <c r="BG47" s="2949"/>
      <c r="BH47" s="2949">
        <f>$L$47</f>
        <v>0</v>
      </c>
      <c r="BI47" s="2949"/>
      <c r="BJ47" s="2949"/>
      <c r="BK47" s="2949">
        <f>$L$47</f>
        <v>0</v>
      </c>
      <c r="BL47" s="2949"/>
      <c r="BM47" s="2949"/>
      <c r="BN47" s="2949">
        <f>$L$47</f>
        <v>0</v>
      </c>
      <c r="BO47" s="2949"/>
      <c r="BP47" s="2949"/>
      <c r="BQ47" s="2949">
        <f>$L$47</f>
        <v>0</v>
      </c>
      <c r="BR47" s="2949"/>
      <c r="BS47" s="2949"/>
      <c r="BT47" s="2949">
        <f>$L$47</f>
        <v>0</v>
      </c>
      <c r="BU47" s="2949"/>
      <c r="BV47" s="2949"/>
      <c r="BW47" s="2949">
        <f>$L$47</f>
        <v>0</v>
      </c>
      <c r="BX47" s="2949"/>
      <c r="BY47" s="2949"/>
      <c r="BZ47" s="2949">
        <f>$L$47</f>
        <v>0</v>
      </c>
      <c r="CA47" s="2949"/>
      <c r="CB47" s="2949"/>
      <c r="CC47" s="2949">
        <f>$L$47</f>
        <v>0</v>
      </c>
      <c r="CD47" s="2949"/>
      <c r="CE47" s="2949"/>
      <c r="CF47" s="2949">
        <f>$L$47</f>
        <v>0</v>
      </c>
      <c r="CG47" s="2949"/>
      <c r="CH47" s="2949"/>
      <c r="CI47" s="2949">
        <f>$L$47</f>
        <v>0</v>
      </c>
      <c r="CJ47" s="2949"/>
      <c r="CK47" s="2949"/>
      <c r="CL47" s="2949">
        <f>$L$47</f>
        <v>0</v>
      </c>
      <c r="CM47" s="2949"/>
      <c r="CN47" s="2949"/>
      <c r="CO47" s="2949">
        <f>$L$47</f>
        <v>0</v>
      </c>
      <c r="CP47" s="2949"/>
      <c r="CQ47" s="2949"/>
      <c r="CR47" s="2949">
        <f>$L$47</f>
        <v>0</v>
      </c>
      <c r="CS47" s="2949"/>
      <c r="CT47" s="2949"/>
      <c r="CU47" s="2949">
        <f>$L$47</f>
        <v>0</v>
      </c>
      <c r="CV47" s="2949"/>
      <c r="CW47" s="2949"/>
      <c r="CX47" s="2949">
        <f>$L$47</f>
        <v>0</v>
      </c>
      <c r="CY47" s="2949"/>
      <c r="CZ47" s="2949"/>
      <c r="DA47" s="2949">
        <f>$L$47</f>
        <v>0</v>
      </c>
      <c r="DB47" s="2949"/>
      <c r="DC47" s="2949"/>
      <c r="DD47" s="2949">
        <f>$L$47</f>
        <v>0</v>
      </c>
      <c r="DE47" s="2949"/>
      <c r="DF47" s="2949"/>
      <c r="DG47" s="2949">
        <f>$L$47</f>
        <v>0</v>
      </c>
      <c r="DH47" s="2949"/>
      <c r="DI47" s="2949"/>
      <c r="DJ47" s="2949">
        <f>$L$47</f>
        <v>0</v>
      </c>
      <c r="DK47" s="2949"/>
      <c r="DL47" s="2949"/>
      <c r="DM47" s="2949">
        <f>$L$47</f>
        <v>0</v>
      </c>
      <c r="DN47" s="2949"/>
      <c r="DO47" s="2949"/>
      <c r="DP47" s="2949">
        <f>$L$47</f>
        <v>0</v>
      </c>
      <c r="DQ47" s="2949"/>
      <c r="DR47" s="2949"/>
      <c r="DS47" s="2949">
        <f>$L$47</f>
        <v>0</v>
      </c>
      <c r="DT47" s="2949"/>
      <c r="DU47" s="2949"/>
      <c r="DV47" s="2949">
        <f>$L$47</f>
        <v>0</v>
      </c>
      <c r="DW47" s="2949"/>
      <c r="DX47" s="2949"/>
      <c r="DY47" s="2949">
        <f>$L$47</f>
        <v>0</v>
      </c>
      <c r="DZ47" s="2949"/>
      <c r="EA47" s="2950"/>
    </row>
    <row r="48" spans="2:132" s="728" customFormat="1" ht="18" customHeight="1">
      <c r="B48" s="2960" t="str">
        <f>'Operating Budget'!$D$129</f>
        <v>FWHG .42% Fee</v>
      </c>
      <c r="C48" s="2961"/>
      <c r="D48" s="2961"/>
      <c r="E48" s="2961"/>
      <c r="F48" s="2961"/>
      <c r="G48" s="2961"/>
      <c r="H48" s="2961"/>
      <c r="I48" s="2961"/>
      <c r="J48" s="2961"/>
      <c r="K48" s="2961"/>
      <c r="L48" s="2962">
        <f>IF(IsSerna,'Operating Budget'!$E$129+'Operating Budget'!$F$129,0)</f>
        <v>0</v>
      </c>
      <c r="M48" s="2963"/>
      <c r="N48" s="2963"/>
      <c r="O48" s="2949">
        <f>$L$48</f>
        <v>0</v>
      </c>
      <c r="P48" s="2949"/>
      <c r="Q48" s="2949"/>
      <c r="R48" s="2949">
        <f t="shared" ref="R48" si="2">$L$48</f>
        <v>0</v>
      </c>
      <c r="S48" s="2949"/>
      <c r="T48" s="2949"/>
      <c r="U48" s="2949">
        <f t="shared" ref="U48" si="3">$L$48</f>
        <v>0</v>
      </c>
      <c r="V48" s="2949"/>
      <c r="W48" s="2949"/>
      <c r="X48" s="2949">
        <f t="shared" ref="X48" si="4">$L$48</f>
        <v>0</v>
      </c>
      <c r="Y48" s="2949"/>
      <c r="Z48" s="2949"/>
      <c r="AA48" s="2949">
        <f t="shared" ref="AA48" si="5">$L$48</f>
        <v>0</v>
      </c>
      <c r="AB48" s="2949"/>
      <c r="AC48" s="2949"/>
      <c r="AD48" s="2949">
        <f t="shared" ref="AD48" si="6">$L$48</f>
        <v>0</v>
      </c>
      <c r="AE48" s="2949"/>
      <c r="AF48" s="2949"/>
      <c r="AG48" s="2949">
        <f t="shared" ref="AG48" si="7">$L$48</f>
        <v>0</v>
      </c>
      <c r="AH48" s="2949"/>
      <c r="AI48" s="2949"/>
      <c r="AJ48" s="2949">
        <f t="shared" ref="AJ48" si="8">$L$48</f>
        <v>0</v>
      </c>
      <c r="AK48" s="2949"/>
      <c r="AL48" s="2949"/>
      <c r="AM48" s="2949">
        <f t="shared" ref="AM48" si="9">$L$48</f>
        <v>0</v>
      </c>
      <c r="AN48" s="2949"/>
      <c r="AO48" s="2949"/>
      <c r="AP48" s="2949">
        <f t="shared" ref="AP48" si="10">$L$48</f>
        <v>0</v>
      </c>
      <c r="AQ48" s="2949"/>
      <c r="AR48" s="2949"/>
      <c r="AS48" s="2949">
        <f t="shared" ref="AS48" si="11">$L$48</f>
        <v>0</v>
      </c>
      <c r="AT48" s="2949"/>
      <c r="AU48" s="2949"/>
      <c r="AV48" s="2949">
        <f t="shared" ref="AV48" si="12">$L$48</f>
        <v>0</v>
      </c>
      <c r="AW48" s="2949"/>
      <c r="AX48" s="2949"/>
      <c r="AY48" s="2949">
        <f t="shared" ref="AY48" si="13">$L$48</f>
        <v>0</v>
      </c>
      <c r="AZ48" s="2949"/>
      <c r="BA48" s="2949"/>
      <c r="BB48" s="2949">
        <f t="shared" ref="BB48" si="14">$L$48</f>
        <v>0</v>
      </c>
      <c r="BC48" s="2949"/>
      <c r="BD48" s="2949"/>
      <c r="BE48" s="2949">
        <f t="shared" ref="BE48" si="15">$L$48</f>
        <v>0</v>
      </c>
      <c r="BF48" s="2949"/>
      <c r="BG48" s="2949"/>
      <c r="BH48" s="2949">
        <f t="shared" ref="BH48" si="16">$L$48</f>
        <v>0</v>
      </c>
      <c r="BI48" s="2949"/>
      <c r="BJ48" s="2949"/>
      <c r="BK48" s="2949">
        <f t="shared" ref="BK48" si="17">$L$48</f>
        <v>0</v>
      </c>
      <c r="BL48" s="2949"/>
      <c r="BM48" s="2949"/>
      <c r="BN48" s="2949">
        <f t="shared" ref="BN48" si="18">$L$48</f>
        <v>0</v>
      </c>
      <c r="BO48" s="2949"/>
      <c r="BP48" s="2949"/>
      <c r="BQ48" s="2949">
        <f t="shared" ref="BQ48" si="19">$L$48</f>
        <v>0</v>
      </c>
      <c r="BR48" s="2949"/>
      <c r="BS48" s="2949"/>
      <c r="BT48" s="2949">
        <f t="shared" ref="BT48" si="20">$L$48</f>
        <v>0</v>
      </c>
      <c r="BU48" s="2949"/>
      <c r="BV48" s="2949"/>
      <c r="BW48" s="2949">
        <f t="shared" ref="BW48" si="21">$L$48</f>
        <v>0</v>
      </c>
      <c r="BX48" s="2949"/>
      <c r="BY48" s="2949"/>
      <c r="BZ48" s="2949">
        <f t="shared" ref="BZ48" si="22">$L$48</f>
        <v>0</v>
      </c>
      <c r="CA48" s="2949"/>
      <c r="CB48" s="2949"/>
      <c r="CC48" s="2949">
        <f t="shared" ref="CC48" si="23">$L$48</f>
        <v>0</v>
      </c>
      <c r="CD48" s="2949"/>
      <c r="CE48" s="2949"/>
      <c r="CF48" s="2949">
        <f t="shared" ref="CF48" si="24">$L$48</f>
        <v>0</v>
      </c>
      <c r="CG48" s="2949"/>
      <c r="CH48" s="2949"/>
      <c r="CI48" s="2949">
        <f t="shared" ref="CI48" si="25">$L$48</f>
        <v>0</v>
      </c>
      <c r="CJ48" s="2949"/>
      <c r="CK48" s="2949"/>
      <c r="CL48" s="2949">
        <f t="shared" ref="CL48" si="26">$L$48</f>
        <v>0</v>
      </c>
      <c r="CM48" s="2949"/>
      <c r="CN48" s="2949"/>
      <c r="CO48" s="2949">
        <f t="shared" ref="CO48" si="27">$L$48</f>
        <v>0</v>
      </c>
      <c r="CP48" s="2949"/>
      <c r="CQ48" s="2949"/>
      <c r="CR48" s="2949">
        <f t="shared" ref="CR48" si="28">$L$48</f>
        <v>0</v>
      </c>
      <c r="CS48" s="2949"/>
      <c r="CT48" s="2949"/>
      <c r="CU48" s="2949">
        <f t="shared" ref="CU48" si="29">$L$48</f>
        <v>0</v>
      </c>
      <c r="CV48" s="2949"/>
      <c r="CW48" s="2949"/>
      <c r="CX48" s="2949">
        <f t="shared" ref="CX48" si="30">$L$48</f>
        <v>0</v>
      </c>
      <c r="CY48" s="2949"/>
      <c r="CZ48" s="2949"/>
      <c r="DA48" s="2949">
        <f t="shared" ref="DA48" si="31">$L$48</f>
        <v>0</v>
      </c>
      <c r="DB48" s="2949"/>
      <c r="DC48" s="2949"/>
      <c r="DD48" s="2949">
        <f t="shared" ref="DD48" si="32">$L$48</f>
        <v>0</v>
      </c>
      <c r="DE48" s="2949"/>
      <c r="DF48" s="2949"/>
      <c r="DG48" s="2949">
        <f t="shared" ref="DG48" si="33">$L$48</f>
        <v>0</v>
      </c>
      <c r="DH48" s="2949"/>
      <c r="DI48" s="2949"/>
      <c r="DJ48" s="2949">
        <f t="shared" ref="DJ48" si="34">$L$48</f>
        <v>0</v>
      </c>
      <c r="DK48" s="2949"/>
      <c r="DL48" s="2949"/>
      <c r="DM48" s="2949">
        <f t="shared" ref="DM48" si="35">$L$48</f>
        <v>0</v>
      </c>
      <c r="DN48" s="2949"/>
      <c r="DO48" s="2949"/>
      <c r="DP48" s="2949">
        <f t="shared" ref="DP48" si="36">$L$48</f>
        <v>0</v>
      </c>
      <c r="DQ48" s="2949"/>
      <c r="DR48" s="2949"/>
      <c r="DS48" s="2949">
        <f t="shared" ref="DS48" si="37">$L$48</f>
        <v>0</v>
      </c>
      <c r="DT48" s="2949"/>
      <c r="DU48" s="2949"/>
      <c r="DV48" s="2949">
        <f t="shared" ref="DV48" si="38">$L$48</f>
        <v>0</v>
      </c>
      <c r="DW48" s="2949"/>
      <c r="DX48" s="2949"/>
      <c r="DY48" s="2949">
        <f t="shared" ref="DY48" si="39">$L$48</f>
        <v>0</v>
      </c>
      <c r="DZ48" s="2949"/>
      <c r="EA48" s="2950"/>
      <c r="EB48" s="60"/>
    </row>
    <row r="49" spans="2:132" s="728" customFormat="1" ht="18" hidden="1" customHeight="1">
      <c r="B49" s="2960" t="str">
        <f>'Operating Budget'!$D$130</f>
        <v>HHC .42% Fee</v>
      </c>
      <c r="C49" s="2961"/>
      <c r="D49" s="2961"/>
      <c r="E49" s="2961"/>
      <c r="F49" s="2961"/>
      <c r="G49" s="2961"/>
      <c r="H49" s="2961"/>
      <c r="I49" s="2961"/>
      <c r="J49" s="2961"/>
      <c r="K49" s="2961"/>
      <c r="L49" s="2962">
        <f>IF(IsHHC,'Operating Budget'!$E$130+'Operating Budget'!$F$130,0)</f>
        <v>0</v>
      </c>
      <c r="M49" s="2963"/>
      <c r="N49" s="2963"/>
      <c r="O49" s="2949">
        <f>$L$49</f>
        <v>0</v>
      </c>
      <c r="P49" s="2949"/>
      <c r="Q49" s="2949"/>
      <c r="R49" s="2949">
        <f t="shared" ref="R49" si="40">$L$49</f>
        <v>0</v>
      </c>
      <c r="S49" s="2949"/>
      <c r="T49" s="2949"/>
      <c r="U49" s="2949">
        <f t="shared" ref="U49" si="41">$L$49</f>
        <v>0</v>
      </c>
      <c r="V49" s="2949"/>
      <c r="W49" s="2949"/>
      <c r="X49" s="2949">
        <f t="shared" ref="X49" si="42">$L$49</f>
        <v>0</v>
      </c>
      <c r="Y49" s="2949"/>
      <c r="Z49" s="2949"/>
      <c r="AA49" s="2949">
        <f t="shared" ref="AA49" si="43">$L$49</f>
        <v>0</v>
      </c>
      <c r="AB49" s="2949"/>
      <c r="AC49" s="2949"/>
      <c r="AD49" s="2949">
        <f t="shared" ref="AD49" si="44">$L$49</f>
        <v>0</v>
      </c>
      <c r="AE49" s="2949"/>
      <c r="AF49" s="2949"/>
      <c r="AG49" s="2949">
        <f t="shared" ref="AG49" si="45">$L$49</f>
        <v>0</v>
      </c>
      <c r="AH49" s="2949"/>
      <c r="AI49" s="2949"/>
      <c r="AJ49" s="2949">
        <f t="shared" ref="AJ49" si="46">$L$49</f>
        <v>0</v>
      </c>
      <c r="AK49" s="2949"/>
      <c r="AL49" s="2949"/>
      <c r="AM49" s="2949">
        <f t="shared" ref="AM49" si="47">$L$49</f>
        <v>0</v>
      </c>
      <c r="AN49" s="2949"/>
      <c r="AO49" s="2949"/>
      <c r="AP49" s="2949">
        <f t="shared" ref="AP49" si="48">$L$49</f>
        <v>0</v>
      </c>
      <c r="AQ49" s="2949"/>
      <c r="AR49" s="2949"/>
      <c r="AS49" s="2949">
        <f t="shared" ref="AS49" si="49">$L$49</f>
        <v>0</v>
      </c>
      <c r="AT49" s="2949"/>
      <c r="AU49" s="2949"/>
      <c r="AV49" s="2949">
        <f t="shared" ref="AV49" si="50">$L$49</f>
        <v>0</v>
      </c>
      <c r="AW49" s="2949"/>
      <c r="AX49" s="2949"/>
      <c r="AY49" s="2949">
        <f t="shared" ref="AY49" si="51">$L$49</f>
        <v>0</v>
      </c>
      <c r="AZ49" s="2949"/>
      <c r="BA49" s="2949"/>
      <c r="BB49" s="2949">
        <f t="shared" ref="BB49" si="52">$L$49</f>
        <v>0</v>
      </c>
      <c r="BC49" s="2949"/>
      <c r="BD49" s="2949"/>
      <c r="BE49" s="2949">
        <f t="shared" ref="BE49" si="53">$L$49</f>
        <v>0</v>
      </c>
      <c r="BF49" s="2949"/>
      <c r="BG49" s="2949"/>
      <c r="BH49" s="2949">
        <f t="shared" ref="BH49" si="54">$L$49</f>
        <v>0</v>
      </c>
      <c r="BI49" s="2949"/>
      <c r="BJ49" s="2949"/>
      <c r="BK49" s="2949">
        <f t="shared" ref="BK49" si="55">$L$49</f>
        <v>0</v>
      </c>
      <c r="BL49" s="2949"/>
      <c r="BM49" s="2949"/>
      <c r="BN49" s="2949">
        <f t="shared" ref="BN49" si="56">$L$49</f>
        <v>0</v>
      </c>
      <c r="BO49" s="2949"/>
      <c r="BP49" s="2949"/>
      <c r="BQ49" s="2949">
        <f t="shared" ref="BQ49" si="57">$L$49</f>
        <v>0</v>
      </c>
      <c r="BR49" s="2949"/>
      <c r="BS49" s="2949"/>
      <c r="BT49" s="2949">
        <f t="shared" ref="BT49" si="58">$L$49</f>
        <v>0</v>
      </c>
      <c r="BU49" s="2949"/>
      <c r="BV49" s="2949"/>
      <c r="BW49" s="2949">
        <f t="shared" ref="BW49" si="59">$L$49</f>
        <v>0</v>
      </c>
      <c r="BX49" s="2949"/>
      <c r="BY49" s="2949"/>
      <c r="BZ49" s="2949">
        <f t="shared" ref="BZ49" si="60">$L$49</f>
        <v>0</v>
      </c>
      <c r="CA49" s="2949"/>
      <c r="CB49" s="2949"/>
      <c r="CC49" s="2949">
        <f t="shared" ref="CC49" si="61">$L$49</f>
        <v>0</v>
      </c>
      <c r="CD49" s="2949"/>
      <c r="CE49" s="2949"/>
      <c r="CF49" s="2949">
        <f t="shared" ref="CF49" si="62">$L$49</f>
        <v>0</v>
      </c>
      <c r="CG49" s="2949"/>
      <c r="CH49" s="2949"/>
      <c r="CI49" s="2949">
        <f t="shared" ref="CI49" si="63">$L$49</f>
        <v>0</v>
      </c>
      <c r="CJ49" s="2949"/>
      <c r="CK49" s="2949"/>
      <c r="CL49" s="2949">
        <f t="shared" ref="CL49" si="64">$L$49</f>
        <v>0</v>
      </c>
      <c r="CM49" s="2949"/>
      <c r="CN49" s="2949"/>
      <c r="CO49" s="2949">
        <f t="shared" ref="CO49" si="65">$L$49</f>
        <v>0</v>
      </c>
      <c r="CP49" s="2949"/>
      <c r="CQ49" s="2949"/>
      <c r="CR49" s="2949">
        <f t="shared" ref="CR49" si="66">$L$49</f>
        <v>0</v>
      </c>
      <c r="CS49" s="2949"/>
      <c r="CT49" s="2949"/>
      <c r="CU49" s="2949">
        <f t="shared" ref="CU49" si="67">$L$49</f>
        <v>0</v>
      </c>
      <c r="CV49" s="2949"/>
      <c r="CW49" s="2949"/>
      <c r="CX49" s="2949">
        <f t="shared" ref="CX49" si="68">$L$49</f>
        <v>0</v>
      </c>
      <c r="CY49" s="2949"/>
      <c r="CZ49" s="2949"/>
      <c r="DA49" s="2949">
        <f t="shared" ref="DA49" si="69">$L$49</f>
        <v>0</v>
      </c>
      <c r="DB49" s="2949"/>
      <c r="DC49" s="2949"/>
      <c r="DD49" s="2949">
        <f t="shared" ref="DD49" si="70">$L$49</f>
        <v>0</v>
      </c>
      <c r="DE49" s="2949"/>
      <c r="DF49" s="2949"/>
      <c r="DG49" s="2949">
        <f t="shared" ref="DG49" si="71">$L$49</f>
        <v>0</v>
      </c>
      <c r="DH49" s="2949"/>
      <c r="DI49" s="2949"/>
      <c r="DJ49" s="2949">
        <f t="shared" ref="DJ49" si="72">$L$49</f>
        <v>0</v>
      </c>
      <c r="DK49" s="2949"/>
      <c r="DL49" s="2949"/>
      <c r="DM49" s="2949">
        <f t="shared" ref="DM49" si="73">$L$49</f>
        <v>0</v>
      </c>
      <c r="DN49" s="2949"/>
      <c r="DO49" s="2949"/>
      <c r="DP49" s="2949">
        <f t="shared" ref="DP49" si="74">$L$49</f>
        <v>0</v>
      </c>
      <c r="DQ49" s="2949"/>
      <c r="DR49" s="2949"/>
      <c r="DS49" s="2949">
        <f t="shared" ref="DS49" si="75">$L$49</f>
        <v>0</v>
      </c>
      <c r="DT49" s="2949"/>
      <c r="DU49" s="2949"/>
      <c r="DV49" s="2949">
        <f t="shared" ref="DV49" si="76">$L$49</f>
        <v>0</v>
      </c>
      <c r="DW49" s="2949"/>
      <c r="DX49" s="2949"/>
      <c r="DY49" s="2949">
        <f t="shared" ref="DY49" si="77">$L$49</f>
        <v>0</v>
      </c>
      <c r="DZ49" s="2949"/>
      <c r="EA49" s="2950"/>
      <c r="EB49" s="60"/>
    </row>
    <row r="50" spans="2:132" s="728" customFormat="1" ht="18" customHeight="1">
      <c r="B50" s="2960" t="str">
        <f>'Operating Budget'!$D$131</f>
        <v>MHP .42% Fee</v>
      </c>
      <c r="C50" s="2961"/>
      <c r="D50" s="2961"/>
      <c r="E50" s="2961"/>
      <c r="F50" s="2961"/>
      <c r="G50" s="2961"/>
      <c r="H50" s="2961"/>
      <c r="I50" s="2961"/>
      <c r="J50" s="2961"/>
      <c r="K50" s="2961"/>
      <c r="L50" s="2962">
        <f>IF(IsMhp,'Operating Budget'!$E$131+'Operating Budget'!$F$131,0)</f>
        <v>0</v>
      </c>
      <c r="M50" s="2963"/>
      <c r="N50" s="2963"/>
      <c r="O50" s="2949">
        <f>$L$50</f>
        <v>0</v>
      </c>
      <c r="P50" s="2949"/>
      <c r="Q50" s="2949"/>
      <c r="R50" s="2949">
        <f t="shared" ref="R50" si="78">$L$50</f>
        <v>0</v>
      </c>
      <c r="S50" s="2949"/>
      <c r="T50" s="2949"/>
      <c r="U50" s="2949">
        <f t="shared" ref="U50" si="79">$L$50</f>
        <v>0</v>
      </c>
      <c r="V50" s="2949"/>
      <c r="W50" s="2949"/>
      <c r="X50" s="2949">
        <f>$L$50</f>
        <v>0</v>
      </c>
      <c r="Y50" s="2949"/>
      <c r="Z50" s="2949"/>
      <c r="AA50" s="2949">
        <f t="shared" ref="AA50" si="80">$L$50</f>
        <v>0</v>
      </c>
      <c r="AB50" s="2949"/>
      <c r="AC50" s="2949"/>
      <c r="AD50" s="2949">
        <f t="shared" ref="AD50" si="81">$L$50</f>
        <v>0</v>
      </c>
      <c r="AE50" s="2949"/>
      <c r="AF50" s="2949"/>
      <c r="AG50" s="2949">
        <f t="shared" ref="AG50" si="82">$L$50</f>
        <v>0</v>
      </c>
      <c r="AH50" s="2949"/>
      <c r="AI50" s="2949"/>
      <c r="AJ50" s="2949">
        <f t="shared" ref="AJ50" si="83">$L$50</f>
        <v>0</v>
      </c>
      <c r="AK50" s="2949"/>
      <c r="AL50" s="2949"/>
      <c r="AM50" s="2949">
        <f t="shared" ref="AM50" si="84">$L$50</f>
        <v>0</v>
      </c>
      <c r="AN50" s="2949"/>
      <c r="AO50" s="2949"/>
      <c r="AP50" s="2949">
        <f t="shared" ref="AP50" si="85">$L$50</f>
        <v>0</v>
      </c>
      <c r="AQ50" s="2949"/>
      <c r="AR50" s="2949"/>
      <c r="AS50" s="2949">
        <f t="shared" ref="AS50" si="86">$L$50</f>
        <v>0</v>
      </c>
      <c r="AT50" s="2949"/>
      <c r="AU50" s="2949"/>
      <c r="AV50" s="2949">
        <f t="shared" ref="AV50" si="87">$L$50</f>
        <v>0</v>
      </c>
      <c r="AW50" s="2949"/>
      <c r="AX50" s="2949"/>
      <c r="AY50" s="2949">
        <f t="shared" ref="AY50" si="88">$L$50</f>
        <v>0</v>
      </c>
      <c r="AZ50" s="2949"/>
      <c r="BA50" s="2949"/>
      <c r="BB50" s="2949">
        <f t="shared" ref="BB50" si="89">$L$50</f>
        <v>0</v>
      </c>
      <c r="BC50" s="2949"/>
      <c r="BD50" s="2949"/>
      <c r="BE50" s="2949">
        <f t="shared" ref="BE50" si="90">$L$50</f>
        <v>0</v>
      </c>
      <c r="BF50" s="2949"/>
      <c r="BG50" s="2949"/>
      <c r="BH50" s="2949">
        <f t="shared" ref="BH50" si="91">$L$50</f>
        <v>0</v>
      </c>
      <c r="BI50" s="2949"/>
      <c r="BJ50" s="2949"/>
      <c r="BK50" s="2949">
        <f t="shared" ref="BK50" si="92">$L$50</f>
        <v>0</v>
      </c>
      <c r="BL50" s="2949"/>
      <c r="BM50" s="2949"/>
      <c r="BN50" s="2949">
        <f t="shared" ref="BN50" si="93">$L$50</f>
        <v>0</v>
      </c>
      <c r="BO50" s="2949"/>
      <c r="BP50" s="2949"/>
      <c r="BQ50" s="2949">
        <f t="shared" ref="BQ50" si="94">$L$50</f>
        <v>0</v>
      </c>
      <c r="BR50" s="2949"/>
      <c r="BS50" s="2949"/>
      <c r="BT50" s="2949">
        <f t="shared" ref="BT50" si="95">$L$50</f>
        <v>0</v>
      </c>
      <c r="BU50" s="2949"/>
      <c r="BV50" s="2949"/>
      <c r="BW50" s="2949">
        <f t="shared" ref="BW50" si="96">$L$50</f>
        <v>0</v>
      </c>
      <c r="BX50" s="2949"/>
      <c r="BY50" s="2949"/>
      <c r="BZ50" s="2949">
        <f t="shared" ref="BZ50" si="97">$L$50</f>
        <v>0</v>
      </c>
      <c r="CA50" s="2949"/>
      <c r="CB50" s="2949"/>
      <c r="CC50" s="2949">
        <f t="shared" ref="CC50" si="98">$L$50</f>
        <v>0</v>
      </c>
      <c r="CD50" s="2949"/>
      <c r="CE50" s="2949"/>
      <c r="CF50" s="2949">
        <f t="shared" ref="CF50" si="99">$L$50</f>
        <v>0</v>
      </c>
      <c r="CG50" s="2949"/>
      <c r="CH50" s="2949"/>
      <c r="CI50" s="2949">
        <f t="shared" ref="CI50" si="100">$L$50</f>
        <v>0</v>
      </c>
      <c r="CJ50" s="2949"/>
      <c r="CK50" s="2949"/>
      <c r="CL50" s="2949">
        <f t="shared" ref="CL50" si="101">$L$50</f>
        <v>0</v>
      </c>
      <c r="CM50" s="2949"/>
      <c r="CN50" s="2949"/>
      <c r="CO50" s="2949">
        <f t="shared" ref="CO50" si="102">$L$50</f>
        <v>0</v>
      </c>
      <c r="CP50" s="2949"/>
      <c r="CQ50" s="2949"/>
      <c r="CR50" s="2949">
        <f t="shared" ref="CR50" si="103">$L$50</f>
        <v>0</v>
      </c>
      <c r="CS50" s="2949"/>
      <c r="CT50" s="2949"/>
      <c r="CU50" s="2949">
        <f t="shared" ref="CU50" si="104">$L$50</f>
        <v>0</v>
      </c>
      <c r="CV50" s="2949"/>
      <c r="CW50" s="2949"/>
      <c r="CX50" s="2949">
        <f t="shared" ref="CX50" si="105">$L$50</f>
        <v>0</v>
      </c>
      <c r="CY50" s="2949"/>
      <c r="CZ50" s="2949"/>
      <c r="DA50" s="2949">
        <f t="shared" ref="DA50" si="106">$L$50</f>
        <v>0</v>
      </c>
      <c r="DB50" s="2949"/>
      <c r="DC50" s="2949"/>
      <c r="DD50" s="2949">
        <f t="shared" ref="DD50" si="107">$L$50</f>
        <v>0</v>
      </c>
      <c r="DE50" s="2949"/>
      <c r="DF50" s="2949"/>
      <c r="DG50" s="2949">
        <f t="shared" ref="DG50" si="108">$L$50</f>
        <v>0</v>
      </c>
      <c r="DH50" s="2949"/>
      <c r="DI50" s="2949"/>
      <c r="DJ50" s="2949">
        <f t="shared" ref="DJ50" si="109">$L$50</f>
        <v>0</v>
      </c>
      <c r="DK50" s="2949"/>
      <c r="DL50" s="2949"/>
      <c r="DM50" s="2949">
        <f t="shared" ref="DM50" si="110">$L$50</f>
        <v>0</v>
      </c>
      <c r="DN50" s="2949"/>
      <c r="DO50" s="2949"/>
      <c r="DP50" s="2949">
        <f t="shared" ref="DP50" si="111">$L$50</f>
        <v>0</v>
      </c>
      <c r="DQ50" s="2949"/>
      <c r="DR50" s="2949"/>
      <c r="DS50" s="2949">
        <f t="shared" ref="DS50" si="112">$L$50</f>
        <v>0</v>
      </c>
      <c r="DT50" s="2949"/>
      <c r="DU50" s="2949"/>
      <c r="DV50" s="2949">
        <f t="shared" ref="DV50" si="113">$L$50</f>
        <v>0</v>
      </c>
      <c r="DW50" s="2949"/>
      <c r="DX50" s="2949"/>
      <c r="DY50" s="2949">
        <f t="shared" ref="DY50" si="114">$L$50</f>
        <v>0</v>
      </c>
      <c r="DZ50" s="2949"/>
      <c r="EA50" s="2950"/>
      <c r="EB50" s="60"/>
    </row>
    <row r="51" spans="2:132" s="728" customFormat="1" ht="18" hidden="1" customHeight="1">
      <c r="B51" s="2960" t="str">
        <f>'Operating Budget'!$D$132</f>
        <v>TOD .42% Fee</v>
      </c>
      <c r="C51" s="2961"/>
      <c r="D51" s="2961"/>
      <c r="E51" s="2961"/>
      <c r="F51" s="2961"/>
      <c r="G51" s="2961"/>
      <c r="H51" s="2961"/>
      <c r="I51" s="2961"/>
      <c r="J51" s="2961"/>
      <c r="K51" s="2961"/>
      <c r="L51" s="2962">
        <f>IF(IsTod,'Operating Budget'!$E$132+'Operating Budget'!$F$132,0)</f>
        <v>0</v>
      </c>
      <c r="M51" s="2963"/>
      <c r="N51" s="2963"/>
      <c r="O51" s="2949">
        <f>$L$51</f>
        <v>0</v>
      </c>
      <c r="P51" s="2949"/>
      <c r="Q51" s="2949"/>
      <c r="R51" s="2949">
        <f t="shared" ref="R51" si="115">$L$51</f>
        <v>0</v>
      </c>
      <c r="S51" s="2949"/>
      <c r="T51" s="2949"/>
      <c r="U51" s="2949">
        <f t="shared" ref="U51" si="116">$L$51</f>
        <v>0</v>
      </c>
      <c r="V51" s="2949"/>
      <c r="W51" s="2949"/>
      <c r="X51" s="2949">
        <f t="shared" ref="X51" si="117">$L$51</f>
        <v>0</v>
      </c>
      <c r="Y51" s="2949"/>
      <c r="Z51" s="2949"/>
      <c r="AA51" s="2949">
        <f t="shared" ref="AA51" si="118">$L$51</f>
        <v>0</v>
      </c>
      <c r="AB51" s="2949"/>
      <c r="AC51" s="2949"/>
      <c r="AD51" s="2949">
        <f t="shared" ref="AD51" si="119">$L$51</f>
        <v>0</v>
      </c>
      <c r="AE51" s="2949"/>
      <c r="AF51" s="2949"/>
      <c r="AG51" s="2949">
        <f t="shared" ref="AG51" si="120">$L$51</f>
        <v>0</v>
      </c>
      <c r="AH51" s="2949"/>
      <c r="AI51" s="2949"/>
      <c r="AJ51" s="2949">
        <f t="shared" ref="AJ51" si="121">$L$51</f>
        <v>0</v>
      </c>
      <c r="AK51" s="2949"/>
      <c r="AL51" s="2949"/>
      <c r="AM51" s="2949">
        <f t="shared" ref="AM51" si="122">$L$51</f>
        <v>0</v>
      </c>
      <c r="AN51" s="2949"/>
      <c r="AO51" s="2949"/>
      <c r="AP51" s="2949">
        <f t="shared" ref="AP51" si="123">$L$51</f>
        <v>0</v>
      </c>
      <c r="AQ51" s="2949"/>
      <c r="AR51" s="2949"/>
      <c r="AS51" s="2949">
        <f t="shared" ref="AS51" si="124">$L$51</f>
        <v>0</v>
      </c>
      <c r="AT51" s="2949"/>
      <c r="AU51" s="2949"/>
      <c r="AV51" s="2949">
        <f t="shared" ref="AV51" si="125">$L$51</f>
        <v>0</v>
      </c>
      <c r="AW51" s="2949"/>
      <c r="AX51" s="2949"/>
      <c r="AY51" s="2949">
        <f t="shared" ref="AY51" si="126">$L$51</f>
        <v>0</v>
      </c>
      <c r="AZ51" s="2949"/>
      <c r="BA51" s="2949"/>
      <c r="BB51" s="2949">
        <f t="shared" ref="BB51" si="127">$L$51</f>
        <v>0</v>
      </c>
      <c r="BC51" s="2949"/>
      <c r="BD51" s="2949"/>
      <c r="BE51" s="2949">
        <f t="shared" ref="BE51" si="128">$L$51</f>
        <v>0</v>
      </c>
      <c r="BF51" s="2949"/>
      <c r="BG51" s="2949"/>
      <c r="BH51" s="2949">
        <f t="shared" ref="BH51" si="129">$L$51</f>
        <v>0</v>
      </c>
      <c r="BI51" s="2949"/>
      <c r="BJ51" s="2949"/>
      <c r="BK51" s="2949">
        <f t="shared" ref="BK51" si="130">$L$51</f>
        <v>0</v>
      </c>
      <c r="BL51" s="2949"/>
      <c r="BM51" s="2949"/>
      <c r="BN51" s="2949">
        <f t="shared" ref="BN51" si="131">$L$51</f>
        <v>0</v>
      </c>
      <c r="BO51" s="2949"/>
      <c r="BP51" s="2949"/>
      <c r="BQ51" s="2949">
        <f t="shared" ref="BQ51" si="132">$L$51</f>
        <v>0</v>
      </c>
      <c r="BR51" s="2949"/>
      <c r="BS51" s="2949"/>
      <c r="BT51" s="2949">
        <f t="shared" ref="BT51" si="133">$L$51</f>
        <v>0</v>
      </c>
      <c r="BU51" s="2949"/>
      <c r="BV51" s="2949"/>
      <c r="BW51" s="2949">
        <f t="shared" ref="BW51" si="134">$L$51</f>
        <v>0</v>
      </c>
      <c r="BX51" s="2949"/>
      <c r="BY51" s="2949"/>
      <c r="BZ51" s="2949">
        <f t="shared" ref="BZ51" si="135">$L$51</f>
        <v>0</v>
      </c>
      <c r="CA51" s="2949"/>
      <c r="CB51" s="2949"/>
      <c r="CC51" s="2949">
        <f t="shared" ref="CC51" si="136">$L$51</f>
        <v>0</v>
      </c>
      <c r="CD51" s="2949"/>
      <c r="CE51" s="2949"/>
      <c r="CF51" s="2949">
        <f t="shared" ref="CF51" si="137">$L$51</f>
        <v>0</v>
      </c>
      <c r="CG51" s="2949"/>
      <c r="CH51" s="2949"/>
      <c r="CI51" s="2949">
        <f t="shared" ref="CI51" si="138">$L$51</f>
        <v>0</v>
      </c>
      <c r="CJ51" s="2949"/>
      <c r="CK51" s="2949"/>
      <c r="CL51" s="2949">
        <f t="shared" ref="CL51" si="139">$L$51</f>
        <v>0</v>
      </c>
      <c r="CM51" s="2949"/>
      <c r="CN51" s="2949"/>
      <c r="CO51" s="2949">
        <f t="shared" ref="CO51" si="140">$L$51</f>
        <v>0</v>
      </c>
      <c r="CP51" s="2949"/>
      <c r="CQ51" s="2949"/>
      <c r="CR51" s="2949">
        <f t="shared" ref="CR51" si="141">$L$51</f>
        <v>0</v>
      </c>
      <c r="CS51" s="2949"/>
      <c r="CT51" s="2949"/>
      <c r="CU51" s="2949">
        <f t="shared" ref="CU51" si="142">$L$51</f>
        <v>0</v>
      </c>
      <c r="CV51" s="2949"/>
      <c r="CW51" s="2949"/>
      <c r="CX51" s="2949">
        <f t="shared" ref="CX51" si="143">$L$51</f>
        <v>0</v>
      </c>
      <c r="CY51" s="2949"/>
      <c r="CZ51" s="2949"/>
      <c r="DA51" s="2949">
        <f t="shared" ref="DA51" si="144">$L$51</f>
        <v>0</v>
      </c>
      <c r="DB51" s="2949"/>
      <c r="DC51" s="2949"/>
      <c r="DD51" s="2949">
        <f t="shared" ref="DD51" si="145">$L$51</f>
        <v>0</v>
      </c>
      <c r="DE51" s="2949"/>
      <c r="DF51" s="2949"/>
      <c r="DG51" s="2949">
        <f t="shared" ref="DG51" si="146">$L$51</f>
        <v>0</v>
      </c>
      <c r="DH51" s="2949"/>
      <c r="DI51" s="2949"/>
      <c r="DJ51" s="2949">
        <f t="shared" ref="DJ51" si="147">$L$51</f>
        <v>0</v>
      </c>
      <c r="DK51" s="2949"/>
      <c r="DL51" s="2949"/>
      <c r="DM51" s="2949">
        <f t="shared" ref="DM51" si="148">$L$51</f>
        <v>0</v>
      </c>
      <c r="DN51" s="2949"/>
      <c r="DO51" s="2949"/>
      <c r="DP51" s="2949">
        <f t="shared" ref="DP51" si="149">$L$51</f>
        <v>0</v>
      </c>
      <c r="DQ51" s="2949"/>
      <c r="DR51" s="2949"/>
      <c r="DS51" s="2949">
        <f t="shared" ref="DS51" si="150">$L$51</f>
        <v>0</v>
      </c>
      <c r="DT51" s="2949"/>
      <c r="DU51" s="2949"/>
      <c r="DV51" s="2949">
        <f t="shared" ref="DV51" si="151">$L$51</f>
        <v>0</v>
      </c>
      <c r="DW51" s="2949"/>
      <c r="DX51" s="2949"/>
      <c r="DY51" s="2949">
        <f t="shared" ref="DY51" si="152">$L$51</f>
        <v>0</v>
      </c>
      <c r="DZ51" s="2949"/>
      <c r="EA51" s="2950"/>
      <c r="EB51" s="60"/>
    </row>
    <row r="52" spans="2:132" s="728" customFormat="1" ht="18" hidden="1" customHeight="1">
      <c r="B52" s="2960" t="str">
        <f>'Operating Budget'!$D$133</f>
        <v>VHHP .42% Fee</v>
      </c>
      <c r="C52" s="2961"/>
      <c r="D52" s="2961"/>
      <c r="E52" s="2961"/>
      <c r="F52" s="2961"/>
      <c r="G52" s="2961"/>
      <c r="H52" s="2961"/>
      <c r="I52" s="2961"/>
      <c r="J52" s="2961"/>
      <c r="K52" s="2961"/>
      <c r="L52" s="2962">
        <f>IF(IsVhhp,'Operating Budget'!$E$133+'Operating Budget'!$F$133,0)</f>
        <v>0</v>
      </c>
      <c r="M52" s="2963"/>
      <c r="N52" s="2963"/>
      <c r="O52" s="2949">
        <f>$L$52</f>
        <v>0</v>
      </c>
      <c r="P52" s="2949"/>
      <c r="Q52" s="2949"/>
      <c r="R52" s="2949">
        <f t="shared" ref="R52" si="153">$L$52</f>
        <v>0</v>
      </c>
      <c r="S52" s="2949"/>
      <c r="T52" s="2949"/>
      <c r="U52" s="2949">
        <f t="shared" ref="U52" si="154">$L$52</f>
        <v>0</v>
      </c>
      <c r="V52" s="2949"/>
      <c r="W52" s="2949"/>
      <c r="X52" s="2949">
        <f t="shared" ref="X52" si="155">$L$52</f>
        <v>0</v>
      </c>
      <c r="Y52" s="2949"/>
      <c r="Z52" s="2949"/>
      <c r="AA52" s="2949">
        <f t="shared" ref="AA52" si="156">$L$52</f>
        <v>0</v>
      </c>
      <c r="AB52" s="2949"/>
      <c r="AC52" s="2949"/>
      <c r="AD52" s="2949">
        <f t="shared" ref="AD52" si="157">$L$52</f>
        <v>0</v>
      </c>
      <c r="AE52" s="2949"/>
      <c r="AF52" s="2949"/>
      <c r="AG52" s="2949">
        <f t="shared" ref="AG52" si="158">$L$52</f>
        <v>0</v>
      </c>
      <c r="AH52" s="2949"/>
      <c r="AI52" s="2949"/>
      <c r="AJ52" s="2949">
        <f t="shared" ref="AJ52" si="159">$L$52</f>
        <v>0</v>
      </c>
      <c r="AK52" s="2949"/>
      <c r="AL52" s="2949"/>
      <c r="AM52" s="2949">
        <f t="shared" ref="AM52" si="160">$L$52</f>
        <v>0</v>
      </c>
      <c r="AN52" s="2949"/>
      <c r="AO52" s="2949"/>
      <c r="AP52" s="2949">
        <f t="shared" ref="AP52" si="161">$L$52</f>
        <v>0</v>
      </c>
      <c r="AQ52" s="2949"/>
      <c r="AR52" s="2949"/>
      <c r="AS52" s="2949">
        <f t="shared" ref="AS52" si="162">$L$52</f>
        <v>0</v>
      </c>
      <c r="AT52" s="2949"/>
      <c r="AU52" s="2949"/>
      <c r="AV52" s="2949">
        <f t="shared" ref="AV52" si="163">$L$52</f>
        <v>0</v>
      </c>
      <c r="AW52" s="2949"/>
      <c r="AX52" s="2949"/>
      <c r="AY52" s="2949">
        <f t="shared" ref="AY52" si="164">$L$52</f>
        <v>0</v>
      </c>
      <c r="AZ52" s="2949"/>
      <c r="BA52" s="2949"/>
      <c r="BB52" s="2949">
        <f t="shared" ref="BB52" si="165">$L$52</f>
        <v>0</v>
      </c>
      <c r="BC52" s="2949"/>
      <c r="BD52" s="2949"/>
      <c r="BE52" s="2949">
        <f t="shared" ref="BE52" si="166">$L$52</f>
        <v>0</v>
      </c>
      <c r="BF52" s="2949"/>
      <c r="BG52" s="2949"/>
      <c r="BH52" s="2949">
        <f t="shared" ref="BH52" si="167">$L$52</f>
        <v>0</v>
      </c>
      <c r="BI52" s="2949"/>
      <c r="BJ52" s="2949"/>
      <c r="BK52" s="2949">
        <f t="shared" ref="BK52" si="168">$L$52</f>
        <v>0</v>
      </c>
      <c r="BL52" s="2949"/>
      <c r="BM52" s="2949"/>
      <c r="BN52" s="2949">
        <f t="shared" ref="BN52" si="169">$L$52</f>
        <v>0</v>
      </c>
      <c r="BO52" s="2949"/>
      <c r="BP52" s="2949"/>
      <c r="BQ52" s="2949">
        <f t="shared" ref="BQ52" si="170">$L$52</f>
        <v>0</v>
      </c>
      <c r="BR52" s="2949"/>
      <c r="BS52" s="2949"/>
      <c r="BT52" s="2949">
        <f t="shared" ref="BT52" si="171">$L$52</f>
        <v>0</v>
      </c>
      <c r="BU52" s="2949"/>
      <c r="BV52" s="2949"/>
      <c r="BW52" s="2949">
        <f t="shared" ref="BW52" si="172">$L$52</f>
        <v>0</v>
      </c>
      <c r="BX52" s="2949"/>
      <c r="BY52" s="2949"/>
      <c r="BZ52" s="2949">
        <f t="shared" ref="BZ52" si="173">$L$52</f>
        <v>0</v>
      </c>
      <c r="CA52" s="2949"/>
      <c r="CB52" s="2949"/>
      <c r="CC52" s="2949">
        <f t="shared" ref="CC52" si="174">$L$52</f>
        <v>0</v>
      </c>
      <c r="CD52" s="2949"/>
      <c r="CE52" s="2949"/>
      <c r="CF52" s="2949">
        <f t="shared" ref="CF52" si="175">$L$52</f>
        <v>0</v>
      </c>
      <c r="CG52" s="2949"/>
      <c r="CH52" s="2949"/>
      <c r="CI52" s="2949">
        <f t="shared" ref="CI52" si="176">$L$52</f>
        <v>0</v>
      </c>
      <c r="CJ52" s="2949"/>
      <c r="CK52" s="2949"/>
      <c r="CL52" s="2949">
        <f t="shared" ref="CL52" si="177">$L$52</f>
        <v>0</v>
      </c>
      <c r="CM52" s="2949"/>
      <c r="CN52" s="2949"/>
      <c r="CO52" s="2949">
        <f t="shared" ref="CO52" si="178">$L$52</f>
        <v>0</v>
      </c>
      <c r="CP52" s="2949"/>
      <c r="CQ52" s="2949"/>
      <c r="CR52" s="2949">
        <f t="shared" ref="CR52" si="179">$L$52</f>
        <v>0</v>
      </c>
      <c r="CS52" s="2949"/>
      <c r="CT52" s="2949"/>
      <c r="CU52" s="2949">
        <f t="shared" ref="CU52" si="180">$L$52</f>
        <v>0</v>
      </c>
      <c r="CV52" s="2949"/>
      <c r="CW52" s="2949"/>
      <c r="CX52" s="2949">
        <f t="shared" ref="CX52" si="181">$L$52</f>
        <v>0</v>
      </c>
      <c r="CY52" s="2949"/>
      <c r="CZ52" s="2949"/>
      <c r="DA52" s="2949">
        <f t="shared" ref="DA52" si="182">$L$52</f>
        <v>0</v>
      </c>
      <c r="DB52" s="2949"/>
      <c r="DC52" s="2949"/>
      <c r="DD52" s="2949">
        <f t="shared" ref="DD52" si="183">$L$52</f>
        <v>0</v>
      </c>
      <c r="DE52" s="2949"/>
      <c r="DF52" s="2949"/>
      <c r="DG52" s="2949">
        <f t="shared" ref="DG52" si="184">$L$52</f>
        <v>0</v>
      </c>
      <c r="DH52" s="2949"/>
      <c r="DI52" s="2949"/>
      <c r="DJ52" s="2949">
        <f t="shared" ref="DJ52" si="185">$L$52</f>
        <v>0</v>
      </c>
      <c r="DK52" s="2949"/>
      <c r="DL52" s="2949"/>
      <c r="DM52" s="2949">
        <f t="shared" ref="DM52" si="186">$L$52</f>
        <v>0</v>
      </c>
      <c r="DN52" s="2949"/>
      <c r="DO52" s="2949"/>
      <c r="DP52" s="2949">
        <f t="shared" ref="DP52" si="187">$L$52</f>
        <v>0</v>
      </c>
      <c r="DQ52" s="2949"/>
      <c r="DR52" s="2949"/>
      <c r="DS52" s="2949">
        <f t="shared" ref="DS52" si="188">$L$52</f>
        <v>0</v>
      </c>
      <c r="DT52" s="2949"/>
      <c r="DU52" s="2949"/>
      <c r="DV52" s="2949">
        <f t="shared" ref="DV52" si="189">$L$52</f>
        <v>0</v>
      </c>
      <c r="DW52" s="2949"/>
      <c r="DX52" s="2949"/>
      <c r="DY52" s="2949">
        <f t="shared" ref="DY52" si="190">$L$52</f>
        <v>0</v>
      </c>
      <c r="DZ52" s="2949"/>
      <c r="EA52" s="2950"/>
      <c r="EB52" s="60"/>
    </row>
    <row r="53" spans="2:132" ht="18" customHeight="1">
      <c r="B53" s="3114" t="str">
        <f>'Operating Budget'!$D$134</f>
        <v>Other HCD .42% (Specify)</v>
      </c>
      <c r="C53" s="3115"/>
      <c r="D53" s="3115"/>
      <c r="E53" s="3115"/>
      <c r="F53" s="3115"/>
      <c r="G53" s="3115"/>
      <c r="H53" s="3115"/>
      <c r="I53" s="3115"/>
      <c r="J53" s="3115"/>
      <c r="K53" s="3116"/>
      <c r="L53" s="2962">
        <f>'Operating Budget'!$E$134+'Operating Budget'!$F$134</f>
        <v>0</v>
      </c>
      <c r="M53" s="2963"/>
      <c r="N53" s="2963"/>
      <c r="O53" s="2949">
        <f>$L$53</f>
        <v>0</v>
      </c>
      <c r="P53" s="2949"/>
      <c r="Q53" s="2949"/>
      <c r="R53" s="2949">
        <f t="shared" ref="R53" si="191">$L$53</f>
        <v>0</v>
      </c>
      <c r="S53" s="2949"/>
      <c r="T53" s="2949"/>
      <c r="U53" s="2949">
        <f t="shared" ref="U53" si="192">$L$53</f>
        <v>0</v>
      </c>
      <c r="V53" s="2949"/>
      <c r="W53" s="2949"/>
      <c r="X53" s="2949">
        <f t="shared" ref="X53" si="193">$L$53</f>
        <v>0</v>
      </c>
      <c r="Y53" s="2949"/>
      <c r="Z53" s="2949"/>
      <c r="AA53" s="2949">
        <f t="shared" ref="AA53:CL53" si="194">$L$53</f>
        <v>0</v>
      </c>
      <c r="AB53" s="2949"/>
      <c r="AC53" s="2949"/>
      <c r="AD53" s="2949">
        <f t="shared" si="194"/>
        <v>0</v>
      </c>
      <c r="AE53" s="2949"/>
      <c r="AF53" s="2949"/>
      <c r="AG53" s="2949">
        <f t="shared" si="194"/>
        <v>0</v>
      </c>
      <c r="AH53" s="2949"/>
      <c r="AI53" s="2949"/>
      <c r="AJ53" s="2949">
        <f t="shared" si="194"/>
        <v>0</v>
      </c>
      <c r="AK53" s="2949"/>
      <c r="AL53" s="2949"/>
      <c r="AM53" s="2949">
        <f t="shared" si="194"/>
        <v>0</v>
      </c>
      <c r="AN53" s="2949"/>
      <c r="AO53" s="2949"/>
      <c r="AP53" s="2949">
        <f t="shared" si="194"/>
        <v>0</v>
      </c>
      <c r="AQ53" s="2949"/>
      <c r="AR53" s="2949"/>
      <c r="AS53" s="2949">
        <f t="shared" si="194"/>
        <v>0</v>
      </c>
      <c r="AT53" s="2949"/>
      <c r="AU53" s="2949"/>
      <c r="AV53" s="2949">
        <f t="shared" si="194"/>
        <v>0</v>
      </c>
      <c r="AW53" s="2949"/>
      <c r="AX53" s="2949"/>
      <c r="AY53" s="2949">
        <f t="shared" si="194"/>
        <v>0</v>
      </c>
      <c r="AZ53" s="2949"/>
      <c r="BA53" s="2949"/>
      <c r="BB53" s="2949">
        <f t="shared" si="194"/>
        <v>0</v>
      </c>
      <c r="BC53" s="2949"/>
      <c r="BD53" s="2949"/>
      <c r="BE53" s="2949">
        <f t="shared" si="194"/>
        <v>0</v>
      </c>
      <c r="BF53" s="2949"/>
      <c r="BG53" s="2949"/>
      <c r="BH53" s="2949">
        <f t="shared" si="194"/>
        <v>0</v>
      </c>
      <c r="BI53" s="2949"/>
      <c r="BJ53" s="2949"/>
      <c r="BK53" s="2949">
        <f t="shared" si="194"/>
        <v>0</v>
      </c>
      <c r="BL53" s="2949"/>
      <c r="BM53" s="2949"/>
      <c r="BN53" s="2949">
        <f t="shared" si="194"/>
        <v>0</v>
      </c>
      <c r="BO53" s="2949"/>
      <c r="BP53" s="2949"/>
      <c r="BQ53" s="2949">
        <f t="shared" si="194"/>
        <v>0</v>
      </c>
      <c r="BR53" s="2949"/>
      <c r="BS53" s="2949"/>
      <c r="BT53" s="2949">
        <f t="shared" si="194"/>
        <v>0</v>
      </c>
      <c r="BU53" s="2949"/>
      <c r="BV53" s="2949"/>
      <c r="BW53" s="2949">
        <f t="shared" si="194"/>
        <v>0</v>
      </c>
      <c r="BX53" s="2949"/>
      <c r="BY53" s="2949"/>
      <c r="BZ53" s="2949">
        <f t="shared" si="194"/>
        <v>0</v>
      </c>
      <c r="CA53" s="2949"/>
      <c r="CB53" s="2949"/>
      <c r="CC53" s="2949">
        <f t="shared" si="194"/>
        <v>0</v>
      </c>
      <c r="CD53" s="2949"/>
      <c r="CE53" s="2949"/>
      <c r="CF53" s="2949">
        <f t="shared" si="194"/>
        <v>0</v>
      </c>
      <c r="CG53" s="2949"/>
      <c r="CH53" s="2949"/>
      <c r="CI53" s="2949">
        <f t="shared" si="194"/>
        <v>0</v>
      </c>
      <c r="CJ53" s="2949"/>
      <c r="CK53" s="2949"/>
      <c r="CL53" s="2949">
        <f t="shared" si="194"/>
        <v>0</v>
      </c>
      <c r="CM53" s="2949"/>
      <c r="CN53" s="2949"/>
      <c r="CO53" s="2949">
        <f t="shared" ref="CO53:DY53" si="195">$L$53</f>
        <v>0</v>
      </c>
      <c r="CP53" s="2949"/>
      <c r="CQ53" s="2949"/>
      <c r="CR53" s="2949">
        <f t="shared" si="195"/>
        <v>0</v>
      </c>
      <c r="CS53" s="2949"/>
      <c r="CT53" s="2949"/>
      <c r="CU53" s="2949">
        <f t="shared" si="195"/>
        <v>0</v>
      </c>
      <c r="CV53" s="2949"/>
      <c r="CW53" s="2949"/>
      <c r="CX53" s="2949">
        <f t="shared" si="195"/>
        <v>0</v>
      </c>
      <c r="CY53" s="2949"/>
      <c r="CZ53" s="2949"/>
      <c r="DA53" s="2949">
        <f t="shared" si="195"/>
        <v>0</v>
      </c>
      <c r="DB53" s="2949"/>
      <c r="DC53" s="2949"/>
      <c r="DD53" s="2949">
        <f t="shared" si="195"/>
        <v>0</v>
      </c>
      <c r="DE53" s="2949"/>
      <c r="DF53" s="2949"/>
      <c r="DG53" s="2949">
        <f t="shared" si="195"/>
        <v>0</v>
      </c>
      <c r="DH53" s="2949"/>
      <c r="DI53" s="2949"/>
      <c r="DJ53" s="2949">
        <f t="shared" si="195"/>
        <v>0</v>
      </c>
      <c r="DK53" s="2949"/>
      <c r="DL53" s="2949"/>
      <c r="DM53" s="2949">
        <f t="shared" si="195"/>
        <v>0</v>
      </c>
      <c r="DN53" s="2949"/>
      <c r="DO53" s="2949"/>
      <c r="DP53" s="2949">
        <f t="shared" si="195"/>
        <v>0</v>
      </c>
      <c r="DQ53" s="2949"/>
      <c r="DR53" s="2949"/>
      <c r="DS53" s="2949">
        <f t="shared" si="195"/>
        <v>0</v>
      </c>
      <c r="DT53" s="2949"/>
      <c r="DU53" s="2949"/>
      <c r="DV53" s="2949">
        <f t="shared" si="195"/>
        <v>0</v>
      </c>
      <c r="DW53" s="2949"/>
      <c r="DX53" s="2949"/>
      <c r="DY53" s="2949">
        <f t="shared" si="195"/>
        <v>0</v>
      </c>
      <c r="DZ53" s="2949"/>
      <c r="EA53" s="2950"/>
    </row>
    <row r="54" spans="2:132" ht="18" customHeight="1">
      <c r="B54" s="3114" t="str">
        <f>'Operating Budget'!$D$135</f>
        <v>Other HCD .42% (Specify)</v>
      </c>
      <c r="C54" s="3115"/>
      <c r="D54" s="3115"/>
      <c r="E54" s="3115"/>
      <c r="F54" s="3115"/>
      <c r="G54" s="3115"/>
      <c r="H54" s="3115"/>
      <c r="I54" s="3115"/>
      <c r="J54" s="3115"/>
      <c r="K54" s="3116"/>
      <c r="L54" s="2962">
        <f>'Operating Budget'!$E$135+'Operating Budget'!$F$135</f>
        <v>0</v>
      </c>
      <c r="M54" s="2963"/>
      <c r="N54" s="2963"/>
      <c r="O54" s="2949">
        <f>$L$54</f>
        <v>0</v>
      </c>
      <c r="P54" s="2949"/>
      <c r="Q54" s="2949"/>
      <c r="R54" s="2949">
        <f t="shared" ref="R54" si="196">$L$54</f>
        <v>0</v>
      </c>
      <c r="S54" s="2949"/>
      <c r="T54" s="2949"/>
      <c r="U54" s="2949">
        <f t="shared" ref="U54" si="197">$L$54</f>
        <v>0</v>
      </c>
      <c r="V54" s="2949"/>
      <c r="W54" s="2949"/>
      <c r="X54" s="2949">
        <f t="shared" ref="X54" si="198">$L$54</f>
        <v>0</v>
      </c>
      <c r="Y54" s="2949"/>
      <c r="Z54" s="2949"/>
      <c r="AA54" s="2949">
        <f t="shared" ref="AA54" si="199">$L$54</f>
        <v>0</v>
      </c>
      <c r="AB54" s="2949"/>
      <c r="AC54" s="2949"/>
      <c r="AD54" s="2949">
        <f t="shared" ref="AD54" si="200">$L$54</f>
        <v>0</v>
      </c>
      <c r="AE54" s="2949"/>
      <c r="AF54" s="2949"/>
      <c r="AG54" s="2949">
        <f t="shared" ref="AG54" si="201">$L$54</f>
        <v>0</v>
      </c>
      <c r="AH54" s="2949"/>
      <c r="AI54" s="2949"/>
      <c r="AJ54" s="2949">
        <f t="shared" ref="AJ54" si="202">$L$54</f>
        <v>0</v>
      </c>
      <c r="AK54" s="2949"/>
      <c r="AL54" s="2949"/>
      <c r="AM54" s="2949">
        <f t="shared" ref="AM54" si="203">$L$54</f>
        <v>0</v>
      </c>
      <c r="AN54" s="2949"/>
      <c r="AO54" s="2949"/>
      <c r="AP54" s="2949">
        <f t="shared" ref="AP54" si="204">$L$54</f>
        <v>0</v>
      </c>
      <c r="AQ54" s="2949"/>
      <c r="AR54" s="2949"/>
      <c r="AS54" s="2949">
        <f t="shared" ref="AS54" si="205">$L$54</f>
        <v>0</v>
      </c>
      <c r="AT54" s="2949"/>
      <c r="AU54" s="2949"/>
      <c r="AV54" s="2949">
        <f t="shared" ref="AV54" si="206">$L$54</f>
        <v>0</v>
      </c>
      <c r="AW54" s="2949"/>
      <c r="AX54" s="2949"/>
      <c r="AY54" s="2949">
        <f t="shared" ref="AY54" si="207">$L$54</f>
        <v>0</v>
      </c>
      <c r="AZ54" s="2949"/>
      <c r="BA54" s="2949"/>
      <c r="BB54" s="2949">
        <f t="shared" ref="BB54" si="208">$L$54</f>
        <v>0</v>
      </c>
      <c r="BC54" s="2949"/>
      <c r="BD54" s="2949"/>
      <c r="BE54" s="2949">
        <f t="shared" ref="BE54" si="209">$L$54</f>
        <v>0</v>
      </c>
      <c r="BF54" s="2949"/>
      <c r="BG54" s="2949"/>
      <c r="BH54" s="2949">
        <f t="shared" ref="BH54" si="210">$L$54</f>
        <v>0</v>
      </c>
      <c r="BI54" s="2949"/>
      <c r="BJ54" s="2949"/>
      <c r="BK54" s="2949">
        <f t="shared" ref="BK54" si="211">$L$54</f>
        <v>0</v>
      </c>
      <c r="BL54" s="2949"/>
      <c r="BM54" s="2949"/>
      <c r="BN54" s="2949">
        <f t="shared" ref="BN54" si="212">$L$54</f>
        <v>0</v>
      </c>
      <c r="BO54" s="2949"/>
      <c r="BP54" s="2949"/>
      <c r="BQ54" s="2949">
        <f t="shared" ref="BQ54" si="213">$L$54</f>
        <v>0</v>
      </c>
      <c r="BR54" s="2949"/>
      <c r="BS54" s="2949"/>
      <c r="BT54" s="2949">
        <f t="shared" ref="BT54" si="214">$L$54</f>
        <v>0</v>
      </c>
      <c r="BU54" s="2949"/>
      <c r="BV54" s="2949"/>
      <c r="BW54" s="2949">
        <f t="shared" ref="BW54" si="215">$L$54</f>
        <v>0</v>
      </c>
      <c r="BX54" s="2949"/>
      <c r="BY54" s="2949"/>
      <c r="BZ54" s="2949">
        <f t="shared" ref="BZ54" si="216">$L$54</f>
        <v>0</v>
      </c>
      <c r="CA54" s="2949"/>
      <c r="CB54" s="2949"/>
      <c r="CC54" s="2949">
        <f t="shared" ref="CC54" si="217">$L$54</f>
        <v>0</v>
      </c>
      <c r="CD54" s="2949"/>
      <c r="CE54" s="2949"/>
      <c r="CF54" s="2949">
        <f t="shared" ref="CF54" si="218">$L$54</f>
        <v>0</v>
      </c>
      <c r="CG54" s="2949"/>
      <c r="CH54" s="2949"/>
      <c r="CI54" s="2949">
        <f t="shared" ref="CI54" si="219">$L$54</f>
        <v>0</v>
      </c>
      <c r="CJ54" s="2949"/>
      <c r="CK54" s="2949"/>
      <c r="CL54" s="2949">
        <f t="shared" ref="CL54" si="220">$L$54</f>
        <v>0</v>
      </c>
      <c r="CM54" s="2949"/>
      <c r="CN54" s="2949"/>
      <c r="CO54" s="2949">
        <f t="shared" ref="CO54" si="221">$L$54</f>
        <v>0</v>
      </c>
      <c r="CP54" s="2949"/>
      <c r="CQ54" s="2949"/>
      <c r="CR54" s="2949">
        <f t="shared" ref="CR54" si="222">$L$54</f>
        <v>0</v>
      </c>
      <c r="CS54" s="2949"/>
      <c r="CT54" s="2949"/>
      <c r="CU54" s="2949">
        <f t="shared" ref="CU54" si="223">$L$54</f>
        <v>0</v>
      </c>
      <c r="CV54" s="2949"/>
      <c r="CW54" s="2949"/>
      <c r="CX54" s="2949">
        <f t="shared" ref="CX54" si="224">$L$54</f>
        <v>0</v>
      </c>
      <c r="CY54" s="2949"/>
      <c r="CZ54" s="2949"/>
      <c r="DA54" s="2949">
        <f t="shared" ref="DA54" si="225">$L$54</f>
        <v>0</v>
      </c>
      <c r="DB54" s="2949"/>
      <c r="DC54" s="2949"/>
      <c r="DD54" s="2949">
        <f t="shared" ref="DD54" si="226">$L$54</f>
        <v>0</v>
      </c>
      <c r="DE54" s="2949"/>
      <c r="DF54" s="2949"/>
      <c r="DG54" s="2949">
        <f t="shared" ref="DG54" si="227">$L$54</f>
        <v>0</v>
      </c>
      <c r="DH54" s="2949"/>
      <c r="DI54" s="2949"/>
      <c r="DJ54" s="2949">
        <f t="shared" ref="DJ54" si="228">$L$54</f>
        <v>0</v>
      </c>
      <c r="DK54" s="2949"/>
      <c r="DL54" s="2949"/>
      <c r="DM54" s="2949">
        <f t="shared" ref="DM54" si="229">$L$54</f>
        <v>0</v>
      </c>
      <c r="DN54" s="2949"/>
      <c r="DO54" s="2949"/>
      <c r="DP54" s="2949">
        <f t="shared" ref="DP54" si="230">$L$54</f>
        <v>0</v>
      </c>
      <c r="DQ54" s="2949"/>
      <c r="DR54" s="2949"/>
      <c r="DS54" s="2949">
        <f t="shared" ref="DS54" si="231">$L$54</f>
        <v>0</v>
      </c>
      <c r="DT54" s="2949"/>
      <c r="DU54" s="2949"/>
      <c r="DV54" s="2949">
        <f t="shared" ref="DV54" si="232">$L$54</f>
        <v>0</v>
      </c>
      <c r="DW54" s="2949"/>
      <c r="DX54" s="2949"/>
      <c r="DY54" s="2949">
        <f t="shared" ref="DY54" si="233">$L$54</f>
        <v>0</v>
      </c>
      <c r="DZ54" s="2949"/>
      <c r="EA54" s="2950"/>
    </row>
    <row r="55" spans="2:132" ht="18" customHeight="1">
      <c r="B55" s="3114" t="str">
        <f>'Operating Budget'!$D$136</f>
        <v>Bond Issuer Fee</v>
      </c>
      <c r="C55" s="3115"/>
      <c r="D55" s="3115"/>
      <c r="E55" s="3115"/>
      <c r="F55" s="3115"/>
      <c r="G55" s="3115"/>
      <c r="H55" s="3115"/>
      <c r="I55" s="3115"/>
      <c r="J55" s="3115"/>
      <c r="K55" s="3116"/>
      <c r="L55" s="2962">
        <f>'Operating Budget'!$E$136+'Operating Budget'!$F$136</f>
        <v>0</v>
      </c>
      <c r="M55" s="2963"/>
      <c r="N55" s="2963"/>
      <c r="O55" s="2949">
        <f>$L$55</f>
        <v>0</v>
      </c>
      <c r="P55" s="2949"/>
      <c r="Q55" s="2949"/>
      <c r="R55" s="2949">
        <f t="shared" ref="R55" si="234">$L$55</f>
        <v>0</v>
      </c>
      <c r="S55" s="2949"/>
      <c r="T55" s="2949"/>
      <c r="U55" s="2949">
        <f t="shared" ref="U55" si="235">$L$55</f>
        <v>0</v>
      </c>
      <c r="V55" s="2949"/>
      <c r="W55" s="2949"/>
      <c r="X55" s="2949">
        <f t="shared" ref="X55" si="236">$L$55</f>
        <v>0</v>
      </c>
      <c r="Y55" s="2949"/>
      <c r="Z55" s="2949"/>
      <c r="AA55" s="2949">
        <f t="shared" ref="AA55" si="237">$L$55</f>
        <v>0</v>
      </c>
      <c r="AB55" s="2949"/>
      <c r="AC55" s="2949"/>
      <c r="AD55" s="2949">
        <f t="shared" ref="AD55" si="238">$L$55</f>
        <v>0</v>
      </c>
      <c r="AE55" s="2949"/>
      <c r="AF55" s="2949"/>
      <c r="AG55" s="2949">
        <f t="shared" ref="AG55" si="239">$L$55</f>
        <v>0</v>
      </c>
      <c r="AH55" s="2949"/>
      <c r="AI55" s="2949"/>
      <c r="AJ55" s="2949">
        <f t="shared" ref="AJ55" si="240">$L$55</f>
        <v>0</v>
      </c>
      <c r="AK55" s="2949"/>
      <c r="AL55" s="2949"/>
      <c r="AM55" s="2949">
        <f>$L$55</f>
        <v>0</v>
      </c>
      <c r="AN55" s="2949"/>
      <c r="AO55" s="2949"/>
      <c r="AP55" s="2949">
        <f t="shared" ref="AP55" si="241">$L$55</f>
        <v>0</v>
      </c>
      <c r="AQ55" s="2949"/>
      <c r="AR55" s="2949"/>
      <c r="AS55" s="2949">
        <f t="shared" ref="AS55" si="242">$L$55</f>
        <v>0</v>
      </c>
      <c r="AT55" s="2949"/>
      <c r="AU55" s="2949"/>
      <c r="AV55" s="2949">
        <f t="shared" ref="AV55" si="243">$L$55</f>
        <v>0</v>
      </c>
      <c r="AW55" s="2949"/>
      <c r="AX55" s="2949"/>
      <c r="AY55" s="2949">
        <f t="shared" ref="AY55" si="244">$L$55</f>
        <v>0</v>
      </c>
      <c r="AZ55" s="2949"/>
      <c r="BA55" s="2949"/>
      <c r="BB55" s="2949">
        <f t="shared" ref="BB55" si="245">$L$55</f>
        <v>0</v>
      </c>
      <c r="BC55" s="2949"/>
      <c r="BD55" s="2949"/>
      <c r="BE55" s="2949">
        <f t="shared" ref="BE55" si="246">$L$55</f>
        <v>0</v>
      </c>
      <c r="BF55" s="2949"/>
      <c r="BG55" s="2949"/>
      <c r="BH55" s="2949">
        <f t="shared" ref="BH55" si="247">$L$55</f>
        <v>0</v>
      </c>
      <c r="BI55" s="2949"/>
      <c r="BJ55" s="2949"/>
      <c r="BK55" s="2949">
        <f t="shared" ref="BK55" si="248">$L$55</f>
        <v>0</v>
      </c>
      <c r="BL55" s="2949"/>
      <c r="BM55" s="2949"/>
      <c r="BN55" s="2949">
        <f t="shared" ref="BN55" si="249">$L$55</f>
        <v>0</v>
      </c>
      <c r="BO55" s="2949"/>
      <c r="BP55" s="2949"/>
      <c r="BQ55" s="2949">
        <f t="shared" ref="BQ55" si="250">$L$55</f>
        <v>0</v>
      </c>
      <c r="BR55" s="2949"/>
      <c r="BS55" s="2949"/>
      <c r="BT55" s="2949">
        <f t="shared" ref="BT55" si="251">$L$55</f>
        <v>0</v>
      </c>
      <c r="BU55" s="2949"/>
      <c r="BV55" s="2949"/>
      <c r="BW55" s="2949">
        <f t="shared" ref="BW55" si="252">$L$55</f>
        <v>0</v>
      </c>
      <c r="BX55" s="2949"/>
      <c r="BY55" s="2949"/>
      <c r="BZ55" s="2949">
        <f t="shared" ref="BZ55" si="253">$L$55</f>
        <v>0</v>
      </c>
      <c r="CA55" s="2949"/>
      <c r="CB55" s="2949"/>
      <c r="CC55" s="2949">
        <f t="shared" ref="CC55" si="254">$L$55</f>
        <v>0</v>
      </c>
      <c r="CD55" s="2949"/>
      <c r="CE55" s="2949"/>
      <c r="CF55" s="2949">
        <f t="shared" ref="CF55" si="255">$L$55</f>
        <v>0</v>
      </c>
      <c r="CG55" s="2949"/>
      <c r="CH55" s="2949"/>
      <c r="CI55" s="2949">
        <f t="shared" ref="CI55" si="256">$L$55</f>
        <v>0</v>
      </c>
      <c r="CJ55" s="2949"/>
      <c r="CK55" s="2949"/>
      <c r="CL55" s="2949">
        <f t="shared" ref="CL55" si="257">$L$55</f>
        <v>0</v>
      </c>
      <c r="CM55" s="2949"/>
      <c r="CN55" s="2949"/>
      <c r="CO55" s="2949">
        <f t="shared" ref="CO55" si="258">$L$55</f>
        <v>0</v>
      </c>
      <c r="CP55" s="2949"/>
      <c r="CQ55" s="2949"/>
      <c r="CR55" s="2949">
        <f t="shared" ref="CR55" si="259">$L$55</f>
        <v>0</v>
      </c>
      <c r="CS55" s="2949"/>
      <c r="CT55" s="2949"/>
      <c r="CU55" s="2949">
        <f t="shared" ref="CU55" si="260">$L$55</f>
        <v>0</v>
      </c>
      <c r="CV55" s="2949"/>
      <c r="CW55" s="2949"/>
      <c r="CX55" s="2949">
        <f t="shared" ref="CX55" si="261">$L$55</f>
        <v>0</v>
      </c>
      <c r="CY55" s="2949"/>
      <c r="CZ55" s="2949"/>
      <c r="DA55" s="2949">
        <f t="shared" ref="DA55" si="262">$L$55</f>
        <v>0</v>
      </c>
      <c r="DB55" s="2949"/>
      <c r="DC55" s="2949"/>
      <c r="DD55" s="2949">
        <f t="shared" ref="DD55" si="263">$L$55</f>
        <v>0</v>
      </c>
      <c r="DE55" s="2949"/>
      <c r="DF55" s="2949"/>
      <c r="DG55" s="2949">
        <f t="shared" ref="DG55" si="264">$L$55</f>
        <v>0</v>
      </c>
      <c r="DH55" s="2949"/>
      <c r="DI55" s="2949"/>
      <c r="DJ55" s="2949">
        <f t="shared" ref="DJ55" si="265">$L$55</f>
        <v>0</v>
      </c>
      <c r="DK55" s="2949"/>
      <c r="DL55" s="2949"/>
      <c r="DM55" s="2949">
        <f t="shared" ref="DM55" si="266">$L$55</f>
        <v>0</v>
      </c>
      <c r="DN55" s="2949"/>
      <c r="DO55" s="2949"/>
      <c r="DP55" s="2949">
        <f t="shared" ref="DP55" si="267">$L$55</f>
        <v>0</v>
      </c>
      <c r="DQ55" s="2949"/>
      <c r="DR55" s="2949"/>
      <c r="DS55" s="2949">
        <f t="shared" ref="DS55" si="268">$L$55</f>
        <v>0</v>
      </c>
      <c r="DT55" s="2949"/>
      <c r="DU55" s="2949"/>
      <c r="DV55" s="2949">
        <f t="shared" ref="DV55" si="269">$L$55</f>
        <v>0</v>
      </c>
      <c r="DW55" s="2949"/>
      <c r="DX55" s="2949"/>
      <c r="DY55" s="2949">
        <f t="shared" ref="DY55" si="270">$L$55</f>
        <v>0</v>
      </c>
      <c r="DZ55" s="2949"/>
      <c r="EA55" s="2950"/>
    </row>
    <row r="56" spans="2:132" ht="18" customHeight="1">
      <c r="B56" s="3117" t="str">
        <f>'Operating Budget'!$D$137</f>
        <v>Miscellaneous Financial Expenses (Specify)</v>
      </c>
      <c r="C56" s="3118"/>
      <c r="D56" s="3118"/>
      <c r="E56" s="3118"/>
      <c r="F56" s="3118"/>
      <c r="G56" s="3118"/>
      <c r="H56" s="3118"/>
      <c r="I56" s="3118"/>
      <c r="J56" s="3118"/>
      <c r="K56" s="3119"/>
      <c r="L56" s="2962">
        <f>'Operating Budget'!$E$137+'Operating Budget'!$F$137</f>
        <v>0</v>
      </c>
      <c r="M56" s="2963"/>
      <c r="N56" s="2963"/>
      <c r="O56" s="3038">
        <f>$L$56</f>
        <v>0</v>
      </c>
      <c r="P56" s="3038"/>
      <c r="Q56" s="3038"/>
      <c r="R56" s="3038">
        <f t="shared" ref="R56" si="271">$L$56</f>
        <v>0</v>
      </c>
      <c r="S56" s="3038"/>
      <c r="T56" s="3038"/>
      <c r="U56" s="3038">
        <f t="shared" ref="U56" si="272">$L$56</f>
        <v>0</v>
      </c>
      <c r="V56" s="3038"/>
      <c r="W56" s="3038"/>
      <c r="X56" s="3038">
        <f t="shared" ref="X56" si="273">$L$56</f>
        <v>0</v>
      </c>
      <c r="Y56" s="3038"/>
      <c r="Z56" s="3038"/>
      <c r="AA56" s="3038">
        <f t="shared" ref="AA56" si="274">$L$56</f>
        <v>0</v>
      </c>
      <c r="AB56" s="3038"/>
      <c r="AC56" s="3038"/>
      <c r="AD56" s="3038">
        <f t="shared" ref="AD56" si="275">$L$56</f>
        <v>0</v>
      </c>
      <c r="AE56" s="3038"/>
      <c r="AF56" s="3038"/>
      <c r="AG56" s="3038">
        <f t="shared" ref="AG56" si="276">$L$56</f>
        <v>0</v>
      </c>
      <c r="AH56" s="3038"/>
      <c r="AI56" s="3038"/>
      <c r="AJ56" s="3038">
        <f t="shared" ref="AJ56" si="277">$L$56</f>
        <v>0</v>
      </c>
      <c r="AK56" s="3038"/>
      <c r="AL56" s="3038"/>
      <c r="AM56" s="3038">
        <f t="shared" ref="AM56" si="278">$L$56</f>
        <v>0</v>
      </c>
      <c r="AN56" s="3038"/>
      <c r="AO56" s="3038"/>
      <c r="AP56" s="3038">
        <f t="shared" ref="AP56" si="279">$L$56</f>
        <v>0</v>
      </c>
      <c r="AQ56" s="3038"/>
      <c r="AR56" s="3038"/>
      <c r="AS56" s="3038">
        <f t="shared" ref="AS56" si="280">$L$56</f>
        <v>0</v>
      </c>
      <c r="AT56" s="3038"/>
      <c r="AU56" s="3038"/>
      <c r="AV56" s="3038">
        <f t="shared" ref="AV56" si="281">$L$56</f>
        <v>0</v>
      </c>
      <c r="AW56" s="3038"/>
      <c r="AX56" s="3038"/>
      <c r="AY56" s="3038">
        <f t="shared" ref="AY56" si="282">$L$56</f>
        <v>0</v>
      </c>
      <c r="AZ56" s="3038"/>
      <c r="BA56" s="3038"/>
      <c r="BB56" s="3038">
        <f t="shared" ref="BB56" si="283">$L$56</f>
        <v>0</v>
      </c>
      <c r="BC56" s="3038"/>
      <c r="BD56" s="3038"/>
      <c r="BE56" s="3038">
        <f t="shared" ref="BE56" si="284">$L$56</f>
        <v>0</v>
      </c>
      <c r="BF56" s="3038"/>
      <c r="BG56" s="3038"/>
      <c r="BH56" s="3038">
        <f t="shared" ref="BH56" si="285">$L$56</f>
        <v>0</v>
      </c>
      <c r="BI56" s="3038"/>
      <c r="BJ56" s="3038"/>
      <c r="BK56" s="3038">
        <f t="shared" ref="BK56" si="286">$L$56</f>
        <v>0</v>
      </c>
      <c r="BL56" s="3038"/>
      <c r="BM56" s="3038"/>
      <c r="BN56" s="3038">
        <f t="shared" ref="BN56" si="287">$L$56</f>
        <v>0</v>
      </c>
      <c r="BO56" s="3038"/>
      <c r="BP56" s="3038"/>
      <c r="BQ56" s="3038">
        <f t="shared" ref="BQ56" si="288">$L$56</f>
        <v>0</v>
      </c>
      <c r="BR56" s="3038"/>
      <c r="BS56" s="3038"/>
      <c r="BT56" s="3038">
        <f t="shared" ref="BT56" si="289">$L$56</f>
        <v>0</v>
      </c>
      <c r="BU56" s="3038"/>
      <c r="BV56" s="3038"/>
      <c r="BW56" s="3038">
        <f t="shared" ref="BW56" si="290">$L$56</f>
        <v>0</v>
      </c>
      <c r="BX56" s="3038"/>
      <c r="BY56" s="3038"/>
      <c r="BZ56" s="3038">
        <f t="shared" ref="BZ56" si="291">$L$56</f>
        <v>0</v>
      </c>
      <c r="CA56" s="3038"/>
      <c r="CB56" s="3038"/>
      <c r="CC56" s="3038">
        <f t="shared" ref="CC56" si="292">$L$56</f>
        <v>0</v>
      </c>
      <c r="CD56" s="3038"/>
      <c r="CE56" s="3038"/>
      <c r="CF56" s="3038">
        <f t="shared" ref="CF56" si="293">$L$56</f>
        <v>0</v>
      </c>
      <c r="CG56" s="3038"/>
      <c r="CH56" s="3038"/>
      <c r="CI56" s="3038">
        <f t="shared" ref="CI56" si="294">$L$56</f>
        <v>0</v>
      </c>
      <c r="CJ56" s="3038"/>
      <c r="CK56" s="3038"/>
      <c r="CL56" s="3038">
        <f t="shared" ref="CL56" si="295">$L$56</f>
        <v>0</v>
      </c>
      <c r="CM56" s="3038"/>
      <c r="CN56" s="3038"/>
      <c r="CO56" s="3038">
        <f t="shared" ref="CO56" si="296">$L$56</f>
        <v>0</v>
      </c>
      <c r="CP56" s="3038"/>
      <c r="CQ56" s="3038"/>
      <c r="CR56" s="3038">
        <f t="shared" ref="CR56" si="297">$L$56</f>
        <v>0</v>
      </c>
      <c r="CS56" s="3038"/>
      <c r="CT56" s="3038"/>
      <c r="CU56" s="3038">
        <f t="shared" ref="CU56" si="298">$L$56</f>
        <v>0</v>
      </c>
      <c r="CV56" s="3038"/>
      <c r="CW56" s="3038"/>
      <c r="CX56" s="3038">
        <f t="shared" ref="CX56" si="299">$L$56</f>
        <v>0</v>
      </c>
      <c r="CY56" s="3038"/>
      <c r="CZ56" s="3038"/>
      <c r="DA56" s="3038">
        <f t="shared" ref="DA56" si="300">$L$56</f>
        <v>0</v>
      </c>
      <c r="DB56" s="3038"/>
      <c r="DC56" s="3038"/>
      <c r="DD56" s="3038">
        <f t="shared" ref="DD56" si="301">$L$56</f>
        <v>0</v>
      </c>
      <c r="DE56" s="3038"/>
      <c r="DF56" s="3038"/>
      <c r="DG56" s="3038">
        <f t="shared" ref="DG56" si="302">$L$56</f>
        <v>0</v>
      </c>
      <c r="DH56" s="3038"/>
      <c r="DI56" s="3038"/>
      <c r="DJ56" s="3038">
        <f t="shared" ref="DJ56" si="303">$L$56</f>
        <v>0</v>
      </c>
      <c r="DK56" s="3038"/>
      <c r="DL56" s="3038"/>
      <c r="DM56" s="3038">
        <f t="shared" ref="DM56" si="304">$L$56</f>
        <v>0</v>
      </c>
      <c r="DN56" s="3038"/>
      <c r="DO56" s="3038"/>
      <c r="DP56" s="3038">
        <f t="shared" ref="DP56" si="305">$L$56</f>
        <v>0</v>
      </c>
      <c r="DQ56" s="3038"/>
      <c r="DR56" s="3038"/>
      <c r="DS56" s="3038">
        <f t="shared" ref="DS56" si="306">$L$56</f>
        <v>0</v>
      </c>
      <c r="DT56" s="3038"/>
      <c r="DU56" s="3038"/>
      <c r="DV56" s="3038">
        <f t="shared" ref="DV56" si="307">$L$56</f>
        <v>0</v>
      </c>
      <c r="DW56" s="3038"/>
      <c r="DX56" s="3038"/>
      <c r="DY56" s="3038">
        <f t="shared" ref="DY56" si="308">$L$56</f>
        <v>0</v>
      </c>
      <c r="DZ56" s="3038"/>
      <c r="EA56" s="3047"/>
    </row>
    <row r="57" spans="2:132" s="55" customFormat="1" ht="18" customHeight="1" thickBot="1">
      <c r="B57" s="3075" t="s">
        <v>3803</v>
      </c>
      <c r="C57" s="3076"/>
      <c r="D57" s="3076"/>
      <c r="E57" s="3076"/>
      <c r="F57" s="3076"/>
      <c r="G57" s="3076"/>
      <c r="H57" s="3076"/>
      <c r="I57" s="3076"/>
      <c r="J57" s="3076"/>
      <c r="K57" s="3077"/>
      <c r="L57" s="3070">
        <f>SUM(L43:N56)-L44</f>
        <v>0</v>
      </c>
      <c r="M57" s="2957"/>
      <c r="N57" s="2957"/>
      <c r="O57" s="2957">
        <f>SUM(O43:Q56)-O44</f>
        <v>0</v>
      </c>
      <c r="P57" s="2957"/>
      <c r="Q57" s="2957"/>
      <c r="R57" s="2957">
        <f t="shared" ref="R57" si="309">SUM(R43:T56)-R44</f>
        <v>0</v>
      </c>
      <c r="S57" s="2957"/>
      <c r="T57" s="2957"/>
      <c r="U57" s="2957">
        <f t="shared" ref="U57" si="310">SUM(U43:W56)-U44</f>
        <v>0</v>
      </c>
      <c r="V57" s="2957"/>
      <c r="W57" s="2957"/>
      <c r="X57" s="2957">
        <f t="shared" ref="X57" si="311">SUM(X43:Z56)-X44</f>
        <v>0</v>
      </c>
      <c r="Y57" s="2957"/>
      <c r="Z57" s="2957"/>
      <c r="AA57" s="2957">
        <f t="shared" ref="AA57" si="312">SUM(AA43:AC56)-AA44</f>
        <v>0</v>
      </c>
      <c r="AB57" s="2957"/>
      <c r="AC57" s="2957"/>
      <c r="AD57" s="2957">
        <f t="shared" ref="AD57" si="313">SUM(AD43:AF56)-AD44</f>
        <v>0</v>
      </c>
      <c r="AE57" s="2957"/>
      <c r="AF57" s="2957"/>
      <c r="AG57" s="2957">
        <f t="shared" ref="AG57" si="314">SUM(AG43:AI56)-AG44</f>
        <v>0</v>
      </c>
      <c r="AH57" s="2957"/>
      <c r="AI57" s="2957"/>
      <c r="AJ57" s="2957">
        <f t="shared" ref="AJ57" si="315">SUM(AJ43:AL56)-AJ44</f>
        <v>0</v>
      </c>
      <c r="AK57" s="2957"/>
      <c r="AL57" s="2957"/>
      <c r="AM57" s="2957">
        <f t="shared" ref="AM57" si="316">SUM(AM43:AO56)-AM44</f>
        <v>0</v>
      </c>
      <c r="AN57" s="2957"/>
      <c r="AO57" s="2957"/>
      <c r="AP57" s="2957">
        <f t="shared" ref="AP57" si="317">SUM(AP43:AR56)-AP44</f>
        <v>0</v>
      </c>
      <c r="AQ57" s="2957"/>
      <c r="AR57" s="2957"/>
      <c r="AS57" s="2957">
        <f t="shared" ref="AS57" si="318">SUM(AS43:AU56)-AS44</f>
        <v>0</v>
      </c>
      <c r="AT57" s="2957"/>
      <c r="AU57" s="2957"/>
      <c r="AV57" s="2957">
        <f t="shared" ref="AV57" si="319">SUM(AV43:AX56)-AV44</f>
        <v>0</v>
      </c>
      <c r="AW57" s="2957"/>
      <c r="AX57" s="2957"/>
      <c r="AY57" s="2957">
        <f t="shared" ref="AY57" si="320">SUM(AY43:BA56)-AY44</f>
        <v>0</v>
      </c>
      <c r="AZ57" s="2957"/>
      <c r="BA57" s="2957"/>
      <c r="BB57" s="2957">
        <f t="shared" ref="BB57" si="321">SUM(BB43:BD56)-BB44</f>
        <v>0</v>
      </c>
      <c r="BC57" s="2957"/>
      <c r="BD57" s="2957"/>
      <c r="BE57" s="2957">
        <f t="shared" ref="BE57" si="322">SUM(BE43:BG56)-BE44</f>
        <v>0</v>
      </c>
      <c r="BF57" s="2957"/>
      <c r="BG57" s="2957"/>
      <c r="BH57" s="2957">
        <f t="shared" ref="BH57" si="323">SUM(BH43:BJ56)-BH44</f>
        <v>0</v>
      </c>
      <c r="BI57" s="2957"/>
      <c r="BJ57" s="2957"/>
      <c r="BK57" s="2957">
        <f t="shared" ref="BK57" si="324">SUM(BK43:BM56)-BK44</f>
        <v>0</v>
      </c>
      <c r="BL57" s="2957"/>
      <c r="BM57" s="2957"/>
      <c r="BN57" s="2957">
        <f t="shared" ref="BN57" si="325">SUM(BN43:BP56)-BN44</f>
        <v>0</v>
      </c>
      <c r="BO57" s="2957"/>
      <c r="BP57" s="2957"/>
      <c r="BQ57" s="2957">
        <f t="shared" ref="BQ57" si="326">SUM(BQ43:BS56)-BQ44</f>
        <v>0</v>
      </c>
      <c r="BR57" s="2957"/>
      <c r="BS57" s="2957"/>
      <c r="BT57" s="2957">
        <f t="shared" ref="BT57" si="327">SUM(BT43:BV56)-BT44</f>
        <v>0</v>
      </c>
      <c r="BU57" s="2957"/>
      <c r="BV57" s="2957"/>
      <c r="BW57" s="2957">
        <f t="shared" ref="BW57" si="328">SUM(BW43:BY56)-BW44</f>
        <v>0</v>
      </c>
      <c r="BX57" s="2957"/>
      <c r="BY57" s="2957"/>
      <c r="BZ57" s="2957">
        <f t="shared" ref="BZ57" si="329">SUM(BZ43:CB56)-BZ44</f>
        <v>0</v>
      </c>
      <c r="CA57" s="2957"/>
      <c r="CB57" s="2957"/>
      <c r="CC57" s="2957">
        <f t="shared" ref="CC57" si="330">SUM(CC43:CE56)-CC44</f>
        <v>0</v>
      </c>
      <c r="CD57" s="2957"/>
      <c r="CE57" s="2957"/>
      <c r="CF57" s="2957">
        <f t="shared" ref="CF57" si="331">SUM(CF43:CH56)-CF44</f>
        <v>0</v>
      </c>
      <c r="CG57" s="2957"/>
      <c r="CH57" s="2957"/>
      <c r="CI57" s="2957">
        <f t="shared" ref="CI57" si="332">SUM(CI43:CK56)-CI44</f>
        <v>0</v>
      </c>
      <c r="CJ57" s="2957"/>
      <c r="CK57" s="2957"/>
      <c r="CL57" s="2957">
        <f t="shared" ref="CL57" si="333">SUM(CL43:CN56)-CL44</f>
        <v>0</v>
      </c>
      <c r="CM57" s="2957"/>
      <c r="CN57" s="2957"/>
      <c r="CO57" s="2957">
        <f t="shared" ref="CO57" si="334">SUM(CO43:CQ56)-CO44</f>
        <v>0</v>
      </c>
      <c r="CP57" s="2957"/>
      <c r="CQ57" s="2957"/>
      <c r="CR57" s="2957">
        <f t="shared" ref="CR57" si="335">SUM(CR43:CT56)-CR44</f>
        <v>0</v>
      </c>
      <c r="CS57" s="2957"/>
      <c r="CT57" s="2957"/>
      <c r="CU57" s="2957">
        <f t="shared" ref="CU57" si="336">SUM(CU43:CW56)-CU44</f>
        <v>0</v>
      </c>
      <c r="CV57" s="2957"/>
      <c r="CW57" s="2957"/>
      <c r="CX57" s="2957">
        <f t="shared" ref="CX57" si="337">SUM(CX43:CZ56)-CX44</f>
        <v>0</v>
      </c>
      <c r="CY57" s="2957"/>
      <c r="CZ57" s="2957"/>
      <c r="DA57" s="2957">
        <f t="shared" ref="DA57" si="338">SUM(DA43:DC56)-DA44</f>
        <v>0</v>
      </c>
      <c r="DB57" s="2957"/>
      <c r="DC57" s="2957"/>
      <c r="DD57" s="2957">
        <f t="shared" ref="DD57" si="339">SUM(DD43:DF56)-DD44</f>
        <v>0</v>
      </c>
      <c r="DE57" s="2957"/>
      <c r="DF57" s="2957"/>
      <c r="DG57" s="2957">
        <f t="shared" ref="DG57" si="340">SUM(DG43:DI56)-DG44</f>
        <v>0</v>
      </c>
      <c r="DH57" s="2957"/>
      <c r="DI57" s="2957"/>
      <c r="DJ57" s="2957">
        <f t="shared" ref="DJ57" si="341">SUM(DJ43:DL56)-DJ44</f>
        <v>0</v>
      </c>
      <c r="DK57" s="2957"/>
      <c r="DL57" s="2957"/>
      <c r="DM57" s="2957">
        <f t="shared" ref="DM57" si="342">SUM(DM43:DO56)-DM44</f>
        <v>0</v>
      </c>
      <c r="DN57" s="2957"/>
      <c r="DO57" s="2957"/>
      <c r="DP57" s="2957">
        <f t="shared" ref="DP57" si="343">SUM(DP43:DR56)-DP44</f>
        <v>0</v>
      </c>
      <c r="DQ57" s="2957"/>
      <c r="DR57" s="2957"/>
      <c r="DS57" s="2957">
        <f t="shared" ref="DS57" si="344">SUM(DS43:DU56)-DS44</f>
        <v>0</v>
      </c>
      <c r="DT57" s="2957"/>
      <c r="DU57" s="2957"/>
      <c r="DV57" s="2957">
        <f t="shared" ref="DV57" si="345">SUM(DV43:DX56)-DV44</f>
        <v>0</v>
      </c>
      <c r="DW57" s="2957"/>
      <c r="DX57" s="2957"/>
      <c r="DY57" s="2957">
        <f t="shared" ref="DY57" si="346">SUM(DY43:EA56)-DY44</f>
        <v>0</v>
      </c>
      <c r="DZ57" s="2957"/>
      <c r="EA57" s="3074"/>
      <c r="EB57" s="165"/>
    </row>
    <row r="58" spans="2:132" ht="18" customHeight="1" thickTop="1">
      <c r="B58" s="92"/>
      <c r="C58" s="92"/>
      <c r="D58" s="93"/>
      <c r="E58" s="93"/>
      <c r="F58" s="93"/>
      <c r="G58" s="93"/>
      <c r="H58" s="93"/>
      <c r="I58" s="93"/>
      <c r="J58" s="93"/>
      <c r="K58" s="93"/>
      <c r="L58" s="61"/>
      <c r="M58" s="91"/>
      <c r="N58" s="91"/>
      <c r="O58" s="91"/>
      <c r="P58" s="91"/>
      <c r="Q58" s="91"/>
      <c r="R58" s="91"/>
      <c r="S58" s="91"/>
      <c r="T58" s="91"/>
      <c r="U58" s="91"/>
      <c r="V58" s="91"/>
      <c r="W58" s="91"/>
      <c r="X58" s="91"/>
      <c r="Y58" s="91"/>
      <c r="Z58" s="91"/>
      <c r="AA58" s="91"/>
      <c r="AB58" s="91"/>
      <c r="AC58" s="91"/>
      <c r="AD58" s="91"/>
      <c r="AE58" s="91"/>
      <c r="AF58" s="91"/>
      <c r="AG58" s="91"/>
      <c r="AH58" s="91"/>
      <c r="AI58" s="91"/>
      <c r="AJ58" s="91"/>
      <c r="AK58" s="91"/>
      <c r="AL58" s="91"/>
      <c r="AM58" s="91"/>
      <c r="AN58" s="91"/>
      <c r="AO58" s="91"/>
      <c r="AP58" s="91"/>
      <c r="AQ58" s="91"/>
      <c r="AR58" s="91"/>
      <c r="AS58" s="91"/>
      <c r="AT58" s="91"/>
      <c r="AU58" s="91"/>
      <c r="AV58" s="91"/>
      <c r="AW58" s="91"/>
      <c r="AX58" s="91"/>
      <c r="AY58" s="91"/>
      <c r="AZ58" s="91"/>
      <c r="BA58" s="91"/>
      <c r="BB58" s="91"/>
      <c r="BC58" s="91"/>
      <c r="BD58" s="91"/>
      <c r="BE58" s="91"/>
      <c r="BF58" s="91"/>
      <c r="BG58" s="91"/>
      <c r="BH58" s="91"/>
      <c r="BI58" s="91"/>
      <c r="BJ58" s="91"/>
      <c r="BK58" s="91"/>
      <c r="BL58" s="91"/>
      <c r="BM58" s="91"/>
      <c r="BN58" s="91"/>
      <c r="BO58" s="91"/>
      <c r="BP58" s="91"/>
      <c r="BQ58" s="91"/>
      <c r="BR58" s="91"/>
      <c r="BS58" s="91"/>
      <c r="BT58" s="91"/>
      <c r="BU58" s="91"/>
      <c r="BV58" s="91"/>
      <c r="BW58" s="91"/>
      <c r="BX58" s="91"/>
      <c r="BY58" s="91"/>
      <c r="BZ58" s="91"/>
      <c r="CA58" s="91"/>
      <c r="CB58" s="91"/>
      <c r="CC58" s="91"/>
      <c r="CD58" s="91"/>
      <c r="CE58" s="91"/>
      <c r="CF58" s="91"/>
      <c r="CG58" s="91"/>
      <c r="CH58" s="91"/>
      <c r="CI58" s="91"/>
      <c r="CJ58" s="91"/>
      <c r="CK58" s="91"/>
      <c r="CL58" s="91"/>
      <c r="CM58" s="91"/>
      <c r="CN58" s="91"/>
      <c r="CO58" s="91"/>
      <c r="CP58" s="91"/>
      <c r="CQ58" s="91"/>
      <c r="CR58" s="91"/>
      <c r="CS58" s="91"/>
      <c r="CT58" s="91"/>
      <c r="CU58" s="91"/>
      <c r="CV58" s="91"/>
      <c r="CW58" s="91"/>
      <c r="CX58" s="91"/>
      <c r="CY58" s="91"/>
      <c r="CZ58" s="91"/>
      <c r="DA58" s="91"/>
      <c r="DB58" s="91"/>
      <c r="DC58" s="91"/>
      <c r="DD58" s="91"/>
      <c r="DE58" s="91"/>
      <c r="DF58" s="91"/>
      <c r="DG58" s="91"/>
      <c r="DH58" s="91"/>
      <c r="DI58" s="91"/>
      <c r="DJ58" s="91"/>
      <c r="DK58" s="91"/>
      <c r="DL58" s="91"/>
      <c r="DM58" s="91"/>
      <c r="DN58" s="91"/>
      <c r="DO58" s="91"/>
      <c r="DP58" s="91"/>
      <c r="DQ58" s="91"/>
      <c r="DR58" s="91"/>
      <c r="DS58" s="91"/>
      <c r="DT58" s="91"/>
      <c r="DU58" s="91"/>
      <c r="DV58" s="91"/>
      <c r="DW58" s="91"/>
      <c r="DX58" s="91"/>
      <c r="DY58" s="91"/>
      <c r="DZ58" s="91"/>
      <c r="EA58" s="91"/>
    </row>
    <row r="59" spans="2:132" ht="18" customHeight="1">
      <c r="B59" s="3078" t="s">
        <v>3804</v>
      </c>
      <c r="C59" s="3079"/>
      <c r="D59" s="3079"/>
      <c r="E59" s="3079"/>
      <c r="F59" s="3079"/>
      <c r="G59" s="3079"/>
      <c r="H59" s="3079"/>
      <c r="I59" s="3079"/>
      <c r="J59" s="3079"/>
      <c r="K59" s="3080"/>
      <c r="L59" s="3011" t="s">
        <v>3742</v>
      </c>
      <c r="M59" s="2984"/>
      <c r="N59" s="2984"/>
      <c r="O59" s="2984" t="s">
        <v>3743</v>
      </c>
      <c r="P59" s="2984"/>
      <c r="Q59" s="2984"/>
      <c r="R59" s="2984" t="s">
        <v>3744</v>
      </c>
      <c r="S59" s="2984"/>
      <c r="T59" s="2984"/>
      <c r="U59" s="2984" t="s">
        <v>3745</v>
      </c>
      <c r="V59" s="2984"/>
      <c r="W59" s="2984"/>
      <c r="X59" s="2984" t="s">
        <v>3746</v>
      </c>
      <c r="Y59" s="2984"/>
      <c r="Z59" s="2984"/>
      <c r="AA59" s="2984" t="s">
        <v>3747</v>
      </c>
      <c r="AB59" s="2984"/>
      <c r="AC59" s="2984"/>
      <c r="AD59" s="2984" t="s">
        <v>3748</v>
      </c>
      <c r="AE59" s="2984"/>
      <c r="AF59" s="2984"/>
      <c r="AG59" s="2984" t="s">
        <v>3749</v>
      </c>
      <c r="AH59" s="2984"/>
      <c r="AI59" s="2984"/>
      <c r="AJ59" s="2984" t="s">
        <v>3750</v>
      </c>
      <c r="AK59" s="2984"/>
      <c r="AL59" s="2984"/>
      <c r="AM59" s="2984" t="s">
        <v>3751</v>
      </c>
      <c r="AN59" s="2984"/>
      <c r="AO59" s="2984"/>
      <c r="AP59" s="2984" t="s">
        <v>3752</v>
      </c>
      <c r="AQ59" s="2984"/>
      <c r="AR59" s="2984"/>
      <c r="AS59" s="2984" t="s">
        <v>3753</v>
      </c>
      <c r="AT59" s="2984"/>
      <c r="AU59" s="2984"/>
      <c r="AV59" s="2984" t="s">
        <v>3754</v>
      </c>
      <c r="AW59" s="2984"/>
      <c r="AX59" s="2984"/>
      <c r="AY59" s="2984" t="s">
        <v>3755</v>
      </c>
      <c r="AZ59" s="2984"/>
      <c r="BA59" s="2984"/>
      <c r="BB59" s="2984" t="s">
        <v>3756</v>
      </c>
      <c r="BC59" s="2984"/>
      <c r="BD59" s="2984"/>
      <c r="BE59" s="2984" t="s">
        <v>3757</v>
      </c>
      <c r="BF59" s="2984"/>
      <c r="BG59" s="2984"/>
      <c r="BH59" s="2984" t="s">
        <v>3758</v>
      </c>
      <c r="BI59" s="2984"/>
      <c r="BJ59" s="2984"/>
      <c r="BK59" s="2984" t="s">
        <v>3759</v>
      </c>
      <c r="BL59" s="2984"/>
      <c r="BM59" s="2984"/>
      <c r="BN59" s="2984" t="s">
        <v>3760</v>
      </c>
      <c r="BO59" s="2984"/>
      <c r="BP59" s="2984"/>
      <c r="BQ59" s="2984" t="s">
        <v>3761</v>
      </c>
      <c r="BR59" s="2984"/>
      <c r="BS59" s="2984"/>
      <c r="BT59" s="2984" t="s">
        <v>3762</v>
      </c>
      <c r="BU59" s="2984"/>
      <c r="BV59" s="2984"/>
      <c r="BW59" s="2984" t="s">
        <v>3763</v>
      </c>
      <c r="BX59" s="2984"/>
      <c r="BY59" s="2984"/>
      <c r="BZ59" s="2984" t="s">
        <v>3764</v>
      </c>
      <c r="CA59" s="2984"/>
      <c r="CB59" s="2984"/>
      <c r="CC59" s="2984" t="s">
        <v>3765</v>
      </c>
      <c r="CD59" s="2984"/>
      <c r="CE59" s="2984"/>
      <c r="CF59" s="2984" t="s">
        <v>3766</v>
      </c>
      <c r="CG59" s="2984"/>
      <c r="CH59" s="2984"/>
      <c r="CI59" s="2984" t="s">
        <v>3767</v>
      </c>
      <c r="CJ59" s="2984"/>
      <c r="CK59" s="2984"/>
      <c r="CL59" s="2984" t="s">
        <v>3768</v>
      </c>
      <c r="CM59" s="2984"/>
      <c r="CN59" s="2984"/>
      <c r="CO59" s="2984" t="s">
        <v>3769</v>
      </c>
      <c r="CP59" s="2984"/>
      <c r="CQ59" s="2984"/>
      <c r="CR59" s="2984" t="s">
        <v>3770</v>
      </c>
      <c r="CS59" s="2984"/>
      <c r="CT59" s="2984"/>
      <c r="CU59" s="2984" t="s">
        <v>3771</v>
      </c>
      <c r="CV59" s="2984"/>
      <c r="CW59" s="2984"/>
      <c r="CX59" s="2984" t="s">
        <v>3772</v>
      </c>
      <c r="CY59" s="2984"/>
      <c r="CZ59" s="2984"/>
      <c r="DA59" s="2984" t="s">
        <v>3773</v>
      </c>
      <c r="DB59" s="2984"/>
      <c r="DC59" s="2984"/>
      <c r="DD59" s="2984" t="s">
        <v>3774</v>
      </c>
      <c r="DE59" s="2984"/>
      <c r="DF59" s="2984"/>
      <c r="DG59" s="2984" t="s">
        <v>3775</v>
      </c>
      <c r="DH59" s="2984"/>
      <c r="DI59" s="2984"/>
      <c r="DJ59" s="2984" t="s">
        <v>3776</v>
      </c>
      <c r="DK59" s="2984"/>
      <c r="DL59" s="2984"/>
      <c r="DM59" s="2984" t="s">
        <v>3777</v>
      </c>
      <c r="DN59" s="2984"/>
      <c r="DO59" s="2984"/>
      <c r="DP59" s="2984" t="s">
        <v>3778</v>
      </c>
      <c r="DQ59" s="2984"/>
      <c r="DR59" s="2984"/>
      <c r="DS59" s="2984" t="s">
        <v>3779</v>
      </c>
      <c r="DT59" s="2984"/>
      <c r="DU59" s="2984"/>
      <c r="DV59" s="2984" t="s">
        <v>3780</v>
      </c>
      <c r="DW59" s="2984"/>
      <c r="DX59" s="2984"/>
      <c r="DY59" s="2984" t="s">
        <v>3781</v>
      </c>
      <c r="DZ59" s="2984"/>
      <c r="EA59" s="3019"/>
    </row>
    <row r="60" spans="2:132" s="58" customFormat="1" ht="18" customHeight="1" thickBot="1">
      <c r="B60" s="3081"/>
      <c r="C60" s="3082"/>
      <c r="D60" s="3082"/>
      <c r="E60" s="3082"/>
      <c r="F60" s="3082"/>
      <c r="G60" s="3082"/>
      <c r="H60" s="3082"/>
      <c r="I60" s="3082"/>
      <c r="J60" s="3082"/>
      <c r="K60" s="3083"/>
      <c r="L60" s="3070">
        <f>L40-L57</f>
        <v>348372</v>
      </c>
      <c r="M60" s="2957"/>
      <c r="N60" s="2957"/>
      <c r="O60" s="2957">
        <f>O40-O57</f>
        <v>357081.3</v>
      </c>
      <c r="P60" s="2957"/>
      <c r="Q60" s="2957"/>
      <c r="R60" s="2957">
        <f>R40-R57</f>
        <v>366008.33249999996</v>
      </c>
      <c r="S60" s="2957"/>
      <c r="T60" s="2957"/>
      <c r="U60" s="2957">
        <f>U40-U57</f>
        <v>375158.54081249988</v>
      </c>
      <c r="V60" s="2957"/>
      <c r="W60" s="2957"/>
      <c r="X60" s="2957">
        <f>X40-X57</f>
        <v>384537.50433281239</v>
      </c>
      <c r="Y60" s="2957"/>
      <c r="Z60" s="2957"/>
      <c r="AA60" s="2957">
        <f>AA40-AA57</f>
        <v>394150.94194113265</v>
      </c>
      <c r="AB60" s="2957"/>
      <c r="AC60" s="2957"/>
      <c r="AD60" s="2957">
        <f>AD40-AD57</f>
        <v>404004.71548966086</v>
      </c>
      <c r="AE60" s="2957"/>
      <c r="AF60" s="2957"/>
      <c r="AG60" s="2957">
        <f>AG40-AG57</f>
        <v>414104.83337690239</v>
      </c>
      <c r="AH60" s="2957"/>
      <c r="AI60" s="2957"/>
      <c r="AJ60" s="2957">
        <f>AJ40-AJ57</f>
        <v>424457.45421132492</v>
      </c>
      <c r="AK60" s="2957"/>
      <c r="AL60" s="2957"/>
      <c r="AM60" s="2957">
        <f>AM40-AM57</f>
        <v>435068.89056660794</v>
      </c>
      <c r="AN60" s="2957"/>
      <c r="AO60" s="2957"/>
      <c r="AP60" s="2957">
        <f>AP40-AP57</f>
        <v>445945.61283077317</v>
      </c>
      <c r="AQ60" s="2957"/>
      <c r="AR60" s="2957"/>
      <c r="AS60" s="2957">
        <f>AS40-AS57</f>
        <v>457094.25315154239</v>
      </c>
      <c r="AT60" s="2957"/>
      <c r="AU60" s="2957"/>
      <c r="AV60" s="2957">
        <f>AV40-AV57</f>
        <v>468521.60948033095</v>
      </c>
      <c r="AW60" s="2957"/>
      <c r="AX60" s="2957"/>
      <c r="AY60" s="2957">
        <f>AY40-AY57</f>
        <v>480234.6497173392</v>
      </c>
      <c r="AZ60" s="2957"/>
      <c r="BA60" s="2957"/>
      <c r="BB60" s="2957">
        <f>BB40-BB57</f>
        <v>492240.51596027263</v>
      </c>
      <c r="BC60" s="2957"/>
      <c r="BD60" s="2957"/>
      <c r="BE60" s="2957">
        <f>BE40-BE57</f>
        <v>504546.52885927935</v>
      </c>
      <c r="BF60" s="2957"/>
      <c r="BG60" s="2957"/>
      <c r="BH60" s="2957">
        <f>BH40-BH57</f>
        <v>517160.19208076119</v>
      </c>
      <c r="BI60" s="2957"/>
      <c r="BJ60" s="2957"/>
      <c r="BK60" s="2957">
        <f>BK40-BK57</f>
        <v>530089.19688278041</v>
      </c>
      <c r="BL60" s="2957"/>
      <c r="BM60" s="2957"/>
      <c r="BN60" s="2957">
        <f>BN40-BN57</f>
        <v>543341.42680484976</v>
      </c>
      <c r="BO60" s="2957"/>
      <c r="BP60" s="2957"/>
      <c r="BQ60" s="2957">
        <f>BQ40-BQ57</f>
        <v>556924.96247497108</v>
      </c>
      <c r="BR60" s="2957"/>
      <c r="BS60" s="2957"/>
      <c r="BT60" s="2957">
        <f>BT40-BT57</f>
        <v>570848.08653684531</v>
      </c>
      <c r="BU60" s="2957"/>
      <c r="BV60" s="2957"/>
      <c r="BW60" s="2957">
        <f>BW40-BW57</f>
        <v>585119.28870026628</v>
      </c>
      <c r="BX60" s="2957"/>
      <c r="BY60" s="2957"/>
      <c r="BZ60" s="2957">
        <f>BZ40-BZ57</f>
        <v>599747.2709177729</v>
      </c>
      <c r="CA60" s="2957"/>
      <c r="CB60" s="2957"/>
      <c r="CC60" s="2957">
        <f>CC40-CC57</f>
        <v>614740.9526907173</v>
      </c>
      <c r="CD60" s="2957"/>
      <c r="CE60" s="2957"/>
      <c r="CF60" s="2957">
        <f>CF40-CF57</f>
        <v>630109.47650798515</v>
      </c>
      <c r="CG60" s="2957"/>
      <c r="CH60" s="2957"/>
      <c r="CI60" s="2957">
        <f>CI40-CI57</f>
        <v>645862.21342068468</v>
      </c>
      <c r="CJ60" s="2957"/>
      <c r="CK60" s="2957"/>
      <c r="CL60" s="2957">
        <f>CL40-CL57</f>
        <v>662008.76875620172</v>
      </c>
      <c r="CM60" s="2957"/>
      <c r="CN60" s="2957"/>
      <c r="CO60" s="2957">
        <f>CO40-CO57</f>
        <v>678558.98797510681</v>
      </c>
      <c r="CP60" s="2957"/>
      <c r="CQ60" s="2957"/>
      <c r="CR60" s="2957">
        <f>CR40-CR57</f>
        <v>695522.96267448436</v>
      </c>
      <c r="CS60" s="2957"/>
      <c r="CT60" s="2957"/>
      <c r="CU60" s="2957">
        <f>CU40-CU57</f>
        <v>712911.03674134635</v>
      </c>
      <c r="CV60" s="2957"/>
      <c r="CW60" s="2957"/>
      <c r="CX60" s="2957">
        <f>CX40-CX57</f>
        <v>730733.81265988003</v>
      </c>
      <c r="CY60" s="2957"/>
      <c r="CZ60" s="2957"/>
      <c r="DA60" s="2957">
        <f>DA40-DA57</f>
        <v>749002.15797637694</v>
      </c>
      <c r="DB60" s="2957"/>
      <c r="DC60" s="2957"/>
      <c r="DD60" s="2957">
        <f>DD40-DD57</f>
        <v>767727.21192578634</v>
      </c>
      <c r="DE60" s="2957"/>
      <c r="DF60" s="2957"/>
      <c r="DG60" s="2957">
        <f>DG40-DG57</f>
        <v>786920.3922239308</v>
      </c>
      <c r="DH60" s="2957"/>
      <c r="DI60" s="2957"/>
      <c r="DJ60" s="2957">
        <f>DJ40-DJ57</f>
        <v>806593.40202952921</v>
      </c>
      <c r="DK60" s="2957"/>
      <c r="DL60" s="2957"/>
      <c r="DM60" s="2957">
        <f>DM40-DM57</f>
        <v>826758.23708026716</v>
      </c>
      <c r="DN60" s="2957"/>
      <c r="DO60" s="2957"/>
      <c r="DP60" s="2957">
        <f>DP40-DP57</f>
        <v>847427.19300727383</v>
      </c>
      <c r="DQ60" s="2957"/>
      <c r="DR60" s="2957"/>
      <c r="DS60" s="2957">
        <f>DS40-DS57</f>
        <v>868612.87283245567</v>
      </c>
      <c r="DT60" s="2957"/>
      <c r="DU60" s="2957"/>
      <c r="DV60" s="2957">
        <f>DV40-DV57</f>
        <v>890328.19465326704</v>
      </c>
      <c r="DW60" s="2957"/>
      <c r="DX60" s="2957"/>
      <c r="DY60" s="2957">
        <f>DY40-DY57</f>
        <v>912586.39951959834</v>
      </c>
      <c r="DZ60" s="2957"/>
      <c r="EA60" s="3074"/>
      <c r="EB60" s="78"/>
    </row>
    <row r="61" spans="2:132" ht="18" customHeight="1" thickTop="1">
      <c r="B61" s="94"/>
      <c r="C61" s="94"/>
      <c r="D61" s="95"/>
      <c r="E61" s="95"/>
      <c r="F61" s="95"/>
      <c r="G61" s="95"/>
      <c r="H61" s="95"/>
      <c r="I61" s="95"/>
      <c r="J61" s="95"/>
      <c r="K61" s="95"/>
      <c r="L61" s="89"/>
      <c r="M61" s="90"/>
      <c r="N61" s="90"/>
      <c r="O61" s="90"/>
      <c r="P61" s="90"/>
      <c r="Q61" s="90"/>
      <c r="R61" s="90"/>
      <c r="S61" s="90"/>
      <c r="T61" s="90"/>
      <c r="U61" s="90"/>
      <c r="V61" s="90"/>
      <c r="W61" s="90"/>
      <c r="X61" s="90"/>
      <c r="Y61" s="90"/>
      <c r="Z61" s="90"/>
      <c r="AA61" s="90"/>
      <c r="AB61" s="90"/>
      <c r="AC61" s="90"/>
      <c r="AD61" s="90"/>
      <c r="AE61" s="90"/>
      <c r="AF61" s="90"/>
      <c r="AG61" s="90"/>
      <c r="AH61" s="90"/>
      <c r="AI61" s="90"/>
      <c r="AJ61" s="90"/>
      <c r="AK61" s="90"/>
      <c r="AL61" s="90"/>
      <c r="AM61" s="90"/>
      <c r="AN61" s="90"/>
      <c r="AO61" s="90"/>
      <c r="AP61" s="90"/>
      <c r="AQ61" s="90"/>
      <c r="AR61" s="90"/>
      <c r="AS61" s="90"/>
      <c r="AT61" s="90"/>
      <c r="AU61" s="90"/>
      <c r="AV61" s="90"/>
      <c r="AW61" s="90"/>
      <c r="AX61" s="90"/>
      <c r="AY61" s="90"/>
      <c r="AZ61" s="90"/>
      <c r="BA61" s="90"/>
      <c r="BB61" s="90"/>
      <c r="BC61" s="90"/>
      <c r="BD61" s="90"/>
      <c r="BE61" s="90"/>
      <c r="BF61" s="90"/>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90"/>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row>
    <row r="62" spans="2:132" s="96" customFormat="1" ht="18" customHeight="1">
      <c r="B62" s="3084" t="s">
        <v>3805</v>
      </c>
      <c r="C62" s="3084"/>
      <c r="D62" s="3084"/>
      <c r="E62" s="3084"/>
      <c r="F62" s="3084"/>
      <c r="G62" s="3084"/>
      <c r="H62" s="3084"/>
      <c r="I62" s="3084"/>
      <c r="J62" s="3084"/>
      <c r="K62" s="3084"/>
      <c r="L62" s="3085">
        <f>IF(L57&lt;=0,0,((L40/L57)))</f>
        <v>0</v>
      </c>
      <c r="M62" s="3085"/>
      <c r="N62" s="3085"/>
      <c r="O62" s="3085">
        <f>IF(O57&lt;=0,0,((O40/O57)))</f>
        <v>0</v>
      </c>
      <c r="P62" s="3085"/>
      <c r="Q62" s="3085"/>
      <c r="R62" s="3085">
        <f>IF(R57&lt;=0,0,((R40/R57)))</f>
        <v>0</v>
      </c>
      <c r="S62" s="3085"/>
      <c r="T62" s="3085"/>
      <c r="U62" s="3085">
        <f>IF(U57&lt;=0,0,((U40/U57)))</f>
        <v>0</v>
      </c>
      <c r="V62" s="3085"/>
      <c r="W62" s="3085"/>
      <c r="X62" s="3085">
        <f>IF(X57&lt;=0,0,((X40/X57)))</f>
        <v>0</v>
      </c>
      <c r="Y62" s="3085"/>
      <c r="Z62" s="3085"/>
      <c r="AA62" s="3085">
        <f>IF(AA57&lt;=0,0,((AA40/AA57)))</f>
        <v>0</v>
      </c>
      <c r="AB62" s="3085"/>
      <c r="AC62" s="3085"/>
      <c r="AD62" s="3085">
        <f>IF(AD57&lt;=0,0,((AD40/AD57)))</f>
        <v>0</v>
      </c>
      <c r="AE62" s="3085"/>
      <c r="AF62" s="3085"/>
      <c r="AG62" s="3085">
        <f>IF(AG57&lt;=0,0,((AG40/AG57)))</f>
        <v>0</v>
      </c>
      <c r="AH62" s="3085"/>
      <c r="AI62" s="3085"/>
      <c r="AJ62" s="3085">
        <f>IF(AJ57&lt;=0,0,((AJ40/AJ57)))</f>
        <v>0</v>
      </c>
      <c r="AK62" s="3085"/>
      <c r="AL62" s="3085"/>
      <c r="AM62" s="3085">
        <f>IF(AM57&lt;=0,0,((AM40/AM57)))</f>
        <v>0</v>
      </c>
      <c r="AN62" s="3085"/>
      <c r="AO62" s="3085"/>
      <c r="AP62" s="3085">
        <f>IF(AP57&lt;=0,0,((AP40/AP57)))</f>
        <v>0</v>
      </c>
      <c r="AQ62" s="3085"/>
      <c r="AR62" s="3085"/>
      <c r="AS62" s="3085">
        <f>IF(AS57&lt;=0,0,((AS40/AS57)))</f>
        <v>0</v>
      </c>
      <c r="AT62" s="3085"/>
      <c r="AU62" s="3085"/>
      <c r="AV62" s="3085">
        <f>IF(AV57&lt;=0,0,((AV40/AV57)))</f>
        <v>0</v>
      </c>
      <c r="AW62" s="3085"/>
      <c r="AX62" s="3085"/>
      <c r="AY62" s="3085">
        <f>IF(AY57&lt;=0,0,((AY40/AY57)))</f>
        <v>0</v>
      </c>
      <c r="AZ62" s="3085"/>
      <c r="BA62" s="3085"/>
      <c r="BB62" s="3085">
        <f>IF(BB57&lt;=0,0,((BB40/BB57)))</f>
        <v>0</v>
      </c>
      <c r="BC62" s="3085"/>
      <c r="BD62" s="3085"/>
      <c r="BE62" s="3085">
        <f>IF(BE57&lt;=0,0,((BE40/BE57)))</f>
        <v>0</v>
      </c>
      <c r="BF62" s="3085"/>
      <c r="BG62" s="3085"/>
      <c r="BH62" s="3085">
        <f>IF(BH57&lt;=0,0,((BH40/BH57)))</f>
        <v>0</v>
      </c>
      <c r="BI62" s="3085"/>
      <c r="BJ62" s="3085"/>
      <c r="BK62" s="3085">
        <f>IF(BK57&lt;=0,0,((BK40/BK57)))</f>
        <v>0</v>
      </c>
      <c r="BL62" s="3085"/>
      <c r="BM62" s="3085"/>
      <c r="BN62" s="3085">
        <f>IF(BN57&lt;=0,0,((BN40/BN57)))</f>
        <v>0</v>
      </c>
      <c r="BO62" s="3085"/>
      <c r="BP62" s="3085"/>
      <c r="BQ62" s="3085">
        <f>IF(BQ57&lt;=0,0,((BQ40/BQ57)))</f>
        <v>0</v>
      </c>
      <c r="BR62" s="3085"/>
      <c r="BS62" s="3085"/>
      <c r="BT62" s="3085">
        <f>IF(BT57&lt;=0,0,((BT40/BT57)))</f>
        <v>0</v>
      </c>
      <c r="BU62" s="3085"/>
      <c r="BV62" s="3085"/>
      <c r="BW62" s="3085">
        <f>IF(BW57&lt;=0,0,((BW40/BW57)))</f>
        <v>0</v>
      </c>
      <c r="BX62" s="3085"/>
      <c r="BY62" s="3085"/>
      <c r="BZ62" s="3085">
        <f>IF(BZ57&lt;=0,0,((BZ40/BZ57)))</f>
        <v>0</v>
      </c>
      <c r="CA62" s="3085"/>
      <c r="CB62" s="3085"/>
      <c r="CC62" s="3085">
        <f>IF(CC57&lt;=0,0,((CC40/CC57)))</f>
        <v>0</v>
      </c>
      <c r="CD62" s="3085"/>
      <c r="CE62" s="3085"/>
      <c r="CF62" s="3085">
        <f>IF(CF57&lt;=0,0,((CF40/CF57)))</f>
        <v>0</v>
      </c>
      <c r="CG62" s="3085"/>
      <c r="CH62" s="3085"/>
      <c r="CI62" s="3085">
        <f>IF(CI57&lt;=0,0,((CI40/CI57)))</f>
        <v>0</v>
      </c>
      <c r="CJ62" s="3085"/>
      <c r="CK62" s="3085"/>
      <c r="CL62" s="3085">
        <f>IF(CL57&lt;=0,0,((CL40/CL57)))</f>
        <v>0</v>
      </c>
      <c r="CM62" s="3085"/>
      <c r="CN62" s="3085"/>
      <c r="CO62" s="3085">
        <f>IF(CO57&lt;=0,0,((CO40/CO57)))</f>
        <v>0</v>
      </c>
      <c r="CP62" s="3085"/>
      <c r="CQ62" s="3085"/>
      <c r="CR62" s="3085">
        <f>IF(CR57&lt;=0,0,((CR40/CR57)))</f>
        <v>0</v>
      </c>
      <c r="CS62" s="3085"/>
      <c r="CT62" s="3085"/>
      <c r="CU62" s="3085">
        <f>IF(CU57&lt;=0,0,((CU40/CU57)))</f>
        <v>0</v>
      </c>
      <c r="CV62" s="3085"/>
      <c r="CW62" s="3085"/>
      <c r="CX62" s="3085">
        <f>IF(CX57&lt;=0,0,((CX40/CX57)))</f>
        <v>0</v>
      </c>
      <c r="CY62" s="3085"/>
      <c r="CZ62" s="3085"/>
      <c r="DA62" s="3085">
        <f>IF(DA57&lt;=0,0,((DA40/DA57)))</f>
        <v>0</v>
      </c>
      <c r="DB62" s="3085"/>
      <c r="DC62" s="3085"/>
      <c r="DD62" s="3085">
        <f>IF(DD57&lt;=0,0,((DD40/DD57)))</f>
        <v>0</v>
      </c>
      <c r="DE62" s="3085"/>
      <c r="DF62" s="3085"/>
      <c r="DG62" s="3085">
        <f>IF(DG57&lt;=0,0,((DG40/DG57)))</f>
        <v>0</v>
      </c>
      <c r="DH62" s="3085"/>
      <c r="DI62" s="3085"/>
      <c r="DJ62" s="3085">
        <f>IF(DJ57&lt;=0,0,((DJ40/DJ57)))</f>
        <v>0</v>
      </c>
      <c r="DK62" s="3085"/>
      <c r="DL62" s="3085"/>
      <c r="DM62" s="3085">
        <f>IF(DM57&lt;=0,0,((DM40/DM57)))</f>
        <v>0</v>
      </c>
      <c r="DN62" s="3085"/>
      <c r="DO62" s="3085"/>
      <c r="DP62" s="3085">
        <f>IF(DP57&lt;=0,0,((DP40/DP57)))</f>
        <v>0</v>
      </c>
      <c r="DQ62" s="3085"/>
      <c r="DR62" s="3085"/>
      <c r="DS62" s="3085">
        <f>IF(DS57&lt;=0,0,((DS40/DS57)))</f>
        <v>0</v>
      </c>
      <c r="DT62" s="3085"/>
      <c r="DU62" s="3085"/>
      <c r="DV62" s="3085">
        <f>IF(DV57&lt;=0,0,((DV40/DV57)))</f>
        <v>0</v>
      </c>
      <c r="DW62" s="3085"/>
      <c r="DX62" s="3085"/>
      <c r="DY62" s="3085">
        <f>IF(DY57&lt;=0,0,((DY40/DY57)))</f>
        <v>0</v>
      </c>
      <c r="DZ62" s="3085"/>
      <c r="EA62" s="3085"/>
    </row>
    <row r="63" spans="2:132" s="60" customFormat="1" ht="18" customHeight="1">
      <c r="B63" s="97"/>
      <c r="C63" s="97"/>
      <c r="D63" s="97"/>
      <c r="E63" s="97"/>
      <c r="F63" s="97"/>
      <c r="G63" s="97"/>
      <c r="H63" s="97"/>
      <c r="I63" s="97"/>
      <c r="J63" s="97"/>
      <c r="K63" s="97"/>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c r="BD63" s="98"/>
      <c r="BE63" s="98"/>
      <c r="BF63" s="98"/>
      <c r="BG63" s="98"/>
      <c r="BH63" s="98"/>
      <c r="BI63" s="98"/>
      <c r="BJ63" s="98"/>
      <c r="BK63" s="98"/>
      <c r="BL63" s="98"/>
      <c r="BM63" s="98"/>
      <c r="BN63" s="98"/>
      <c r="BO63" s="98"/>
      <c r="BP63" s="98"/>
      <c r="BQ63" s="98"/>
      <c r="BR63" s="98"/>
      <c r="BS63" s="98"/>
      <c r="BT63" s="98"/>
      <c r="BU63" s="98"/>
      <c r="BV63" s="98"/>
      <c r="BW63" s="98"/>
      <c r="BX63" s="98"/>
      <c r="BY63" s="98"/>
      <c r="BZ63" s="98"/>
      <c r="CA63" s="98"/>
      <c r="CB63" s="98"/>
      <c r="CC63" s="98"/>
      <c r="CD63" s="98"/>
      <c r="CE63" s="98"/>
      <c r="CF63" s="98"/>
      <c r="CG63" s="98"/>
      <c r="CH63" s="98"/>
      <c r="CI63" s="98"/>
      <c r="CJ63" s="98"/>
      <c r="CK63" s="98"/>
      <c r="CL63" s="98"/>
      <c r="CM63" s="98"/>
      <c r="CN63" s="98"/>
      <c r="CO63" s="98"/>
      <c r="CP63" s="98"/>
      <c r="CQ63" s="98"/>
      <c r="CR63" s="98"/>
      <c r="CS63" s="98"/>
      <c r="CT63" s="98"/>
      <c r="CU63" s="98"/>
      <c r="CV63" s="98"/>
      <c r="CW63" s="98"/>
      <c r="CX63" s="98"/>
      <c r="CY63" s="98"/>
      <c r="CZ63" s="98"/>
      <c r="DA63" s="98"/>
      <c r="DB63" s="98"/>
      <c r="DC63" s="98"/>
      <c r="DD63" s="98"/>
      <c r="DE63" s="98"/>
      <c r="DF63" s="98"/>
      <c r="DG63" s="98"/>
      <c r="DH63" s="98"/>
      <c r="DI63" s="98"/>
      <c r="DJ63" s="98"/>
      <c r="DK63" s="98"/>
      <c r="DL63" s="98"/>
      <c r="DM63" s="98"/>
      <c r="DN63" s="98"/>
      <c r="DO63" s="98"/>
      <c r="DP63" s="98"/>
      <c r="DQ63" s="98"/>
      <c r="DR63" s="98"/>
      <c r="DS63" s="98"/>
      <c r="DT63" s="98"/>
      <c r="DU63" s="98"/>
      <c r="DV63" s="98"/>
      <c r="DW63" s="98"/>
      <c r="DX63" s="98"/>
      <c r="DY63" s="98"/>
      <c r="DZ63" s="98"/>
      <c r="EA63" s="98"/>
    </row>
    <row r="64" spans="2:132" ht="18" customHeight="1">
      <c r="B64" s="3089" t="s">
        <v>3806</v>
      </c>
      <c r="C64" s="3090"/>
      <c r="D64" s="3090"/>
      <c r="E64" s="3090"/>
      <c r="F64" s="3090"/>
      <c r="G64" s="3090"/>
      <c r="H64" s="3090"/>
      <c r="I64" s="3090"/>
      <c r="J64" s="3090"/>
      <c r="K64" s="3091"/>
      <c r="L64" s="3011" t="s">
        <v>3742</v>
      </c>
      <c r="M64" s="2984"/>
      <c r="N64" s="2984"/>
      <c r="O64" s="2984" t="s">
        <v>3743</v>
      </c>
      <c r="P64" s="2984"/>
      <c r="Q64" s="2984"/>
      <c r="R64" s="2984" t="s">
        <v>3744</v>
      </c>
      <c r="S64" s="2984"/>
      <c r="T64" s="2984"/>
      <c r="U64" s="2984" t="s">
        <v>3745</v>
      </c>
      <c r="V64" s="2984"/>
      <c r="W64" s="2984"/>
      <c r="X64" s="2984" t="s">
        <v>3746</v>
      </c>
      <c r="Y64" s="2984"/>
      <c r="Z64" s="2984"/>
      <c r="AA64" s="2984" t="s">
        <v>3747</v>
      </c>
      <c r="AB64" s="2984"/>
      <c r="AC64" s="2984"/>
      <c r="AD64" s="2984" t="s">
        <v>3748</v>
      </c>
      <c r="AE64" s="2984"/>
      <c r="AF64" s="2984"/>
      <c r="AG64" s="2984" t="s">
        <v>3749</v>
      </c>
      <c r="AH64" s="2984"/>
      <c r="AI64" s="2984"/>
      <c r="AJ64" s="2984" t="s">
        <v>3750</v>
      </c>
      <c r="AK64" s="2984"/>
      <c r="AL64" s="2984"/>
      <c r="AM64" s="2984" t="s">
        <v>3751</v>
      </c>
      <c r="AN64" s="2984"/>
      <c r="AO64" s="2984"/>
      <c r="AP64" s="2984" t="s">
        <v>3752</v>
      </c>
      <c r="AQ64" s="2984"/>
      <c r="AR64" s="2984"/>
      <c r="AS64" s="2984" t="s">
        <v>3753</v>
      </c>
      <c r="AT64" s="2984"/>
      <c r="AU64" s="2984"/>
      <c r="AV64" s="2984" t="s">
        <v>3754</v>
      </c>
      <c r="AW64" s="2984"/>
      <c r="AX64" s="2984"/>
      <c r="AY64" s="2984" t="s">
        <v>3755</v>
      </c>
      <c r="AZ64" s="2984"/>
      <c r="BA64" s="2984"/>
      <c r="BB64" s="2984" t="s">
        <v>3756</v>
      </c>
      <c r="BC64" s="2984"/>
      <c r="BD64" s="2984"/>
      <c r="BE64" s="2984" t="s">
        <v>3757</v>
      </c>
      <c r="BF64" s="2984"/>
      <c r="BG64" s="2984"/>
      <c r="BH64" s="2984" t="s">
        <v>3758</v>
      </c>
      <c r="BI64" s="2984"/>
      <c r="BJ64" s="2984"/>
      <c r="BK64" s="2984" t="s">
        <v>3759</v>
      </c>
      <c r="BL64" s="2984"/>
      <c r="BM64" s="2984"/>
      <c r="BN64" s="2984" t="s">
        <v>3760</v>
      </c>
      <c r="BO64" s="2984"/>
      <c r="BP64" s="2984"/>
      <c r="BQ64" s="2984" t="s">
        <v>3761</v>
      </c>
      <c r="BR64" s="2984"/>
      <c r="BS64" s="2984"/>
      <c r="BT64" s="2984" t="s">
        <v>3762</v>
      </c>
      <c r="BU64" s="2984"/>
      <c r="BV64" s="2984"/>
      <c r="BW64" s="2984" t="s">
        <v>3763</v>
      </c>
      <c r="BX64" s="2984"/>
      <c r="BY64" s="2984"/>
      <c r="BZ64" s="2984" t="s">
        <v>3764</v>
      </c>
      <c r="CA64" s="2984"/>
      <c r="CB64" s="2984"/>
      <c r="CC64" s="2984" t="s">
        <v>3765</v>
      </c>
      <c r="CD64" s="2984"/>
      <c r="CE64" s="2984"/>
      <c r="CF64" s="2984" t="s">
        <v>3766</v>
      </c>
      <c r="CG64" s="2984"/>
      <c r="CH64" s="2984"/>
      <c r="CI64" s="2984" t="s">
        <v>3767</v>
      </c>
      <c r="CJ64" s="2984"/>
      <c r="CK64" s="2984"/>
      <c r="CL64" s="2984" t="s">
        <v>3768</v>
      </c>
      <c r="CM64" s="2984"/>
      <c r="CN64" s="2984"/>
      <c r="CO64" s="2984" t="s">
        <v>3769</v>
      </c>
      <c r="CP64" s="2984"/>
      <c r="CQ64" s="2984"/>
      <c r="CR64" s="2984" t="s">
        <v>3770</v>
      </c>
      <c r="CS64" s="2984"/>
      <c r="CT64" s="2984"/>
      <c r="CU64" s="2984" t="s">
        <v>3771</v>
      </c>
      <c r="CV64" s="2984"/>
      <c r="CW64" s="2984"/>
      <c r="CX64" s="2984" t="s">
        <v>3772</v>
      </c>
      <c r="CY64" s="2984"/>
      <c r="CZ64" s="2984"/>
      <c r="DA64" s="2984" t="s">
        <v>3773</v>
      </c>
      <c r="DB64" s="2984"/>
      <c r="DC64" s="2984"/>
      <c r="DD64" s="2984" t="s">
        <v>3774</v>
      </c>
      <c r="DE64" s="2984"/>
      <c r="DF64" s="2984"/>
      <c r="DG64" s="2984" t="s">
        <v>3775</v>
      </c>
      <c r="DH64" s="2984"/>
      <c r="DI64" s="2984"/>
      <c r="DJ64" s="2984" t="s">
        <v>3776</v>
      </c>
      <c r="DK64" s="2984"/>
      <c r="DL64" s="2984"/>
      <c r="DM64" s="2984" t="s">
        <v>3777</v>
      </c>
      <c r="DN64" s="2984"/>
      <c r="DO64" s="2984"/>
      <c r="DP64" s="2984" t="s">
        <v>3778</v>
      </c>
      <c r="DQ64" s="2984"/>
      <c r="DR64" s="2984"/>
      <c r="DS64" s="2984" t="s">
        <v>3779</v>
      </c>
      <c r="DT64" s="2984"/>
      <c r="DU64" s="2984"/>
      <c r="DV64" s="2984" t="s">
        <v>3780</v>
      </c>
      <c r="DW64" s="2984"/>
      <c r="DX64" s="2984"/>
      <c r="DY64" s="2984" t="s">
        <v>3781</v>
      </c>
      <c r="DZ64" s="2984"/>
      <c r="EA64" s="3019"/>
    </row>
    <row r="65" spans="2:132" s="58" customFormat="1" ht="18" customHeight="1">
      <c r="B65" s="3086" t="s">
        <v>3807</v>
      </c>
      <c r="C65" s="3087"/>
      <c r="D65" s="3087"/>
      <c r="E65" s="3087"/>
      <c r="F65" s="3087"/>
      <c r="G65" s="3087"/>
      <c r="H65" s="3087"/>
      <c r="I65" s="3087"/>
      <c r="J65" s="3087"/>
      <c r="K65" s="3088"/>
      <c r="L65" s="3065">
        <f>IF(L60&gt;=L74,L74,L60)</f>
        <v>0</v>
      </c>
      <c r="M65" s="3066"/>
      <c r="N65" s="3066"/>
      <c r="O65" s="3066">
        <f>IF(O60&gt;=O74,O74,O60)</f>
        <v>0</v>
      </c>
      <c r="P65" s="3066"/>
      <c r="Q65" s="3066"/>
      <c r="R65" s="3066">
        <f>IF(R60&gt;=R74,R74,R60)</f>
        <v>0</v>
      </c>
      <c r="S65" s="3066"/>
      <c r="T65" s="3066"/>
      <c r="U65" s="3066">
        <f>IF(U60&gt;=U74,U74,U60)</f>
        <v>0</v>
      </c>
      <c r="V65" s="3066"/>
      <c r="W65" s="3066"/>
      <c r="X65" s="3066">
        <f>IF(X60&gt;=X74,X74,X60)</f>
        <v>0</v>
      </c>
      <c r="Y65" s="3066"/>
      <c r="Z65" s="3066"/>
      <c r="AA65" s="3066">
        <f>IF(AA60&gt;=AA74,AA74,AA60)</f>
        <v>0</v>
      </c>
      <c r="AB65" s="3066"/>
      <c r="AC65" s="3066"/>
      <c r="AD65" s="3066">
        <f>IF(AD60&gt;=AD74,AD74,AD60)</f>
        <v>0</v>
      </c>
      <c r="AE65" s="3066"/>
      <c r="AF65" s="3066"/>
      <c r="AG65" s="3066">
        <f>IF(AG60&gt;=AG74,AG74,AG60)</f>
        <v>0</v>
      </c>
      <c r="AH65" s="3066"/>
      <c r="AI65" s="3066"/>
      <c r="AJ65" s="3066">
        <f>IF(AJ60&gt;=AJ74,AJ74,AJ60)</f>
        <v>0</v>
      </c>
      <c r="AK65" s="3066"/>
      <c r="AL65" s="3066"/>
      <c r="AM65" s="3066">
        <f>IF(AM60&gt;=AM74,AM74,AM60)</f>
        <v>0</v>
      </c>
      <c r="AN65" s="3066"/>
      <c r="AO65" s="3066"/>
      <c r="AP65" s="3066">
        <f>IF(AP60&gt;=AP74,AP74,AP60)</f>
        <v>0</v>
      </c>
      <c r="AQ65" s="3066"/>
      <c r="AR65" s="3066"/>
      <c r="AS65" s="3066">
        <f>IF(AS60&gt;=AS74,AS74,AS60)</f>
        <v>0</v>
      </c>
      <c r="AT65" s="3066"/>
      <c r="AU65" s="3066"/>
      <c r="AV65" s="3066">
        <f>IF(AV60&gt;=AV74,AV74,AV60)</f>
        <v>0</v>
      </c>
      <c r="AW65" s="3066"/>
      <c r="AX65" s="3066"/>
      <c r="AY65" s="3066">
        <f>IF(AY60&gt;=AY74,AY74,AY60)</f>
        <v>0</v>
      </c>
      <c r="AZ65" s="3066"/>
      <c r="BA65" s="3066"/>
      <c r="BB65" s="3066">
        <f>IF(BB60&gt;=BB74,BB74,BB60)</f>
        <v>0</v>
      </c>
      <c r="BC65" s="3066"/>
      <c r="BD65" s="3066"/>
      <c r="BE65" s="3066">
        <f>IF(BE60&gt;=BE74,BE74,BE60)</f>
        <v>0</v>
      </c>
      <c r="BF65" s="3066"/>
      <c r="BG65" s="3066"/>
      <c r="BH65" s="3066">
        <f>IF(BH60&gt;=BH74,BH74,BH60)</f>
        <v>0</v>
      </c>
      <c r="BI65" s="3066"/>
      <c r="BJ65" s="3066"/>
      <c r="BK65" s="3066">
        <f>IF(BK60&gt;=BK74,BK74,BK60)</f>
        <v>0</v>
      </c>
      <c r="BL65" s="3066"/>
      <c r="BM65" s="3066"/>
      <c r="BN65" s="3066">
        <f>IF(BN60&gt;=BN74,BN74,BN60)</f>
        <v>0</v>
      </c>
      <c r="BO65" s="3066"/>
      <c r="BP65" s="3066"/>
      <c r="BQ65" s="3066">
        <f>IF(BQ60&gt;=BQ74,BQ74,BQ60)</f>
        <v>0</v>
      </c>
      <c r="BR65" s="3066"/>
      <c r="BS65" s="3066"/>
      <c r="BT65" s="3066">
        <f>IF(BT60&gt;=BT74,BT74,BT60)</f>
        <v>0</v>
      </c>
      <c r="BU65" s="3066"/>
      <c r="BV65" s="3066"/>
      <c r="BW65" s="3066">
        <f>IF(BW60&gt;=BW74,BW74,BW60)</f>
        <v>0</v>
      </c>
      <c r="BX65" s="3066"/>
      <c r="BY65" s="3066"/>
      <c r="BZ65" s="3066">
        <f>IF(BZ60&gt;=BZ74,BZ74,BZ60)</f>
        <v>0</v>
      </c>
      <c r="CA65" s="3066"/>
      <c r="CB65" s="3066"/>
      <c r="CC65" s="3066">
        <f>IF(CC60&gt;=CC74,CC74,CC60)</f>
        <v>0</v>
      </c>
      <c r="CD65" s="3066"/>
      <c r="CE65" s="3066"/>
      <c r="CF65" s="3066">
        <f>IF(CF60&gt;=CF74,CF74,CF60)</f>
        <v>0</v>
      </c>
      <c r="CG65" s="3066"/>
      <c r="CH65" s="3066"/>
      <c r="CI65" s="3066">
        <f>IF(CI60&gt;=CI74,CI74,CI60)</f>
        <v>0</v>
      </c>
      <c r="CJ65" s="3066"/>
      <c r="CK65" s="3066"/>
      <c r="CL65" s="3066">
        <f>IF(CL60&gt;=CL74,CL74,CL60)</f>
        <v>0</v>
      </c>
      <c r="CM65" s="3066"/>
      <c r="CN65" s="3066"/>
      <c r="CO65" s="3066">
        <f>IF(CO60&gt;=CO74,CO74,CO60)</f>
        <v>0</v>
      </c>
      <c r="CP65" s="3066"/>
      <c r="CQ65" s="3066"/>
      <c r="CR65" s="3066">
        <f>IF(CR60&gt;=CR74,CR74,CR60)</f>
        <v>0</v>
      </c>
      <c r="CS65" s="3066"/>
      <c r="CT65" s="3066"/>
      <c r="CU65" s="3066">
        <f>IF(CU60&gt;=CU74,CU74,CU60)</f>
        <v>0</v>
      </c>
      <c r="CV65" s="3066"/>
      <c r="CW65" s="3066"/>
      <c r="CX65" s="3066">
        <f>IF(CX60&gt;=CX74,CX74,CX60)</f>
        <v>0</v>
      </c>
      <c r="CY65" s="3066"/>
      <c r="CZ65" s="3066"/>
      <c r="DA65" s="3066">
        <f>IF(DA60&gt;=DA74,DA74,DA60)</f>
        <v>0</v>
      </c>
      <c r="DB65" s="3066"/>
      <c r="DC65" s="3066"/>
      <c r="DD65" s="3066">
        <f>IF(DD60&gt;=DD74,DD74,DD60)</f>
        <v>0</v>
      </c>
      <c r="DE65" s="3066"/>
      <c r="DF65" s="3066"/>
      <c r="DG65" s="3066">
        <f>IF(DG60&gt;=DG74,DG74,DG60)</f>
        <v>0</v>
      </c>
      <c r="DH65" s="3066"/>
      <c r="DI65" s="3066"/>
      <c r="DJ65" s="3066">
        <f>IF(DJ60&gt;=DJ74,DJ74,DJ60)</f>
        <v>0</v>
      </c>
      <c r="DK65" s="3066"/>
      <c r="DL65" s="3066"/>
      <c r="DM65" s="3066">
        <f>IF(DM60&gt;=DM74,DM74,DM60)</f>
        <v>0</v>
      </c>
      <c r="DN65" s="3066"/>
      <c r="DO65" s="3066"/>
      <c r="DP65" s="3066">
        <f>IF(DP60&gt;=DP74,DP74,DP60)</f>
        <v>0</v>
      </c>
      <c r="DQ65" s="3066"/>
      <c r="DR65" s="3066"/>
      <c r="DS65" s="3066">
        <f>IF(DS60&gt;=DS74,DS74,DS60)</f>
        <v>0</v>
      </c>
      <c r="DT65" s="3066"/>
      <c r="DU65" s="3066"/>
      <c r="DV65" s="3066">
        <f>IF(DV60&gt;=DV74,DV74,DV60)</f>
        <v>0</v>
      </c>
      <c r="DW65" s="3066"/>
      <c r="DX65" s="3066"/>
      <c r="DY65" s="3066">
        <f>IF(DY60&gt;=DY74,DY74,DY60)</f>
        <v>0</v>
      </c>
      <c r="DZ65" s="3066"/>
      <c r="EA65" s="3071"/>
      <c r="EB65" s="78"/>
    </row>
    <row r="66" spans="2:132" s="58" customFormat="1" ht="36" customHeight="1">
      <c r="B66" s="2960" t="s">
        <v>3808</v>
      </c>
      <c r="C66" s="2961"/>
      <c r="D66" s="2961"/>
      <c r="E66" s="2961"/>
      <c r="F66" s="2961"/>
      <c r="G66" s="2961"/>
      <c r="H66" s="2961"/>
      <c r="I66" s="2961"/>
      <c r="J66" s="2961"/>
      <c r="K66" s="3073"/>
      <c r="L66" s="3006">
        <f>IF(L60-L65&lt;=$L$77,L60-L65,$L$77)</f>
        <v>0</v>
      </c>
      <c r="M66" s="2949"/>
      <c r="N66" s="2949"/>
      <c r="O66" s="2949">
        <f>IF(L75+O60-O65&lt;=$L$77,O60-O65,$L$77-L75)</f>
        <v>0</v>
      </c>
      <c r="P66" s="2949"/>
      <c r="Q66" s="2949"/>
      <c r="R66" s="2949">
        <f>IF(O75+R60-R65&lt;=$L$77,R60-R65,$L$77-O75)</f>
        <v>0</v>
      </c>
      <c r="S66" s="2949"/>
      <c r="T66" s="2949"/>
      <c r="U66" s="2949">
        <f>IF(R75+U60-U65&lt;=$L$77,U60-U65,$L$77-R75)</f>
        <v>0</v>
      </c>
      <c r="V66" s="2949"/>
      <c r="W66" s="2949"/>
      <c r="X66" s="2949">
        <f>IF(U75+X60-X65&lt;=$L$77,X60-X65,$L$77-U75)</f>
        <v>0</v>
      </c>
      <c r="Y66" s="2949"/>
      <c r="Z66" s="2949"/>
      <c r="AA66" s="2949">
        <f>IF(X75+AA60-AA65&lt;=$L$77,AA60-AA65,$L$77-X75)</f>
        <v>0</v>
      </c>
      <c r="AB66" s="2949"/>
      <c r="AC66" s="2949"/>
      <c r="AD66" s="2949">
        <f>IF(AA75+AD60-AD65&lt;=$L$77,AD60-AD65,$L$77-AA75)</f>
        <v>0</v>
      </c>
      <c r="AE66" s="2949"/>
      <c r="AF66" s="2949"/>
      <c r="AG66" s="2949">
        <f>IF(AD75+AG60-AG65&lt;=$L$77,AG60-AG65,$L$77-AD75)</f>
        <v>0</v>
      </c>
      <c r="AH66" s="2949"/>
      <c r="AI66" s="2949"/>
      <c r="AJ66" s="2949">
        <f>IF(AG75+AJ60-AJ65&lt;=$L$77,AJ60-AJ65,$L$77-AG75)</f>
        <v>0</v>
      </c>
      <c r="AK66" s="2949"/>
      <c r="AL66" s="2949"/>
      <c r="AM66" s="2949">
        <f>IF(AJ75+AM60-AM65&lt;=$L$77,AM60-AM65,$L$77-AJ75)</f>
        <v>0</v>
      </c>
      <c r="AN66" s="2949"/>
      <c r="AO66" s="2949"/>
      <c r="AP66" s="2949">
        <f>IF(AM75+AP60-AP65&lt;=$L$77,AP60-AP65,$L$77-AM75)</f>
        <v>0</v>
      </c>
      <c r="AQ66" s="2949"/>
      <c r="AR66" s="2949"/>
      <c r="AS66" s="2949">
        <f>IF(AP75+AS60-AS65&lt;=$L$77,AS60-AS65,$L$77-AP75)</f>
        <v>0</v>
      </c>
      <c r="AT66" s="2949"/>
      <c r="AU66" s="2949"/>
      <c r="AV66" s="2949">
        <f>IF(AS75+AV60-AV65&lt;=$L$77,AV60-AV65,$L$77-AS75)</f>
        <v>0</v>
      </c>
      <c r="AW66" s="2949"/>
      <c r="AX66" s="2949"/>
      <c r="AY66" s="2949">
        <f>IF(AV75+AY60-AY65&lt;=$L$77,AY60-AY65,$L$77-AV75)</f>
        <v>0</v>
      </c>
      <c r="AZ66" s="2949"/>
      <c r="BA66" s="2949"/>
      <c r="BB66" s="2949">
        <f>IF(AY75+BB60-BB65&lt;=$L$77,BB60-BB65,$L$77-AY75)</f>
        <v>0</v>
      </c>
      <c r="BC66" s="2949"/>
      <c r="BD66" s="2949"/>
      <c r="BE66" s="2949">
        <f>IF(BB75+BE60-BE65&lt;=$L$77,BE60-BE65,$L$77-BB75)</f>
        <v>0</v>
      </c>
      <c r="BF66" s="2949"/>
      <c r="BG66" s="2949"/>
      <c r="BH66" s="2949">
        <f>IF(BE75+BH60-BH65&lt;=$L$77,BH60-BH65,$L$77-BE75)</f>
        <v>0</v>
      </c>
      <c r="BI66" s="2949"/>
      <c r="BJ66" s="2949"/>
      <c r="BK66" s="2949">
        <f>IF(BH75+BK60-BK65&lt;=$L$77,BK60-BK65,$L$77-BH75)</f>
        <v>0</v>
      </c>
      <c r="BL66" s="2949"/>
      <c r="BM66" s="2949"/>
      <c r="BN66" s="2949">
        <f>IF(BK75+BN60-BN65&lt;=$L$77,BN60-BN65,$L$77-BK75)</f>
        <v>0</v>
      </c>
      <c r="BO66" s="2949"/>
      <c r="BP66" s="2949"/>
      <c r="BQ66" s="2949">
        <f>IF(BN75+BQ60-BQ65&lt;=$L$77,BQ60-BQ65,$L$77-BN75)</f>
        <v>0</v>
      </c>
      <c r="BR66" s="2949"/>
      <c r="BS66" s="2949"/>
      <c r="BT66" s="2949">
        <f>IF(BQ75+BT60-BT65&lt;=$L$77,BT60-BT65,$L$77-BQ75)</f>
        <v>0</v>
      </c>
      <c r="BU66" s="2949"/>
      <c r="BV66" s="2949"/>
      <c r="BW66" s="2949">
        <f>IF(BT75+BW60-BW65&lt;=$L$77,BW60-BW65,$L$77-BT75)</f>
        <v>0</v>
      </c>
      <c r="BX66" s="2949"/>
      <c r="BY66" s="2949"/>
      <c r="BZ66" s="2949">
        <f>IF(BW75+BZ60-BZ65&lt;=$L$77,BZ60-BZ65,$L$77-BW75)</f>
        <v>0</v>
      </c>
      <c r="CA66" s="2949"/>
      <c r="CB66" s="2949"/>
      <c r="CC66" s="2949">
        <f>IF(BZ75+CC60-CC65&lt;=$L$77,CC60-CC65,$L$77-BZ75)</f>
        <v>0</v>
      </c>
      <c r="CD66" s="2949"/>
      <c r="CE66" s="2949"/>
      <c r="CF66" s="2949">
        <f>IF(CC75+CF60-CF65&lt;=$L$77,CF60-CF65,$L$77-CC75)</f>
        <v>0</v>
      </c>
      <c r="CG66" s="2949"/>
      <c r="CH66" s="2949"/>
      <c r="CI66" s="2949">
        <f>IF(CF75+CI60-CI65&lt;=$L$77,CI60-CI65,$L$77-CF75)</f>
        <v>0</v>
      </c>
      <c r="CJ66" s="2949"/>
      <c r="CK66" s="2949"/>
      <c r="CL66" s="2949">
        <f>IF(CI75+CL60-CL65&lt;=$L$77,CL60-CL65,$L$77-CI75)</f>
        <v>0</v>
      </c>
      <c r="CM66" s="2949"/>
      <c r="CN66" s="2949"/>
      <c r="CO66" s="2949">
        <f>IF(CL75+CO60-CO65&lt;=$L$77,CO60-CO65,$L$77-CL75)</f>
        <v>0</v>
      </c>
      <c r="CP66" s="2949"/>
      <c r="CQ66" s="2949"/>
      <c r="CR66" s="2949">
        <f>IF(CO75+CR60-CR65&lt;=$L$77,CR60-CR65,$L$77-CO75)</f>
        <v>0</v>
      </c>
      <c r="CS66" s="2949"/>
      <c r="CT66" s="2949"/>
      <c r="CU66" s="2949">
        <f>IF(CR75+CU60-CU65&lt;=$L$77,CU60-CU65,$L$77-CR75)</f>
        <v>0</v>
      </c>
      <c r="CV66" s="2949"/>
      <c r="CW66" s="2949"/>
      <c r="CX66" s="2949">
        <f>IF(CU75+CX60-CX65&lt;=$L$77,CX60-CX65,$L$77-CU75)</f>
        <v>0</v>
      </c>
      <c r="CY66" s="2949"/>
      <c r="CZ66" s="2949"/>
      <c r="DA66" s="2949">
        <f>IF(CX75+DA60-DA65&lt;=$L$77,DA60-DA65,$L$77-CX75)</f>
        <v>0</v>
      </c>
      <c r="DB66" s="2949"/>
      <c r="DC66" s="2949"/>
      <c r="DD66" s="2949">
        <f>IF(DA75+DD60-DD65&lt;=$L$77,DD60-DD65,$L$77-DA75)</f>
        <v>0</v>
      </c>
      <c r="DE66" s="2949"/>
      <c r="DF66" s="2949"/>
      <c r="DG66" s="2949">
        <f>IF(DD75+DG60-DG65&lt;=$L$77,DG60-DG65,$L$77-DD75)</f>
        <v>0</v>
      </c>
      <c r="DH66" s="2949"/>
      <c r="DI66" s="2949"/>
      <c r="DJ66" s="2949">
        <f>IF(DG75+DJ60-DJ65&lt;=$L$77,DJ60-DJ65,$L$77-DG75)</f>
        <v>0</v>
      </c>
      <c r="DK66" s="2949"/>
      <c r="DL66" s="2949"/>
      <c r="DM66" s="2949">
        <f>IF(DJ75+DM60-DM65&lt;=$L$77,DM60-DM65,$L$77-DJ75)</f>
        <v>0</v>
      </c>
      <c r="DN66" s="2949"/>
      <c r="DO66" s="2949"/>
      <c r="DP66" s="2949">
        <f>IF(DM75+DP60-DP65&lt;=$L$77,DP60-DP65,$L$77-DM75)</f>
        <v>0</v>
      </c>
      <c r="DQ66" s="2949"/>
      <c r="DR66" s="2949"/>
      <c r="DS66" s="2949">
        <f>IF(DP75+DS60-DS65&lt;=$L$77,DS60-DS65,$L$77-DP75)</f>
        <v>0</v>
      </c>
      <c r="DT66" s="2949"/>
      <c r="DU66" s="2949"/>
      <c r="DV66" s="2949">
        <f>IF(DS75+DV60-DV65&lt;=$L$77,DV60-DV65,$L$77-DS75)</f>
        <v>0</v>
      </c>
      <c r="DW66" s="2949"/>
      <c r="DX66" s="2949"/>
      <c r="DY66" s="2949">
        <f>IF(DV75+DY60-DY65&lt;=$L$77,DY60-DY65,$L$77-DV75)</f>
        <v>0</v>
      </c>
      <c r="DZ66" s="2949"/>
      <c r="EA66" s="2950"/>
      <c r="EB66" s="78"/>
    </row>
    <row r="67" spans="2:132" s="58" customFormat="1" ht="36" customHeight="1">
      <c r="B67" s="2960" t="s">
        <v>3809</v>
      </c>
      <c r="C67" s="2961"/>
      <c r="D67" s="2961"/>
      <c r="E67" s="2961"/>
      <c r="F67" s="2961"/>
      <c r="G67" s="2961"/>
      <c r="H67" s="2961"/>
      <c r="I67" s="2961"/>
      <c r="J67" s="2961"/>
      <c r="K67" s="3073"/>
      <c r="L67" s="3093">
        <f>+L60-L65-L66</f>
        <v>348372</v>
      </c>
      <c r="M67" s="3094"/>
      <c r="N67" s="3094"/>
      <c r="O67" s="3094">
        <f>+O60-O65-O66</f>
        <v>357081.3</v>
      </c>
      <c r="P67" s="3094"/>
      <c r="Q67" s="3094"/>
      <c r="R67" s="3094">
        <f>+R60-R65-R66</f>
        <v>366008.33249999996</v>
      </c>
      <c r="S67" s="3094"/>
      <c r="T67" s="3094"/>
      <c r="U67" s="3094">
        <f>+U60-U65-U66</f>
        <v>375158.54081249988</v>
      </c>
      <c r="V67" s="3094"/>
      <c r="W67" s="3094"/>
      <c r="X67" s="3094">
        <f>+X60-X65-X66</f>
        <v>384537.50433281239</v>
      </c>
      <c r="Y67" s="3094"/>
      <c r="Z67" s="3094"/>
      <c r="AA67" s="3094">
        <f>+AA60-AA65-AA66</f>
        <v>394150.94194113265</v>
      </c>
      <c r="AB67" s="3094"/>
      <c r="AC67" s="3094"/>
      <c r="AD67" s="3094">
        <f>+AD60-AD65-AD66</f>
        <v>404004.71548966086</v>
      </c>
      <c r="AE67" s="3094"/>
      <c r="AF67" s="3094"/>
      <c r="AG67" s="3094">
        <f>+AG60-AG65-AG66</f>
        <v>414104.83337690239</v>
      </c>
      <c r="AH67" s="3094"/>
      <c r="AI67" s="3094"/>
      <c r="AJ67" s="3094">
        <f>+AJ60-AJ65-AJ66</f>
        <v>424457.45421132492</v>
      </c>
      <c r="AK67" s="3094"/>
      <c r="AL67" s="3094"/>
      <c r="AM67" s="3094">
        <f>+AM60-AM65-AM66</f>
        <v>435068.89056660794</v>
      </c>
      <c r="AN67" s="3094"/>
      <c r="AO67" s="3094"/>
      <c r="AP67" s="3094">
        <f>+AP60-AP65-AP66</f>
        <v>445945.61283077317</v>
      </c>
      <c r="AQ67" s="3094"/>
      <c r="AR67" s="3094"/>
      <c r="AS67" s="3094">
        <f>+AS60-AS65-AS66</f>
        <v>457094.25315154239</v>
      </c>
      <c r="AT67" s="3094"/>
      <c r="AU67" s="3094"/>
      <c r="AV67" s="3094">
        <f>+AV60-AV65-AV66</f>
        <v>468521.60948033095</v>
      </c>
      <c r="AW67" s="3094"/>
      <c r="AX67" s="3094"/>
      <c r="AY67" s="3094">
        <f>+AY60-AY65-AY66</f>
        <v>480234.6497173392</v>
      </c>
      <c r="AZ67" s="3094"/>
      <c r="BA67" s="3094"/>
      <c r="BB67" s="3094">
        <f>+BB60-BB65-BB66</f>
        <v>492240.51596027263</v>
      </c>
      <c r="BC67" s="3094"/>
      <c r="BD67" s="3094"/>
      <c r="BE67" s="3094">
        <f>+BE60-BE65-BE66</f>
        <v>504546.52885927935</v>
      </c>
      <c r="BF67" s="3094"/>
      <c r="BG67" s="3094"/>
      <c r="BH67" s="3094">
        <f>+BH60-BH65-BH66</f>
        <v>517160.19208076119</v>
      </c>
      <c r="BI67" s="3094"/>
      <c r="BJ67" s="3094"/>
      <c r="BK67" s="3094">
        <f>+BK60-BK65-BK66</f>
        <v>530089.19688278041</v>
      </c>
      <c r="BL67" s="3094"/>
      <c r="BM67" s="3094"/>
      <c r="BN67" s="3094">
        <f>+BN60-BN65-BN66</f>
        <v>543341.42680484976</v>
      </c>
      <c r="BO67" s="3094"/>
      <c r="BP67" s="3094"/>
      <c r="BQ67" s="3094">
        <f>+BQ60-BQ65-BQ66</f>
        <v>556924.96247497108</v>
      </c>
      <c r="BR67" s="3094"/>
      <c r="BS67" s="3094"/>
      <c r="BT67" s="3094">
        <f>+BT60-BT65-BT66</f>
        <v>570848.08653684531</v>
      </c>
      <c r="BU67" s="3094"/>
      <c r="BV67" s="3094"/>
      <c r="BW67" s="3094">
        <f>+BW60-BW65-BW66</f>
        <v>585119.28870026628</v>
      </c>
      <c r="BX67" s="3094"/>
      <c r="BY67" s="3094"/>
      <c r="BZ67" s="3094">
        <f>+BZ60-BZ65-BZ66</f>
        <v>599747.2709177729</v>
      </c>
      <c r="CA67" s="3094"/>
      <c r="CB67" s="3094"/>
      <c r="CC67" s="3094">
        <f>+CC60-CC65-CC66</f>
        <v>614740.9526907173</v>
      </c>
      <c r="CD67" s="3094"/>
      <c r="CE67" s="3094"/>
      <c r="CF67" s="3094">
        <f>+CF60-CF65-CF66</f>
        <v>630109.47650798515</v>
      </c>
      <c r="CG67" s="3094"/>
      <c r="CH67" s="3094"/>
      <c r="CI67" s="3094">
        <f>+CI60-CI65-CI66</f>
        <v>645862.21342068468</v>
      </c>
      <c r="CJ67" s="3094"/>
      <c r="CK67" s="3094"/>
      <c r="CL67" s="3094">
        <f>+CL60-CL65-CL66</f>
        <v>662008.76875620172</v>
      </c>
      <c r="CM67" s="3094"/>
      <c r="CN67" s="3094"/>
      <c r="CO67" s="3094">
        <f>+CO60-CO65-CO66</f>
        <v>678558.98797510681</v>
      </c>
      <c r="CP67" s="3094"/>
      <c r="CQ67" s="3094"/>
      <c r="CR67" s="3094">
        <f>+CR60-CR65-CR66</f>
        <v>695522.96267448436</v>
      </c>
      <c r="CS67" s="3094"/>
      <c r="CT67" s="3094"/>
      <c r="CU67" s="3094">
        <f>+CU60-CU65-CU66</f>
        <v>712911.03674134635</v>
      </c>
      <c r="CV67" s="3094"/>
      <c r="CW67" s="3094"/>
      <c r="CX67" s="3094">
        <f>+CX60-CX65-CX66</f>
        <v>730733.81265988003</v>
      </c>
      <c r="CY67" s="3094"/>
      <c r="CZ67" s="3094"/>
      <c r="DA67" s="3094">
        <f>+DA60-DA65-DA66</f>
        <v>749002.15797637694</v>
      </c>
      <c r="DB67" s="3094"/>
      <c r="DC67" s="3094"/>
      <c r="DD67" s="3094">
        <f>+DD60-DD65-DD66</f>
        <v>767727.21192578634</v>
      </c>
      <c r="DE67" s="3094"/>
      <c r="DF67" s="3094"/>
      <c r="DG67" s="3094">
        <f>+DG60-DG65-DG66</f>
        <v>786920.3922239308</v>
      </c>
      <c r="DH67" s="3094"/>
      <c r="DI67" s="3094"/>
      <c r="DJ67" s="3094">
        <f>+DJ60-DJ65-DJ66</f>
        <v>806593.40202952921</v>
      </c>
      <c r="DK67" s="3094"/>
      <c r="DL67" s="3094"/>
      <c r="DM67" s="3094">
        <f>+DM60-DM65-DM66</f>
        <v>826758.23708026716</v>
      </c>
      <c r="DN67" s="3094"/>
      <c r="DO67" s="3094"/>
      <c r="DP67" s="3094">
        <f>+DP60-DP65-DP66</f>
        <v>847427.19300727383</v>
      </c>
      <c r="DQ67" s="3094"/>
      <c r="DR67" s="3094"/>
      <c r="DS67" s="3094">
        <f>+DS60-DS65-DS66</f>
        <v>868612.87283245567</v>
      </c>
      <c r="DT67" s="3094"/>
      <c r="DU67" s="3094"/>
      <c r="DV67" s="3094">
        <f>+DV60-DV65-DV66</f>
        <v>890328.19465326704</v>
      </c>
      <c r="DW67" s="3094"/>
      <c r="DX67" s="3094"/>
      <c r="DY67" s="3094">
        <f>+DY60-DY65-DY66</f>
        <v>912586.39951959834</v>
      </c>
      <c r="DZ67" s="3094"/>
      <c r="EA67" s="3095"/>
      <c r="EB67" s="78"/>
    </row>
    <row r="68" spans="2:132" s="58" customFormat="1" ht="18" customHeight="1">
      <c r="B68" s="3052" t="s">
        <v>3810</v>
      </c>
      <c r="C68" s="3053"/>
      <c r="D68" s="3053"/>
      <c r="E68" s="3053"/>
      <c r="F68" s="3053"/>
      <c r="G68" s="3053"/>
      <c r="H68" s="3053"/>
      <c r="I68" s="3053"/>
      <c r="J68" s="3102">
        <v>0.5</v>
      </c>
      <c r="K68" s="3103"/>
      <c r="L68" s="3099">
        <f>+$J68*L67</f>
        <v>174186</v>
      </c>
      <c r="M68" s="3092"/>
      <c r="N68" s="3092"/>
      <c r="O68" s="3092">
        <f>+$J68*O67</f>
        <v>178540.65</v>
      </c>
      <c r="P68" s="3092"/>
      <c r="Q68" s="3092"/>
      <c r="R68" s="3092">
        <f>+$J68*R67</f>
        <v>183004.16624999998</v>
      </c>
      <c r="S68" s="3092"/>
      <c r="T68" s="3092"/>
      <c r="U68" s="3092">
        <f>+$J68*U67</f>
        <v>187579.27040624994</v>
      </c>
      <c r="V68" s="3092"/>
      <c r="W68" s="3092"/>
      <c r="X68" s="3092">
        <f>+$J68*X67</f>
        <v>192268.75216640619</v>
      </c>
      <c r="Y68" s="3092"/>
      <c r="Z68" s="3092"/>
      <c r="AA68" s="3092">
        <f>+$J68*AA67</f>
        <v>197075.47097056633</v>
      </c>
      <c r="AB68" s="3092"/>
      <c r="AC68" s="3092"/>
      <c r="AD68" s="3092">
        <f>+$J68*AD67</f>
        <v>202002.35774483043</v>
      </c>
      <c r="AE68" s="3092"/>
      <c r="AF68" s="3092"/>
      <c r="AG68" s="3092">
        <f>+$J68*AG67</f>
        <v>207052.41668845119</v>
      </c>
      <c r="AH68" s="3092"/>
      <c r="AI68" s="3092"/>
      <c r="AJ68" s="3092">
        <f>+$J68*AJ67</f>
        <v>212228.72710566246</v>
      </c>
      <c r="AK68" s="3092"/>
      <c r="AL68" s="3092"/>
      <c r="AM68" s="3092">
        <f>+$J68*AM67</f>
        <v>217534.44528330397</v>
      </c>
      <c r="AN68" s="3092"/>
      <c r="AO68" s="3092"/>
      <c r="AP68" s="3092">
        <f>+$J68*AP67</f>
        <v>222972.80641538659</v>
      </c>
      <c r="AQ68" s="3092"/>
      <c r="AR68" s="3092"/>
      <c r="AS68" s="3092">
        <f>+$J68*AS67</f>
        <v>228547.1265757712</v>
      </c>
      <c r="AT68" s="3092"/>
      <c r="AU68" s="3092"/>
      <c r="AV68" s="3092">
        <f>+$J68*AV67</f>
        <v>234260.80474016548</v>
      </c>
      <c r="AW68" s="3092"/>
      <c r="AX68" s="3092"/>
      <c r="AY68" s="3092">
        <f>+$J68*AY67</f>
        <v>240117.3248586696</v>
      </c>
      <c r="AZ68" s="3092"/>
      <c r="BA68" s="3092"/>
      <c r="BB68" s="3092">
        <f>+$J68*BB67</f>
        <v>246120.25798013632</v>
      </c>
      <c r="BC68" s="3092"/>
      <c r="BD68" s="3092"/>
      <c r="BE68" s="3092">
        <f>+$J68*BE67</f>
        <v>252273.26442963968</v>
      </c>
      <c r="BF68" s="3092"/>
      <c r="BG68" s="3092"/>
      <c r="BH68" s="3092">
        <f>+$J68*BH67</f>
        <v>258580.09604038059</v>
      </c>
      <c r="BI68" s="3092"/>
      <c r="BJ68" s="3092"/>
      <c r="BK68" s="3092">
        <f>+$J68*BK67</f>
        <v>265044.5984413902</v>
      </c>
      <c r="BL68" s="3092"/>
      <c r="BM68" s="3092"/>
      <c r="BN68" s="3092">
        <f>+$J68*BN67</f>
        <v>271670.71340242488</v>
      </c>
      <c r="BO68" s="3092"/>
      <c r="BP68" s="3092"/>
      <c r="BQ68" s="3092">
        <f>+$J68*BQ67</f>
        <v>278462.48123748554</v>
      </c>
      <c r="BR68" s="3092"/>
      <c r="BS68" s="3092"/>
      <c r="BT68" s="3092">
        <f>+$J68*BT67</f>
        <v>285424.04326842265</v>
      </c>
      <c r="BU68" s="3092"/>
      <c r="BV68" s="3092"/>
      <c r="BW68" s="3092">
        <f>+$J68*BW67</f>
        <v>292559.64435013314</v>
      </c>
      <c r="BX68" s="3092"/>
      <c r="BY68" s="3092"/>
      <c r="BZ68" s="3092">
        <f>+$J68*BZ67</f>
        <v>299873.63545888645</v>
      </c>
      <c r="CA68" s="3092"/>
      <c r="CB68" s="3092"/>
      <c r="CC68" s="3092">
        <f>+$J68*CC67</f>
        <v>307370.47634535865</v>
      </c>
      <c r="CD68" s="3092"/>
      <c r="CE68" s="3092"/>
      <c r="CF68" s="3092">
        <f>+$J68*CF67</f>
        <v>315054.73825399257</v>
      </c>
      <c r="CG68" s="3092"/>
      <c r="CH68" s="3092"/>
      <c r="CI68" s="3092">
        <f>+$J68*CI67</f>
        <v>322931.10671034234</v>
      </c>
      <c r="CJ68" s="3092"/>
      <c r="CK68" s="3092"/>
      <c r="CL68" s="3092">
        <f>+$J68*CL67</f>
        <v>331004.38437810086</v>
      </c>
      <c r="CM68" s="3092"/>
      <c r="CN68" s="3092"/>
      <c r="CO68" s="3092">
        <f>+$J68*CO67</f>
        <v>339279.4939875534</v>
      </c>
      <c r="CP68" s="3092"/>
      <c r="CQ68" s="3092"/>
      <c r="CR68" s="3092">
        <f>+$J68*CR67</f>
        <v>347761.48133724218</v>
      </c>
      <c r="CS68" s="3092"/>
      <c r="CT68" s="3092"/>
      <c r="CU68" s="3092">
        <f>+$J68*CU67</f>
        <v>356455.51837067318</v>
      </c>
      <c r="CV68" s="3092"/>
      <c r="CW68" s="3092"/>
      <c r="CX68" s="3092">
        <f>+$J68*CX67</f>
        <v>365366.90632994001</v>
      </c>
      <c r="CY68" s="3092"/>
      <c r="CZ68" s="3092"/>
      <c r="DA68" s="3092">
        <f>+$J68*DA67</f>
        <v>374501.07898818847</v>
      </c>
      <c r="DB68" s="3092"/>
      <c r="DC68" s="3092"/>
      <c r="DD68" s="3092">
        <f>+$J68*DD67</f>
        <v>383863.60596289317</v>
      </c>
      <c r="DE68" s="3092"/>
      <c r="DF68" s="3092"/>
      <c r="DG68" s="3092">
        <f>+$J68*DG67</f>
        <v>393460.1961119654</v>
      </c>
      <c r="DH68" s="3092"/>
      <c r="DI68" s="3092"/>
      <c r="DJ68" s="3092">
        <f>+$J68*DJ67</f>
        <v>403296.70101476461</v>
      </c>
      <c r="DK68" s="3092"/>
      <c r="DL68" s="3092"/>
      <c r="DM68" s="3092">
        <f>+$J68*DM67</f>
        <v>413379.11854013358</v>
      </c>
      <c r="DN68" s="3092"/>
      <c r="DO68" s="3092"/>
      <c r="DP68" s="3092">
        <f>+$J68*DP67</f>
        <v>423713.59650363692</v>
      </c>
      <c r="DQ68" s="3092"/>
      <c r="DR68" s="3092"/>
      <c r="DS68" s="3092">
        <f>+$J68*DS67</f>
        <v>434306.43641622784</v>
      </c>
      <c r="DT68" s="3092"/>
      <c r="DU68" s="3092"/>
      <c r="DV68" s="3092">
        <f>+$J68*DV67</f>
        <v>445164.09732663352</v>
      </c>
      <c r="DW68" s="3092"/>
      <c r="DX68" s="3092"/>
      <c r="DY68" s="3092">
        <f>+$J68*DY67</f>
        <v>456293.19975979917</v>
      </c>
      <c r="DZ68" s="3092"/>
      <c r="EA68" s="3106"/>
      <c r="EB68" s="78"/>
    </row>
    <row r="69" spans="2:132" s="58" customFormat="1" ht="18" customHeight="1">
      <c r="B69" s="3052" t="s">
        <v>3811</v>
      </c>
      <c r="C69" s="3053"/>
      <c r="D69" s="3053"/>
      <c r="E69" s="3053"/>
      <c r="F69" s="3053"/>
      <c r="G69" s="3053"/>
      <c r="H69" s="3053"/>
      <c r="I69" s="3053"/>
      <c r="J69" s="3102">
        <v>0.5</v>
      </c>
      <c r="K69" s="3103"/>
      <c r="L69" s="3100">
        <f>+$J69*L67</f>
        <v>174186</v>
      </c>
      <c r="M69" s="3101"/>
      <c r="N69" s="3101"/>
      <c r="O69" s="3101">
        <f>+$J69*O67</f>
        <v>178540.65</v>
      </c>
      <c r="P69" s="3101"/>
      <c r="Q69" s="3101"/>
      <c r="R69" s="3101">
        <f>+$J69*R67</f>
        <v>183004.16624999998</v>
      </c>
      <c r="S69" s="3101"/>
      <c r="T69" s="3101"/>
      <c r="U69" s="3101">
        <f>+$J69*U67</f>
        <v>187579.27040624994</v>
      </c>
      <c r="V69" s="3101"/>
      <c r="W69" s="3101"/>
      <c r="X69" s="3101">
        <f>+$J69*X67</f>
        <v>192268.75216640619</v>
      </c>
      <c r="Y69" s="3101"/>
      <c r="Z69" s="3101"/>
      <c r="AA69" s="3101">
        <f>+$J69*AA67</f>
        <v>197075.47097056633</v>
      </c>
      <c r="AB69" s="3101"/>
      <c r="AC69" s="3101"/>
      <c r="AD69" s="3101">
        <f>+$J69*AD67</f>
        <v>202002.35774483043</v>
      </c>
      <c r="AE69" s="3101"/>
      <c r="AF69" s="3101"/>
      <c r="AG69" s="3101">
        <f>+$J69*AG67</f>
        <v>207052.41668845119</v>
      </c>
      <c r="AH69" s="3101"/>
      <c r="AI69" s="3101"/>
      <c r="AJ69" s="3101">
        <f>+$J69*AJ67</f>
        <v>212228.72710566246</v>
      </c>
      <c r="AK69" s="3101"/>
      <c r="AL69" s="3101"/>
      <c r="AM69" s="3101">
        <f>+$J69*AM67</f>
        <v>217534.44528330397</v>
      </c>
      <c r="AN69" s="3101"/>
      <c r="AO69" s="3101"/>
      <c r="AP69" s="3101">
        <f>+$J69*AP67</f>
        <v>222972.80641538659</v>
      </c>
      <c r="AQ69" s="3101"/>
      <c r="AR69" s="3101"/>
      <c r="AS69" s="3101">
        <f>+$J69*AS67</f>
        <v>228547.1265757712</v>
      </c>
      <c r="AT69" s="3101"/>
      <c r="AU69" s="3101"/>
      <c r="AV69" s="3101">
        <f>+$J69*AV67</f>
        <v>234260.80474016548</v>
      </c>
      <c r="AW69" s="3101"/>
      <c r="AX69" s="3101"/>
      <c r="AY69" s="3101">
        <f>+$J69*AY67</f>
        <v>240117.3248586696</v>
      </c>
      <c r="AZ69" s="3101"/>
      <c r="BA69" s="3101"/>
      <c r="BB69" s="3101">
        <f>+$J69*BB67</f>
        <v>246120.25798013632</v>
      </c>
      <c r="BC69" s="3101"/>
      <c r="BD69" s="3101"/>
      <c r="BE69" s="3101">
        <f>+$J69*BE67</f>
        <v>252273.26442963968</v>
      </c>
      <c r="BF69" s="3101"/>
      <c r="BG69" s="3101"/>
      <c r="BH69" s="3101">
        <f>+$J69*BH67</f>
        <v>258580.09604038059</v>
      </c>
      <c r="BI69" s="3101"/>
      <c r="BJ69" s="3101"/>
      <c r="BK69" s="3101">
        <f>+$J69*BK67</f>
        <v>265044.5984413902</v>
      </c>
      <c r="BL69" s="3101"/>
      <c r="BM69" s="3101"/>
      <c r="BN69" s="3101">
        <f>+$J69*BN67</f>
        <v>271670.71340242488</v>
      </c>
      <c r="BO69" s="3101"/>
      <c r="BP69" s="3101"/>
      <c r="BQ69" s="3101">
        <f>+$J69*BQ67</f>
        <v>278462.48123748554</v>
      </c>
      <c r="BR69" s="3101"/>
      <c r="BS69" s="3101"/>
      <c r="BT69" s="3101">
        <f>+$J69*BT67</f>
        <v>285424.04326842265</v>
      </c>
      <c r="BU69" s="3101"/>
      <c r="BV69" s="3101"/>
      <c r="BW69" s="3101">
        <f>+$J69*BW67</f>
        <v>292559.64435013314</v>
      </c>
      <c r="BX69" s="3101"/>
      <c r="BY69" s="3101"/>
      <c r="BZ69" s="3101">
        <f>+$J69*BZ67</f>
        <v>299873.63545888645</v>
      </c>
      <c r="CA69" s="3101"/>
      <c r="CB69" s="3101"/>
      <c r="CC69" s="3101">
        <f>+$J69*CC67</f>
        <v>307370.47634535865</v>
      </c>
      <c r="CD69" s="3101"/>
      <c r="CE69" s="3101"/>
      <c r="CF69" s="3101">
        <f>+$J69*CF67</f>
        <v>315054.73825399257</v>
      </c>
      <c r="CG69" s="3101"/>
      <c r="CH69" s="3101"/>
      <c r="CI69" s="3101">
        <f>+$J69*CI67</f>
        <v>322931.10671034234</v>
      </c>
      <c r="CJ69" s="3101"/>
      <c r="CK69" s="3101"/>
      <c r="CL69" s="3101">
        <f>+$J69*CL67</f>
        <v>331004.38437810086</v>
      </c>
      <c r="CM69" s="3101"/>
      <c r="CN69" s="3101"/>
      <c r="CO69" s="3101">
        <f>+$J69*CO67</f>
        <v>339279.4939875534</v>
      </c>
      <c r="CP69" s="3101"/>
      <c r="CQ69" s="3101"/>
      <c r="CR69" s="3101">
        <f>+$J69*CR67</f>
        <v>347761.48133724218</v>
      </c>
      <c r="CS69" s="3101"/>
      <c r="CT69" s="3101"/>
      <c r="CU69" s="3101">
        <f>+$J69*CU67</f>
        <v>356455.51837067318</v>
      </c>
      <c r="CV69" s="3101"/>
      <c r="CW69" s="3101"/>
      <c r="CX69" s="3101">
        <f>+$J69*CX67</f>
        <v>365366.90632994001</v>
      </c>
      <c r="CY69" s="3101"/>
      <c r="CZ69" s="3101"/>
      <c r="DA69" s="3101">
        <f>+$J69*DA67</f>
        <v>374501.07898818847</v>
      </c>
      <c r="DB69" s="3101"/>
      <c r="DC69" s="3101"/>
      <c r="DD69" s="3101">
        <f>+$J69*DD67</f>
        <v>383863.60596289317</v>
      </c>
      <c r="DE69" s="3101"/>
      <c r="DF69" s="3101"/>
      <c r="DG69" s="3101">
        <f>+$J69*DG67</f>
        <v>393460.1961119654</v>
      </c>
      <c r="DH69" s="3101"/>
      <c r="DI69" s="3101"/>
      <c r="DJ69" s="3101">
        <f>+$J69*DJ67</f>
        <v>403296.70101476461</v>
      </c>
      <c r="DK69" s="3101"/>
      <c r="DL69" s="3101"/>
      <c r="DM69" s="3101">
        <f>+$J69*DM67</f>
        <v>413379.11854013358</v>
      </c>
      <c r="DN69" s="3101"/>
      <c r="DO69" s="3101"/>
      <c r="DP69" s="3101">
        <f>+$J69*DP67</f>
        <v>423713.59650363692</v>
      </c>
      <c r="DQ69" s="3101"/>
      <c r="DR69" s="3101"/>
      <c r="DS69" s="3101">
        <f>+$J69*DS67</f>
        <v>434306.43641622784</v>
      </c>
      <c r="DT69" s="3101"/>
      <c r="DU69" s="3101"/>
      <c r="DV69" s="3101">
        <f>+$J69*DV67</f>
        <v>445164.09732663352</v>
      </c>
      <c r="DW69" s="3101"/>
      <c r="DX69" s="3101"/>
      <c r="DY69" s="3101">
        <f>+$J69*DY67</f>
        <v>456293.19975979917</v>
      </c>
      <c r="DZ69" s="3101"/>
      <c r="EA69" s="3107"/>
      <c r="EB69" s="78"/>
    </row>
    <row r="70" spans="2:132" s="58" customFormat="1" ht="18" customHeight="1">
      <c r="B70" s="3104" t="s">
        <v>3812</v>
      </c>
      <c r="C70" s="3105"/>
      <c r="D70" s="3105"/>
      <c r="E70" s="3105"/>
      <c r="F70" s="3105"/>
      <c r="G70" s="3105"/>
      <c r="H70" s="3105"/>
      <c r="I70" s="3105"/>
      <c r="J70" s="3102">
        <v>0</v>
      </c>
      <c r="K70" s="3103"/>
      <c r="L70" s="3100">
        <f>+$J70*L67</f>
        <v>0</v>
      </c>
      <c r="M70" s="3101"/>
      <c r="N70" s="3101"/>
      <c r="O70" s="3101">
        <f>+$J70*O67</f>
        <v>0</v>
      </c>
      <c r="P70" s="3101"/>
      <c r="Q70" s="3101"/>
      <c r="R70" s="3101">
        <f>+$J70*R67</f>
        <v>0</v>
      </c>
      <c r="S70" s="3101"/>
      <c r="T70" s="3101"/>
      <c r="U70" s="3101">
        <f>+$J70*U67</f>
        <v>0</v>
      </c>
      <c r="V70" s="3101"/>
      <c r="W70" s="3101"/>
      <c r="X70" s="3101">
        <f>+$J70*X67</f>
        <v>0</v>
      </c>
      <c r="Y70" s="3101"/>
      <c r="Z70" s="3101"/>
      <c r="AA70" s="3101">
        <f>+$J70*AA67</f>
        <v>0</v>
      </c>
      <c r="AB70" s="3101"/>
      <c r="AC70" s="3101"/>
      <c r="AD70" s="3101">
        <f>+$J70*AD67</f>
        <v>0</v>
      </c>
      <c r="AE70" s="3101"/>
      <c r="AF70" s="3101"/>
      <c r="AG70" s="3101">
        <f>+$J70*AG67</f>
        <v>0</v>
      </c>
      <c r="AH70" s="3101"/>
      <c r="AI70" s="3101"/>
      <c r="AJ70" s="3101">
        <f>+$J70*AJ67</f>
        <v>0</v>
      </c>
      <c r="AK70" s="3101"/>
      <c r="AL70" s="3101"/>
      <c r="AM70" s="3101">
        <f>+$J70*AM67</f>
        <v>0</v>
      </c>
      <c r="AN70" s="3101"/>
      <c r="AO70" s="3101"/>
      <c r="AP70" s="3101">
        <f>+$J70*AP67</f>
        <v>0</v>
      </c>
      <c r="AQ70" s="3101"/>
      <c r="AR70" s="3101"/>
      <c r="AS70" s="3101">
        <f>+$J70*AS67</f>
        <v>0</v>
      </c>
      <c r="AT70" s="3101"/>
      <c r="AU70" s="3101"/>
      <c r="AV70" s="3101">
        <f>+$J70*AV67</f>
        <v>0</v>
      </c>
      <c r="AW70" s="3101"/>
      <c r="AX70" s="3101"/>
      <c r="AY70" s="3101">
        <f>+$J70*AY67</f>
        <v>0</v>
      </c>
      <c r="AZ70" s="3101"/>
      <c r="BA70" s="3101"/>
      <c r="BB70" s="3101">
        <f>+$J70*BB67</f>
        <v>0</v>
      </c>
      <c r="BC70" s="3101"/>
      <c r="BD70" s="3101"/>
      <c r="BE70" s="3101">
        <f>+$J70*BE67</f>
        <v>0</v>
      </c>
      <c r="BF70" s="3101"/>
      <c r="BG70" s="3101"/>
      <c r="BH70" s="3101">
        <f>+$J70*BH67</f>
        <v>0</v>
      </c>
      <c r="BI70" s="3101"/>
      <c r="BJ70" s="3101"/>
      <c r="BK70" s="3101">
        <f>+$J70*BK67</f>
        <v>0</v>
      </c>
      <c r="BL70" s="3101"/>
      <c r="BM70" s="3101"/>
      <c r="BN70" s="3101">
        <f>+$J70*BN67</f>
        <v>0</v>
      </c>
      <c r="BO70" s="3101"/>
      <c r="BP70" s="3101"/>
      <c r="BQ70" s="3101">
        <f>+$J70*BQ67</f>
        <v>0</v>
      </c>
      <c r="BR70" s="3101"/>
      <c r="BS70" s="3101"/>
      <c r="BT70" s="3101">
        <f>+$J70*BT67</f>
        <v>0</v>
      </c>
      <c r="BU70" s="3101"/>
      <c r="BV70" s="3101"/>
      <c r="BW70" s="3101">
        <f>+$J70*BW67</f>
        <v>0</v>
      </c>
      <c r="BX70" s="3101"/>
      <c r="BY70" s="3101"/>
      <c r="BZ70" s="3101">
        <f>+$J70*BZ67</f>
        <v>0</v>
      </c>
      <c r="CA70" s="3101"/>
      <c r="CB70" s="3101"/>
      <c r="CC70" s="3101">
        <f>+$J70*CC67</f>
        <v>0</v>
      </c>
      <c r="CD70" s="3101"/>
      <c r="CE70" s="3101"/>
      <c r="CF70" s="3101">
        <f>+$J70*CF67</f>
        <v>0</v>
      </c>
      <c r="CG70" s="3101"/>
      <c r="CH70" s="3101"/>
      <c r="CI70" s="3101">
        <f>+$J70*CI67</f>
        <v>0</v>
      </c>
      <c r="CJ70" s="3101"/>
      <c r="CK70" s="3101"/>
      <c r="CL70" s="3101">
        <f>+$J70*CL67</f>
        <v>0</v>
      </c>
      <c r="CM70" s="3101"/>
      <c r="CN70" s="3101"/>
      <c r="CO70" s="3101">
        <f>+$J70*CO67</f>
        <v>0</v>
      </c>
      <c r="CP70" s="3101"/>
      <c r="CQ70" s="3101"/>
      <c r="CR70" s="3101">
        <f>+$J70*CR67</f>
        <v>0</v>
      </c>
      <c r="CS70" s="3101"/>
      <c r="CT70" s="3101"/>
      <c r="CU70" s="3101">
        <f>+$J70*CU67</f>
        <v>0</v>
      </c>
      <c r="CV70" s="3101"/>
      <c r="CW70" s="3101"/>
      <c r="CX70" s="3101">
        <f>+$J70*CX67</f>
        <v>0</v>
      </c>
      <c r="CY70" s="3101"/>
      <c r="CZ70" s="3101"/>
      <c r="DA70" s="3101">
        <f>+$J70*DA67</f>
        <v>0</v>
      </c>
      <c r="DB70" s="3101"/>
      <c r="DC70" s="3101"/>
      <c r="DD70" s="3101">
        <f>+$J70*DD67</f>
        <v>0</v>
      </c>
      <c r="DE70" s="3101"/>
      <c r="DF70" s="3101"/>
      <c r="DG70" s="3101">
        <f>+$J70*DG67</f>
        <v>0</v>
      </c>
      <c r="DH70" s="3101"/>
      <c r="DI70" s="3101"/>
      <c r="DJ70" s="3101">
        <f>+$J70*DJ67</f>
        <v>0</v>
      </c>
      <c r="DK70" s="3101"/>
      <c r="DL70" s="3101"/>
      <c r="DM70" s="3101">
        <f>+$J70*DM67</f>
        <v>0</v>
      </c>
      <c r="DN70" s="3101"/>
      <c r="DO70" s="3101"/>
      <c r="DP70" s="3101">
        <f>+$J70*DP67</f>
        <v>0</v>
      </c>
      <c r="DQ70" s="3101"/>
      <c r="DR70" s="3101"/>
      <c r="DS70" s="3101">
        <f>+$J70*DS67</f>
        <v>0</v>
      </c>
      <c r="DT70" s="3101"/>
      <c r="DU70" s="3101"/>
      <c r="DV70" s="3101">
        <f>+$J70*DV67</f>
        <v>0</v>
      </c>
      <c r="DW70" s="3101"/>
      <c r="DX70" s="3101"/>
      <c r="DY70" s="3101">
        <f>+$J70*DY67</f>
        <v>0</v>
      </c>
      <c r="DZ70" s="3101"/>
      <c r="EA70" s="3107"/>
      <c r="EB70" s="78"/>
    </row>
    <row r="71" spans="2:132" s="58" customFormat="1" ht="18" customHeight="1">
      <c r="B71" s="3104" t="s">
        <v>3812</v>
      </c>
      <c r="C71" s="3105"/>
      <c r="D71" s="3105"/>
      <c r="E71" s="3105"/>
      <c r="F71" s="3105"/>
      <c r="G71" s="3105"/>
      <c r="H71" s="3105"/>
      <c r="I71" s="3105"/>
      <c r="J71" s="3102">
        <v>0</v>
      </c>
      <c r="K71" s="3103"/>
      <c r="L71" s="3100">
        <f>+$J71*L67</f>
        <v>0</v>
      </c>
      <c r="M71" s="3101"/>
      <c r="N71" s="3101"/>
      <c r="O71" s="3101">
        <f>+$J71*O67</f>
        <v>0</v>
      </c>
      <c r="P71" s="3101"/>
      <c r="Q71" s="3101"/>
      <c r="R71" s="3101">
        <f>+$J71*R67</f>
        <v>0</v>
      </c>
      <c r="S71" s="3101"/>
      <c r="T71" s="3101"/>
      <c r="U71" s="3101">
        <f>+$J71*U67</f>
        <v>0</v>
      </c>
      <c r="V71" s="3101"/>
      <c r="W71" s="3101"/>
      <c r="X71" s="3101">
        <f>+$J71*X67</f>
        <v>0</v>
      </c>
      <c r="Y71" s="3101"/>
      <c r="Z71" s="3101"/>
      <c r="AA71" s="3101">
        <f>+$J71*AA67</f>
        <v>0</v>
      </c>
      <c r="AB71" s="3101"/>
      <c r="AC71" s="3101"/>
      <c r="AD71" s="3101">
        <f>+$J71*AD67</f>
        <v>0</v>
      </c>
      <c r="AE71" s="3101"/>
      <c r="AF71" s="3101"/>
      <c r="AG71" s="3101">
        <f>+$J71*AG67</f>
        <v>0</v>
      </c>
      <c r="AH71" s="3101"/>
      <c r="AI71" s="3101"/>
      <c r="AJ71" s="3101">
        <f>+$J71*AJ67</f>
        <v>0</v>
      </c>
      <c r="AK71" s="3101"/>
      <c r="AL71" s="3101"/>
      <c r="AM71" s="3101">
        <f>+$J71*AM67</f>
        <v>0</v>
      </c>
      <c r="AN71" s="3101"/>
      <c r="AO71" s="3101"/>
      <c r="AP71" s="3101">
        <f>+$J71*AP67</f>
        <v>0</v>
      </c>
      <c r="AQ71" s="3101"/>
      <c r="AR71" s="3101"/>
      <c r="AS71" s="3101">
        <f>+$J71*AS67</f>
        <v>0</v>
      </c>
      <c r="AT71" s="3101"/>
      <c r="AU71" s="3101"/>
      <c r="AV71" s="3101">
        <f>+$J71*AV67</f>
        <v>0</v>
      </c>
      <c r="AW71" s="3101"/>
      <c r="AX71" s="3101"/>
      <c r="AY71" s="3101">
        <f>+$J71*AY67</f>
        <v>0</v>
      </c>
      <c r="AZ71" s="3101"/>
      <c r="BA71" s="3101"/>
      <c r="BB71" s="3101">
        <f>+$J71*BB67</f>
        <v>0</v>
      </c>
      <c r="BC71" s="3101"/>
      <c r="BD71" s="3101"/>
      <c r="BE71" s="3101">
        <f>+$J71*BE67</f>
        <v>0</v>
      </c>
      <c r="BF71" s="3101"/>
      <c r="BG71" s="3101"/>
      <c r="BH71" s="3101">
        <f>+$J71*BH67</f>
        <v>0</v>
      </c>
      <c r="BI71" s="3101"/>
      <c r="BJ71" s="3101"/>
      <c r="BK71" s="3101">
        <f>+$J71*BK67</f>
        <v>0</v>
      </c>
      <c r="BL71" s="3101"/>
      <c r="BM71" s="3101"/>
      <c r="BN71" s="3101">
        <f>+$J71*BN67</f>
        <v>0</v>
      </c>
      <c r="BO71" s="3101"/>
      <c r="BP71" s="3101"/>
      <c r="BQ71" s="3101">
        <f>+$J71*BQ67</f>
        <v>0</v>
      </c>
      <c r="BR71" s="3101"/>
      <c r="BS71" s="3101"/>
      <c r="BT71" s="3101">
        <f>+$J71*BT67</f>
        <v>0</v>
      </c>
      <c r="BU71" s="3101"/>
      <c r="BV71" s="3101"/>
      <c r="BW71" s="3101">
        <f>+$J71*BW67</f>
        <v>0</v>
      </c>
      <c r="BX71" s="3101"/>
      <c r="BY71" s="3101"/>
      <c r="BZ71" s="3101">
        <f>+$J71*BZ67</f>
        <v>0</v>
      </c>
      <c r="CA71" s="3101"/>
      <c r="CB71" s="3101"/>
      <c r="CC71" s="3101">
        <f>+$J71*CC67</f>
        <v>0</v>
      </c>
      <c r="CD71" s="3101"/>
      <c r="CE71" s="3101"/>
      <c r="CF71" s="3101">
        <f>+$J71*CF67</f>
        <v>0</v>
      </c>
      <c r="CG71" s="3101"/>
      <c r="CH71" s="3101"/>
      <c r="CI71" s="3101">
        <f>+$J71*CI67</f>
        <v>0</v>
      </c>
      <c r="CJ71" s="3101"/>
      <c r="CK71" s="3101"/>
      <c r="CL71" s="3101">
        <f>+$J71*CL67</f>
        <v>0</v>
      </c>
      <c r="CM71" s="3101"/>
      <c r="CN71" s="3101"/>
      <c r="CO71" s="3101">
        <f>+$J71*CO67</f>
        <v>0</v>
      </c>
      <c r="CP71" s="3101"/>
      <c r="CQ71" s="3101"/>
      <c r="CR71" s="3101">
        <f>+$J71*CR67</f>
        <v>0</v>
      </c>
      <c r="CS71" s="3101"/>
      <c r="CT71" s="3101"/>
      <c r="CU71" s="3101">
        <f>+$J71*CU67</f>
        <v>0</v>
      </c>
      <c r="CV71" s="3101"/>
      <c r="CW71" s="3101"/>
      <c r="CX71" s="3101">
        <f>+$J71*CX67</f>
        <v>0</v>
      </c>
      <c r="CY71" s="3101"/>
      <c r="CZ71" s="3101"/>
      <c r="DA71" s="3101">
        <f>+$J71*DA67</f>
        <v>0</v>
      </c>
      <c r="DB71" s="3101"/>
      <c r="DC71" s="3101"/>
      <c r="DD71" s="3101">
        <f>+$J71*DD67</f>
        <v>0</v>
      </c>
      <c r="DE71" s="3101"/>
      <c r="DF71" s="3101"/>
      <c r="DG71" s="3101">
        <f>+$J71*DG67</f>
        <v>0</v>
      </c>
      <c r="DH71" s="3101"/>
      <c r="DI71" s="3101"/>
      <c r="DJ71" s="3101">
        <f>+$J71*DJ67</f>
        <v>0</v>
      </c>
      <c r="DK71" s="3101"/>
      <c r="DL71" s="3101"/>
      <c r="DM71" s="3101">
        <f>+$J71*DM67</f>
        <v>0</v>
      </c>
      <c r="DN71" s="3101"/>
      <c r="DO71" s="3101"/>
      <c r="DP71" s="3101">
        <f>+$J71*DP67</f>
        <v>0</v>
      </c>
      <c r="DQ71" s="3101"/>
      <c r="DR71" s="3101"/>
      <c r="DS71" s="3101">
        <f>+$J71*DS67</f>
        <v>0</v>
      </c>
      <c r="DT71" s="3101"/>
      <c r="DU71" s="3101"/>
      <c r="DV71" s="3101">
        <f>+$J71*DV67</f>
        <v>0</v>
      </c>
      <c r="DW71" s="3101"/>
      <c r="DX71" s="3101"/>
      <c r="DY71" s="3101">
        <f>+$J71*DY67</f>
        <v>0</v>
      </c>
      <c r="DZ71" s="3101"/>
      <c r="EA71" s="3107"/>
      <c r="EB71" s="78"/>
    </row>
    <row r="72" spans="2:132" s="58" customFormat="1" ht="18" customHeight="1">
      <c r="B72" s="3104" t="s">
        <v>3812</v>
      </c>
      <c r="C72" s="3105"/>
      <c r="D72" s="3105"/>
      <c r="E72" s="3105"/>
      <c r="F72" s="3105"/>
      <c r="G72" s="3105"/>
      <c r="H72" s="3105"/>
      <c r="I72" s="3105"/>
      <c r="J72" s="3102">
        <v>0</v>
      </c>
      <c r="K72" s="3103"/>
      <c r="L72" s="3100">
        <f>+$J72*L67</f>
        <v>0</v>
      </c>
      <c r="M72" s="3101"/>
      <c r="N72" s="3101"/>
      <c r="O72" s="3101">
        <f>+$J72*O67</f>
        <v>0</v>
      </c>
      <c r="P72" s="3101"/>
      <c r="Q72" s="3101"/>
      <c r="R72" s="3101">
        <f>+$J72*R67</f>
        <v>0</v>
      </c>
      <c r="S72" s="3101"/>
      <c r="T72" s="3101"/>
      <c r="U72" s="3101">
        <f>+$J72*U67</f>
        <v>0</v>
      </c>
      <c r="V72" s="3101"/>
      <c r="W72" s="3101"/>
      <c r="X72" s="3101">
        <f>+$J72*X67</f>
        <v>0</v>
      </c>
      <c r="Y72" s="3101"/>
      <c r="Z72" s="3101"/>
      <c r="AA72" s="3101">
        <f>+$J72*AA67</f>
        <v>0</v>
      </c>
      <c r="AB72" s="3101"/>
      <c r="AC72" s="3101"/>
      <c r="AD72" s="3101">
        <f>+$J72*AD67</f>
        <v>0</v>
      </c>
      <c r="AE72" s="3101"/>
      <c r="AF72" s="3101"/>
      <c r="AG72" s="3101">
        <f>+$J72*AG67</f>
        <v>0</v>
      </c>
      <c r="AH72" s="3101"/>
      <c r="AI72" s="3101"/>
      <c r="AJ72" s="3101">
        <f>+$J72*AJ67</f>
        <v>0</v>
      </c>
      <c r="AK72" s="3101"/>
      <c r="AL72" s="3101"/>
      <c r="AM72" s="3101">
        <f>+$J72*AM67</f>
        <v>0</v>
      </c>
      <c r="AN72" s="3101"/>
      <c r="AO72" s="3101"/>
      <c r="AP72" s="3101">
        <f>+$J72*AP67</f>
        <v>0</v>
      </c>
      <c r="AQ72" s="3101"/>
      <c r="AR72" s="3101"/>
      <c r="AS72" s="3101">
        <f>+$J72*AS67</f>
        <v>0</v>
      </c>
      <c r="AT72" s="3101"/>
      <c r="AU72" s="3101"/>
      <c r="AV72" s="3101">
        <f>+$J72*AV67</f>
        <v>0</v>
      </c>
      <c r="AW72" s="3101"/>
      <c r="AX72" s="3101"/>
      <c r="AY72" s="3101">
        <f>+$J72*AY67</f>
        <v>0</v>
      </c>
      <c r="AZ72" s="3101"/>
      <c r="BA72" s="3101"/>
      <c r="BB72" s="3101">
        <f>+$J72*BB67</f>
        <v>0</v>
      </c>
      <c r="BC72" s="3101"/>
      <c r="BD72" s="3101"/>
      <c r="BE72" s="3101">
        <f>+$J72*BE67</f>
        <v>0</v>
      </c>
      <c r="BF72" s="3101"/>
      <c r="BG72" s="3101"/>
      <c r="BH72" s="3101">
        <f>+$J72*BH67</f>
        <v>0</v>
      </c>
      <c r="BI72" s="3101"/>
      <c r="BJ72" s="3101"/>
      <c r="BK72" s="3101">
        <f>+$J72*BK67</f>
        <v>0</v>
      </c>
      <c r="BL72" s="3101"/>
      <c r="BM72" s="3101"/>
      <c r="BN72" s="3101">
        <f>+$J72*BN67</f>
        <v>0</v>
      </c>
      <c r="BO72" s="3101"/>
      <c r="BP72" s="3101"/>
      <c r="BQ72" s="3101">
        <f>+$J72*BQ67</f>
        <v>0</v>
      </c>
      <c r="BR72" s="3101"/>
      <c r="BS72" s="3101"/>
      <c r="BT72" s="3101">
        <f>+$J72*BT67</f>
        <v>0</v>
      </c>
      <c r="BU72" s="3101"/>
      <c r="BV72" s="3101"/>
      <c r="BW72" s="3101">
        <f>+$J72*BW67</f>
        <v>0</v>
      </c>
      <c r="BX72" s="3101"/>
      <c r="BY72" s="3101"/>
      <c r="BZ72" s="3101">
        <f>+$J72*BZ67</f>
        <v>0</v>
      </c>
      <c r="CA72" s="3101"/>
      <c r="CB72" s="3101"/>
      <c r="CC72" s="3101">
        <f>+$J72*CC67</f>
        <v>0</v>
      </c>
      <c r="CD72" s="3101"/>
      <c r="CE72" s="3101"/>
      <c r="CF72" s="3101">
        <f>+$J72*CF67</f>
        <v>0</v>
      </c>
      <c r="CG72" s="3101"/>
      <c r="CH72" s="3101"/>
      <c r="CI72" s="3101">
        <f>+$J72*CI67</f>
        <v>0</v>
      </c>
      <c r="CJ72" s="3101"/>
      <c r="CK72" s="3101"/>
      <c r="CL72" s="3101">
        <f>+$J72*CL67</f>
        <v>0</v>
      </c>
      <c r="CM72" s="3101"/>
      <c r="CN72" s="3101"/>
      <c r="CO72" s="3101">
        <f>+$J72*CO67</f>
        <v>0</v>
      </c>
      <c r="CP72" s="3101"/>
      <c r="CQ72" s="3101"/>
      <c r="CR72" s="3101">
        <f>+$J72*CR67</f>
        <v>0</v>
      </c>
      <c r="CS72" s="3101"/>
      <c r="CT72" s="3101"/>
      <c r="CU72" s="3101">
        <f>+$J72*CU67</f>
        <v>0</v>
      </c>
      <c r="CV72" s="3101"/>
      <c r="CW72" s="3101"/>
      <c r="CX72" s="3101">
        <f>+$J72*CX67</f>
        <v>0</v>
      </c>
      <c r="CY72" s="3101"/>
      <c r="CZ72" s="3101"/>
      <c r="DA72" s="3101">
        <f>+$J72*DA67</f>
        <v>0</v>
      </c>
      <c r="DB72" s="3101"/>
      <c r="DC72" s="3101"/>
      <c r="DD72" s="3101">
        <f>+$J72*DD67</f>
        <v>0</v>
      </c>
      <c r="DE72" s="3101"/>
      <c r="DF72" s="3101"/>
      <c r="DG72" s="3101">
        <f>+$J72*DG67</f>
        <v>0</v>
      </c>
      <c r="DH72" s="3101"/>
      <c r="DI72" s="3101"/>
      <c r="DJ72" s="3101">
        <f>+$J72*DJ67</f>
        <v>0</v>
      </c>
      <c r="DK72" s="3101"/>
      <c r="DL72" s="3101"/>
      <c r="DM72" s="3101">
        <f>+$J72*DM67</f>
        <v>0</v>
      </c>
      <c r="DN72" s="3101"/>
      <c r="DO72" s="3101"/>
      <c r="DP72" s="3101">
        <f>+$J72*DP67</f>
        <v>0</v>
      </c>
      <c r="DQ72" s="3101"/>
      <c r="DR72" s="3101"/>
      <c r="DS72" s="3101">
        <f>+$J72*DS67</f>
        <v>0</v>
      </c>
      <c r="DT72" s="3101"/>
      <c r="DU72" s="3101"/>
      <c r="DV72" s="3101">
        <f>+$J72*DV67</f>
        <v>0</v>
      </c>
      <c r="DW72" s="3101"/>
      <c r="DX72" s="3101"/>
      <c r="DY72" s="3101">
        <f>+$J72*DY67</f>
        <v>0</v>
      </c>
      <c r="DZ72" s="3101"/>
      <c r="EA72" s="3107"/>
      <c r="EB72" s="78"/>
    </row>
    <row r="73" spans="2:132" s="58" customFormat="1" ht="18" customHeight="1">
      <c r="B73" s="3104" t="s">
        <v>3812</v>
      </c>
      <c r="C73" s="3105"/>
      <c r="D73" s="3105"/>
      <c r="E73" s="3105"/>
      <c r="F73" s="3105"/>
      <c r="G73" s="3105"/>
      <c r="H73" s="3105"/>
      <c r="I73" s="3105"/>
      <c r="J73" s="3102">
        <v>0</v>
      </c>
      <c r="K73" s="3103"/>
      <c r="L73" s="3100">
        <f>+$J73*L67</f>
        <v>0</v>
      </c>
      <c r="M73" s="3101"/>
      <c r="N73" s="3101"/>
      <c r="O73" s="3101">
        <f>+$J73*O67</f>
        <v>0</v>
      </c>
      <c r="P73" s="3101"/>
      <c r="Q73" s="3101"/>
      <c r="R73" s="3101">
        <f>+$J73*R67</f>
        <v>0</v>
      </c>
      <c r="S73" s="3101"/>
      <c r="T73" s="3101"/>
      <c r="U73" s="3101">
        <f>+$J73*U67</f>
        <v>0</v>
      </c>
      <c r="V73" s="3101"/>
      <c r="W73" s="3101"/>
      <c r="X73" s="3101">
        <f>+$J73*X67</f>
        <v>0</v>
      </c>
      <c r="Y73" s="3101"/>
      <c r="Z73" s="3101"/>
      <c r="AA73" s="3101">
        <f>+$J73*AA67</f>
        <v>0</v>
      </c>
      <c r="AB73" s="3101"/>
      <c r="AC73" s="3101"/>
      <c r="AD73" s="3101">
        <f>+$J73*AD67</f>
        <v>0</v>
      </c>
      <c r="AE73" s="3101"/>
      <c r="AF73" s="3101"/>
      <c r="AG73" s="3101">
        <f>+$J73*AG67</f>
        <v>0</v>
      </c>
      <c r="AH73" s="3101"/>
      <c r="AI73" s="3101"/>
      <c r="AJ73" s="3101">
        <f>+$J73*AJ67</f>
        <v>0</v>
      </c>
      <c r="AK73" s="3101"/>
      <c r="AL73" s="3101"/>
      <c r="AM73" s="3101">
        <f>+$J73*AM67</f>
        <v>0</v>
      </c>
      <c r="AN73" s="3101"/>
      <c r="AO73" s="3101"/>
      <c r="AP73" s="3101">
        <f>+$J73*AP67</f>
        <v>0</v>
      </c>
      <c r="AQ73" s="3101"/>
      <c r="AR73" s="3101"/>
      <c r="AS73" s="3101">
        <f>+$J73*AS67</f>
        <v>0</v>
      </c>
      <c r="AT73" s="3101"/>
      <c r="AU73" s="3101"/>
      <c r="AV73" s="3101">
        <f>+$J73*AV67</f>
        <v>0</v>
      </c>
      <c r="AW73" s="3101"/>
      <c r="AX73" s="3101"/>
      <c r="AY73" s="3101">
        <f>+$J73*AY67</f>
        <v>0</v>
      </c>
      <c r="AZ73" s="3101"/>
      <c r="BA73" s="3101"/>
      <c r="BB73" s="3101">
        <f>+$J73*BB67</f>
        <v>0</v>
      </c>
      <c r="BC73" s="3101"/>
      <c r="BD73" s="3101"/>
      <c r="BE73" s="3101">
        <f>+$J73*BE67</f>
        <v>0</v>
      </c>
      <c r="BF73" s="3101"/>
      <c r="BG73" s="3101"/>
      <c r="BH73" s="3101">
        <f>+$J73*BH67</f>
        <v>0</v>
      </c>
      <c r="BI73" s="3101"/>
      <c r="BJ73" s="3101"/>
      <c r="BK73" s="3101">
        <f>+$J73*BK67</f>
        <v>0</v>
      </c>
      <c r="BL73" s="3101"/>
      <c r="BM73" s="3101"/>
      <c r="BN73" s="3101">
        <f>+$J73*BN67</f>
        <v>0</v>
      </c>
      <c r="BO73" s="3101"/>
      <c r="BP73" s="3101"/>
      <c r="BQ73" s="3101">
        <f>+$J73*BQ67</f>
        <v>0</v>
      </c>
      <c r="BR73" s="3101"/>
      <c r="BS73" s="3101"/>
      <c r="BT73" s="3101">
        <f>+$J73*BT67</f>
        <v>0</v>
      </c>
      <c r="BU73" s="3101"/>
      <c r="BV73" s="3101"/>
      <c r="BW73" s="3101">
        <f>+$J73*BW67</f>
        <v>0</v>
      </c>
      <c r="BX73" s="3101"/>
      <c r="BY73" s="3101"/>
      <c r="BZ73" s="3101">
        <f>+$J73*BZ67</f>
        <v>0</v>
      </c>
      <c r="CA73" s="3101"/>
      <c r="CB73" s="3101"/>
      <c r="CC73" s="3101">
        <f>+$J73*CC67</f>
        <v>0</v>
      </c>
      <c r="CD73" s="3101"/>
      <c r="CE73" s="3101"/>
      <c r="CF73" s="3101">
        <f>+$J73*CF67</f>
        <v>0</v>
      </c>
      <c r="CG73" s="3101"/>
      <c r="CH73" s="3101"/>
      <c r="CI73" s="3101">
        <f>+$J73*CI67</f>
        <v>0</v>
      </c>
      <c r="CJ73" s="3101"/>
      <c r="CK73" s="3101"/>
      <c r="CL73" s="3101">
        <f>+$J73*CL67</f>
        <v>0</v>
      </c>
      <c r="CM73" s="3101"/>
      <c r="CN73" s="3101"/>
      <c r="CO73" s="3101">
        <f>+$J73*CO67</f>
        <v>0</v>
      </c>
      <c r="CP73" s="3101"/>
      <c r="CQ73" s="3101"/>
      <c r="CR73" s="3101">
        <f>+$J73*CR67</f>
        <v>0</v>
      </c>
      <c r="CS73" s="3101"/>
      <c r="CT73" s="3101"/>
      <c r="CU73" s="3101">
        <f>+$J73*CU67</f>
        <v>0</v>
      </c>
      <c r="CV73" s="3101"/>
      <c r="CW73" s="3101"/>
      <c r="CX73" s="3101">
        <f>+$J73*CX67</f>
        <v>0</v>
      </c>
      <c r="CY73" s="3101"/>
      <c r="CZ73" s="3101"/>
      <c r="DA73" s="3101">
        <f>+$J73*DA67</f>
        <v>0</v>
      </c>
      <c r="DB73" s="3101"/>
      <c r="DC73" s="3101"/>
      <c r="DD73" s="3101">
        <f>+$J73*DD67</f>
        <v>0</v>
      </c>
      <c r="DE73" s="3101"/>
      <c r="DF73" s="3101"/>
      <c r="DG73" s="3101">
        <f>+$J73*DG67</f>
        <v>0</v>
      </c>
      <c r="DH73" s="3101"/>
      <c r="DI73" s="3101"/>
      <c r="DJ73" s="3101">
        <f>+$J73*DJ67</f>
        <v>0</v>
      </c>
      <c r="DK73" s="3101"/>
      <c r="DL73" s="3101"/>
      <c r="DM73" s="3101">
        <f>+$J73*DM67</f>
        <v>0</v>
      </c>
      <c r="DN73" s="3101"/>
      <c r="DO73" s="3101"/>
      <c r="DP73" s="3101">
        <f>+$J73*DP67</f>
        <v>0</v>
      </c>
      <c r="DQ73" s="3101"/>
      <c r="DR73" s="3101"/>
      <c r="DS73" s="3101">
        <f>+$J73*DS67</f>
        <v>0</v>
      </c>
      <c r="DT73" s="3101"/>
      <c r="DU73" s="3101"/>
      <c r="DV73" s="3101">
        <f>+$J73*DV67</f>
        <v>0</v>
      </c>
      <c r="DW73" s="3101"/>
      <c r="DX73" s="3101"/>
      <c r="DY73" s="3101">
        <f>+$J73*DY67</f>
        <v>0</v>
      </c>
      <c r="DZ73" s="3101"/>
      <c r="EA73" s="3107"/>
      <c r="EB73" s="78"/>
    </row>
    <row r="74" spans="2:132" s="58" customFormat="1" ht="18" customHeight="1">
      <c r="B74" s="3052" t="s">
        <v>3813</v>
      </c>
      <c r="C74" s="3053"/>
      <c r="D74" s="3053"/>
      <c r="E74" s="3053"/>
      <c r="F74" s="3053"/>
      <c r="G74" s="3053"/>
      <c r="H74" s="3053"/>
      <c r="I74" s="3053"/>
      <c r="J74" s="2964">
        <v>3.5000000000000003E-2</v>
      </c>
      <c r="K74" s="2965"/>
      <c r="L74" s="3006">
        <f>'Operating Budget'!$E$142</f>
        <v>0</v>
      </c>
      <c r="M74" s="2949"/>
      <c r="N74" s="2949"/>
      <c r="O74" s="2949">
        <f>(1+$J$74)*L74</f>
        <v>0</v>
      </c>
      <c r="P74" s="2949"/>
      <c r="Q74" s="2949"/>
      <c r="R74" s="2949">
        <f>(1+$J$74)*O74</f>
        <v>0</v>
      </c>
      <c r="S74" s="2949"/>
      <c r="T74" s="2949"/>
      <c r="U74" s="2949">
        <f>(1+$J$74)*R74</f>
        <v>0</v>
      </c>
      <c r="V74" s="2949"/>
      <c r="W74" s="2949"/>
      <c r="X74" s="2949">
        <f>(1+$J$74)*U74</f>
        <v>0</v>
      </c>
      <c r="Y74" s="2949"/>
      <c r="Z74" s="2949"/>
      <c r="AA74" s="2949">
        <f>(1+$J$74)*X74</f>
        <v>0</v>
      </c>
      <c r="AB74" s="2949"/>
      <c r="AC74" s="2949"/>
      <c r="AD74" s="2949">
        <f>(1+$J$74)*AA74</f>
        <v>0</v>
      </c>
      <c r="AE74" s="2949"/>
      <c r="AF74" s="2949"/>
      <c r="AG74" s="2949">
        <f>(1+$J$74)*AD74</f>
        <v>0</v>
      </c>
      <c r="AH74" s="2949"/>
      <c r="AI74" s="2949"/>
      <c r="AJ74" s="2949">
        <f>(1+$J$74)*AG74</f>
        <v>0</v>
      </c>
      <c r="AK74" s="2949"/>
      <c r="AL74" s="2949"/>
      <c r="AM74" s="2949">
        <f>(1+$J$74)*AJ74</f>
        <v>0</v>
      </c>
      <c r="AN74" s="2949"/>
      <c r="AO74" s="2949"/>
      <c r="AP74" s="2949">
        <f>(1+$J$74)*AM74</f>
        <v>0</v>
      </c>
      <c r="AQ74" s="2949"/>
      <c r="AR74" s="2949"/>
      <c r="AS74" s="2949">
        <f>(1+$J$74)*AP74</f>
        <v>0</v>
      </c>
      <c r="AT74" s="2949"/>
      <c r="AU74" s="2949"/>
      <c r="AV74" s="2949">
        <f>(1+$J$74)*AS74</f>
        <v>0</v>
      </c>
      <c r="AW74" s="2949"/>
      <c r="AX74" s="2949"/>
      <c r="AY74" s="2949">
        <f>(1+$J$74)*AV74</f>
        <v>0</v>
      </c>
      <c r="AZ74" s="2949"/>
      <c r="BA74" s="2949"/>
      <c r="BB74" s="2949">
        <f>(1+$J$74)*AY74</f>
        <v>0</v>
      </c>
      <c r="BC74" s="2949"/>
      <c r="BD74" s="2949"/>
      <c r="BE74" s="2949">
        <f>(1+$J$74)*BB74</f>
        <v>0</v>
      </c>
      <c r="BF74" s="2949"/>
      <c r="BG74" s="2949"/>
      <c r="BH74" s="2949">
        <f>(1+$J$74)*BE74</f>
        <v>0</v>
      </c>
      <c r="BI74" s="2949"/>
      <c r="BJ74" s="2949"/>
      <c r="BK74" s="2949">
        <f>(1+$J$74)*BH74</f>
        <v>0</v>
      </c>
      <c r="BL74" s="2949"/>
      <c r="BM74" s="2949"/>
      <c r="BN74" s="2949">
        <f>(1+$J$74)*BK74</f>
        <v>0</v>
      </c>
      <c r="BO74" s="2949"/>
      <c r="BP74" s="2949"/>
      <c r="BQ74" s="2949">
        <f>(1+$J$74)*BN74</f>
        <v>0</v>
      </c>
      <c r="BR74" s="2949"/>
      <c r="BS74" s="2949"/>
      <c r="BT74" s="2949">
        <f>(1+$J$74)*BQ74</f>
        <v>0</v>
      </c>
      <c r="BU74" s="2949"/>
      <c r="BV74" s="2949"/>
      <c r="BW74" s="2949">
        <f>(1+$J$74)*BT74</f>
        <v>0</v>
      </c>
      <c r="BX74" s="2949"/>
      <c r="BY74" s="2949"/>
      <c r="BZ74" s="2949">
        <f>(1+$J$74)*BW74</f>
        <v>0</v>
      </c>
      <c r="CA74" s="2949"/>
      <c r="CB74" s="2949"/>
      <c r="CC74" s="2949">
        <f>(1+$J$74)*BZ74</f>
        <v>0</v>
      </c>
      <c r="CD74" s="2949"/>
      <c r="CE74" s="2949"/>
      <c r="CF74" s="2949">
        <f>(1+$J$74)*CC74</f>
        <v>0</v>
      </c>
      <c r="CG74" s="2949"/>
      <c r="CH74" s="2949"/>
      <c r="CI74" s="2949">
        <f>(1+$J$74)*CF74</f>
        <v>0</v>
      </c>
      <c r="CJ74" s="2949"/>
      <c r="CK74" s="2949"/>
      <c r="CL74" s="2949">
        <f>(1+$J$74)*CI74</f>
        <v>0</v>
      </c>
      <c r="CM74" s="2949"/>
      <c r="CN74" s="2949"/>
      <c r="CO74" s="2949">
        <f>(1+$J$74)*CL74</f>
        <v>0</v>
      </c>
      <c r="CP74" s="2949"/>
      <c r="CQ74" s="2949"/>
      <c r="CR74" s="2949">
        <f>(1+$J$74)*CO74</f>
        <v>0</v>
      </c>
      <c r="CS74" s="2949"/>
      <c r="CT74" s="2949"/>
      <c r="CU74" s="2949">
        <f>(1+$J$74)*CR74</f>
        <v>0</v>
      </c>
      <c r="CV74" s="2949"/>
      <c r="CW74" s="2949"/>
      <c r="CX74" s="2949">
        <f>(1+$J$74)*CU74</f>
        <v>0</v>
      </c>
      <c r="CY74" s="2949"/>
      <c r="CZ74" s="2949"/>
      <c r="DA74" s="2949">
        <f>(1+$J$74)*CX74</f>
        <v>0</v>
      </c>
      <c r="DB74" s="2949"/>
      <c r="DC74" s="2949"/>
      <c r="DD74" s="2949">
        <f>(1+$J$74)*DA74</f>
        <v>0</v>
      </c>
      <c r="DE74" s="2949"/>
      <c r="DF74" s="2949"/>
      <c r="DG74" s="2949">
        <f>(1+$J$74)*DD74</f>
        <v>0</v>
      </c>
      <c r="DH74" s="2949"/>
      <c r="DI74" s="2949"/>
      <c r="DJ74" s="2949">
        <f>(1+$J$74)*DG74</f>
        <v>0</v>
      </c>
      <c r="DK74" s="2949"/>
      <c r="DL74" s="2949"/>
      <c r="DM74" s="2949">
        <f>(1+$J$74)*DJ74</f>
        <v>0</v>
      </c>
      <c r="DN74" s="2949"/>
      <c r="DO74" s="2949"/>
      <c r="DP74" s="2949">
        <f>(1+$J$74)*DM74</f>
        <v>0</v>
      </c>
      <c r="DQ74" s="2949"/>
      <c r="DR74" s="2949"/>
      <c r="DS74" s="2949">
        <f>(1+$J$74)*DP74</f>
        <v>0</v>
      </c>
      <c r="DT74" s="2949"/>
      <c r="DU74" s="2949"/>
      <c r="DV74" s="2949">
        <f>(1+$J$74)*DS74</f>
        <v>0</v>
      </c>
      <c r="DW74" s="2949"/>
      <c r="DX74" s="2949"/>
      <c r="DY74" s="2949">
        <f>(1+$J$74)*DV74</f>
        <v>0</v>
      </c>
      <c r="DZ74" s="2949"/>
      <c r="EA74" s="2950"/>
      <c r="EB74" s="78"/>
    </row>
    <row r="75" spans="2:132" s="58" customFormat="1" ht="18" customHeight="1">
      <c r="B75" s="3096" t="s">
        <v>3814</v>
      </c>
      <c r="C75" s="3097"/>
      <c r="D75" s="3097"/>
      <c r="E75" s="3097"/>
      <c r="F75" s="3097"/>
      <c r="G75" s="3097"/>
      <c r="H75" s="3097"/>
      <c r="I75" s="3097"/>
      <c r="J75" s="3097"/>
      <c r="K75" s="3098"/>
      <c r="L75" s="3108">
        <f>+L66</f>
        <v>0</v>
      </c>
      <c r="M75" s="3109"/>
      <c r="N75" s="3109"/>
      <c r="O75" s="3109">
        <f>+L75+O66</f>
        <v>0</v>
      </c>
      <c r="P75" s="3109"/>
      <c r="Q75" s="3109"/>
      <c r="R75" s="3109">
        <f>+O75+R66</f>
        <v>0</v>
      </c>
      <c r="S75" s="3109"/>
      <c r="T75" s="3109"/>
      <c r="U75" s="3109">
        <f>+R75+U66</f>
        <v>0</v>
      </c>
      <c r="V75" s="3109"/>
      <c r="W75" s="3109"/>
      <c r="X75" s="3109">
        <f>+U75+X66</f>
        <v>0</v>
      </c>
      <c r="Y75" s="3109"/>
      <c r="Z75" s="3109"/>
      <c r="AA75" s="3109">
        <f>+X75+AA66</f>
        <v>0</v>
      </c>
      <c r="AB75" s="3109"/>
      <c r="AC75" s="3109"/>
      <c r="AD75" s="3109">
        <f>+AA75+AD66</f>
        <v>0</v>
      </c>
      <c r="AE75" s="3109"/>
      <c r="AF75" s="3109"/>
      <c r="AG75" s="3109">
        <f>+AD75+AG66</f>
        <v>0</v>
      </c>
      <c r="AH75" s="3109"/>
      <c r="AI75" s="3109"/>
      <c r="AJ75" s="3109">
        <f>+AG75+AJ66</f>
        <v>0</v>
      </c>
      <c r="AK75" s="3109"/>
      <c r="AL75" s="3109"/>
      <c r="AM75" s="3109">
        <f>+AJ75+AM66</f>
        <v>0</v>
      </c>
      <c r="AN75" s="3109"/>
      <c r="AO75" s="3109"/>
      <c r="AP75" s="3109">
        <f>+AM75+AP66</f>
        <v>0</v>
      </c>
      <c r="AQ75" s="3109"/>
      <c r="AR75" s="3109"/>
      <c r="AS75" s="3109">
        <f>+AP75+AS66</f>
        <v>0</v>
      </c>
      <c r="AT75" s="3109"/>
      <c r="AU75" s="3109"/>
      <c r="AV75" s="3109">
        <f>+AS75+AV66</f>
        <v>0</v>
      </c>
      <c r="AW75" s="3109"/>
      <c r="AX75" s="3109"/>
      <c r="AY75" s="3109">
        <f>+AV75+AY66</f>
        <v>0</v>
      </c>
      <c r="AZ75" s="3109"/>
      <c r="BA75" s="3109"/>
      <c r="BB75" s="3109">
        <f>+AY75+BB66</f>
        <v>0</v>
      </c>
      <c r="BC75" s="3109"/>
      <c r="BD75" s="3109"/>
      <c r="BE75" s="3109">
        <f>+BB75+BE66</f>
        <v>0</v>
      </c>
      <c r="BF75" s="3109"/>
      <c r="BG75" s="3109"/>
      <c r="BH75" s="3109">
        <f>+BE75+BH66</f>
        <v>0</v>
      </c>
      <c r="BI75" s="3109"/>
      <c r="BJ75" s="3109"/>
      <c r="BK75" s="3109">
        <f>+BH75+BK66</f>
        <v>0</v>
      </c>
      <c r="BL75" s="3109"/>
      <c r="BM75" s="3109"/>
      <c r="BN75" s="3109">
        <f>+BK75+BN66</f>
        <v>0</v>
      </c>
      <c r="BO75" s="3109"/>
      <c r="BP75" s="3109"/>
      <c r="BQ75" s="3109">
        <f>+BN75+BQ66</f>
        <v>0</v>
      </c>
      <c r="BR75" s="3109"/>
      <c r="BS75" s="3109"/>
      <c r="BT75" s="3109">
        <f>+BQ75+BT66</f>
        <v>0</v>
      </c>
      <c r="BU75" s="3109"/>
      <c r="BV75" s="3109"/>
      <c r="BW75" s="3109">
        <f>+BT75+BW66</f>
        <v>0</v>
      </c>
      <c r="BX75" s="3109"/>
      <c r="BY75" s="3109"/>
      <c r="BZ75" s="3109">
        <f>+BW75+BZ66</f>
        <v>0</v>
      </c>
      <c r="CA75" s="3109"/>
      <c r="CB75" s="3109"/>
      <c r="CC75" s="3109">
        <f>+BZ75+CC66</f>
        <v>0</v>
      </c>
      <c r="CD75" s="3109"/>
      <c r="CE75" s="3109"/>
      <c r="CF75" s="3109">
        <f>+CC75+CF66</f>
        <v>0</v>
      </c>
      <c r="CG75" s="3109"/>
      <c r="CH75" s="3109"/>
      <c r="CI75" s="3109">
        <f>+CF75+CI66</f>
        <v>0</v>
      </c>
      <c r="CJ75" s="3109"/>
      <c r="CK75" s="3109"/>
      <c r="CL75" s="3109">
        <f>+CI75+CL66</f>
        <v>0</v>
      </c>
      <c r="CM75" s="3109"/>
      <c r="CN75" s="3109"/>
      <c r="CO75" s="3109">
        <f>+CL75+CO66</f>
        <v>0</v>
      </c>
      <c r="CP75" s="3109"/>
      <c r="CQ75" s="3109"/>
      <c r="CR75" s="3109">
        <f>+CO75+CR66</f>
        <v>0</v>
      </c>
      <c r="CS75" s="3109"/>
      <c r="CT75" s="3109"/>
      <c r="CU75" s="3109">
        <f>+CR75+CU66</f>
        <v>0</v>
      </c>
      <c r="CV75" s="3109"/>
      <c r="CW75" s="3109"/>
      <c r="CX75" s="3109">
        <f>+CU75+CX66</f>
        <v>0</v>
      </c>
      <c r="CY75" s="3109"/>
      <c r="CZ75" s="3109"/>
      <c r="DA75" s="3109">
        <f>+CX75+DA66</f>
        <v>0</v>
      </c>
      <c r="DB75" s="3109"/>
      <c r="DC75" s="3109"/>
      <c r="DD75" s="3109">
        <f>+DA75+DD66</f>
        <v>0</v>
      </c>
      <c r="DE75" s="3109"/>
      <c r="DF75" s="3109"/>
      <c r="DG75" s="3109">
        <f>+DD75+DG66</f>
        <v>0</v>
      </c>
      <c r="DH75" s="3109"/>
      <c r="DI75" s="3109"/>
      <c r="DJ75" s="3109">
        <f>+DG75+DJ66</f>
        <v>0</v>
      </c>
      <c r="DK75" s="3109"/>
      <c r="DL75" s="3109"/>
      <c r="DM75" s="3109">
        <f>+DJ75+DM66</f>
        <v>0</v>
      </c>
      <c r="DN75" s="3109"/>
      <c r="DO75" s="3109"/>
      <c r="DP75" s="3109">
        <f>+DM75+DP66</f>
        <v>0</v>
      </c>
      <c r="DQ75" s="3109"/>
      <c r="DR75" s="3109"/>
      <c r="DS75" s="3109">
        <f>+DP75+DS66</f>
        <v>0</v>
      </c>
      <c r="DT75" s="3109"/>
      <c r="DU75" s="3109"/>
      <c r="DV75" s="3109">
        <f>+DS75+DV66</f>
        <v>0</v>
      </c>
      <c r="DW75" s="3109"/>
      <c r="DX75" s="3109"/>
      <c r="DY75" s="3109">
        <f>+DV75+DY66</f>
        <v>0</v>
      </c>
      <c r="DZ75" s="3109"/>
      <c r="EA75" s="3113"/>
      <c r="EB75" s="78"/>
    </row>
    <row r="76" spans="2:132" s="58" customFormat="1" ht="18" customHeight="1">
      <c r="B76" s="55"/>
      <c r="C76" s="55"/>
      <c r="D76" s="55"/>
      <c r="E76" s="55"/>
      <c r="F76" s="55"/>
      <c r="G76" s="55"/>
      <c r="H76" s="55"/>
      <c r="I76" s="55"/>
      <c r="J76" s="55"/>
      <c r="K76" s="55"/>
      <c r="L76" s="55"/>
      <c r="M76" s="55"/>
      <c r="N76" s="55"/>
      <c r="O76" s="5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c r="BC76" s="55"/>
      <c r="BD76" s="55"/>
      <c r="BE76" s="55"/>
      <c r="BF76" s="55"/>
      <c r="BG76" s="55"/>
      <c r="BH76" s="55"/>
      <c r="BI76" s="55"/>
      <c r="BJ76" s="55"/>
      <c r="BK76" s="55"/>
      <c r="BL76" s="55"/>
      <c r="BM76" s="55"/>
      <c r="BN76" s="55"/>
      <c r="BO76" s="55"/>
      <c r="BP76" s="55"/>
      <c r="BQ76" s="55"/>
      <c r="BR76" s="55"/>
      <c r="BS76" s="55"/>
      <c r="BT76" s="55"/>
      <c r="BU76" s="55"/>
      <c r="BV76" s="55"/>
      <c r="BW76" s="55"/>
      <c r="BX76" s="55"/>
      <c r="BY76" s="55"/>
      <c r="BZ76" s="55"/>
      <c r="CA76" s="55"/>
      <c r="CB76" s="55"/>
      <c r="CC76" s="55"/>
      <c r="CD76" s="55"/>
      <c r="CE76" s="55"/>
      <c r="CF76" s="55"/>
      <c r="CG76" s="55"/>
      <c r="CH76" s="55"/>
      <c r="CI76" s="55"/>
      <c r="CJ76" s="55"/>
      <c r="CK76" s="55"/>
      <c r="CL76" s="55"/>
      <c r="CM76" s="55"/>
      <c r="CN76" s="55"/>
      <c r="CO76" s="55"/>
      <c r="CP76" s="55"/>
      <c r="CQ76" s="55"/>
      <c r="CR76" s="55"/>
      <c r="CS76" s="55"/>
      <c r="CT76" s="55"/>
      <c r="CU76" s="55"/>
      <c r="CV76" s="55"/>
      <c r="CW76" s="55"/>
      <c r="CX76" s="55"/>
      <c r="CY76" s="55"/>
      <c r="CZ76" s="55"/>
      <c r="DA76" s="55"/>
      <c r="DB76" s="55"/>
      <c r="DC76" s="55"/>
      <c r="DD76" s="55"/>
      <c r="DE76" s="55"/>
      <c r="DF76" s="55"/>
      <c r="DG76" s="55"/>
      <c r="DH76" s="55"/>
      <c r="DI76" s="55"/>
      <c r="DJ76" s="55"/>
      <c r="DK76" s="55"/>
      <c r="DL76" s="55"/>
      <c r="DM76" s="55"/>
      <c r="DN76" s="55"/>
      <c r="DO76" s="55"/>
      <c r="DP76" s="55"/>
      <c r="DQ76" s="55"/>
      <c r="DR76" s="55"/>
      <c r="DS76" s="55"/>
      <c r="DT76" s="55"/>
      <c r="DU76" s="55"/>
      <c r="DV76" s="55"/>
      <c r="DW76" s="55"/>
      <c r="DX76" s="55"/>
      <c r="DY76" s="55"/>
      <c r="DZ76" s="55"/>
      <c r="EA76" s="55"/>
      <c r="EB76" s="78"/>
    </row>
    <row r="77" spans="2:132" s="58" customFormat="1" ht="54" customHeight="1">
      <c r="B77" s="2951" t="s">
        <v>3815</v>
      </c>
      <c r="C77" s="2952"/>
      <c r="D77" s="2952"/>
      <c r="E77" s="2952"/>
      <c r="F77" s="2952"/>
      <c r="G77" s="2952"/>
      <c r="H77" s="2952"/>
      <c r="I77" s="2952"/>
      <c r="J77" s="2952"/>
      <c r="K77" s="2953"/>
      <c r="L77" s="2954"/>
      <c r="M77" s="2955"/>
      <c r="N77" s="2956"/>
      <c r="O77" s="86"/>
      <c r="P77" s="86"/>
      <c r="Q77" s="86"/>
      <c r="R77" s="86"/>
      <c r="S77" s="86"/>
      <c r="T77" s="86"/>
      <c r="U77" s="86"/>
      <c r="V77" s="86"/>
      <c r="W77" s="86"/>
      <c r="X77" s="86"/>
      <c r="Y77" s="86"/>
      <c r="Z77" s="86"/>
      <c r="AA77" s="86"/>
      <c r="AB77" s="86"/>
      <c r="AC77" s="86"/>
      <c r="AD77" s="86"/>
      <c r="AE77" s="86"/>
      <c r="AF77" s="86"/>
      <c r="AG77" s="86"/>
      <c r="AH77" s="86"/>
      <c r="AI77" s="86"/>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D77" s="86"/>
      <c r="CE77" s="86"/>
      <c r="CF77" s="86"/>
      <c r="CG77" s="86"/>
      <c r="CH77" s="86"/>
      <c r="CI77" s="86"/>
      <c r="CJ77" s="86"/>
      <c r="CK77" s="86"/>
      <c r="CL77" s="86"/>
      <c r="CM77" s="86"/>
      <c r="CN77" s="86"/>
      <c r="CO77" s="86"/>
      <c r="CP77" s="86"/>
      <c r="CQ77" s="86"/>
      <c r="CR77" s="86"/>
      <c r="CS77" s="86"/>
      <c r="CT77" s="86"/>
      <c r="CU77" s="86"/>
      <c r="CV77" s="86"/>
      <c r="CW77" s="86"/>
      <c r="CX77" s="86"/>
      <c r="CY77" s="86"/>
      <c r="CZ77" s="86"/>
      <c r="DA77" s="86"/>
      <c r="DB77" s="86"/>
      <c r="DC77" s="86"/>
      <c r="DD77" s="86"/>
      <c r="DE77" s="86"/>
      <c r="DF77" s="86"/>
      <c r="DG77" s="86"/>
      <c r="DH77" s="86"/>
      <c r="DI77" s="86"/>
      <c r="DJ77" s="86"/>
      <c r="DK77" s="86"/>
      <c r="DL77" s="86"/>
      <c r="DM77" s="86"/>
      <c r="DN77" s="86"/>
      <c r="DO77" s="86"/>
      <c r="DP77" s="86"/>
      <c r="DQ77" s="86"/>
      <c r="DR77" s="86"/>
      <c r="DS77" s="86"/>
      <c r="DT77" s="86"/>
      <c r="DU77" s="86"/>
      <c r="DV77" s="86"/>
      <c r="DW77" s="86"/>
      <c r="DX77" s="86"/>
      <c r="DY77" s="86"/>
      <c r="DZ77" s="86"/>
      <c r="EA77" s="86"/>
      <c r="EB77" s="78"/>
    </row>
    <row r="78" spans="2:132" ht="18" customHeight="1">
      <c r="B78" s="99"/>
      <c r="C78" s="99"/>
      <c r="D78" s="99"/>
      <c r="E78" s="99"/>
      <c r="F78" s="99"/>
      <c r="G78" s="99"/>
      <c r="H78" s="99"/>
      <c r="I78" s="99"/>
      <c r="J78" s="99"/>
      <c r="K78" s="99"/>
      <c r="L78" s="1565"/>
      <c r="M78" s="101"/>
      <c r="N78" s="101"/>
      <c r="O78" s="100"/>
      <c r="P78" s="100"/>
      <c r="Q78" s="100"/>
      <c r="R78" s="100"/>
      <c r="S78" s="100"/>
      <c r="T78" s="100"/>
      <c r="U78" s="100"/>
      <c r="V78" s="100"/>
      <c r="W78" s="100"/>
      <c r="X78" s="100"/>
      <c r="Y78" s="100"/>
      <c r="Z78" s="100"/>
      <c r="AA78" s="100"/>
      <c r="AB78" s="100"/>
      <c r="AC78" s="100"/>
      <c r="AD78" s="100"/>
      <c r="AE78" s="100"/>
      <c r="AF78" s="100"/>
      <c r="AG78" s="100"/>
      <c r="AH78" s="100"/>
      <c r="AI78" s="100"/>
      <c r="AJ78" s="100"/>
      <c r="AK78" s="100"/>
      <c r="AL78" s="100"/>
      <c r="AM78" s="100"/>
      <c r="AN78" s="100"/>
      <c r="AO78" s="100"/>
      <c r="AP78" s="100"/>
      <c r="AQ78" s="100"/>
      <c r="AR78" s="100"/>
      <c r="AS78" s="100"/>
      <c r="AT78" s="100"/>
      <c r="AU78" s="100"/>
      <c r="AV78" s="100"/>
      <c r="AW78" s="100"/>
      <c r="AX78" s="100"/>
      <c r="AY78" s="100"/>
      <c r="AZ78" s="100"/>
      <c r="BA78" s="100"/>
      <c r="BB78" s="100"/>
      <c r="BC78" s="100"/>
      <c r="BD78" s="100"/>
      <c r="BE78" s="100"/>
      <c r="BF78" s="100"/>
      <c r="BG78" s="100"/>
      <c r="BH78" s="100"/>
      <c r="BI78" s="100"/>
      <c r="BJ78" s="100"/>
      <c r="BK78" s="100"/>
      <c r="BL78" s="100"/>
      <c r="BM78" s="100"/>
      <c r="BN78" s="100"/>
      <c r="BO78" s="100"/>
      <c r="BP78" s="100"/>
      <c r="BQ78" s="100"/>
      <c r="BR78" s="100"/>
      <c r="BS78" s="100"/>
      <c r="BT78" s="100"/>
      <c r="BU78" s="100"/>
      <c r="BV78" s="100"/>
      <c r="BW78" s="100"/>
      <c r="BX78" s="100"/>
      <c r="BY78" s="100"/>
      <c r="BZ78" s="100"/>
      <c r="CA78" s="100"/>
      <c r="CB78" s="100"/>
      <c r="CC78" s="100"/>
      <c r="CD78" s="100"/>
      <c r="CE78" s="100"/>
      <c r="CF78" s="100"/>
      <c r="CG78" s="100"/>
      <c r="CH78" s="100"/>
      <c r="CI78" s="100"/>
      <c r="CJ78" s="100"/>
      <c r="CK78" s="100"/>
      <c r="CL78" s="100"/>
      <c r="CM78" s="100"/>
      <c r="CN78" s="100"/>
      <c r="CO78" s="100"/>
      <c r="CP78" s="100"/>
      <c r="CQ78" s="100"/>
      <c r="CR78" s="100"/>
      <c r="CS78" s="100"/>
      <c r="CT78" s="100"/>
      <c r="CU78" s="100"/>
      <c r="CV78" s="100"/>
      <c r="CW78" s="100"/>
      <c r="CX78" s="100"/>
      <c r="CY78" s="100"/>
      <c r="CZ78" s="100"/>
      <c r="DA78" s="100"/>
      <c r="DB78" s="100"/>
      <c r="DC78" s="100"/>
      <c r="DD78" s="100"/>
      <c r="DE78" s="100"/>
      <c r="DF78" s="100"/>
      <c r="DG78" s="100"/>
      <c r="DH78" s="100"/>
      <c r="DI78" s="100"/>
      <c r="DJ78" s="100"/>
      <c r="DK78" s="100"/>
      <c r="DL78" s="100"/>
      <c r="DM78" s="100"/>
      <c r="DN78" s="100"/>
      <c r="DO78" s="100"/>
      <c r="DP78" s="100"/>
      <c r="DQ78" s="100"/>
      <c r="DR78" s="100"/>
      <c r="DS78" s="100"/>
      <c r="DT78" s="100"/>
      <c r="DU78" s="100"/>
      <c r="DV78" s="100"/>
      <c r="DW78" s="100"/>
      <c r="DX78" s="100"/>
      <c r="DY78" s="100"/>
      <c r="DZ78" s="100"/>
      <c r="EA78" s="100"/>
    </row>
    <row r="79" spans="2:132" ht="18" customHeight="1">
      <c r="B79" s="2978" t="s">
        <v>639</v>
      </c>
      <c r="C79" s="2978"/>
      <c r="D79" s="2978"/>
      <c r="E79" s="2978"/>
      <c r="F79" s="2978"/>
      <c r="G79" s="2978"/>
      <c r="H79" s="2978"/>
      <c r="I79" s="2978"/>
      <c r="J79" s="2978"/>
      <c r="K79" s="2978"/>
      <c r="L79" s="2978"/>
      <c r="M79" s="2978"/>
      <c r="N79" s="2978"/>
      <c r="O79" s="2978"/>
      <c r="P79" s="2978"/>
      <c r="Q79" s="2978"/>
      <c r="R79" s="2978"/>
      <c r="S79" s="2978"/>
      <c r="T79" s="2978"/>
      <c r="U79" s="2978"/>
      <c r="V79" s="2978"/>
      <c r="W79" s="2978"/>
      <c r="X79" s="2978"/>
      <c r="Y79" s="2978"/>
      <c r="Z79" s="2978"/>
      <c r="AA79" s="2978"/>
      <c r="AB79" s="2978"/>
      <c r="AC79" s="2978"/>
      <c r="AD79" s="2978"/>
      <c r="AE79" s="2978"/>
      <c r="AF79" s="2978"/>
      <c r="AG79" s="2978"/>
      <c r="AH79" s="2978"/>
      <c r="AI79" s="2978"/>
      <c r="AJ79" s="2978"/>
      <c r="AK79" s="2978"/>
      <c r="AL79" s="2978"/>
      <c r="AM79" s="2978"/>
      <c r="AN79" s="2978"/>
      <c r="AO79" s="2978"/>
      <c r="AP79" s="2978"/>
      <c r="AQ79" s="2978"/>
      <c r="AR79" s="2978"/>
      <c r="AS79" s="2978"/>
      <c r="AT79" s="2978"/>
      <c r="AU79" s="2978"/>
      <c r="AV79" s="46"/>
      <c r="AW79" s="46"/>
      <c r="AX79" s="46"/>
      <c r="AY79" s="46"/>
      <c r="AZ79" s="46"/>
      <c r="BA79" s="46"/>
      <c r="BB79" s="46"/>
      <c r="BC79" s="46"/>
      <c r="BD79" s="46"/>
      <c r="BE79" s="46"/>
      <c r="BF79" s="46"/>
      <c r="BG79" s="46"/>
      <c r="BH79" s="46"/>
      <c r="BI79" s="46"/>
      <c r="BJ79" s="46"/>
      <c r="BK79" s="46"/>
      <c r="BL79" s="46"/>
      <c r="BM79" s="46"/>
      <c r="BN79" s="46"/>
      <c r="BO79" s="46"/>
      <c r="BP79" s="46"/>
      <c r="BQ79" s="46"/>
      <c r="BR79" s="46"/>
      <c r="BS79" s="46"/>
      <c r="BT79" s="46"/>
      <c r="BU79" s="46"/>
      <c r="BV79" s="46"/>
      <c r="BW79" s="46"/>
      <c r="BX79" s="46"/>
      <c r="BY79" s="46"/>
      <c r="BZ79" s="46"/>
      <c r="CA79" s="46"/>
      <c r="CB79" s="46"/>
      <c r="CC79" s="46"/>
      <c r="CD79" s="46"/>
      <c r="CE79" s="46"/>
      <c r="CF79" s="46"/>
      <c r="CG79" s="46"/>
      <c r="CH79" s="46"/>
      <c r="CI79" s="46"/>
      <c r="CJ79" s="46"/>
      <c r="CK79" s="46"/>
      <c r="CL79" s="46"/>
      <c r="CM79" s="46"/>
      <c r="CN79" s="46"/>
      <c r="CO79" s="46"/>
      <c r="CP79" s="46"/>
      <c r="CQ79" s="46"/>
      <c r="CR79" s="46"/>
      <c r="CS79" s="46"/>
      <c r="CT79" s="46"/>
      <c r="CU79" s="46"/>
      <c r="CV79" s="46"/>
      <c r="CW79" s="46"/>
      <c r="CX79" s="46"/>
      <c r="CY79" s="46"/>
      <c r="CZ79" s="46"/>
      <c r="DA79" s="46"/>
      <c r="DB79" s="46"/>
      <c r="DC79" s="46"/>
      <c r="DD79" s="46"/>
      <c r="DE79" s="46"/>
      <c r="DF79" s="46"/>
      <c r="DG79" s="46"/>
      <c r="DH79" s="46"/>
      <c r="DI79" s="46"/>
      <c r="DJ79" s="46"/>
      <c r="DK79" s="46"/>
      <c r="DL79" s="46"/>
      <c r="DM79" s="46"/>
      <c r="DN79" s="46"/>
      <c r="DO79" s="46"/>
      <c r="DP79" s="46"/>
      <c r="DQ79" s="46"/>
      <c r="DR79" s="46"/>
      <c r="DS79" s="46"/>
      <c r="DT79" s="46"/>
      <c r="DU79" s="46"/>
      <c r="DV79" s="46"/>
      <c r="DW79" s="46"/>
      <c r="DX79" s="46"/>
      <c r="DY79" s="46"/>
      <c r="DZ79" s="46"/>
      <c r="EA79" s="46"/>
    </row>
    <row r="80" spans="2:132" ht="18" customHeight="1">
      <c r="B80" s="46"/>
      <c r="C80" s="46"/>
      <c r="D80" s="46"/>
      <c r="E80" s="46"/>
      <c r="F80" s="46"/>
      <c r="G80" s="46"/>
      <c r="H80" s="46"/>
      <c r="I80" s="46"/>
      <c r="J80" s="46"/>
      <c r="K80" s="46"/>
      <c r="L80" s="45"/>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row>
    <row r="81" spans="2:131" ht="18" customHeight="1">
      <c r="B81" s="45"/>
      <c r="C81" s="45"/>
      <c r="D81" s="46"/>
      <c r="E81" s="46"/>
      <c r="F81" s="46"/>
      <c r="G81" s="46"/>
      <c r="H81" s="46"/>
      <c r="I81" s="46"/>
      <c r="J81" s="46"/>
      <c r="K81" s="46"/>
      <c r="L81" s="45"/>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c r="BF81" s="46"/>
      <c r="BG81" s="46"/>
      <c r="BH81" s="46"/>
      <c r="BI81" s="46"/>
      <c r="BJ81" s="46"/>
      <c r="BK81" s="46"/>
      <c r="BL81" s="46"/>
      <c r="BM81" s="46"/>
      <c r="BN81" s="46"/>
      <c r="BO81" s="46"/>
      <c r="BP81" s="46"/>
      <c r="BQ81" s="46"/>
      <c r="BR81" s="46"/>
      <c r="BS81" s="46"/>
      <c r="BT81" s="46"/>
      <c r="BU81" s="46"/>
      <c r="BV81" s="46"/>
      <c r="BW81" s="46"/>
      <c r="BX81" s="46"/>
      <c r="BY81" s="46"/>
      <c r="BZ81" s="46"/>
      <c r="CA81" s="46"/>
      <c r="CB81" s="46"/>
      <c r="CC81" s="46"/>
      <c r="CD81" s="46"/>
      <c r="CE81" s="46"/>
      <c r="CF81" s="46"/>
      <c r="CG81" s="46"/>
      <c r="CH81" s="46"/>
      <c r="CI81" s="46"/>
      <c r="CJ81" s="46"/>
      <c r="CK81" s="46"/>
      <c r="CL81" s="46"/>
      <c r="CM81" s="46"/>
      <c r="CN81" s="46"/>
      <c r="CO81" s="46"/>
      <c r="CP81" s="46"/>
      <c r="CQ81" s="46"/>
      <c r="CR81" s="46"/>
      <c r="CS81" s="46"/>
      <c r="CT81" s="46"/>
      <c r="CU81" s="46"/>
      <c r="CV81" s="46"/>
      <c r="CW81" s="46"/>
      <c r="CX81" s="46"/>
      <c r="CY81" s="46"/>
      <c r="CZ81" s="46"/>
      <c r="DA81" s="46"/>
      <c r="DB81" s="46"/>
      <c r="DC81" s="46"/>
      <c r="DD81" s="46"/>
      <c r="DE81" s="46"/>
      <c r="DF81" s="46"/>
      <c r="DG81" s="46"/>
      <c r="DH81" s="46"/>
      <c r="DI81" s="46"/>
      <c r="DJ81" s="46"/>
      <c r="DK81" s="46"/>
      <c r="DL81" s="46"/>
      <c r="DM81" s="46"/>
      <c r="DN81" s="46"/>
      <c r="DO81" s="46"/>
      <c r="DP81" s="46"/>
      <c r="DQ81" s="46"/>
      <c r="DR81" s="46"/>
      <c r="DS81" s="46"/>
      <c r="DT81" s="46"/>
      <c r="DU81" s="46"/>
      <c r="DV81" s="46"/>
      <c r="DW81" s="46"/>
      <c r="DX81" s="46"/>
      <c r="DY81" s="46"/>
      <c r="DZ81" s="46"/>
      <c r="EA81" s="46"/>
    </row>
    <row r="82" spans="2:131" ht="18" customHeight="1">
      <c r="B82" s="46"/>
      <c r="C82" s="46"/>
      <c r="D82" s="46"/>
      <c r="E82" s="46"/>
      <c r="F82" s="46"/>
      <c r="G82" s="46"/>
      <c r="H82" s="46"/>
      <c r="I82" s="46"/>
      <c r="J82" s="46"/>
      <c r="K82" s="46"/>
      <c r="L82" s="45"/>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c r="BF82" s="46"/>
      <c r="BG82" s="46"/>
      <c r="BH82" s="46"/>
      <c r="BI82" s="46"/>
      <c r="BJ82" s="46"/>
      <c r="BK82" s="46"/>
      <c r="BL82" s="46"/>
      <c r="BM82" s="46"/>
      <c r="BN82" s="46"/>
      <c r="BO82" s="46"/>
      <c r="BP82" s="46"/>
      <c r="BQ82" s="46"/>
      <c r="BR82" s="46"/>
      <c r="BS82" s="46"/>
      <c r="BT82" s="46"/>
      <c r="BU82" s="46"/>
      <c r="BV82" s="46"/>
      <c r="BW82" s="46"/>
      <c r="BX82" s="46"/>
      <c r="BY82" s="46"/>
      <c r="BZ82" s="46"/>
      <c r="CA82" s="46"/>
      <c r="CB82" s="46"/>
      <c r="CC82" s="46"/>
      <c r="CD82" s="46"/>
      <c r="CE82" s="46"/>
      <c r="CF82" s="46"/>
      <c r="CG82" s="46"/>
      <c r="CH82" s="46"/>
      <c r="CI82" s="46"/>
      <c r="CJ82" s="46"/>
      <c r="CK82" s="46"/>
      <c r="CL82" s="46"/>
      <c r="CM82" s="46"/>
      <c r="CN82" s="46"/>
      <c r="CO82" s="46"/>
      <c r="CP82" s="46"/>
      <c r="CQ82" s="46"/>
      <c r="CR82" s="46"/>
      <c r="CS82" s="46"/>
      <c r="CT82" s="46"/>
      <c r="CU82" s="46"/>
      <c r="CV82" s="46"/>
      <c r="CW82" s="46"/>
      <c r="CX82" s="46"/>
      <c r="CY82" s="46"/>
      <c r="CZ82" s="46"/>
      <c r="DA82" s="46"/>
      <c r="DB82" s="46"/>
      <c r="DC82" s="46"/>
      <c r="DD82" s="46"/>
      <c r="DE82" s="46"/>
      <c r="DF82" s="46"/>
      <c r="DG82" s="46"/>
      <c r="DH82" s="46"/>
      <c r="DI82" s="46"/>
      <c r="DJ82" s="46"/>
      <c r="DK82" s="46"/>
      <c r="DL82" s="46"/>
      <c r="DM82" s="46"/>
      <c r="DN82" s="46"/>
      <c r="DO82" s="46"/>
      <c r="DP82" s="46"/>
      <c r="DQ82" s="46"/>
      <c r="DR82" s="46"/>
      <c r="DS82" s="46"/>
      <c r="DT82" s="46"/>
      <c r="DU82" s="46"/>
      <c r="DV82" s="46"/>
      <c r="DW82" s="46"/>
      <c r="DX82" s="46"/>
      <c r="DY82" s="46"/>
      <c r="DZ82" s="46"/>
      <c r="EA82" s="46"/>
    </row>
    <row r="83" spans="2:131" ht="18" customHeight="1">
      <c r="B83" s="46"/>
      <c r="C83" s="46"/>
      <c r="D83" s="46"/>
      <c r="E83" s="46"/>
      <c r="F83" s="46"/>
      <c r="G83" s="46"/>
      <c r="H83" s="46"/>
      <c r="I83" s="46"/>
      <c r="J83" s="46"/>
      <c r="K83" s="46"/>
      <c r="L83" s="45"/>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c r="BF83" s="46"/>
      <c r="BG83" s="46"/>
      <c r="BH83" s="46"/>
      <c r="BI83" s="46"/>
      <c r="BJ83" s="46"/>
      <c r="BK83" s="46"/>
      <c r="BL83" s="46"/>
      <c r="BM83" s="46"/>
      <c r="BN83" s="46"/>
      <c r="BO83" s="46"/>
      <c r="BP83" s="46"/>
      <c r="BQ83" s="46"/>
      <c r="BR83" s="46"/>
      <c r="BS83" s="46"/>
      <c r="BT83" s="46"/>
      <c r="BU83" s="46"/>
      <c r="BV83" s="46"/>
      <c r="BW83" s="46"/>
      <c r="BX83" s="46"/>
      <c r="BY83" s="46"/>
      <c r="BZ83" s="46"/>
      <c r="CA83" s="46"/>
      <c r="CB83" s="46"/>
      <c r="CC83" s="46"/>
      <c r="CD83" s="46"/>
      <c r="CE83" s="46"/>
      <c r="CF83" s="46"/>
      <c r="CG83" s="46"/>
      <c r="CH83" s="46"/>
      <c r="CI83" s="46"/>
      <c r="CJ83" s="46"/>
      <c r="CK83" s="46"/>
      <c r="CL83" s="46"/>
      <c r="CM83" s="46"/>
      <c r="CN83" s="46"/>
      <c r="CO83" s="46"/>
      <c r="CP83" s="46"/>
      <c r="CQ83" s="46"/>
      <c r="CR83" s="46"/>
      <c r="CS83" s="46"/>
      <c r="CT83" s="46"/>
      <c r="CU83" s="46"/>
      <c r="CV83" s="46"/>
      <c r="CW83" s="46"/>
      <c r="CX83" s="46"/>
      <c r="CY83" s="46"/>
      <c r="CZ83" s="46"/>
      <c r="DA83" s="46"/>
      <c r="DB83" s="46"/>
      <c r="DC83" s="46"/>
      <c r="DD83" s="46"/>
      <c r="DE83" s="46"/>
      <c r="DF83" s="46"/>
      <c r="DG83" s="46"/>
      <c r="DH83" s="46"/>
      <c r="DI83" s="46"/>
      <c r="DJ83" s="46"/>
      <c r="DK83" s="46"/>
      <c r="DL83" s="46"/>
      <c r="DM83" s="46"/>
      <c r="DN83" s="46"/>
      <c r="DO83" s="46"/>
      <c r="DP83" s="46"/>
      <c r="DQ83" s="46"/>
      <c r="DR83" s="46"/>
      <c r="DS83" s="46"/>
      <c r="DT83" s="46"/>
      <c r="DU83" s="46"/>
      <c r="DV83" s="46"/>
      <c r="DW83" s="46"/>
      <c r="DX83" s="46"/>
      <c r="DY83" s="46"/>
      <c r="DZ83" s="46"/>
      <c r="EA83" s="46"/>
    </row>
    <row r="84" spans="2:131" ht="18" customHeight="1">
      <c r="B84" s="46"/>
      <c r="C84" s="46"/>
      <c r="D84" s="46"/>
      <c r="E84" s="46"/>
      <c r="F84" s="46"/>
      <c r="G84" s="46"/>
      <c r="H84" s="46"/>
      <c r="I84" s="46"/>
      <c r="J84" s="46"/>
      <c r="K84" s="46"/>
      <c r="L84" s="45"/>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c r="BF84" s="46"/>
      <c r="BG84" s="46"/>
      <c r="BH84" s="46"/>
      <c r="BI84" s="46"/>
      <c r="BJ84" s="46"/>
      <c r="BK84" s="46"/>
      <c r="BL84" s="46"/>
      <c r="BM84" s="46"/>
      <c r="BN84" s="46"/>
      <c r="BO84" s="46"/>
      <c r="BP84" s="46"/>
      <c r="BQ84" s="46"/>
      <c r="BR84" s="46"/>
      <c r="BS84" s="46"/>
      <c r="BT84" s="46"/>
      <c r="BU84" s="46"/>
      <c r="BV84" s="46"/>
      <c r="BW84" s="46"/>
      <c r="BX84" s="46"/>
      <c r="BY84" s="46"/>
      <c r="BZ84" s="46"/>
      <c r="CA84" s="46"/>
      <c r="CB84" s="46"/>
      <c r="CC84" s="46"/>
      <c r="CD84" s="46"/>
      <c r="CE84" s="46"/>
      <c r="CF84" s="46"/>
      <c r="CG84" s="46"/>
      <c r="CH84" s="46"/>
      <c r="CI84" s="46"/>
      <c r="CJ84" s="46"/>
      <c r="CK84" s="46"/>
      <c r="CL84" s="46"/>
      <c r="CM84" s="46"/>
      <c r="CN84" s="46"/>
      <c r="CO84" s="46"/>
      <c r="CP84" s="46"/>
      <c r="CQ84" s="46"/>
      <c r="CR84" s="46"/>
      <c r="CS84" s="46"/>
      <c r="CT84" s="46"/>
      <c r="CU84" s="46"/>
      <c r="CV84" s="46"/>
      <c r="CW84" s="46"/>
      <c r="CX84" s="46"/>
      <c r="CY84" s="46"/>
      <c r="CZ84" s="46"/>
      <c r="DA84" s="46"/>
      <c r="DB84" s="46"/>
      <c r="DC84" s="46"/>
      <c r="DD84" s="46"/>
      <c r="DE84" s="46"/>
      <c r="DF84" s="46"/>
      <c r="DG84" s="46"/>
      <c r="DH84" s="46"/>
      <c r="DI84" s="46"/>
      <c r="DJ84" s="46"/>
      <c r="DK84" s="46"/>
      <c r="DL84" s="46"/>
      <c r="DM84" s="46"/>
      <c r="DN84" s="46"/>
      <c r="DO84" s="46"/>
      <c r="DP84" s="46"/>
      <c r="DQ84" s="46"/>
      <c r="DR84" s="46"/>
      <c r="DS84" s="46"/>
      <c r="DT84" s="46"/>
      <c r="DU84" s="46"/>
      <c r="DV84" s="46"/>
      <c r="DW84" s="46"/>
      <c r="DX84" s="46"/>
      <c r="DY84" s="46"/>
      <c r="DZ84" s="46"/>
      <c r="EA84" s="46"/>
    </row>
    <row r="85" spans="2:131" ht="18" customHeight="1">
      <c r="B85" s="46"/>
      <c r="C85" s="46"/>
      <c r="D85" s="46"/>
      <c r="E85" s="46"/>
      <c r="F85" s="46"/>
      <c r="G85" s="46"/>
      <c r="H85" s="46"/>
      <c r="I85" s="46"/>
      <c r="J85" s="46"/>
      <c r="K85" s="46"/>
      <c r="L85" s="45"/>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c r="BF85" s="46"/>
      <c r="BG85" s="46"/>
      <c r="BH85" s="46"/>
      <c r="BI85" s="46"/>
      <c r="BJ85" s="46"/>
      <c r="BK85" s="46"/>
      <c r="BL85" s="46"/>
      <c r="BM85" s="46"/>
      <c r="BN85" s="46"/>
      <c r="BO85" s="46"/>
      <c r="BP85" s="46"/>
      <c r="BQ85" s="46"/>
      <c r="BR85" s="46"/>
      <c r="BS85" s="46"/>
      <c r="BT85" s="46"/>
      <c r="BU85" s="46"/>
      <c r="BV85" s="46"/>
      <c r="BW85" s="46"/>
      <c r="BX85" s="46"/>
      <c r="BY85" s="46"/>
      <c r="BZ85" s="46"/>
      <c r="CA85" s="46"/>
      <c r="CB85" s="46"/>
      <c r="CC85" s="46"/>
      <c r="CD85" s="46"/>
      <c r="CE85" s="46"/>
      <c r="CF85" s="46"/>
      <c r="CG85" s="46"/>
      <c r="CH85" s="46"/>
      <c r="CI85" s="46"/>
      <c r="CJ85" s="46"/>
      <c r="CK85" s="46"/>
      <c r="CL85" s="46"/>
      <c r="CM85" s="46"/>
      <c r="CN85" s="46"/>
      <c r="CO85" s="46"/>
      <c r="CP85" s="46"/>
      <c r="CQ85" s="46"/>
      <c r="CR85" s="46"/>
      <c r="CS85" s="46"/>
      <c r="CT85" s="46"/>
      <c r="CU85" s="46"/>
      <c r="CV85" s="46"/>
      <c r="CW85" s="46"/>
      <c r="CX85" s="46"/>
      <c r="CY85" s="46"/>
      <c r="CZ85" s="46"/>
      <c r="DA85" s="46"/>
      <c r="DB85" s="46"/>
      <c r="DC85" s="46"/>
      <c r="DD85" s="46"/>
      <c r="DE85" s="46"/>
      <c r="DF85" s="46"/>
      <c r="DG85" s="46"/>
      <c r="DH85" s="46"/>
      <c r="DI85" s="46"/>
      <c r="DJ85" s="46"/>
      <c r="DK85" s="46"/>
      <c r="DL85" s="46"/>
      <c r="DM85" s="46"/>
      <c r="DN85" s="46"/>
      <c r="DO85" s="46"/>
      <c r="DP85" s="46"/>
      <c r="DQ85" s="46"/>
      <c r="DR85" s="46"/>
      <c r="DS85" s="46"/>
      <c r="DT85" s="46"/>
      <c r="DU85" s="46"/>
      <c r="DV85" s="46"/>
      <c r="DW85" s="46"/>
      <c r="DX85" s="46"/>
      <c r="DY85" s="46"/>
      <c r="DZ85" s="46"/>
      <c r="EA85" s="46"/>
    </row>
    <row r="86" spans="2:131" ht="18" customHeight="1">
      <c r="B86" s="46"/>
      <c r="C86" s="46"/>
      <c r="D86" s="46"/>
      <c r="E86" s="46"/>
      <c r="F86" s="46"/>
      <c r="G86" s="46"/>
      <c r="H86" s="46"/>
      <c r="I86" s="46"/>
      <c r="J86" s="46"/>
      <c r="K86" s="46"/>
      <c r="L86" s="45"/>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c r="BF86" s="46"/>
      <c r="BG86" s="46"/>
      <c r="BH86" s="46"/>
      <c r="BI86" s="46"/>
      <c r="BJ86" s="46"/>
      <c r="BK86" s="46"/>
      <c r="BL86" s="46"/>
      <c r="BM86" s="46"/>
      <c r="BN86" s="46"/>
      <c r="BO86" s="46"/>
      <c r="BP86" s="46"/>
      <c r="BQ86" s="46"/>
      <c r="BR86" s="46"/>
      <c r="BS86" s="46"/>
      <c r="BT86" s="46"/>
      <c r="BU86" s="46"/>
      <c r="BV86" s="46"/>
      <c r="BW86" s="46"/>
      <c r="BX86" s="46"/>
      <c r="BY86" s="46"/>
      <c r="BZ86" s="46"/>
      <c r="CA86" s="46"/>
      <c r="CB86" s="46"/>
      <c r="CC86" s="46"/>
      <c r="CD86" s="46"/>
      <c r="CE86" s="46"/>
      <c r="CF86" s="46"/>
      <c r="CG86" s="46"/>
      <c r="CH86" s="46"/>
      <c r="CI86" s="46"/>
      <c r="CJ86" s="46"/>
      <c r="CK86" s="46"/>
      <c r="CL86" s="46"/>
      <c r="CM86" s="46"/>
      <c r="CN86" s="46"/>
      <c r="CO86" s="46"/>
      <c r="CP86" s="46"/>
      <c r="CQ86" s="46"/>
      <c r="CR86" s="46"/>
      <c r="CS86" s="46"/>
      <c r="CT86" s="46"/>
      <c r="CU86" s="46"/>
      <c r="CV86" s="46"/>
      <c r="CW86" s="46"/>
      <c r="CX86" s="46"/>
      <c r="CY86" s="46"/>
      <c r="CZ86" s="46"/>
      <c r="DA86" s="46"/>
      <c r="DB86" s="46"/>
      <c r="DC86" s="46"/>
      <c r="DD86" s="46"/>
      <c r="DE86" s="46"/>
      <c r="DF86" s="46"/>
      <c r="DG86" s="46"/>
      <c r="DH86" s="46"/>
      <c r="DI86" s="46"/>
      <c r="DJ86" s="46"/>
      <c r="DK86" s="46"/>
      <c r="DL86" s="46"/>
      <c r="DM86" s="46"/>
      <c r="DN86" s="46"/>
      <c r="DO86" s="46"/>
      <c r="DP86" s="46"/>
      <c r="DQ86" s="46"/>
      <c r="DR86" s="46"/>
      <c r="DS86" s="46"/>
      <c r="DT86" s="46"/>
      <c r="DU86" s="46"/>
      <c r="DV86" s="46"/>
      <c r="DW86" s="46"/>
      <c r="DX86" s="46"/>
      <c r="DY86" s="46"/>
      <c r="DZ86" s="46"/>
      <c r="EA86" s="46"/>
    </row>
    <row r="87" spans="2:131" ht="18" customHeight="1">
      <c r="B87" s="45"/>
      <c r="C87" s="45"/>
      <c r="D87" s="46"/>
      <c r="E87" s="46"/>
      <c r="F87" s="46"/>
      <c r="G87" s="46"/>
      <c r="H87" s="46"/>
      <c r="I87" s="46"/>
      <c r="J87" s="46"/>
      <c r="K87" s="46"/>
      <c r="L87" s="45"/>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c r="BF87" s="46"/>
      <c r="BG87" s="46"/>
      <c r="BH87" s="46"/>
      <c r="BI87" s="46"/>
      <c r="BJ87" s="46"/>
      <c r="BK87" s="46"/>
      <c r="BL87" s="46"/>
      <c r="BM87" s="46"/>
      <c r="BN87" s="46"/>
      <c r="BO87" s="46"/>
      <c r="BP87" s="46"/>
      <c r="BQ87" s="46"/>
      <c r="BR87" s="46"/>
      <c r="BS87" s="46"/>
      <c r="BT87" s="46"/>
      <c r="BU87" s="46"/>
      <c r="BV87" s="46"/>
      <c r="BW87" s="46"/>
      <c r="BX87" s="46"/>
      <c r="BY87" s="46"/>
      <c r="BZ87" s="46"/>
      <c r="CA87" s="46"/>
      <c r="CB87" s="46"/>
      <c r="CC87" s="46"/>
      <c r="CD87" s="46"/>
      <c r="CE87" s="46"/>
      <c r="CF87" s="46"/>
      <c r="CG87" s="46"/>
      <c r="CH87" s="46"/>
      <c r="CI87" s="46"/>
      <c r="CJ87" s="46"/>
      <c r="CK87" s="46"/>
      <c r="CL87" s="46"/>
      <c r="CM87" s="46"/>
      <c r="CN87" s="46"/>
      <c r="CO87" s="46"/>
      <c r="CP87" s="46"/>
      <c r="CQ87" s="46"/>
      <c r="CR87" s="46"/>
      <c r="CS87" s="46"/>
      <c r="CT87" s="46"/>
      <c r="CU87" s="46"/>
      <c r="CV87" s="46"/>
      <c r="CW87" s="46"/>
      <c r="CX87" s="46"/>
      <c r="CY87" s="46"/>
      <c r="CZ87" s="46"/>
      <c r="DA87" s="46"/>
      <c r="DB87" s="46"/>
      <c r="DC87" s="46"/>
      <c r="DD87" s="46"/>
      <c r="DE87" s="46"/>
      <c r="DF87" s="46"/>
      <c r="DG87" s="46"/>
      <c r="DH87" s="46"/>
      <c r="DI87" s="46"/>
      <c r="DJ87" s="46"/>
      <c r="DK87" s="46"/>
      <c r="DL87" s="46"/>
      <c r="DM87" s="46"/>
      <c r="DN87" s="46"/>
      <c r="DO87" s="46"/>
      <c r="DP87" s="46"/>
      <c r="DQ87" s="46"/>
      <c r="DR87" s="46"/>
      <c r="DS87" s="46"/>
      <c r="DT87" s="46"/>
      <c r="DU87" s="46"/>
      <c r="DV87" s="46"/>
      <c r="DW87" s="46"/>
      <c r="DX87" s="46"/>
      <c r="DY87" s="46"/>
      <c r="DZ87" s="46"/>
      <c r="EA87" s="46"/>
    </row>
    <row r="88" spans="2:131" ht="18" customHeight="1">
      <c r="B88" s="46"/>
      <c r="C88" s="46"/>
      <c r="D88" s="46"/>
      <c r="E88" s="46"/>
      <c r="F88" s="46"/>
      <c r="G88" s="46"/>
      <c r="H88" s="46"/>
      <c r="I88" s="46"/>
      <c r="J88" s="46"/>
      <c r="K88" s="46"/>
      <c r="L88" s="45"/>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c r="BF88" s="46"/>
      <c r="BG88" s="46"/>
      <c r="BH88" s="46"/>
      <c r="BI88" s="46"/>
      <c r="BJ88" s="46"/>
      <c r="BK88" s="46"/>
      <c r="BL88" s="46"/>
      <c r="BM88" s="46"/>
      <c r="BN88" s="46"/>
      <c r="BO88" s="46"/>
      <c r="BP88" s="46"/>
      <c r="BQ88" s="46"/>
      <c r="BR88" s="46"/>
      <c r="BS88" s="46"/>
      <c r="BT88" s="46"/>
      <c r="BU88" s="46"/>
      <c r="BV88" s="46"/>
      <c r="BW88" s="46"/>
      <c r="BX88" s="46"/>
      <c r="BY88" s="46"/>
      <c r="BZ88" s="46"/>
      <c r="CA88" s="46"/>
      <c r="CB88" s="46"/>
      <c r="CC88" s="46"/>
      <c r="CD88" s="46"/>
      <c r="CE88" s="46"/>
      <c r="CF88" s="46"/>
      <c r="CG88" s="46"/>
      <c r="CH88" s="46"/>
      <c r="CI88" s="46"/>
      <c r="CJ88" s="46"/>
      <c r="CK88" s="46"/>
      <c r="CL88" s="46"/>
      <c r="CM88" s="46"/>
      <c r="CN88" s="46"/>
      <c r="CO88" s="46"/>
      <c r="CP88" s="46"/>
      <c r="CQ88" s="46"/>
      <c r="CR88" s="46"/>
      <c r="CS88" s="46"/>
      <c r="CT88" s="46"/>
      <c r="CU88" s="46"/>
      <c r="CV88" s="46"/>
      <c r="CW88" s="46"/>
      <c r="CX88" s="46"/>
      <c r="CY88" s="46"/>
      <c r="CZ88" s="46"/>
      <c r="DA88" s="46"/>
      <c r="DB88" s="46"/>
      <c r="DC88" s="46"/>
      <c r="DD88" s="46"/>
      <c r="DE88" s="46"/>
      <c r="DF88" s="46"/>
      <c r="DG88" s="46"/>
      <c r="DH88" s="46"/>
      <c r="DI88" s="46"/>
      <c r="DJ88" s="46"/>
      <c r="DK88" s="46"/>
      <c r="DL88" s="46"/>
      <c r="DM88" s="46"/>
      <c r="DN88" s="46"/>
      <c r="DO88" s="46"/>
      <c r="DP88" s="46"/>
      <c r="DQ88" s="46"/>
      <c r="DR88" s="46"/>
      <c r="DS88" s="46"/>
      <c r="DT88" s="46"/>
      <c r="DU88" s="46"/>
      <c r="DV88" s="46"/>
      <c r="DW88" s="46"/>
      <c r="DX88" s="46"/>
      <c r="DY88" s="46"/>
      <c r="DZ88" s="46"/>
      <c r="EA88" s="46"/>
    </row>
    <row r="89" spans="2:131" ht="18" customHeight="1">
      <c r="B89" s="46"/>
      <c r="C89" s="46"/>
      <c r="D89" s="46"/>
      <c r="E89" s="46"/>
      <c r="F89" s="46"/>
      <c r="G89" s="46"/>
      <c r="H89" s="46"/>
      <c r="I89" s="46"/>
      <c r="J89" s="46"/>
      <c r="K89" s="46"/>
      <c r="L89" s="45"/>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c r="BF89" s="46"/>
      <c r="BG89" s="46"/>
      <c r="BH89" s="46"/>
      <c r="BI89" s="46"/>
      <c r="BJ89" s="46"/>
      <c r="BK89" s="46"/>
      <c r="BL89" s="46"/>
      <c r="BM89" s="46"/>
      <c r="BN89" s="46"/>
      <c r="BO89" s="46"/>
      <c r="BP89" s="46"/>
      <c r="BQ89" s="46"/>
      <c r="BR89" s="46"/>
      <c r="BS89" s="46"/>
      <c r="BT89" s="46"/>
      <c r="BU89" s="46"/>
      <c r="BV89" s="46"/>
      <c r="BW89" s="46"/>
      <c r="BX89" s="46"/>
      <c r="BY89" s="46"/>
      <c r="BZ89" s="46"/>
      <c r="CA89" s="46"/>
      <c r="CB89" s="46"/>
      <c r="CC89" s="46"/>
      <c r="CD89" s="46"/>
      <c r="CE89" s="46"/>
      <c r="CF89" s="46"/>
      <c r="CG89" s="46"/>
      <c r="CH89" s="46"/>
      <c r="CI89" s="46"/>
      <c r="CJ89" s="46"/>
      <c r="CK89" s="46"/>
      <c r="CL89" s="46"/>
      <c r="CM89" s="46"/>
      <c r="CN89" s="46"/>
      <c r="CO89" s="46"/>
      <c r="CP89" s="46"/>
      <c r="CQ89" s="46"/>
      <c r="CR89" s="46"/>
      <c r="CS89" s="46"/>
      <c r="CT89" s="46"/>
      <c r="CU89" s="46"/>
      <c r="CV89" s="46"/>
      <c r="CW89" s="46"/>
      <c r="CX89" s="46"/>
      <c r="CY89" s="46"/>
      <c r="CZ89" s="46"/>
      <c r="DA89" s="46"/>
      <c r="DB89" s="46"/>
      <c r="DC89" s="46"/>
      <c r="DD89" s="46"/>
      <c r="DE89" s="46"/>
      <c r="DF89" s="46"/>
      <c r="DG89" s="46"/>
      <c r="DH89" s="46"/>
      <c r="DI89" s="46"/>
      <c r="DJ89" s="46"/>
      <c r="DK89" s="46"/>
      <c r="DL89" s="46"/>
      <c r="DM89" s="46"/>
      <c r="DN89" s="46"/>
      <c r="DO89" s="46"/>
      <c r="DP89" s="46"/>
      <c r="DQ89" s="46"/>
      <c r="DR89" s="46"/>
      <c r="DS89" s="46"/>
      <c r="DT89" s="46"/>
      <c r="DU89" s="46"/>
      <c r="DV89" s="46"/>
      <c r="DW89" s="46"/>
      <c r="DX89" s="46"/>
      <c r="DY89" s="46"/>
      <c r="DZ89" s="46"/>
      <c r="EA89" s="46"/>
    </row>
    <row r="90" spans="2:131" ht="18" customHeight="1">
      <c r="B90" s="46"/>
      <c r="C90" s="46"/>
      <c r="D90" s="46"/>
      <c r="E90" s="46"/>
      <c r="F90" s="46"/>
      <c r="G90" s="46"/>
      <c r="H90" s="46"/>
      <c r="I90" s="46"/>
      <c r="J90" s="46"/>
      <c r="K90" s="46"/>
      <c r="L90" s="45"/>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row>
    <row r="91" spans="2:131" ht="18" customHeight="1">
      <c r="B91" s="46"/>
      <c r="C91" s="46"/>
      <c r="D91" s="46"/>
      <c r="E91" s="46"/>
      <c r="F91" s="46"/>
      <c r="G91" s="1285"/>
      <c r="H91" s="46"/>
      <c r="I91" s="46"/>
      <c r="J91" s="46"/>
      <c r="K91" s="46"/>
      <c r="L91" s="45"/>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c r="BF91" s="46"/>
      <c r="BG91" s="46"/>
      <c r="BH91" s="46"/>
      <c r="BI91" s="46"/>
      <c r="BJ91" s="46"/>
      <c r="BK91" s="46"/>
      <c r="BL91" s="46"/>
      <c r="BM91" s="46"/>
      <c r="BN91" s="46"/>
      <c r="BO91" s="46"/>
      <c r="BP91" s="46"/>
      <c r="BQ91" s="46"/>
      <c r="BR91" s="46"/>
      <c r="BS91" s="46"/>
      <c r="BT91" s="46"/>
      <c r="BU91" s="46"/>
      <c r="BV91" s="46"/>
      <c r="BW91" s="46"/>
      <c r="BX91" s="46"/>
      <c r="BY91" s="46"/>
      <c r="BZ91" s="46"/>
      <c r="CA91" s="46"/>
      <c r="CB91" s="46"/>
      <c r="CC91" s="46"/>
      <c r="CD91" s="46"/>
      <c r="CE91" s="46"/>
      <c r="CF91" s="46"/>
      <c r="CG91" s="46"/>
      <c r="CH91" s="46"/>
      <c r="CI91" s="46"/>
      <c r="CJ91" s="46"/>
      <c r="CK91" s="46"/>
      <c r="CL91" s="46"/>
      <c r="CM91" s="46"/>
      <c r="CN91" s="46"/>
      <c r="CO91" s="46"/>
      <c r="CP91" s="46"/>
      <c r="CQ91" s="46"/>
      <c r="CR91" s="46"/>
      <c r="CS91" s="46"/>
      <c r="CT91" s="46"/>
      <c r="CU91" s="46"/>
      <c r="CV91" s="46"/>
      <c r="CW91" s="46"/>
      <c r="CX91" s="46"/>
      <c r="CY91" s="46"/>
      <c r="CZ91" s="46"/>
      <c r="DA91" s="46"/>
      <c r="DB91" s="46"/>
      <c r="DC91" s="46"/>
      <c r="DD91" s="46"/>
      <c r="DE91" s="46"/>
      <c r="DF91" s="46"/>
      <c r="DG91" s="46"/>
      <c r="DH91" s="46"/>
      <c r="DI91" s="46"/>
      <c r="DJ91" s="46"/>
      <c r="DK91" s="46"/>
      <c r="DL91" s="46"/>
      <c r="DM91" s="46"/>
      <c r="DN91" s="46"/>
      <c r="DO91" s="46"/>
      <c r="DP91" s="46"/>
      <c r="DQ91" s="46"/>
      <c r="DR91" s="46"/>
      <c r="DS91" s="46"/>
      <c r="DT91" s="46"/>
      <c r="DU91" s="46"/>
      <c r="DV91" s="46"/>
      <c r="DW91" s="46"/>
      <c r="DX91" s="46"/>
      <c r="DY91" s="46"/>
      <c r="DZ91" s="46"/>
      <c r="EA91" s="46"/>
    </row>
    <row r="92" spans="2:131" ht="18" customHeight="1">
      <c r="B92" s="46"/>
      <c r="C92" s="46"/>
      <c r="D92" s="46"/>
      <c r="E92" s="46"/>
      <c r="F92" s="46"/>
      <c r="G92" s="46"/>
      <c r="H92" s="46"/>
      <c r="I92" s="46"/>
      <c r="J92" s="46"/>
      <c r="K92" s="46"/>
      <c r="L92" s="45"/>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c r="BF92" s="46"/>
      <c r="BG92" s="46"/>
      <c r="BH92" s="46"/>
      <c r="BI92" s="46"/>
      <c r="BJ92" s="46"/>
      <c r="BK92" s="46"/>
      <c r="BL92" s="46"/>
      <c r="BM92" s="46"/>
      <c r="BN92" s="46"/>
      <c r="BO92" s="46"/>
      <c r="BP92" s="46"/>
      <c r="BQ92" s="46"/>
      <c r="BR92" s="46"/>
      <c r="BS92" s="46"/>
      <c r="BT92" s="46"/>
      <c r="BU92" s="46"/>
      <c r="BV92" s="46"/>
      <c r="BW92" s="46"/>
      <c r="BX92" s="46"/>
      <c r="BY92" s="46"/>
      <c r="BZ92" s="46"/>
      <c r="CA92" s="46"/>
      <c r="CB92" s="46"/>
      <c r="CC92" s="46"/>
      <c r="CD92" s="46"/>
      <c r="CE92" s="46"/>
      <c r="CF92" s="46"/>
      <c r="CG92" s="46"/>
      <c r="CH92" s="46"/>
      <c r="CI92" s="46"/>
      <c r="CJ92" s="46"/>
      <c r="CK92" s="46"/>
      <c r="CL92" s="46"/>
      <c r="CM92" s="46"/>
      <c r="CN92" s="46"/>
      <c r="CO92" s="46"/>
      <c r="CP92" s="46"/>
      <c r="CQ92" s="46"/>
      <c r="CR92" s="46"/>
      <c r="CS92" s="46"/>
      <c r="CT92" s="46"/>
      <c r="CU92" s="46"/>
      <c r="CV92" s="46"/>
      <c r="CW92" s="46"/>
      <c r="CX92" s="46"/>
      <c r="CY92" s="46"/>
      <c r="CZ92" s="46"/>
      <c r="DA92" s="46"/>
      <c r="DB92" s="46"/>
      <c r="DC92" s="46"/>
      <c r="DD92" s="46"/>
      <c r="DE92" s="46"/>
      <c r="DF92" s="46"/>
      <c r="DG92" s="46"/>
      <c r="DH92" s="46"/>
      <c r="DI92" s="46"/>
      <c r="DJ92" s="46"/>
      <c r="DK92" s="46"/>
      <c r="DL92" s="46"/>
      <c r="DM92" s="46"/>
      <c r="DN92" s="46"/>
      <c r="DO92" s="46"/>
      <c r="DP92" s="46"/>
      <c r="DQ92" s="46"/>
      <c r="DR92" s="46"/>
      <c r="DS92" s="46"/>
      <c r="DT92" s="46"/>
      <c r="DU92" s="46"/>
      <c r="DV92" s="46"/>
      <c r="DW92" s="46"/>
      <c r="DX92" s="46"/>
      <c r="DY92" s="46"/>
      <c r="DZ92" s="46"/>
      <c r="EA92" s="46"/>
    </row>
    <row r="93" spans="2:131" ht="18" customHeight="1">
      <c r="B93" s="45"/>
      <c r="C93" s="45"/>
      <c r="D93" s="46"/>
      <c r="E93" s="46"/>
      <c r="F93" s="46"/>
      <c r="G93" s="46"/>
      <c r="H93" s="46"/>
      <c r="I93" s="46"/>
      <c r="J93" s="46"/>
      <c r="K93" s="46"/>
      <c r="L93" s="45"/>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c r="BF93" s="46"/>
      <c r="BG93" s="46"/>
      <c r="BH93" s="46"/>
      <c r="BI93" s="46"/>
      <c r="BJ93" s="46"/>
      <c r="BK93" s="46"/>
      <c r="BL93" s="46"/>
      <c r="BM93" s="46"/>
      <c r="BN93" s="46"/>
      <c r="BO93" s="46"/>
      <c r="BP93" s="46"/>
      <c r="BQ93" s="46"/>
      <c r="BR93" s="46"/>
      <c r="BS93" s="46"/>
      <c r="BT93" s="46"/>
      <c r="BU93" s="46"/>
      <c r="BV93" s="46"/>
      <c r="BW93" s="46"/>
      <c r="BX93" s="46"/>
      <c r="BY93" s="46"/>
      <c r="BZ93" s="46"/>
      <c r="CA93" s="46"/>
      <c r="CB93" s="46"/>
      <c r="CC93" s="46"/>
      <c r="CD93" s="46"/>
      <c r="CE93" s="46"/>
      <c r="CF93" s="46"/>
      <c r="CG93" s="46"/>
      <c r="CH93" s="46"/>
      <c r="CI93" s="46"/>
      <c r="CJ93" s="46"/>
      <c r="CK93" s="46"/>
      <c r="CL93" s="46"/>
      <c r="CM93" s="46"/>
      <c r="CN93" s="46"/>
      <c r="CO93" s="46"/>
      <c r="CP93" s="46"/>
      <c r="CQ93" s="46"/>
      <c r="CR93" s="46"/>
      <c r="CS93" s="46"/>
      <c r="CT93" s="46"/>
      <c r="CU93" s="46"/>
      <c r="CV93" s="46"/>
      <c r="CW93" s="46"/>
      <c r="CX93" s="46"/>
      <c r="CY93" s="46"/>
      <c r="CZ93" s="46"/>
      <c r="DA93" s="46"/>
      <c r="DB93" s="46"/>
      <c r="DC93" s="46"/>
      <c r="DD93" s="46"/>
      <c r="DE93" s="46"/>
      <c r="DF93" s="46"/>
      <c r="DG93" s="46"/>
      <c r="DH93" s="46"/>
      <c r="DI93" s="46"/>
      <c r="DJ93" s="46"/>
      <c r="DK93" s="46"/>
      <c r="DL93" s="46"/>
      <c r="DM93" s="46"/>
      <c r="DN93" s="46"/>
      <c r="DO93" s="46"/>
      <c r="DP93" s="46"/>
      <c r="DQ93" s="46"/>
      <c r="DR93" s="46"/>
      <c r="DS93" s="46"/>
      <c r="DT93" s="46"/>
      <c r="DU93" s="46"/>
      <c r="DV93" s="46"/>
      <c r="DW93" s="46"/>
      <c r="DX93" s="46"/>
      <c r="DY93" s="46"/>
      <c r="DZ93" s="46"/>
      <c r="EA93" s="46"/>
    </row>
    <row r="94" spans="2:131" ht="18" customHeight="1">
      <c r="B94" s="46"/>
      <c r="C94" s="46"/>
      <c r="D94" s="46"/>
      <c r="E94" s="46"/>
      <c r="F94" s="46"/>
      <c r="G94" s="46"/>
      <c r="H94" s="46"/>
      <c r="I94" s="46"/>
      <c r="J94" s="46"/>
      <c r="K94" s="46"/>
      <c r="L94" s="45"/>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c r="BF94" s="46"/>
      <c r="BG94" s="46"/>
      <c r="BH94" s="46"/>
      <c r="BI94" s="46"/>
      <c r="BJ94" s="46"/>
      <c r="BK94" s="46"/>
      <c r="BL94" s="46"/>
      <c r="BM94" s="46"/>
      <c r="BN94" s="46"/>
      <c r="BO94" s="46"/>
      <c r="BP94" s="46"/>
      <c r="BQ94" s="46"/>
      <c r="BR94" s="46"/>
      <c r="BS94" s="46"/>
      <c r="BT94" s="46"/>
      <c r="BU94" s="46"/>
      <c r="BV94" s="46"/>
      <c r="BW94" s="46"/>
      <c r="BX94" s="46"/>
      <c r="BY94" s="46"/>
      <c r="BZ94" s="46"/>
      <c r="CA94" s="46"/>
      <c r="CB94" s="46"/>
      <c r="CC94" s="46"/>
      <c r="CD94" s="46"/>
      <c r="CE94" s="46"/>
      <c r="CF94" s="46"/>
      <c r="CG94" s="46"/>
      <c r="CH94" s="46"/>
      <c r="CI94" s="46"/>
      <c r="CJ94" s="46"/>
      <c r="CK94" s="46"/>
      <c r="CL94" s="46"/>
      <c r="CM94" s="46"/>
      <c r="CN94" s="46"/>
      <c r="CO94" s="46"/>
      <c r="CP94" s="46"/>
      <c r="CQ94" s="46"/>
      <c r="CR94" s="46"/>
      <c r="CS94" s="46"/>
      <c r="CT94" s="46"/>
      <c r="CU94" s="46"/>
      <c r="CV94" s="46"/>
      <c r="CW94" s="46"/>
      <c r="CX94" s="46"/>
      <c r="CY94" s="46"/>
      <c r="CZ94" s="46"/>
      <c r="DA94" s="46"/>
      <c r="DB94" s="46"/>
      <c r="DC94" s="46"/>
      <c r="DD94" s="46"/>
      <c r="DE94" s="46"/>
      <c r="DF94" s="46"/>
      <c r="DG94" s="46"/>
      <c r="DH94" s="46"/>
      <c r="DI94" s="46"/>
      <c r="DJ94" s="46"/>
      <c r="DK94" s="46"/>
      <c r="DL94" s="46"/>
      <c r="DM94" s="46"/>
      <c r="DN94" s="46"/>
      <c r="DO94" s="46"/>
      <c r="DP94" s="46"/>
      <c r="DQ94" s="46"/>
      <c r="DR94" s="46"/>
      <c r="DS94" s="46"/>
      <c r="DT94" s="46"/>
      <c r="DU94" s="46"/>
      <c r="DV94" s="46"/>
      <c r="DW94" s="46"/>
      <c r="DX94" s="46"/>
      <c r="DY94" s="46"/>
      <c r="DZ94" s="46"/>
      <c r="EA94" s="46"/>
    </row>
    <row r="95" spans="2:131" ht="18" customHeight="1">
      <c r="B95" s="46"/>
      <c r="C95" s="46"/>
      <c r="D95" s="46"/>
      <c r="E95" s="46"/>
      <c r="F95" s="46"/>
      <c r="G95" s="46"/>
      <c r="H95" s="46"/>
      <c r="I95" s="46"/>
      <c r="J95" s="46"/>
      <c r="K95" s="46"/>
      <c r="L95" s="45"/>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row>
    <row r="96" spans="2:131" ht="18" customHeight="1">
      <c r="B96" s="46"/>
      <c r="C96" s="46"/>
      <c r="D96" s="46"/>
      <c r="E96" s="46"/>
      <c r="F96" s="46"/>
      <c r="G96" s="46"/>
      <c r="H96" s="46"/>
      <c r="I96" s="46"/>
      <c r="J96" s="46"/>
      <c r="K96" s="46"/>
      <c r="L96" s="45"/>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c r="BF96" s="46"/>
      <c r="BG96" s="46"/>
      <c r="BH96" s="46"/>
      <c r="BI96" s="46"/>
      <c r="BJ96" s="46"/>
      <c r="BK96" s="46"/>
      <c r="BL96" s="46"/>
      <c r="BM96" s="46"/>
      <c r="BN96" s="46"/>
      <c r="BO96" s="46"/>
      <c r="BP96" s="46"/>
      <c r="BQ96" s="46"/>
      <c r="BR96" s="46"/>
      <c r="BS96" s="46"/>
      <c r="BT96" s="46"/>
      <c r="BU96" s="46"/>
      <c r="BV96" s="46"/>
      <c r="BW96" s="46"/>
      <c r="BX96" s="46"/>
      <c r="BY96" s="46"/>
      <c r="BZ96" s="46"/>
      <c r="CA96" s="46"/>
      <c r="CB96" s="46"/>
      <c r="CC96" s="46"/>
      <c r="CD96" s="46"/>
      <c r="CE96" s="46"/>
      <c r="CF96" s="46"/>
      <c r="CG96" s="46"/>
      <c r="CH96" s="46"/>
      <c r="CI96" s="46"/>
      <c r="CJ96" s="46"/>
      <c r="CK96" s="46"/>
      <c r="CL96" s="46"/>
      <c r="CM96" s="46"/>
      <c r="CN96" s="46"/>
      <c r="CO96" s="46"/>
      <c r="CP96" s="46"/>
      <c r="CQ96" s="46"/>
      <c r="CR96" s="46"/>
      <c r="CS96" s="46"/>
      <c r="CT96" s="46"/>
      <c r="CU96" s="46"/>
      <c r="CV96" s="46"/>
      <c r="CW96" s="46"/>
      <c r="CX96" s="46"/>
      <c r="CY96" s="46"/>
      <c r="CZ96" s="46"/>
      <c r="DA96" s="46"/>
      <c r="DB96" s="46"/>
      <c r="DC96" s="46"/>
      <c r="DD96" s="46"/>
      <c r="DE96" s="46"/>
      <c r="DF96" s="46"/>
      <c r="DG96" s="46"/>
      <c r="DH96" s="46"/>
      <c r="DI96" s="46"/>
      <c r="DJ96" s="46"/>
      <c r="DK96" s="46"/>
      <c r="DL96" s="46"/>
      <c r="DM96" s="46"/>
      <c r="DN96" s="46"/>
      <c r="DO96" s="46"/>
      <c r="DP96" s="46"/>
      <c r="DQ96" s="46"/>
      <c r="DR96" s="46"/>
      <c r="DS96" s="46"/>
      <c r="DT96" s="46"/>
      <c r="DU96" s="46"/>
      <c r="DV96" s="46"/>
      <c r="DW96" s="46"/>
      <c r="DX96" s="46"/>
      <c r="DY96" s="46"/>
      <c r="DZ96" s="46"/>
      <c r="EA96" s="46"/>
    </row>
    <row r="97" spans="2:131" ht="18" customHeight="1">
      <c r="B97" s="46"/>
      <c r="C97" s="46"/>
      <c r="D97" s="46"/>
      <c r="E97" s="46"/>
      <c r="F97" s="46"/>
      <c r="G97" s="46"/>
      <c r="H97" s="46"/>
      <c r="I97" s="46"/>
      <c r="J97" s="46"/>
      <c r="K97" s="46"/>
      <c r="L97" s="45"/>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c r="BF97" s="46"/>
      <c r="BG97" s="46"/>
      <c r="BH97" s="46"/>
      <c r="BI97" s="46"/>
      <c r="BJ97" s="46"/>
      <c r="BK97" s="46"/>
      <c r="BL97" s="46"/>
      <c r="BM97" s="46"/>
      <c r="BN97" s="46"/>
      <c r="BO97" s="46"/>
      <c r="BP97" s="46"/>
      <c r="BQ97" s="46"/>
      <c r="BR97" s="46"/>
      <c r="BS97" s="46"/>
      <c r="BT97" s="46"/>
      <c r="BU97" s="46"/>
      <c r="BV97" s="46"/>
      <c r="BW97" s="46"/>
      <c r="BX97" s="46"/>
      <c r="BY97" s="46"/>
      <c r="BZ97" s="46"/>
      <c r="CA97" s="46"/>
      <c r="CB97" s="46"/>
      <c r="CC97" s="46"/>
      <c r="CD97" s="46"/>
      <c r="CE97" s="46"/>
      <c r="CF97" s="46"/>
      <c r="CG97" s="46"/>
      <c r="CH97" s="46"/>
      <c r="CI97" s="46"/>
      <c r="CJ97" s="46"/>
      <c r="CK97" s="46"/>
      <c r="CL97" s="46"/>
      <c r="CM97" s="46"/>
      <c r="CN97" s="46"/>
      <c r="CO97" s="46"/>
      <c r="CP97" s="46"/>
      <c r="CQ97" s="46"/>
      <c r="CR97" s="46"/>
      <c r="CS97" s="46"/>
      <c r="CT97" s="46"/>
      <c r="CU97" s="46"/>
      <c r="CV97" s="46"/>
      <c r="CW97" s="46"/>
      <c r="CX97" s="46"/>
      <c r="CY97" s="46"/>
      <c r="CZ97" s="46"/>
      <c r="DA97" s="46"/>
      <c r="DB97" s="46"/>
      <c r="DC97" s="46"/>
      <c r="DD97" s="46"/>
      <c r="DE97" s="46"/>
      <c r="DF97" s="46"/>
      <c r="DG97" s="46"/>
      <c r="DH97" s="46"/>
      <c r="DI97" s="46"/>
      <c r="DJ97" s="46"/>
      <c r="DK97" s="46"/>
      <c r="DL97" s="46"/>
      <c r="DM97" s="46"/>
      <c r="DN97" s="46"/>
      <c r="DO97" s="46"/>
      <c r="DP97" s="46"/>
      <c r="DQ97" s="46"/>
      <c r="DR97" s="46"/>
      <c r="DS97" s="46"/>
      <c r="DT97" s="46"/>
      <c r="DU97" s="46"/>
      <c r="DV97" s="46"/>
      <c r="DW97" s="46"/>
      <c r="DX97" s="46"/>
      <c r="DY97" s="46"/>
      <c r="DZ97" s="46"/>
      <c r="EA97" s="46"/>
    </row>
    <row r="98" spans="2:131" ht="18" customHeight="1">
      <c r="B98" s="46"/>
      <c r="C98" s="46"/>
      <c r="D98" s="46"/>
      <c r="E98" s="46"/>
      <c r="F98" s="46"/>
      <c r="G98" s="46"/>
      <c r="H98" s="46"/>
      <c r="I98" s="46"/>
      <c r="J98" s="46"/>
      <c r="K98" s="46"/>
      <c r="L98" s="45"/>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c r="BF98" s="46"/>
      <c r="BG98" s="46"/>
      <c r="BH98" s="46"/>
      <c r="BI98" s="46"/>
      <c r="BJ98" s="46"/>
      <c r="BK98" s="46"/>
      <c r="BL98" s="46"/>
      <c r="BM98" s="46"/>
      <c r="BN98" s="46"/>
      <c r="BO98" s="46"/>
      <c r="BP98" s="46"/>
      <c r="BQ98" s="46"/>
      <c r="BR98" s="46"/>
      <c r="BS98" s="46"/>
      <c r="BT98" s="46"/>
      <c r="BU98" s="46"/>
      <c r="BV98" s="46"/>
      <c r="BW98" s="46"/>
      <c r="BX98" s="46"/>
      <c r="BY98" s="46"/>
      <c r="BZ98" s="46"/>
      <c r="CA98" s="46"/>
      <c r="CB98" s="46"/>
      <c r="CC98" s="46"/>
      <c r="CD98" s="46"/>
      <c r="CE98" s="46"/>
      <c r="CF98" s="46"/>
      <c r="CG98" s="46"/>
      <c r="CH98" s="46"/>
      <c r="CI98" s="46"/>
      <c r="CJ98" s="46"/>
      <c r="CK98" s="46"/>
      <c r="CL98" s="46"/>
      <c r="CM98" s="46"/>
      <c r="CN98" s="46"/>
      <c r="CO98" s="46"/>
      <c r="CP98" s="46"/>
      <c r="CQ98" s="46"/>
      <c r="CR98" s="46"/>
      <c r="CS98" s="46"/>
      <c r="CT98" s="46"/>
      <c r="CU98" s="46"/>
      <c r="CV98" s="46"/>
      <c r="CW98" s="46"/>
      <c r="CX98" s="46"/>
      <c r="CY98" s="46"/>
      <c r="CZ98" s="46"/>
      <c r="DA98" s="46"/>
      <c r="DB98" s="46"/>
      <c r="DC98" s="46"/>
      <c r="DD98" s="46"/>
      <c r="DE98" s="46"/>
      <c r="DF98" s="46"/>
      <c r="DG98" s="46"/>
      <c r="DH98" s="46"/>
      <c r="DI98" s="46"/>
      <c r="DJ98" s="46"/>
      <c r="DK98" s="46"/>
      <c r="DL98" s="46"/>
      <c r="DM98" s="46"/>
      <c r="DN98" s="46"/>
      <c r="DO98" s="46"/>
      <c r="DP98" s="46"/>
      <c r="DQ98" s="46"/>
      <c r="DR98" s="46"/>
      <c r="DS98" s="46"/>
      <c r="DT98" s="46"/>
      <c r="DU98" s="46"/>
      <c r="DV98" s="46"/>
      <c r="DW98" s="46"/>
      <c r="DX98" s="46"/>
      <c r="DY98" s="46"/>
      <c r="DZ98" s="46"/>
      <c r="EA98" s="46"/>
    </row>
    <row r="99" spans="2:131" ht="18" customHeight="1">
      <c r="B99" s="45"/>
      <c r="C99" s="45"/>
      <c r="D99" s="46"/>
      <c r="E99" s="46"/>
      <c r="F99" s="46"/>
      <c r="G99" s="46"/>
      <c r="H99" s="46"/>
      <c r="I99" s="46"/>
      <c r="J99" s="46"/>
      <c r="K99" s="46"/>
      <c r="L99" s="45"/>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c r="BF99" s="46"/>
      <c r="BG99" s="46"/>
      <c r="BH99" s="46"/>
      <c r="BI99" s="46"/>
      <c r="BJ99" s="46"/>
      <c r="BK99" s="46"/>
      <c r="BL99" s="46"/>
      <c r="BM99" s="46"/>
      <c r="BN99" s="46"/>
      <c r="BO99" s="46"/>
      <c r="BP99" s="46"/>
      <c r="BQ99" s="46"/>
      <c r="BR99" s="46"/>
      <c r="BS99" s="46"/>
      <c r="BT99" s="46"/>
      <c r="BU99" s="46"/>
      <c r="BV99" s="46"/>
      <c r="BW99" s="46"/>
      <c r="BX99" s="46"/>
      <c r="BY99" s="46"/>
      <c r="BZ99" s="46"/>
      <c r="CA99" s="46"/>
      <c r="CB99" s="46"/>
      <c r="CC99" s="46"/>
      <c r="CD99" s="46"/>
      <c r="CE99" s="46"/>
      <c r="CF99" s="46"/>
      <c r="CG99" s="46"/>
      <c r="CH99" s="46"/>
      <c r="CI99" s="46"/>
      <c r="CJ99" s="46"/>
      <c r="CK99" s="46"/>
      <c r="CL99" s="46"/>
      <c r="CM99" s="46"/>
      <c r="CN99" s="46"/>
      <c r="CO99" s="46"/>
      <c r="CP99" s="46"/>
      <c r="CQ99" s="46"/>
      <c r="CR99" s="46"/>
      <c r="CS99" s="46"/>
      <c r="CT99" s="46"/>
      <c r="CU99" s="46"/>
      <c r="CV99" s="46"/>
      <c r="CW99" s="46"/>
      <c r="CX99" s="46"/>
      <c r="CY99" s="46"/>
      <c r="CZ99" s="46"/>
      <c r="DA99" s="46"/>
      <c r="DB99" s="46"/>
      <c r="DC99" s="46"/>
      <c r="DD99" s="46"/>
      <c r="DE99" s="46"/>
      <c r="DF99" s="46"/>
      <c r="DG99" s="46"/>
      <c r="DH99" s="46"/>
      <c r="DI99" s="46"/>
      <c r="DJ99" s="46"/>
      <c r="DK99" s="46"/>
      <c r="DL99" s="46"/>
      <c r="DM99" s="46"/>
      <c r="DN99" s="46"/>
      <c r="DO99" s="46"/>
      <c r="DP99" s="46"/>
      <c r="DQ99" s="46"/>
      <c r="DR99" s="46"/>
      <c r="DS99" s="46"/>
      <c r="DT99" s="46"/>
      <c r="DU99" s="46"/>
      <c r="DV99" s="46"/>
      <c r="DW99" s="46"/>
      <c r="DX99" s="46"/>
      <c r="DY99" s="46"/>
      <c r="DZ99" s="46"/>
      <c r="EA99" s="46"/>
    </row>
    <row r="100" spans="2:131" ht="18" customHeight="1">
      <c r="B100" s="46"/>
      <c r="C100" s="46"/>
      <c r="D100" s="46"/>
      <c r="E100" s="46"/>
      <c r="F100" s="46"/>
      <c r="G100" s="46"/>
      <c r="H100" s="46"/>
      <c r="I100" s="46"/>
      <c r="J100" s="46"/>
      <c r="K100" s="46"/>
      <c r="L100" s="45"/>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row>
    <row r="101" spans="2:131" ht="18" customHeight="1">
      <c r="B101" s="46"/>
      <c r="C101" s="46"/>
      <c r="D101" s="46"/>
      <c r="E101" s="46"/>
      <c r="F101" s="46"/>
      <c r="G101" s="46"/>
      <c r="H101" s="46"/>
      <c r="I101" s="46"/>
      <c r="J101" s="46"/>
      <c r="K101" s="46"/>
      <c r="L101" s="45"/>
      <c r="M101" s="46"/>
      <c r="N101" s="4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c r="BA101" s="46"/>
      <c r="BB101" s="46"/>
      <c r="BC101" s="46"/>
      <c r="BD101" s="46"/>
      <c r="BE101" s="46"/>
      <c r="BF101" s="46"/>
      <c r="BG101" s="46"/>
      <c r="BH101" s="46"/>
      <c r="BI101" s="46"/>
      <c r="BJ101" s="46"/>
      <c r="BK101" s="46"/>
      <c r="BL101" s="46"/>
      <c r="BM101" s="46"/>
      <c r="BN101" s="46"/>
      <c r="BO101" s="46"/>
      <c r="BP101" s="46"/>
      <c r="BQ101" s="46"/>
      <c r="BR101" s="46"/>
      <c r="BS101" s="46"/>
      <c r="BT101" s="46"/>
      <c r="BU101" s="46"/>
      <c r="BV101" s="46"/>
      <c r="BW101" s="46"/>
      <c r="BX101" s="46"/>
      <c r="BY101" s="46"/>
      <c r="BZ101" s="46"/>
      <c r="CA101" s="46"/>
      <c r="CB101" s="46"/>
      <c r="CC101" s="46"/>
      <c r="CD101" s="46"/>
      <c r="CE101" s="46"/>
      <c r="CF101" s="46"/>
      <c r="CG101" s="46"/>
      <c r="CH101" s="46"/>
      <c r="CI101" s="46"/>
      <c r="CJ101" s="46"/>
      <c r="CK101" s="46"/>
      <c r="CL101" s="46"/>
      <c r="CM101" s="46"/>
      <c r="CN101" s="46"/>
      <c r="CO101" s="46"/>
      <c r="CP101" s="46"/>
      <c r="CQ101" s="46"/>
      <c r="CR101" s="46"/>
      <c r="CS101" s="46"/>
      <c r="CT101" s="46"/>
      <c r="CU101" s="46"/>
      <c r="CV101" s="46"/>
      <c r="CW101" s="46"/>
      <c r="CX101" s="46"/>
      <c r="CY101" s="46"/>
      <c r="CZ101" s="46"/>
      <c r="DA101" s="46"/>
      <c r="DB101" s="46"/>
      <c r="DC101" s="46"/>
      <c r="DD101" s="46"/>
      <c r="DE101" s="46"/>
      <c r="DF101" s="46"/>
      <c r="DG101" s="46"/>
      <c r="DH101" s="46"/>
      <c r="DI101" s="46"/>
      <c r="DJ101" s="46"/>
      <c r="DK101" s="46"/>
      <c r="DL101" s="46"/>
      <c r="DM101" s="46"/>
      <c r="DN101" s="46"/>
      <c r="DO101" s="46"/>
      <c r="DP101" s="46"/>
      <c r="DQ101" s="46"/>
      <c r="DR101" s="46"/>
      <c r="DS101" s="46"/>
      <c r="DT101" s="46"/>
      <c r="DU101" s="46"/>
      <c r="DV101" s="46"/>
      <c r="DW101" s="46"/>
      <c r="DX101" s="46"/>
      <c r="DY101" s="46"/>
      <c r="DZ101" s="46"/>
      <c r="EA101" s="46"/>
    </row>
    <row r="102" spans="2:131" ht="18" customHeight="1">
      <c r="B102" s="46"/>
      <c r="C102" s="46"/>
      <c r="D102" s="46"/>
      <c r="E102" s="46"/>
      <c r="F102" s="46"/>
      <c r="G102" s="46"/>
      <c r="H102" s="46"/>
      <c r="I102" s="46"/>
      <c r="J102" s="46"/>
      <c r="K102" s="46"/>
      <c r="L102" s="45"/>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c r="BA102" s="46"/>
      <c r="BB102" s="46"/>
      <c r="BC102" s="46"/>
      <c r="BD102" s="46"/>
      <c r="BE102" s="46"/>
      <c r="BF102" s="46"/>
      <c r="BG102" s="46"/>
      <c r="BH102" s="46"/>
      <c r="BI102" s="46"/>
      <c r="BJ102" s="46"/>
      <c r="BK102" s="46"/>
      <c r="BL102" s="46"/>
      <c r="BM102" s="46"/>
      <c r="BN102" s="46"/>
      <c r="BO102" s="46"/>
      <c r="BP102" s="46"/>
      <c r="BQ102" s="46"/>
      <c r="BR102" s="46"/>
      <c r="BS102" s="46"/>
      <c r="BT102" s="46"/>
      <c r="BU102" s="46"/>
      <c r="BV102" s="46"/>
      <c r="BW102" s="46"/>
      <c r="BX102" s="46"/>
      <c r="BY102" s="46"/>
      <c r="BZ102" s="46"/>
      <c r="CA102" s="46"/>
      <c r="CB102" s="46"/>
      <c r="CC102" s="46"/>
      <c r="CD102" s="46"/>
      <c r="CE102" s="46"/>
      <c r="CF102" s="46"/>
      <c r="CG102" s="46"/>
      <c r="CH102" s="46"/>
      <c r="CI102" s="46"/>
      <c r="CJ102" s="46"/>
      <c r="CK102" s="46"/>
      <c r="CL102" s="46"/>
      <c r="CM102" s="46"/>
      <c r="CN102" s="46"/>
      <c r="CO102" s="46"/>
      <c r="CP102" s="46"/>
      <c r="CQ102" s="46"/>
      <c r="CR102" s="46"/>
      <c r="CS102" s="46"/>
      <c r="CT102" s="46"/>
      <c r="CU102" s="46"/>
      <c r="CV102" s="46"/>
      <c r="CW102" s="46"/>
      <c r="CX102" s="46"/>
      <c r="CY102" s="46"/>
      <c r="CZ102" s="46"/>
      <c r="DA102" s="46"/>
      <c r="DB102" s="46"/>
      <c r="DC102" s="46"/>
      <c r="DD102" s="46"/>
      <c r="DE102" s="46"/>
      <c r="DF102" s="46"/>
      <c r="DG102" s="46"/>
      <c r="DH102" s="46"/>
      <c r="DI102" s="46"/>
      <c r="DJ102" s="46"/>
      <c r="DK102" s="46"/>
      <c r="DL102" s="46"/>
      <c r="DM102" s="46"/>
      <c r="DN102" s="46"/>
      <c r="DO102" s="46"/>
      <c r="DP102" s="46"/>
      <c r="DQ102" s="46"/>
      <c r="DR102" s="46"/>
      <c r="DS102" s="46"/>
      <c r="DT102" s="46"/>
      <c r="DU102" s="46"/>
      <c r="DV102" s="46"/>
      <c r="DW102" s="46"/>
      <c r="DX102" s="46"/>
      <c r="DY102" s="46"/>
      <c r="DZ102" s="46"/>
      <c r="EA102" s="46"/>
    </row>
    <row r="103" spans="2:131" ht="18" customHeight="1">
      <c r="B103" s="46"/>
      <c r="C103" s="46"/>
      <c r="D103" s="46"/>
      <c r="E103" s="46"/>
      <c r="F103" s="46"/>
      <c r="G103" s="46"/>
      <c r="H103" s="46"/>
      <c r="I103" s="46"/>
      <c r="J103" s="46"/>
      <c r="K103" s="46"/>
      <c r="L103" s="45"/>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c r="BA103" s="46"/>
      <c r="BB103" s="46"/>
      <c r="BC103" s="46"/>
      <c r="BD103" s="46"/>
      <c r="BE103" s="46"/>
      <c r="BF103" s="46"/>
      <c r="BG103" s="46"/>
      <c r="BH103" s="46"/>
      <c r="BI103" s="46"/>
      <c r="BJ103" s="46"/>
      <c r="BK103" s="46"/>
      <c r="BL103" s="46"/>
      <c r="BM103" s="46"/>
      <c r="BN103" s="46"/>
      <c r="BO103" s="46"/>
      <c r="BP103" s="46"/>
      <c r="BQ103" s="46"/>
      <c r="BR103" s="46"/>
      <c r="BS103" s="46"/>
      <c r="BT103" s="46"/>
      <c r="BU103" s="46"/>
      <c r="BV103" s="46"/>
      <c r="BW103" s="46"/>
      <c r="BX103" s="46"/>
      <c r="BY103" s="46"/>
      <c r="BZ103" s="46"/>
      <c r="CA103" s="46"/>
      <c r="CB103" s="46"/>
      <c r="CC103" s="46"/>
      <c r="CD103" s="46"/>
      <c r="CE103" s="46"/>
      <c r="CF103" s="46"/>
      <c r="CG103" s="46"/>
      <c r="CH103" s="46"/>
      <c r="CI103" s="46"/>
      <c r="CJ103" s="46"/>
      <c r="CK103" s="46"/>
      <c r="CL103" s="46"/>
      <c r="CM103" s="46"/>
      <c r="CN103" s="46"/>
      <c r="CO103" s="46"/>
      <c r="CP103" s="46"/>
      <c r="CQ103" s="46"/>
      <c r="CR103" s="46"/>
      <c r="CS103" s="46"/>
      <c r="CT103" s="46"/>
      <c r="CU103" s="46"/>
      <c r="CV103" s="46"/>
      <c r="CW103" s="46"/>
      <c r="CX103" s="46"/>
      <c r="CY103" s="46"/>
      <c r="CZ103" s="46"/>
      <c r="DA103" s="46"/>
      <c r="DB103" s="46"/>
      <c r="DC103" s="46"/>
      <c r="DD103" s="46"/>
      <c r="DE103" s="46"/>
      <c r="DF103" s="46"/>
      <c r="DG103" s="46"/>
      <c r="DH103" s="46"/>
      <c r="DI103" s="46"/>
      <c r="DJ103" s="46"/>
      <c r="DK103" s="46"/>
      <c r="DL103" s="46"/>
      <c r="DM103" s="46"/>
      <c r="DN103" s="46"/>
      <c r="DO103" s="46"/>
      <c r="DP103" s="46"/>
      <c r="DQ103" s="46"/>
      <c r="DR103" s="46"/>
      <c r="DS103" s="46"/>
      <c r="DT103" s="46"/>
      <c r="DU103" s="46"/>
      <c r="DV103" s="46"/>
      <c r="DW103" s="46"/>
      <c r="DX103" s="46"/>
      <c r="DY103" s="46"/>
      <c r="DZ103" s="46"/>
      <c r="EA103" s="46"/>
    </row>
    <row r="104" spans="2:131" ht="18" customHeight="1">
      <c r="B104" s="46"/>
      <c r="C104" s="46"/>
      <c r="D104" s="46"/>
      <c r="E104" s="46"/>
      <c r="F104" s="46"/>
      <c r="G104" s="46"/>
      <c r="H104" s="46"/>
      <c r="I104" s="46"/>
      <c r="J104" s="46"/>
      <c r="K104" s="46"/>
      <c r="L104" s="45"/>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c r="BF104" s="46"/>
      <c r="BG104" s="46"/>
      <c r="BH104" s="46"/>
      <c r="BI104" s="46"/>
      <c r="BJ104" s="46"/>
      <c r="BK104" s="46"/>
      <c r="BL104" s="46"/>
      <c r="BM104" s="46"/>
      <c r="BN104" s="46"/>
      <c r="BO104" s="46"/>
      <c r="BP104" s="46"/>
      <c r="BQ104" s="46"/>
      <c r="BR104" s="46"/>
      <c r="BS104" s="46"/>
      <c r="BT104" s="46"/>
      <c r="BU104" s="46"/>
      <c r="BV104" s="46"/>
      <c r="BW104" s="46"/>
      <c r="BX104" s="46"/>
      <c r="BY104" s="46"/>
      <c r="BZ104" s="46"/>
      <c r="CA104" s="46"/>
      <c r="CB104" s="46"/>
      <c r="CC104" s="46"/>
      <c r="CD104" s="46"/>
      <c r="CE104" s="46"/>
      <c r="CF104" s="46"/>
      <c r="CG104" s="46"/>
      <c r="CH104" s="46"/>
      <c r="CI104" s="46"/>
      <c r="CJ104" s="46"/>
      <c r="CK104" s="46"/>
      <c r="CL104" s="46"/>
      <c r="CM104" s="46"/>
      <c r="CN104" s="46"/>
      <c r="CO104" s="46"/>
      <c r="CP104" s="46"/>
      <c r="CQ104" s="46"/>
      <c r="CR104" s="46"/>
      <c r="CS104" s="46"/>
      <c r="CT104" s="46"/>
      <c r="CU104" s="46"/>
      <c r="CV104" s="46"/>
      <c r="CW104" s="46"/>
      <c r="CX104" s="46"/>
      <c r="CY104" s="46"/>
      <c r="CZ104" s="46"/>
      <c r="DA104" s="46"/>
      <c r="DB104" s="46"/>
      <c r="DC104" s="46"/>
      <c r="DD104" s="46"/>
      <c r="DE104" s="46"/>
      <c r="DF104" s="46"/>
      <c r="DG104" s="46"/>
      <c r="DH104" s="46"/>
      <c r="DI104" s="46"/>
      <c r="DJ104" s="46"/>
      <c r="DK104" s="46"/>
      <c r="DL104" s="46"/>
      <c r="DM104" s="46"/>
      <c r="DN104" s="46"/>
      <c r="DO104" s="46"/>
      <c r="DP104" s="46"/>
      <c r="DQ104" s="46"/>
      <c r="DR104" s="46"/>
      <c r="DS104" s="46"/>
      <c r="DT104" s="46"/>
      <c r="DU104" s="46"/>
      <c r="DV104" s="46"/>
      <c r="DW104" s="46"/>
      <c r="DX104" s="46"/>
      <c r="DY104" s="46"/>
      <c r="DZ104" s="46"/>
      <c r="EA104" s="46"/>
    </row>
    <row r="105" spans="2:131" ht="18" customHeight="1">
      <c r="B105" s="45"/>
      <c r="C105" s="45"/>
      <c r="D105" s="46"/>
      <c r="E105" s="46"/>
      <c r="F105" s="46"/>
      <c r="G105" s="46"/>
      <c r="H105" s="46"/>
      <c r="I105" s="46"/>
      <c r="J105" s="46"/>
      <c r="K105" s="46"/>
      <c r="L105" s="45"/>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row>
    <row r="106" spans="2:131" ht="18" customHeight="1">
      <c r="B106" s="45"/>
      <c r="C106" s="45"/>
      <c r="D106" s="46"/>
      <c r="E106" s="46"/>
      <c r="F106" s="46"/>
      <c r="G106" s="46"/>
      <c r="H106" s="46"/>
      <c r="I106" s="46"/>
      <c r="J106" s="46"/>
      <c r="K106" s="46"/>
      <c r="L106" s="45"/>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c r="BF106" s="46"/>
      <c r="BG106" s="46"/>
      <c r="BH106" s="46"/>
      <c r="BI106" s="46"/>
      <c r="BJ106" s="46"/>
      <c r="BK106" s="46"/>
      <c r="BL106" s="46"/>
      <c r="BM106" s="46"/>
      <c r="BN106" s="46"/>
      <c r="BO106" s="46"/>
      <c r="BP106" s="46"/>
      <c r="BQ106" s="46"/>
      <c r="BR106" s="46"/>
      <c r="BS106" s="46"/>
      <c r="BT106" s="46"/>
      <c r="BU106" s="46"/>
      <c r="BV106" s="46"/>
      <c r="BW106" s="46"/>
      <c r="BX106" s="46"/>
      <c r="BY106" s="46"/>
      <c r="BZ106" s="46"/>
      <c r="CA106" s="46"/>
      <c r="CB106" s="46"/>
      <c r="CC106" s="46"/>
      <c r="CD106" s="46"/>
      <c r="CE106" s="46"/>
      <c r="CF106" s="46"/>
      <c r="CG106" s="46"/>
      <c r="CH106" s="46"/>
      <c r="CI106" s="46"/>
      <c r="CJ106" s="46"/>
      <c r="CK106" s="46"/>
      <c r="CL106" s="46"/>
      <c r="CM106" s="46"/>
      <c r="CN106" s="46"/>
      <c r="CO106" s="46"/>
      <c r="CP106" s="46"/>
      <c r="CQ106" s="46"/>
      <c r="CR106" s="46"/>
      <c r="CS106" s="46"/>
      <c r="CT106" s="46"/>
      <c r="CU106" s="46"/>
      <c r="CV106" s="46"/>
      <c r="CW106" s="46"/>
      <c r="CX106" s="46"/>
      <c r="CY106" s="46"/>
      <c r="CZ106" s="46"/>
      <c r="DA106" s="46"/>
      <c r="DB106" s="46"/>
      <c r="DC106" s="46"/>
      <c r="DD106" s="46"/>
      <c r="DE106" s="46"/>
      <c r="DF106" s="46"/>
      <c r="DG106" s="46"/>
      <c r="DH106" s="46"/>
      <c r="DI106" s="46"/>
      <c r="DJ106" s="46"/>
      <c r="DK106" s="46"/>
      <c r="DL106" s="46"/>
      <c r="DM106" s="46"/>
      <c r="DN106" s="46"/>
      <c r="DO106" s="46"/>
      <c r="DP106" s="46"/>
      <c r="DQ106" s="46"/>
      <c r="DR106" s="46"/>
      <c r="DS106" s="46"/>
      <c r="DT106" s="46"/>
      <c r="DU106" s="46"/>
      <c r="DV106" s="46"/>
      <c r="DW106" s="46"/>
      <c r="DX106" s="46"/>
      <c r="DY106" s="46"/>
      <c r="DZ106" s="46"/>
      <c r="EA106" s="46"/>
    </row>
    <row r="107" spans="2:131" ht="18" customHeight="1">
      <c r="B107" s="102"/>
      <c r="C107" s="102"/>
      <c r="D107" s="46"/>
      <c r="E107" s="46"/>
      <c r="F107" s="46"/>
      <c r="G107" s="46"/>
      <c r="H107" s="46"/>
      <c r="I107" s="46"/>
      <c r="J107" s="46"/>
      <c r="K107" s="46"/>
      <c r="L107" s="45"/>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c r="BF107" s="46"/>
      <c r="BG107" s="46"/>
      <c r="BH107" s="46"/>
      <c r="BI107" s="46"/>
      <c r="BJ107" s="46"/>
      <c r="BK107" s="46"/>
      <c r="BL107" s="46"/>
      <c r="BM107" s="46"/>
      <c r="BN107" s="46"/>
      <c r="BO107" s="46"/>
      <c r="BP107" s="46"/>
      <c r="BQ107" s="46"/>
      <c r="BR107" s="46"/>
      <c r="BS107" s="46"/>
      <c r="BT107" s="46"/>
      <c r="BU107" s="46"/>
      <c r="BV107" s="46"/>
      <c r="BW107" s="46"/>
      <c r="BX107" s="46"/>
      <c r="BY107" s="46"/>
      <c r="BZ107" s="46"/>
      <c r="CA107" s="46"/>
      <c r="CB107" s="46"/>
      <c r="CC107" s="46"/>
      <c r="CD107" s="46"/>
      <c r="CE107" s="46"/>
      <c r="CF107" s="46"/>
      <c r="CG107" s="46"/>
      <c r="CH107" s="46"/>
      <c r="CI107" s="46"/>
      <c r="CJ107" s="46"/>
      <c r="CK107" s="46"/>
      <c r="CL107" s="46"/>
      <c r="CM107" s="46"/>
      <c r="CN107" s="46"/>
      <c r="CO107" s="46"/>
      <c r="CP107" s="46"/>
      <c r="CQ107" s="46"/>
      <c r="CR107" s="46"/>
      <c r="CS107" s="46"/>
      <c r="CT107" s="46"/>
      <c r="CU107" s="46"/>
      <c r="CV107" s="46"/>
      <c r="CW107" s="46"/>
      <c r="CX107" s="46"/>
      <c r="CY107" s="46"/>
      <c r="CZ107" s="46"/>
      <c r="DA107" s="46"/>
      <c r="DB107" s="46"/>
      <c r="DC107" s="46"/>
      <c r="DD107" s="46"/>
      <c r="DE107" s="46"/>
      <c r="DF107" s="46"/>
      <c r="DG107" s="46"/>
      <c r="DH107" s="46"/>
      <c r="DI107" s="46"/>
      <c r="DJ107" s="46"/>
      <c r="DK107" s="46"/>
      <c r="DL107" s="46"/>
      <c r="DM107" s="46"/>
      <c r="DN107" s="46"/>
      <c r="DO107" s="46"/>
      <c r="DP107" s="46"/>
      <c r="DQ107" s="46"/>
      <c r="DR107" s="46"/>
      <c r="DS107" s="46"/>
      <c r="DT107" s="46"/>
      <c r="DU107" s="46"/>
      <c r="DV107" s="46"/>
      <c r="DW107" s="46"/>
      <c r="DX107" s="46"/>
      <c r="DY107" s="46"/>
      <c r="DZ107" s="46"/>
      <c r="EA107" s="46"/>
    </row>
    <row r="108" spans="2:131" ht="18" customHeight="1">
      <c r="B108" s="46"/>
      <c r="C108" s="46"/>
      <c r="D108" s="46"/>
      <c r="E108" s="46"/>
      <c r="F108" s="46"/>
      <c r="G108" s="46"/>
      <c r="H108" s="46"/>
      <c r="I108" s="46"/>
      <c r="J108" s="46"/>
      <c r="K108" s="46"/>
      <c r="L108" s="45"/>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c r="BF108" s="46"/>
      <c r="BG108" s="46"/>
      <c r="BH108" s="46"/>
      <c r="BI108" s="46"/>
      <c r="BJ108" s="46"/>
      <c r="BK108" s="46"/>
      <c r="BL108" s="46"/>
      <c r="BM108" s="46"/>
      <c r="BN108" s="46"/>
      <c r="BO108" s="46"/>
      <c r="BP108" s="46"/>
      <c r="BQ108" s="46"/>
      <c r="BR108" s="46"/>
      <c r="BS108" s="46"/>
      <c r="BT108" s="46"/>
      <c r="BU108" s="46"/>
      <c r="BV108" s="46"/>
      <c r="BW108" s="46"/>
      <c r="BX108" s="46"/>
      <c r="BY108" s="46"/>
      <c r="BZ108" s="46"/>
      <c r="CA108" s="46"/>
      <c r="CB108" s="46"/>
      <c r="CC108" s="46"/>
      <c r="CD108" s="46"/>
      <c r="CE108" s="46"/>
      <c r="CF108" s="46"/>
      <c r="CG108" s="46"/>
      <c r="CH108" s="46"/>
      <c r="CI108" s="46"/>
      <c r="CJ108" s="46"/>
      <c r="CK108" s="46"/>
      <c r="CL108" s="46"/>
      <c r="CM108" s="46"/>
      <c r="CN108" s="46"/>
      <c r="CO108" s="46"/>
      <c r="CP108" s="46"/>
      <c r="CQ108" s="46"/>
      <c r="CR108" s="46"/>
      <c r="CS108" s="46"/>
      <c r="CT108" s="46"/>
      <c r="CU108" s="46"/>
      <c r="CV108" s="46"/>
      <c r="CW108" s="46"/>
      <c r="CX108" s="46"/>
      <c r="CY108" s="46"/>
      <c r="CZ108" s="46"/>
      <c r="DA108" s="46"/>
      <c r="DB108" s="46"/>
      <c r="DC108" s="46"/>
      <c r="DD108" s="46"/>
      <c r="DE108" s="46"/>
      <c r="DF108" s="46"/>
      <c r="DG108" s="46"/>
      <c r="DH108" s="46"/>
      <c r="DI108" s="46"/>
      <c r="DJ108" s="46"/>
      <c r="DK108" s="46"/>
      <c r="DL108" s="46"/>
      <c r="DM108" s="46"/>
      <c r="DN108" s="46"/>
      <c r="DO108" s="46"/>
      <c r="DP108" s="46"/>
      <c r="DQ108" s="46"/>
      <c r="DR108" s="46"/>
      <c r="DS108" s="46"/>
      <c r="DT108" s="46"/>
      <c r="DU108" s="46"/>
      <c r="DV108" s="46"/>
      <c r="DW108" s="46"/>
      <c r="DX108" s="46"/>
      <c r="DY108" s="46"/>
      <c r="DZ108" s="46"/>
      <c r="EA108" s="46"/>
    </row>
    <row r="109" spans="2:131" ht="18" customHeight="1">
      <c r="B109" s="46"/>
      <c r="C109" s="46"/>
      <c r="D109" s="46"/>
      <c r="E109" s="46"/>
      <c r="F109" s="46"/>
      <c r="G109" s="46"/>
      <c r="H109" s="46"/>
      <c r="I109" s="46"/>
      <c r="J109" s="46"/>
      <c r="K109" s="46"/>
      <c r="L109" s="45"/>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c r="BF109" s="46"/>
      <c r="BG109" s="46"/>
      <c r="BH109" s="46"/>
      <c r="BI109" s="46"/>
      <c r="BJ109" s="46"/>
      <c r="BK109" s="46"/>
      <c r="BL109" s="46"/>
      <c r="BM109" s="46"/>
      <c r="BN109" s="46"/>
      <c r="BO109" s="46"/>
      <c r="BP109" s="46"/>
      <c r="BQ109" s="46"/>
      <c r="BR109" s="46"/>
      <c r="BS109" s="46"/>
      <c r="BT109" s="46"/>
      <c r="BU109" s="46"/>
      <c r="BV109" s="46"/>
      <c r="BW109" s="46"/>
      <c r="BX109" s="46"/>
      <c r="BY109" s="46"/>
      <c r="BZ109" s="46"/>
      <c r="CA109" s="46"/>
      <c r="CB109" s="46"/>
      <c r="CC109" s="46"/>
      <c r="CD109" s="46"/>
      <c r="CE109" s="46"/>
      <c r="CF109" s="46"/>
      <c r="CG109" s="46"/>
      <c r="CH109" s="46"/>
      <c r="CI109" s="46"/>
      <c r="CJ109" s="46"/>
      <c r="CK109" s="46"/>
      <c r="CL109" s="46"/>
      <c r="CM109" s="46"/>
      <c r="CN109" s="46"/>
      <c r="CO109" s="46"/>
      <c r="CP109" s="46"/>
      <c r="CQ109" s="46"/>
      <c r="CR109" s="46"/>
      <c r="CS109" s="46"/>
      <c r="CT109" s="46"/>
      <c r="CU109" s="46"/>
      <c r="CV109" s="46"/>
      <c r="CW109" s="46"/>
      <c r="CX109" s="46"/>
      <c r="CY109" s="46"/>
      <c r="CZ109" s="46"/>
      <c r="DA109" s="46"/>
      <c r="DB109" s="46"/>
      <c r="DC109" s="46"/>
      <c r="DD109" s="46"/>
      <c r="DE109" s="46"/>
      <c r="DF109" s="46"/>
      <c r="DG109" s="46"/>
      <c r="DH109" s="46"/>
      <c r="DI109" s="46"/>
      <c r="DJ109" s="46"/>
      <c r="DK109" s="46"/>
      <c r="DL109" s="46"/>
      <c r="DM109" s="46"/>
      <c r="DN109" s="46"/>
      <c r="DO109" s="46"/>
      <c r="DP109" s="46"/>
      <c r="DQ109" s="46"/>
      <c r="DR109" s="46"/>
      <c r="DS109" s="46"/>
      <c r="DT109" s="46"/>
      <c r="DU109" s="46"/>
      <c r="DV109" s="46"/>
      <c r="DW109" s="46"/>
      <c r="DX109" s="46"/>
      <c r="DY109" s="46"/>
      <c r="DZ109" s="46"/>
      <c r="EA109" s="46"/>
    </row>
    <row r="110" spans="2:131" ht="18" customHeight="1">
      <c r="B110" s="46"/>
      <c r="C110" s="46"/>
      <c r="D110" s="46"/>
      <c r="E110" s="46"/>
      <c r="F110" s="46"/>
      <c r="G110" s="46"/>
      <c r="H110" s="46"/>
      <c r="I110" s="46"/>
      <c r="J110" s="46"/>
      <c r="K110" s="46"/>
      <c r="L110" s="45"/>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row>
    <row r="111" spans="2:131" ht="18" customHeight="1">
      <c r="B111" s="45"/>
      <c r="C111" s="45"/>
      <c r="D111" s="46"/>
      <c r="E111" s="46"/>
      <c r="F111" s="46"/>
      <c r="G111" s="46"/>
      <c r="H111" s="46"/>
      <c r="I111" s="46"/>
      <c r="J111" s="46"/>
      <c r="K111" s="46"/>
      <c r="L111" s="45"/>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c r="BF111" s="46"/>
      <c r="BG111" s="46"/>
      <c r="BH111" s="46"/>
      <c r="BI111" s="46"/>
      <c r="BJ111" s="46"/>
      <c r="BK111" s="46"/>
      <c r="BL111" s="46"/>
      <c r="BM111" s="46"/>
      <c r="BN111" s="46"/>
      <c r="BO111" s="46"/>
      <c r="BP111" s="46"/>
      <c r="BQ111" s="46"/>
      <c r="BR111" s="46"/>
      <c r="BS111" s="46"/>
      <c r="BT111" s="46"/>
      <c r="BU111" s="46"/>
      <c r="BV111" s="46"/>
      <c r="BW111" s="46"/>
      <c r="BX111" s="46"/>
      <c r="BY111" s="46"/>
      <c r="BZ111" s="46"/>
      <c r="CA111" s="46"/>
      <c r="CB111" s="46"/>
      <c r="CC111" s="46"/>
      <c r="CD111" s="46"/>
      <c r="CE111" s="46"/>
      <c r="CF111" s="46"/>
      <c r="CG111" s="46"/>
      <c r="CH111" s="46"/>
      <c r="CI111" s="46"/>
      <c r="CJ111" s="46"/>
      <c r="CK111" s="46"/>
      <c r="CL111" s="46"/>
      <c r="CM111" s="46"/>
      <c r="CN111" s="46"/>
      <c r="CO111" s="46"/>
      <c r="CP111" s="46"/>
      <c r="CQ111" s="46"/>
      <c r="CR111" s="46"/>
      <c r="CS111" s="46"/>
      <c r="CT111" s="46"/>
      <c r="CU111" s="46"/>
      <c r="CV111" s="46"/>
      <c r="CW111" s="46"/>
      <c r="CX111" s="46"/>
      <c r="CY111" s="46"/>
      <c r="CZ111" s="46"/>
      <c r="DA111" s="46"/>
      <c r="DB111" s="46"/>
      <c r="DC111" s="46"/>
      <c r="DD111" s="46"/>
      <c r="DE111" s="46"/>
      <c r="DF111" s="46"/>
      <c r="DG111" s="46"/>
      <c r="DH111" s="46"/>
      <c r="DI111" s="46"/>
      <c r="DJ111" s="46"/>
      <c r="DK111" s="46"/>
      <c r="DL111" s="46"/>
      <c r="DM111" s="46"/>
      <c r="DN111" s="46"/>
      <c r="DO111" s="46"/>
      <c r="DP111" s="46"/>
      <c r="DQ111" s="46"/>
      <c r="DR111" s="46"/>
      <c r="DS111" s="46"/>
      <c r="DT111" s="46"/>
      <c r="DU111" s="46"/>
      <c r="DV111" s="46"/>
      <c r="DW111" s="46"/>
      <c r="DX111" s="46"/>
      <c r="DY111" s="46"/>
      <c r="DZ111" s="46"/>
      <c r="EA111" s="46"/>
    </row>
    <row r="112" spans="2:131" ht="18" customHeight="1">
      <c r="B112" s="46"/>
      <c r="C112" s="46"/>
      <c r="D112" s="46"/>
      <c r="E112" s="46"/>
      <c r="F112" s="46"/>
      <c r="G112" s="46"/>
      <c r="H112" s="46"/>
      <c r="I112" s="46"/>
      <c r="J112" s="46"/>
      <c r="K112" s="46"/>
      <c r="L112" s="45"/>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c r="BF112" s="46"/>
      <c r="BG112" s="46"/>
      <c r="BH112" s="46"/>
      <c r="BI112" s="46"/>
      <c r="BJ112" s="46"/>
      <c r="BK112" s="46"/>
      <c r="BL112" s="46"/>
      <c r="BM112" s="46"/>
      <c r="BN112" s="46"/>
      <c r="BO112" s="46"/>
      <c r="BP112" s="46"/>
      <c r="BQ112" s="46"/>
      <c r="BR112" s="46"/>
      <c r="BS112" s="46"/>
      <c r="BT112" s="46"/>
      <c r="BU112" s="46"/>
      <c r="BV112" s="46"/>
      <c r="BW112" s="46"/>
      <c r="BX112" s="46"/>
      <c r="BY112" s="46"/>
      <c r="BZ112" s="46"/>
      <c r="CA112" s="46"/>
      <c r="CB112" s="46"/>
      <c r="CC112" s="46"/>
      <c r="CD112" s="46"/>
      <c r="CE112" s="46"/>
      <c r="CF112" s="46"/>
      <c r="CG112" s="46"/>
      <c r="CH112" s="46"/>
      <c r="CI112" s="46"/>
      <c r="CJ112" s="46"/>
      <c r="CK112" s="46"/>
      <c r="CL112" s="46"/>
      <c r="CM112" s="46"/>
      <c r="CN112" s="46"/>
      <c r="CO112" s="46"/>
      <c r="CP112" s="46"/>
      <c r="CQ112" s="46"/>
      <c r="CR112" s="46"/>
      <c r="CS112" s="46"/>
      <c r="CT112" s="46"/>
      <c r="CU112" s="46"/>
      <c r="CV112" s="46"/>
      <c r="CW112" s="46"/>
      <c r="CX112" s="46"/>
      <c r="CY112" s="46"/>
      <c r="CZ112" s="46"/>
      <c r="DA112" s="46"/>
      <c r="DB112" s="46"/>
      <c r="DC112" s="46"/>
      <c r="DD112" s="46"/>
      <c r="DE112" s="46"/>
      <c r="DF112" s="46"/>
      <c r="DG112" s="46"/>
      <c r="DH112" s="46"/>
      <c r="DI112" s="46"/>
      <c r="DJ112" s="46"/>
      <c r="DK112" s="46"/>
      <c r="DL112" s="46"/>
      <c r="DM112" s="46"/>
      <c r="DN112" s="46"/>
      <c r="DO112" s="46"/>
      <c r="DP112" s="46"/>
      <c r="DQ112" s="46"/>
      <c r="DR112" s="46"/>
      <c r="DS112" s="46"/>
      <c r="DT112" s="46"/>
      <c r="DU112" s="46"/>
      <c r="DV112" s="46"/>
      <c r="DW112" s="46"/>
      <c r="DX112" s="46"/>
      <c r="DY112" s="46"/>
      <c r="DZ112" s="46"/>
      <c r="EA112" s="46"/>
    </row>
    <row r="113" spans="2:131" ht="18" customHeight="1">
      <c r="B113" s="46"/>
      <c r="C113" s="46"/>
      <c r="D113" s="46"/>
      <c r="E113" s="46"/>
      <c r="F113" s="46"/>
      <c r="G113" s="46"/>
      <c r="H113" s="46"/>
      <c r="I113" s="46"/>
      <c r="J113" s="46"/>
      <c r="K113" s="46"/>
      <c r="L113" s="45"/>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c r="BF113" s="46"/>
      <c r="BG113" s="46"/>
      <c r="BH113" s="46"/>
      <c r="BI113" s="46"/>
      <c r="BJ113" s="46"/>
      <c r="BK113" s="46"/>
      <c r="BL113" s="46"/>
      <c r="BM113" s="46"/>
      <c r="BN113" s="46"/>
      <c r="BO113" s="46"/>
      <c r="BP113" s="46"/>
      <c r="BQ113" s="46"/>
      <c r="BR113" s="46"/>
      <c r="BS113" s="46"/>
      <c r="BT113" s="46"/>
      <c r="BU113" s="46"/>
      <c r="BV113" s="46"/>
      <c r="BW113" s="46"/>
      <c r="BX113" s="46"/>
      <c r="BY113" s="46"/>
      <c r="BZ113" s="46"/>
      <c r="CA113" s="46"/>
      <c r="CB113" s="46"/>
      <c r="CC113" s="46"/>
      <c r="CD113" s="46"/>
      <c r="CE113" s="46"/>
      <c r="CF113" s="46"/>
      <c r="CG113" s="46"/>
      <c r="CH113" s="46"/>
      <c r="CI113" s="46"/>
      <c r="CJ113" s="46"/>
      <c r="CK113" s="46"/>
      <c r="CL113" s="46"/>
      <c r="CM113" s="46"/>
      <c r="CN113" s="46"/>
      <c r="CO113" s="46"/>
      <c r="CP113" s="46"/>
      <c r="CQ113" s="46"/>
      <c r="CR113" s="46"/>
      <c r="CS113" s="46"/>
      <c r="CT113" s="46"/>
      <c r="CU113" s="46"/>
      <c r="CV113" s="46"/>
      <c r="CW113" s="46"/>
      <c r="CX113" s="46"/>
      <c r="CY113" s="46"/>
      <c r="CZ113" s="46"/>
      <c r="DA113" s="46"/>
      <c r="DB113" s="46"/>
      <c r="DC113" s="46"/>
      <c r="DD113" s="46"/>
      <c r="DE113" s="46"/>
      <c r="DF113" s="46"/>
      <c r="DG113" s="46"/>
      <c r="DH113" s="46"/>
      <c r="DI113" s="46"/>
      <c r="DJ113" s="46"/>
      <c r="DK113" s="46"/>
      <c r="DL113" s="46"/>
      <c r="DM113" s="46"/>
      <c r="DN113" s="46"/>
      <c r="DO113" s="46"/>
      <c r="DP113" s="46"/>
      <c r="DQ113" s="46"/>
      <c r="DR113" s="46"/>
      <c r="DS113" s="46"/>
      <c r="DT113" s="46"/>
      <c r="DU113" s="46"/>
      <c r="DV113" s="46"/>
      <c r="DW113" s="46"/>
      <c r="DX113" s="46"/>
      <c r="DY113" s="46"/>
      <c r="DZ113" s="46"/>
      <c r="EA113" s="46"/>
    </row>
    <row r="114" spans="2:131" ht="18" customHeight="1">
      <c r="B114" s="46"/>
      <c r="C114" s="46"/>
      <c r="D114" s="46"/>
      <c r="E114" s="46"/>
      <c r="F114" s="46"/>
      <c r="G114" s="46"/>
      <c r="H114" s="46"/>
      <c r="I114" s="46"/>
      <c r="J114" s="46"/>
      <c r="K114" s="46"/>
      <c r="L114" s="45"/>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c r="BF114" s="46"/>
      <c r="BG114" s="46"/>
      <c r="BH114" s="46"/>
      <c r="BI114" s="46"/>
      <c r="BJ114" s="46"/>
      <c r="BK114" s="46"/>
      <c r="BL114" s="46"/>
      <c r="BM114" s="46"/>
      <c r="BN114" s="46"/>
      <c r="BO114" s="46"/>
      <c r="BP114" s="46"/>
      <c r="BQ114" s="46"/>
      <c r="BR114" s="46"/>
      <c r="BS114" s="46"/>
      <c r="BT114" s="46"/>
      <c r="BU114" s="46"/>
      <c r="BV114" s="46"/>
      <c r="BW114" s="46"/>
      <c r="BX114" s="46"/>
      <c r="BY114" s="46"/>
      <c r="BZ114" s="46"/>
      <c r="CA114" s="46"/>
      <c r="CB114" s="46"/>
      <c r="CC114" s="46"/>
      <c r="CD114" s="46"/>
      <c r="CE114" s="46"/>
      <c r="CF114" s="46"/>
      <c r="CG114" s="46"/>
      <c r="CH114" s="46"/>
      <c r="CI114" s="46"/>
      <c r="CJ114" s="46"/>
      <c r="CK114" s="46"/>
      <c r="CL114" s="46"/>
      <c r="CM114" s="46"/>
      <c r="CN114" s="46"/>
      <c r="CO114" s="46"/>
      <c r="CP114" s="46"/>
      <c r="CQ114" s="46"/>
      <c r="CR114" s="46"/>
      <c r="CS114" s="46"/>
      <c r="CT114" s="46"/>
      <c r="CU114" s="46"/>
      <c r="CV114" s="46"/>
      <c r="CW114" s="46"/>
      <c r="CX114" s="46"/>
      <c r="CY114" s="46"/>
      <c r="CZ114" s="46"/>
      <c r="DA114" s="46"/>
      <c r="DB114" s="46"/>
      <c r="DC114" s="46"/>
      <c r="DD114" s="46"/>
      <c r="DE114" s="46"/>
      <c r="DF114" s="46"/>
      <c r="DG114" s="46"/>
      <c r="DH114" s="46"/>
      <c r="DI114" s="46"/>
      <c r="DJ114" s="46"/>
      <c r="DK114" s="46"/>
      <c r="DL114" s="46"/>
      <c r="DM114" s="46"/>
      <c r="DN114" s="46"/>
      <c r="DO114" s="46"/>
      <c r="DP114" s="46"/>
      <c r="DQ114" s="46"/>
      <c r="DR114" s="46"/>
      <c r="DS114" s="46"/>
      <c r="DT114" s="46"/>
      <c r="DU114" s="46"/>
      <c r="DV114" s="46"/>
      <c r="DW114" s="46"/>
      <c r="DX114" s="46"/>
      <c r="DY114" s="46"/>
      <c r="DZ114" s="46"/>
      <c r="EA114" s="46"/>
    </row>
    <row r="115" spans="2:131" ht="18" customHeight="1">
      <c r="B115" s="46"/>
      <c r="C115" s="46"/>
      <c r="D115" s="46"/>
      <c r="E115" s="46"/>
      <c r="F115" s="46"/>
      <c r="G115" s="46"/>
      <c r="H115" s="46"/>
      <c r="I115" s="46"/>
      <c r="J115" s="46"/>
      <c r="K115" s="46"/>
      <c r="L115" s="45"/>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row>
    <row r="116" spans="2:131" ht="18" customHeight="1">
      <c r="B116" s="46"/>
      <c r="C116" s="46"/>
      <c r="D116" s="46"/>
      <c r="E116" s="46"/>
      <c r="F116" s="46"/>
      <c r="G116" s="46"/>
      <c r="H116" s="46"/>
      <c r="I116" s="46"/>
      <c r="J116" s="46"/>
      <c r="K116" s="46"/>
      <c r="L116" s="45"/>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c r="BF116" s="46"/>
      <c r="BG116" s="46"/>
      <c r="BH116" s="46"/>
      <c r="BI116" s="46"/>
      <c r="BJ116" s="46"/>
      <c r="BK116" s="46"/>
      <c r="BL116" s="46"/>
      <c r="BM116" s="46"/>
      <c r="BN116" s="46"/>
      <c r="BO116" s="46"/>
      <c r="BP116" s="46"/>
      <c r="BQ116" s="46"/>
      <c r="BR116" s="46"/>
      <c r="BS116" s="46"/>
      <c r="BT116" s="46"/>
      <c r="BU116" s="46"/>
      <c r="BV116" s="46"/>
      <c r="BW116" s="46"/>
      <c r="BX116" s="46"/>
      <c r="BY116" s="46"/>
      <c r="BZ116" s="46"/>
      <c r="CA116" s="46"/>
      <c r="CB116" s="46"/>
      <c r="CC116" s="46"/>
      <c r="CD116" s="46"/>
      <c r="CE116" s="46"/>
      <c r="CF116" s="46"/>
      <c r="CG116" s="46"/>
      <c r="CH116" s="46"/>
      <c r="CI116" s="46"/>
      <c r="CJ116" s="46"/>
      <c r="CK116" s="46"/>
      <c r="CL116" s="46"/>
      <c r="CM116" s="46"/>
      <c r="CN116" s="46"/>
      <c r="CO116" s="46"/>
      <c r="CP116" s="46"/>
      <c r="CQ116" s="46"/>
      <c r="CR116" s="46"/>
      <c r="CS116" s="46"/>
      <c r="CT116" s="46"/>
      <c r="CU116" s="46"/>
      <c r="CV116" s="46"/>
      <c r="CW116" s="46"/>
      <c r="CX116" s="46"/>
      <c r="CY116" s="46"/>
      <c r="CZ116" s="46"/>
      <c r="DA116" s="46"/>
      <c r="DB116" s="46"/>
      <c r="DC116" s="46"/>
      <c r="DD116" s="46"/>
      <c r="DE116" s="46"/>
      <c r="DF116" s="46"/>
      <c r="DG116" s="46"/>
      <c r="DH116" s="46"/>
      <c r="DI116" s="46"/>
      <c r="DJ116" s="46"/>
      <c r="DK116" s="46"/>
      <c r="DL116" s="46"/>
      <c r="DM116" s="46"/>
      <c r="DN116" s="46"/>
      <c r="DO116" s="46"/>
      <c r="DP116" s="46"/>
      <c r="DQ116" s="46"/>
      <c r="DR116" s="46"/>
      <c r="DS116" s="46"/>
      <c r="DT116" s="46"/>
      <c r="DU116" s="46"/>
      <c r="DV116" s="46"/>
      <c r="DW116" s="46"/>
      <c r="DX116" s="46"/>
      <c r="DY116" s="46"/>
      <c r="DZ116" s="46"/>
      <c r="EA116" s="46"/>
    </row>
    <row r="117" spans="2:131" ht="18" customHeight="1">
      <c r="B117" s="45"/>
      <c r="C117" s="45"/>
      <c r="D117" s="46"/>
      <c r="E117" s="46"/>
      <c r="F117" s="46"/>
      <c r="G117" s="46"/>
      <c r="H117" s="46"/>
      <c r="I117" s="46"/>
      <c r="J117" s="46"/>
      <c r="K117" s="46"/>
      <c r="L117" s="45"/>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c r="BA117" s="46"/>
      <c r="BB117" s="46"/>
      <c r="BC117" s="46"/>
      <c r="BD117" s="46"/>
      <c r="BE117" s="46"/>
      <c r="BF117" s="46"/>
      <c r="BG117" s="46"/>
      <c r="BH117" s="46"/>
      <c r="BI117" s="46"/>
      <c r="BJ117" s="46"/>
      <c r="BK117" s="46"/>
      <c r="BL117" s="46"/>
      <c r="BM117" s="46"/>
      <c r="BN117" s="46"/>
      <c r="BO117" s="46"/>
      <c r="BP117" s="46"/>
      <c r="BQ117" s="46"/>
      <c r="BR117" s="46"/>
      <c r="BS117" s="46"/>
      <c r="BT117" s="46"/>
      <c r="BU117" s="46"/>
      <c r="BV117" s="46"/>
      <c r="BW117" s="46"/>
      <c r="BX117" s="46"/>
      <c r="BY117" s="46"/>
      <c r="BZ117" s="46"/>
      <c r="CA117" s="46"/>
      <c r="CB117" s="46"/>
      <c r="CC117" s="46"/>
      <c r="CD117" s="46"/>
      <c r="CE117" s="46"/>
      <c r="CF117" s="46"/>
      <c r="CG117" s="46"/>
      <c r="CH117" s="46"/>
      <c r="CI117" s="46"/>
      <c r="CJ117" s="46"/>
      <c r="CK117" s="46"/>
      <c r="CL117" s="46"/>
      <c r="CM117" s="46"/>
      <c r="CN117" s="46"/>
      <c r="CO117" s="46"/>
      <c r="CP117" s="46"/>
      <c r="CQ117" s="46"/>
      <c r="CR117" s="46"/>
      <c r="CS117" s="46"/>
      <c r="CT117" s="46"/>
      <c r="CU117" s="46"/>
      <c r="CV117" s="46"/>
      <c r="CW117" s="46"/>
      <c r="CX117" s="46"/>
      <c r="CY117" s="46"/>
      <c r="CZ117" s="46"/>
      <c r="DA117" s="46"/>
      <c r="DB117" s="46"/>
      <c r="DC117" s="46"/>
      <c r="DD117" s="46"/>
      <c r="DE117" s="46"/>
      <c r="DF117" s="46"/>
      <c r="DG117" s="46"/>
      <c r="DH117" s="46"/>
      <c r="DI117" s="46"/>
      <c r="DJ117" s="46"/>
      <c r="DK117" s="46"/>
      <c r="DL117" s="46"/>
      <c r="DM117" s="46"/>
      <c r="DN117" s="46"/>
      <c r="DO117" s="46"/>
      <c r="DP117" s="46"/>
      <c r="DQ117" s="46"/>
      <c r="DR117" s="46"/>
      <c r="DS117" s="46"/>
      <c r="DT117" s="46"/>
      <c r="DU117" s="46"/>
      <c r="DV117" s="46"/>
      <c r="DW117" s="46"/>
      <c r="DX117" s="46"/>
      <c r="DY117" s="46"/>
      <c r="DZ117" s="46"/>
      <c r="EA117" s="46"/>
    </row>
    <row r="118" spans="2:131" ht="18" customHeight="1">
      <c r="B118" s="46"/>
      <c r="C118" s="46"/>
      <c r="D118" s="46"/>
      <c r="E118" s="46"/>
      <c r="F118" s="46"/>
      <c r="G118" s="46"/>
      <c r="H118" s="46"/>
      <c r="I118" s="46"/>
      <c r="J118" s="46"/>
      <c r="K118" s="46"/>
      <c r="L118" s="45"/>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c r="BA118" s="46"/>
      <c r="BB118" s="46"/>
      <c r="BC118" s="46"/>
      <c r="BD118" s="46"/>
      <c r="BE118" s="46"/>
      <c r="BF118" s="46"/>
      <c r="BG118" s="46"/>
      <c r="BH118" s="46"/>
      <c r="BI118" s="46"/>
      <c r="BJ118" s="46"/>
      <c r="BK118" s="46"/>
      <c r="BL118" s="46"/>
      <c r="BM118" s="46"/>
      <c r="BN118" s="46"/>
      <c r="BO118" s="46"/>
      <c r="BP118" s="46"/>
      <c r="BQ118" s="46"/>
      <c r="BR118" s="46"/>
      <c r="BS118" s="46"/>
      <c r="BT118" s="46"/>
      <c r="BU118" s="46"/>
      <c r="BV118" s="46"/>
      <c r="BW118" s="46"/>
      <c r="BX118" s="46"/>
      <c r="BY118" s="46"/>
      <c r="BZ118" s="46"/>
      <c r="CA118" s="46"/>
      <c r="CB118" s="46"/>
      <c r="CC118" s="46"/>
      <c r="CD118" s="46"/>
      <c r="CE118" s="46"/>
      <c r="CF118" s="46"/>
      <c r="CG118" s="46"/>
      <c r="CH118" s="46"/>
      <c r="CI118" s="46"/>
      <c r="CJ118" s="46"/>
      <c r="CK118" s="46"/>
      <c r="CL118" s="46"/>
      <c r="CM118" s="46"/>
      <c r="CN118" s="46"/>
      <c r="CO118" s="46"/>
      <c r="CP118" s="46"/>
      <c r="CQ118" s="46"/>
      <c r="CR118" s="46"/>
      <c r="CS118" s="46"/>
      <c r="CT118" s="46"/>
      <c r="CU118" s="46"/>
      <c r="CV118" s="46"/>
      <c r="CW118" s="46"/>
      <c r="CX118" s="46"/>
      <c r="CY118" s="46"/>
      <c r="CZ118" s="46"/>
      <c r="DA118" s="46"/>
      <c r="DB118" s="46"/>
      <c r="DC118" s="46"/>
      <c r="DD118" s="46"/>
      <c r="DE118" s="46"/>
      <c r="DF118" s="46"/>
      <c r="DG118" s="46"/>
      <c r="DH118" s="46"/>
      <c r="DI118" s="46"/>
      <c r="DJ118" s="46"/>
      <c r="DK118" s="46"/>
      <c r="DL118" s="46"/>
      <c r="DM118" s="46"/>
      <c r="DN118" s="46"/>
      <c r="DO118" s="46"/>
      <c r="DP118" s="46"/>
      <c r="DQ118" s="46"/>
      <c r="DR118" s="46"/>
      <c r="DS118" s="46"/>
      <c r="DT118" s="46"/>
      <c r="DU118" s="46"/>
      <c r="DV118" s="46"/>
      <c r="DW118" s="46"/>
      <c r="DX118" s="46"/>
      <c r="DY118" s="46"/>
      <c r="DZ118" s="46"/>
      <c r="EA118" s="46"/>
    </row>
    <row r="119" spans="2:131" ht="18" customHeight="1">
      <c r="B119" s="46"/>
      <c r="C119" s="46"/>
      <c r="D119" s="46"/>
      <c r="E119" s="46"/>
      <c r="F119" s="46"/>
      <c r="G119" s="46"/>
      <c r="H119" s="46"/>
      <c r="I119" s="46"/>
      <c r="J119" s="46"/>
      <c r="K119" s="46"/>
      <c r="L119" s="45"/>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c r="BA119" s="46"/>
      <c r="BB119" s="46"/>
      <c r="BC119" s="46"/>
      <c r="BD119" s="46"/>
      <c r="BE119" s="46"/>
      <c r="BF119" s="46"/>
      <c r="BG119" s="46"/>
      <c r="BH119" s="46"/>
      <c r="BI119" s="46"/>
      <c r="BJ119" s="46"/>
      <c r="BK119" s="46"/>
      <c r="BL119" s="46"/>
      <c r="BM119" s="46"/>
      <c r="BN119" s="46"/>
      <c r="BO119" s="46"/>
      <c r="BP119" s="46"/>
      <c r="BQ119" s="46"/>
      <c r="BR119" s="46"/>
      <c r="BS119" s="46"/>
      <c r="BT119" s="46"/>
      <c r="BU119" s="46"/>
      <c r="BV119" s="46"/>
      <c r="BW119" s="46"/>
      <c r="BX119" s="46"/>
      <c r="BY119" s="46"/>
      <c r="BZ119" s="46"/>
      <c r="CA119" s="46"/>
      <c r="CB119" s="46"/>
      <c r="CC119" s="46"/>
      <c r="CD119" s="46"/>
      <c r="CE119" s="46"/>
      <c r="CF119" s="46"/>
      <c r="CG119" s="46"/>
      <c r="CH119" s="46"/>
      <c r="CI119" s="46"/>
      <c r="CJ119" s="46"/>
      <c r="CK119" s="46"/>
      <c r="CL119" s="46"/>
      <c r="CM119" s="46"/>
      <c r="CN119" s="46"/>
      <c r="CO119" s="46"/>
      <c r="CP119" s="46"/>
      <c r="CQ119" s="46"/>
      <c r="CR119" s="46"/>
      <c r="CS119" s="46"/>
      <c r="CT119" s="46"/>
      <c r="CU119" s="46"/>
      <c r="CV119" s="46"/>
      <c r="CW119" s="46"/>
      <c r="CX119" s="46"/>
      <c r="CY119" s="46"/>
      <c r="CZ119" s="46"/>
      <c r="DA119" s="46"/>
      <c r="DB119" s="46"/>
      <c r="DC119" s="46"/>
      <c r="DD119" s="46"/>
      <c r="DE119" s="46"/>
      <c r="DF119" s="46"/>
      <c r="DG119" s="46"/>
      <c r="DH119" s="46"/>
      <c r="DI119" s="46"/>
      <c r="DJ119" s="46"/>
      <c r="DK119" s="46"/>
      <c r="DL119" s="46"/>
      <c r="DM119" s="46"/>
      <c r="DN119" s="46"/>
      <c r="DO119" s="46"/>
      <c r="DP119" s="46"/>
      <c r="DQ119" s="46"/>
      <c r="DR119" s="46"/>
      <c r="DS119" s="46"/>
      <c r="DT119" s="46"/>
      <c r="DU119" s="46"/>
      <c r="DV119" s="46"/>
      <c r="DW119" s="46"/>
      <c r="DX119" s="46"/>
      <c r="DY119" s="46"/>
      <c r="DZ119" s="46"/>
      <c r="EA119" s="46"/>
    </row>
    <row r="120" spans="2:131" ht="18" customHeight="1">
      <c r="B120" s="46"/>
      <c r="C120" s="46"/>
      <c r="D120" s="46"/>
      <c r="E120" s="46"/>
      <c r="F120" s="46"/>
      <c r="G120" s="46"/>
      <c r="H120" s="46"/>
      <c r="I120" s="46"/>
      <c r="J120" s="46"/>
      <c r="K120" s="46"/>
      <c r="L120" s="45"/>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row>
    <row r="121" spans="2:131" ht="18" customHeight="1">
      <c r="B121" s="46"/>
      <c r="C121" s="46"/>
      <c r="D121" s="46"/>
      <c r="E121" s="46"/>
      <c r="F121" s="46"/>
      <c r="G121" s="46"/>
      <c r="H121" s="46"/>
      <c r="I121" s="46"/>
      <c r="J121" s="46"/>
      <c r="K121" s="46"/>
      <c r="L121" s="45"/>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46"/>
      <c r="AZ121" s="46"/>
      <c r="BA121" s="46"/>
      <c r="BB121" s="46"/>
      <c r="BC121" s="46"/>
      <c r="BD121" s="46"/>
      <c r="BE121" s="46"/>
      <c r="BF121" s="46"/>
      <c r="BG121" s="46"/>
      <c r="BH121" s="46"/>
      <c r="BI121" s="46"/>
      <c r="BJ121" s="46"/>
      <c r="BK121" s="46"/>
      <c r="BL121" s="46"/>
      <c r="BM121" s="46"/>
      <c r="BN121" s="46"/>
      <c r="BO121" s="46"/>
      <c r="BP121" s="46"/>
      <c r="BQ121" s="46"/>
      <c r="BR121" s="46"/>
      <c r="BS121" s="46"/>
      <c r="BT121" s="46"/>
      <c r="BU121" s="46"/>
      <c r="BV121" s="46"/>
      <c r="BW121" s="46"/>
      <c r="BX121" s="46"/>
      <c r="BY121" s="46"/>
      <c r="BZ121" s="46"/>
      <c r="CA121" s="46"/>
      <c r="CB121" s="46"/>
      <c r="CC121" s="46"/>
      <c r="CD121" s="46"/>
      <c r="CE121" s="46"/>
      <c r="CF121" s="46"/>
      <c r="CG121" s="46"/>
      <c r="CH121" s="46"/>
      <c r="CI121" s="46"/>
      <c r="CJ121" s="46"/>
      <c r="CK121" s="46"/>
      <c r="CL121" s="46"/>
      <c r="CM121" s="46"/>
      <c r="CN121" s="46"/>
      <c r="CO121" s="46"/>
      <c r="CP121" s="46"/>
      <c r="CQ121" s="46"/>
      <c r="CR121" s="46"/>
      <c r="CS121" s="46"/>
      <c r="CT121" s="46"/>
      <c r="CU121" s="46"/>
      <c r="CV121" s="46"/>
      <c r="CW121" s="46"/>
      <c r="CX121" s="46"/>
      <c r="CY121" s="46"/>
      <c r="CZ121" s="46"/>
      <c r="DA121" s="46"/>
      <c r="DB121" s="46"/>
      <c r="DC121" s="46"/>
      <c r="DD121" s="46"/>
      <c r="DE121" s="46"/>
      <c r="DF121" s="46"/>
      <c r="DG121" s="46"/>
      <c r="DH121" s="46"/>
      <c r="DI121" s="46"/>
      <c r="DJ121" s="46"/>
      <c r="DK121" s="46"/>
      <c r="DL121" s="46"/>
      <c r="DM121" s="46"/>
      <c r="DN121" s="46"/>
      <c r="DO121" s="46"/>
      <c r="DP121" s="46"/>
      <c r="DQ121" s="46"/>
      <c r="DR121" s="46"/>
      <c r="DS121" s="46"/>
      <c r="DT121" s="46"/>
      <c r="DU121" s="46"/>
      <c r="DV121" s="46"/>
      <c r="DW121" s="46"/>
      <c r="DX121" s="46"/>
      <c r="DY121" s="46"/>
      <c r="DZ121" s="46"/>
      <c r="EA121" s="46"/>
    </row>
    <row r="122" spans="2:131" ht="18" customHeight="1">
      <c r="B122" s="46"/>
      <c r="C122" s="46"/>
      <c r="D122" s="46"/>
      <c r="E122" s="46"/>
      <c r="F122" s="46"/>
      <c r="G122" s="46"/>
      <c r="H122" s="46"/>
      <c r="I122" s="46"/>
      <c r="J122" s="46"/>
      <c r="K122" s="46"/>
      <c r="L122" s="45"/>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c r="BA122" s="46"/>
      <c r="BB122" s="46"/>
      <c r="BC122" s="46"/>
      <c r="BD122" s="46"/>
      <c r="BE122" s="46"/>
      <c r="BF122" s="46"/>
      <c r="BG122" s="46"/>
      <c r="BH122" s="46"/>
      <c r="BI122" s="46"/>
      <c r="BJ122" s="46"/>
      <c r="BK122" s="46"/>
      <c r="BL122" s="46"/>
      <c r="BM122" s="46"/>
      <c r="BN122" s="46"/>
      <c r="BO122" s="46"/>
      <c r="BP122" s="46"/>
      <c r="BQ122" s="46"/>
      <c r="BR122" s="46"/>
      <c r="BS122" s="46"/>
      <c r="BT122" s="46"/>
      <c r="BU122" s="46"/>
      <c r="BV122" s="46"/>
      <c r="BW122" s="46"/>
      <c r="BX122" s="46"/>
      <c r="BY122" s="46"/>
      <c r="BZ122" s="46"/>
      <c r="CA122" s="46"/>
      <c r="CB122" s="46"/>
      <c r="CC122" s="46"/>
      <c r="CD122" s="46"/>
      <c r="CE122" s="46"/>
      <c r="CF122" s="46"/>
      <c r="CG122" s="46"/>
      <c r="CH122" s="46"/>
      <c r="CI122" s="46"/>
      <c r="CJ122" s="46"/>
      <c r="CK122" s="46"/>
      <c r="CL122" s="46"/>
      <c r="CM122" s="46"/>
      <c r="CN122" s="46"/>
      <c r="CO122" s="46"/>
      <c r="CP122" s="46"/>
      <c r="CQ122" s="46"/>
      <c r="CR122" s="46"/>
      <c r="CS122" s="46"/>
      <c r="CT122" s="46"/>
      <c r="CU122" s="46"/>
      <c r="CV122" s="46"/>
      <c r="CW122" s="46"/>
      <c r="CX122" s="46"/>
      <c r="CY122" s="46"/>
      <c r="CZ122" s="46"/>
      <c r="DA122" s="46"/>
      <c r="DB122" s="46"/>
      <c r="DC122" s="46"/>
      <c r="DD122" s="46"/>
      <c r="DE122" s="46"/>
      <c r="DF122" s="46"/>
      <c r="DG122" s="46"/>
      <c r="DH122" s="46"/>
      <c r="DI122" s="46"/>
      <c r="DJ122" s="46"/>
      <c r="DK122" s="46"/>
      <c r="DL122" s="46"/>
      <c r="DM122" s="46"/>
      <c r="DN122" s="46"/>
      <c r="DO122" s="46"/>
      <c r="DP122" s="46"/>
      <c r="DQ122" s="46"/>
      <c r="DR122" s="46"/>
      <c r="DS122" s="46"/>
      <c r="DT122" s="46"/>
      <c r="DU122" s="46"/>
      <c r="DV122" s="46"/>
      <c r="DW122" s="46"/>
      <c r="DX122" s="46"/>
      <c r="DY122" s="46"/>
      <c r="DZ122" s="46"/>
      <c r="EA122" s="46"/>
    </row>
    <row r="123" spans="2:131" ht="18" customHeight="1">
      <c r="B123" s="45"/>
      <c r="C123" s="45"/>
      <c r="D123" s="46"/>
      <c r="E123" s="46"/>
      <c r="F123" s="46"/>
      <c r="G123" s="46"/>
      <c r="H123" s="46"/>
      <c r="I123" s="46"/>
      <c r="J123" s="46"/>
      <c r="K123" s="46"/>
      <c r="L123" s="45"/>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c r="BA123" s="46"/>
      <c r="BB123" s="46"/>
      <c r="BC123" s="46"/>
      <c r="BD123" s="46"/>
      <c r="BE123" s="46"/>
      <c r="BF123" s="46"/>
      <c r="BG123" s="46"/>
      <c r="BH123" s="46"/>
      <c r="BI123" s="46"/>
      <c r="BJ123" s="46"/>
      <c r="BK123" s="46"/>
      <c r="BL123" s="46"/>
      <c r="BM123" s="46"/>
      <c r="BN123" s="46"/>
      <c r="BO123" s="46"/>
      <c r="BP123" s="46"/>
      <c r="BQ123" s="46"/>
      <c r="BR123" s="46"/>
      <c r="BS123" s="46"/>
      <c r="BT123" s="46"/>
      <c r="BU123" s="46"/>
      <c r="BV123" s="46"/>
      <c r="BW123" s="46"/>
      <c r="BX123" s="46"/>
      <c r="BY123" s="46"/>
      <c r="BZ123" s="46"/>
      <c r="CA123" s="46"/>
      <c r="CB123" s="46"/>
      <c r="CC123" s="46"/>
      <c r="CD123" s="46"/>
      <c r="CE123" s="46"/>
      <c r="CF123" s="46"/>
      <c r="CG123" s="46"/>
      <c r="CH123" s="46"/>
      <c r="CI123" s="46"/>
      <c r="CJ123" s="46"/>
      <c r="CK123" s="46"/>
      <c r="CL123" s="46"/>
      <c r="CM123" s="46"/>
      <c r="CN123" s="46"/>
      <c r="CO123" s="46"/>
      <c r="CP123" s="46"/>
      <c r="CQ123" s="46"/>
      <c r="CR123" s="46"/>
      <c r="CS123" s="46"/>
      <c r="CT123" s="46"/>
      <c r="CU123" s="46"/>
      <c r="CV123" s="46"/>
      <c r="CW123" s="46"/>
      <c r="CX123" s="46"/>
      <c r="CY123" s="46"/>
      <c r="CZ123" s="46"/>
      <c r="DA123" s="46"/>
      <c r="DB123" s="46"/>
      <c r="DC123" s="46"/>
      <c r="DD123" s="46"/>
      <c r="DE123" s="46"/>
      <c r="DF123" s="46"/>
      <c r="DG123" s="46"/>
      <c r="DH123" s="46"/>
      <c r="DI123" s="46"/>
      <c r="DJ123" s="46"/>
      <c r="DK123" s="46"/>
      <c r="DL123" s="46"/>
      <c r="DM123" s="46"/>
      <c r="DN123" s="46"/>
      <c r="DO123" s="46"/>
      <c r="DP123" s="46"/>
      <c r="DQ123" s="46"/>
      <c r="DR123" s="46"/>
      <c r="DS123" s="46"/>
      <c r="DT123" s="46"/>
      <c r="DU123" s="46"/>
      <c r="DV123" s="46"/>
      <c r="DW123" s="46"/>
      <c r="DX123" s="46"/>
      <c r="DY123" s="46"/>
      <c r="DZ123" s="46"/>
      <c r="EA123" s="46"/>
    </row>
    <row r="124" spans="2:131" ht="18" customHeight="1">
      <c r="B124" s="46"/>
      <c r="C124" s="46"/>
      <c r="D124" s="46"/>
      <c r="E124" s="46"/>
      <c r="F124" s="46"/>
      <c r="G124" s="46"/>
      <c r="H124" s="46"/>
      <c r="I124" s="46"/>
      <c r="J124" s="46"/>
      <c r="K124" s="46"/>
      <c r="L124" s="45"/>
      <c r="M124" s="46"/>
      <c r="N124" s="46"/>
      <c r="O124" s="46"/>
      <c r="P124" s="46"/>
      <c r="Q124" s="46"/>
      <c r="R124" s="46"/>
      <c r="S124" s="46"/>
      <c r="T124" s="46"/>
      <c r="U124" s="46"/>
      <c r="V124" s="46"/>
      <c r="W124" s="46"/>
      <c r="X124" s="46"/>
      <c r="Y124" s="46"/>
      <c r="Z124" s="46"/>
      <c r="AA124" s="46"/>
      <c r="AB124" s="46"/>
      <c r="AC124" s="46"/>
      <c r="AD124" s="46"/>
      <c r="AE124" s="46"/>
      <c r="AF124" s="46"/>
      <c r="AG124" s="46"/>
      <c r="AH124" s="46"/>
      <c r="AI124" s="46"/>
      <c r="AJ124" s="46"/>
      <c r="AK124" s="46"/>
      <c r="AL124" s="46"/>
      <c r="AM124" s="46"/>
      <c r="AN124" s="46"/>
      <c r="AO124" s="46"/>
      <c r="AP124" s="46"/>
      <c r="AQ124" s="46"/>
      <c r="AR124" s="46"/>
      <c r="AS124" s="46"/>
      <c r="AT124" s="46"/>
      <c r="AU124" s="46"/>
      <c r="AV124" s="46"/>
      <c r="AW124" s="46"/>
      <c r="AX124" s="46"/>
      <c r="AY124" s="46"/>
      <c r="AZ124" s="46"/>
      <c r="BA124" s="46"/>
      <c r="BB124" s="46"/>
      <c r="BC124" s="46"/>
      <c r="BD124" s="46"/>
      <c r="BE124" s="46"/>
      <c r="BF124" s="46"/>
      <c r="BG124" s="46"/>
      <c r="BH124" s="46"/>
      <c r="BI124" s="46"/>
      <c r="BJ124" s="46"/>
      <c r="BK124" s="46"/>
      <c r="BL124" s="46"/>
      <c r="BM124" s="46"/>
      <c r="BN124" s="46"/>
      <c r="BO124" s="46"/>
      <c r="BP124" s="46"/>
      <c r="BQ124" s="46"/>
      <c r="BR124" s="46"/>
      <c r="BS124" s="46"/>
      <c r="BT124" s="46"/>
      <c r="BU124" s="46"/>
      <c r="BV124" s="46"/>
      <c r="BW124" s="46"/>
      <c r="BX124" s="46"/>
      <c r="BY124" s="46"/>
      <c r="BZ124" s="46"/>
      <c r="CA124" s="46"/>
      <c r="CB124" s="46"/>
      <c r="CC124" s="46"/>
      <c r="CD124" s="46"/>
      <c r="CE124" s="46"/>
      <c r="CF124" s="46"/>
      <c r="CG124" s="46"/>
      <c r="CH124" s="46"/>
      <c r="CI124" s="46"/>
      <c r="CJ124" s="46"/>
      <c r="CK124" s="46"/>
      <c r="CL124" s="46"/>
      <c r="CM124" s="46"/>
      <c r="CN124" s="46"/>
      <c r="CO124" s="46"/>
      <c r="CP124" s="46"/>
      <c r="CQ124" s="46"/>
      <c r="CR124" s="46"/>
      <c r="CS124" s="46"/>
      <c r="CT124" s="46"/>
      <c r="CU124" s="46"/>
      <c r="CV124" s="46"/>
      <c r="CW124" s="46"/>
      <c r="CX124" s="46"/>
      <c r="CY124" s="46"/>
      <c r="CZ124" s="46"/>
      <c r="DA124" s="46"/>
      <c r="DB124" s="46"/>
      <c r="DC124" s="46"/>
      <c r="DD124" s="46"/>
      <c r="DE124" s="46"/>
      <c r="DF124" s="46"/>
      <c r="DG124" s="46"/>
      <c r="DH124" s="46"/>
      <c r="DI124" s="46"/>
      <c r="DJ124" s="46"/>
      <c r="DK124" s="46"/>
      <c r="DL124" s="46"/>
      <c r="DM124" s="46"/>
      <c r="DN124" s="46"/>
      <c r="DO124" s="46"/>
      <c r="DP124" s="46"/>
      <c r="DQ124" s="46"/>
      <c r="DR124" s="46"/>
      <c r="DS124" s="46"/>
      <c r="DT124" s="46"/>
      <c r="DU124" s="46"/>
      <c r="DV124" s="46"/>
      <c r="DW124" s="46"/>
      <c r="DX124" s="46"/>
      <c r="DY124" s="46"/>
      <c r="DZ124" s="46"/>
      <c r="EA124" s="46"/>
    </row>
    <row r="125" spans="2:131" ht="18" customHeight="1">
      <c r="B125" s="46"/>
      <c r="C125" s="46"/>
      <c r="D125" s="46"/>
      <c r="E125" s="46"/>
      <c r="F125" s="46"/>
      <c r="G125" s="46"/>
      <c r="H125" s="46"/>
      <c r="I125" s="46"/>
      <c r="J125" s="46"/>
      <c r="K125" s="46"/>
      <c r="L125" s="45"/>
      <c r="M125" s="46"/>
      <c r="N125" s="46"/>
      <c r="O125" s="46"/>
      <c r="P125" s="46"/>
      <c r="Q125" s="46"/>
      <c r="R125" s="46"/>
      <c r="S125" s="46"/>
      <c r="T125" s="46"/>
      <c r="U125" s="46"/>
      <c r="V125" s="46"/>
      <c r="W125" s="46"/>
      <c r="X125" s="46"/>
      <c r="Y125" s="46"/>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row>
    <row r="126" spans="2:131" ht="18" customHeight="1">
      <c r="B126" s="46"/>
      <c r="C126" s="46"/>
      <c r="D126" s="46"/>
      <c r="E126" s="46"/>
      <c r="F126" s="46"/>
      <c r="G126" s="46"/>
      <c r="H126" s="46"/>
      <c r="I126" s="46"/>
      <c r="J126" s="46"/>
      <c r="K126" s="46"/>
      <c r="L126" s="45"/>
      <c r="M126" s="46"/>
      <c r="N126" s="46"/>
      <c r="O126" s="46"/>
      <c r="P126" s="46"/>
      <c r="Q126" s="46"/>
      <c r="R126" s="46"/>
      <c r="S126" s="46"/>
      <c r="T126" s="46"/>
      <c r="U126" s="46"/>
      <c r="V126" s="46"/>
      <c r="W126" s="46"/>
      <c r="X126" s="46"/>
      <c r="Y126" s="46"/>
      <c r="Z126" s="46"/>
      <c r="AA126" s="46"/>
      <c r="AB126" s="46"/>
      <c r="AC126" s="46"/>
      <c r="AD126" s="46"/>
      <c r="AE126" s="46"/>
      <c r="AF126" s="46"/>
      <c r="AG126" s="46"/>
      <c r="AH126" s="46"/>
      <c r="AI126" s="46"/>
      <c r="AJ126" s="46"/>
      <c r="AK126" s="46"/>
      <c r="AL126" s="46"/>
      <c r="AM126" s="46"/>
      <c r="AN126" s="46"/>
      <c r="AO126" s="46"/>
      <c r="AP126" s="46"/>
      <c r="AQ126" s="46"/>
      <c r="AR126" s="46"/>
      <c r="AS126" s="46"/>
      <c r="AT126" s="46"/>
      <c r="AU126" s="46"/>
      <c r="AV126" s="46"/>
      <c r="AW126" s="46"/>
      <c r="AX126" s="46"/>
      <c r="AY126" s="46"/>
      <c r="AZ126" s="46"/>
      <c r="BA126" s="46"/>
      <c r="BB126" s="46"/>
      <c r="BC126" s="46"/>
      <c r="BD126" s="46"/>
      <c r="BE126" s="46"/>
      <c r="BF126" s="46"/>
      <c r="BG126" s="46"/>
      <c r="BH126" s="46"/>
      <c r="BI126" s="46"/>
      <c r="BJ126" s="46"/>
      <c r="BK126" s="46"/>
      <c r="BL126" s="46"/>
      <c r="BM126" s="46"/>
      <c r="BN126" s="46"/>
      <c r="BO126" s="46"/>
      <c r="BP126" s="46"/>
      <c r="BQ126" s="46"/>
      <c r="BR126" s="46"/>
      <c r="BS126" s="46"/>
      <c r="BT126" s="46"/>
      <c r="BU126" s="46"/>
      <c r="BV126" s="46"/>
      <c r="BW126" s="46"/>
      <c r="BX126" s="46"/>
      <c r="BY126" s="46"/>
      <c r="BZ126" s="46"/>
      <c r="CA126" s="46"/>
      <c r="CB126" s="46"/>
      <c r="CC126" s="46"/>
      <c r="CD126" s="46"/>
      <c r="CE126" s="46"/>
      <c r="CF126" s="46"/>
      <c r="CG126" s="46"/>
      <c r="CH126" s="46"/>
      <c r="CI126" s="46"/>
      <c r="CJ126" s="46"/>
      <c r="CK126" s="46"/>
      <c r="CL126" s="46"/>
      <c r="CM126" s="46"/>
      <c r="CN126" s="46"/>
      <c r="CO126" s="46"/>
      <c r="CP126" s="46"/>
      <c r="CQ126" s="46"/>
      <c r="CR126" s="46"/>
      <c r="CS126" s="46"/>
      <c r="CT126" s="46"/>
      <c r="CU126" s="46"/>
      <c r="CV126" s="46"/>
      <c r="CW126" s="46"/>
      <c r="CX126" s="46"/>
      <c r="CY126" s="46"/>
      <c r="CZ126" s="46"/>
      <c r="DA126" s="46"/>
      <c r="DB126" s="46"/>
      <c r="DC126" s="46"/>
      <c r="DD126" s="46"/>
      <c r="DE126" s="46"/>
      <c r="DF126" s="46"/>
      <c r="DG126" s="46"/>
      <c r="DH126" s="46"/>
      <c r="DI126" s="46"/>
      <c r="DJ126" s="46"/>
      <c r="DK126" s="46"/>
      <c r="DL126" s="46"/>
      <c r="DM126" s="46"/>
      <c r="DN126" s="46"/>
      <c r="DO126" s="46"/>
      <c r="DP126" s="46"/>
      <c r="DQ126" s="46"/>
      <c r="DR126" s="46"/>
      <c r="DS126" s="46"/>
      <c r="DT126" s="46"/>
      <c r="DU126" s="46"/>
      <c r="DV126" s="46"/>
      <c r="DW126" s="46"/>
      <c r="DX126" s="46"/>
      <c r="DY126" s="46"/>
      <c r="DZ126" s="46"/>
      <c r="EA126" s="46"/>
    </row>
    <row r="127" spans="2:131" ht="18" customHeight="1">
      <c r="B127" s="46"/>
      <c r="C127" s="46"/>
      <c r="D127" s="46"/>
      <c r="E127" s="46"/>
      <c r="F127" s="46"/>
      <c r="G127" s="46"/>
      <c r="H127" s="46"/>
      <c r="I127" s="46"/>
      <c r="J127" s="46"/>
      <c r="K127" s="46"/>
      <c r="L127" s="45"/>
      <c r="M127" s="46"/>
      <c r="N127" s="46"/>
      <c r="O127" s="46"/>
      <c r="P127" s="46"/>
      <c r="Q127" s="46"/>
      <c r="R127" s="46"/>
      <c r="S127" s="46"/>
      <c r="T127" s="46"/>
      <c r="U127" s="46"/>
      <c r="V127" s="46"/>
      <c r="W127" s="46"/>
      <c r="X127" s="46"/>
      <c r="Y127" s="46"/>
      <c r="Z127" s="46"/>
      <c r="AA127" s="46"/>
      <c r="AB127" s="46"/>
      <c r="AC127" s="46"/>
      <c r="AD127" s="46"/>
      <c r="AE127" s="46"/>
      <c r="AF127" s="46"/>
      <c r="AG127" s="46"/>
      <c r="AH127" s="46"/>
      <c r="AI127" s="46"/>
      <c r="AJ127" s="46"/>
      <c r="AK127" s="46"/>
      <c r="AL127" s="46"/>
      <c r="AM127" s="46"/>
      <c r="AN127" s="46"/>
      <c r="AO127" s="46"/>
      <c r="AP127" s="46"/>
      <c r="AQ127" s="46"/>
      <c r="AR127" s="46"/>
      <c r="AS127" s="46"/>
      <c r="AT127" s="46"/>
      <c r="AU127" s="46"/>
      <c r="AV127" s="46"/>
      <c r="AW127" s="46"/>
      <c r="AX127" s="46"/>
      <c r="AY127" s="46"/>
      <c r="AZ127" s="46"/>
      <c r="BA127" s="46"/>
      <c r="BB127" s="46"/>
      <c r="BC127" s="46"/>
      <c r="BD127" s="46"/>
      <c r="BE127" s="46"/>
      <c r="BF127" s="46"/>
      <c r="BG127" s="46"/>
      <c r="BH127" s="46"/>
      <c r="BI127" s="46"/>
      <c r="BJ127" s="46"/>
      <c r="BK127" s="46"/>
      <c r="BL127" s="46"/>
      <c r="BM127" s="46"/>
      <c r="BN127" s="46"/>
      <c r="BO127" s="46"/>
      <c r="BP127" s="46"/>
      <c r="BQ127" s="46"/>
      <c r="BR127" s="46"/>
      <c r="BS127" s="46"/>
      <c r="BT127" s="46"/>
      <c r="BU127" s="46"/>
      <c r="BV127" s="46"/>
      <c r="BW127" s="46"/>
      <c r="BX127" s="46"/>
      <c r="BY127" s="46"/>
      <c r="BZ127" s="46"/>
      <c r="CA127" s="46"/>
      <c r="CB127" s="46"/>
      <c r="CC127" s="46"/>
      <c r="CD127" s="46"/>
      <c r="CE127" s="46"/>
      <c r="CF127" s="46"/>
      <c r="CG127" s="46"/>
      <c r="CH127" s="46"/>
      <c r="CI127" s="46"/>
      <c r="CJ127" s="46"/>
      <c r="CK127" s="46"/>
      <c r="CL127" s="46"/>
      <c r="CM127" s="46"/>
      <c r="CN127" s="46"/>
      <c r="CO127" s="46"/>
      <c r="CP127" s="46"/>
      <c r="CQ127" s="46"/>
      <c r="CR127" s="46"/>
      <c r="CS127" s="46"/>
      <c r="CT127" s="46"/>
      <c r="CU127" s="46"/>
      <c r="CV127" s="46"/>
      <c r="CW127" s="46"/>
      <c r="CX127" s="46"/>
      <c r="CY127" s="46"/>
      <c r="CZ127" s="46"/>
      <c r="DA127" s="46"/>
      <c r="DB127" s="46"/>
      <c r="DC127" s="46"/>
      <c r="DD127" s="46"/>
      <c r="DE127" s="46"/>
      <c r="DF127" s="46"/>
      <c r="DG127" s="46"/>
      <c r="DH127" s="46"/>
      <c r="DI127" s="46"/>
      <c r="DJ127" s="46"/>
      <c r="DK127" s="46"/>
      <c r="DL127" s="46"/>
      <c r="DM127" s="46"/>
      <c r="DN127" s="46"/>
      <c r="DO127" s="46"/>
      <c r="DP127" s="46"/>
      <c r="DQ127" s="46"/>
      <c r="DR127" s="46"/>
      <c r="DS127" s="46"/>
      <c r="DT127" s="46"/>
      <c r="DU127" s="46"/>
      <c r="DV127" s="46"/>
      <c r="DW127" s="46"/>
      <c r="DX127" s="46"/>
      <c r="DY127" s="46"/>
      <c r="DZ127" s="46"/>
      <c r="EA127" s="46"/>
    </row>
    <row r="128" spans="2:131" ht="18" customHeight="1">
      <c r="B128" s="46"/>
      <c r="C128" s="46"/>
      <c r="D128" s="46"/>
      <c r="E128" s="46"/>
      <c r="F128" s="46"/>
      <c r="G128" s="46"/>
      <c r="H128" s="46"/>
      <c r="I128" s="46"/>
      <c r="J128" s="46"/>
      <c r="K128" s="46"/>
      <c r="L128" s="45"/>
      <c r="M128" s="46"/>
      <c r="N128" s="46"/>
      <c r="O128" s="46"/>
      <c r="P128" s="46"/>
      <c r="Q128" s="46"/>
      <c r="R128" s="46"/>
      <c r="S128" s="46"/>
      <c r="T128" s="46"/>
      <c r="U128" s="46"/>
      <c r="V128" s="46"/>
      <c r="W128" s="46"/>
      <c r="X128" s="46"/>
      <c r="Y128" s="46"/>
      <c r="Z128" s="46"/>
      <c r="AA128" s="46"/>
      <c r="AB128" s="46"/>
      <c r="AC128" s="46"/>
      <c r="AD128" s="46"/>
      <c r="AE128" s="46"/>
      <c r="AF128" s="46"/>
      <c r="AG128" s="46"/>
      <c r="AH128" s="46"/>
      <c r="AI128" s="46"/>
      <c r="AJ128" s="46"/>
      <c r="AK128" s="46"/>
      <c r="AL128" s="46"/>
      <c r="AM128" s="46"/>
      <c r="AN128" s="46"/>
      <c r="AO128" s="46"/>
      <c r="AP128" s="46"/>
      <c r="AQ128" s="46"/>
      <c r="AR128" s="46"/>
      <c r="AS128" s="46"/>
      <c r="AT128" s="46"/>
      <c r="AU128" s="46"/>
      <c r="AV128" s="46"/>
      <c r="AW128" s="46"/>
      <c r="AX128" s="46"/>
      <c r="AY128" s="46"/>
      <c r="AZ128" s="46"/>
      <c r="BA128" s="46"/>
      <c r="BB128" s="46"/>
      <c r="BC128" s="46"/>
      <c r="BD128" s="46"/>
      <c r="BE128" s="46"/>
      <c r="BF128" s="46"/>
      <c r="BG128" s="46"/>
      <c r="BH128" s="46"/>
      <c r="BI128" s="46"/>
      <c r="BJ128" s="46"/>
      <c r="BK128" s="46"/>
      <c r="BL128" s="46"/>
      <c r="BM128" s="46"/>
      <c r="BN128" s="46"/>
      <c r="BO128" s="46"/>
      <c r="BP128" s="46"/>
      <c r="BQ128" s="46"/>
      <c r="BR128" s="46"/>
      <c r="BS128" s="46"/>
      <c r="BT128" s="46"/>
      <c r="BU128" s="46"/>
      <c r="BV128" s="46"/>
      <c r="BW128" s="46"/>
      <c r="BX128" s="46"/>
      <c r="BY128" s="46"/>
      <c r="BZ128" s="46"/>
      <c r="CA128" s="46"/>
      <c r="CB128" s="46"/>
      <c r="CC128" s="46"/>
      <c r="CD128" s="46"/>
      <c r="CE128" s="46"/>
      <c r="CF128" s="46"/>
      <c r="CG128" s="46"/>
      <c r="CH128" s="46"/>
      <c r="CI128" s="46"/>
      <c r="CJ128" s="46"/>
      <c r="CK128" s="46"/>
      <c r="CL128" s="46"/>
      <c r="CM128" s="46"/>
      <c r="CN128" s="46"/>
      <c r="CO128" s="46"/>
      <c r="CP128" s="46"/>
      <c r="CQ128" s="46"/>
      <c r="CR128" s="46"/>
      <c r="CS128" s="46"/>
      <c r="CT128" s="46"/>
      <c r="CU128" s="46"/>
      <c r="CV128" s="46"/>
      <c r="CW128" s="46"/>
      <c r="CX128" s="46"/>
      <c r="CY128" s="46"/>
      <c r="CZ128" s="46"/>
      <c r="DA128" s="46"/>
      <c r="DB128" s="46"/>
      <c r="DC128" s="46"/>
      <c r="DD128" s="46"/>
      <c r="DE128" s="46"/>
      <c r="DF128" s="46"/>
      <c r="DG128" s="46"/>
      <c r="DH128" s="46"/>
      <c r="DI128" s="46"/>
      <c r="DJ128" s="46"/>
      <c r="DK128" s="46"/>
      <c r="DL128" s="46"/>
      <c r="DM128" s="46"/>
      <c r="DN128" s="46"/>
      <c r="DO128" s="46"/>
      <c r="DP128" s="46"/>
      <c r="DQ128" s="46"/>
      <c r="DR128" s="46"/>
      <c r="DS128" s="46"/>
      <c r="DT128" s="46"/>
      <c r="DU128" s="46"/>
      <c r="DV128" s="46"/>
      <c r="DW128" s="46"/>
      <c r="DX128" s="46"/>
      <c r="DY128" s="46"/>
      <c r="DZ128" s="46"/>
      <c r="EA128" s="46"/>
    </row>
    <row r="129" spans="2:131" ht="18" customHeight="1">
      <c r="B129" s="45"/>
      <c r="C129" s="45"/>
      <c r="D129" s="46"/>
      <c r="E129" s="46"/>
      <c r="F129" s="46"/>
      <c r="G129" s="46"/>
      <c r="H129" s="46"/>
      <c r="I129" s="46"/>
      <c r="J129" s="46"/>
      <c r="K129" s="46"/>
      <c r="L129" s="45"/>
      <c r="M129" s="46"/>
      <c r="N129" s="46"/>
      <c r="O129" s="46"/>
      <c r="P129" s="46"/>
      <c r="Q129" s="46"/>
      <c r="R129" s="46"/>
      <c r="S129" s="46"/>
      <c r="T129" s="46"/>
      <c r="U129" s="46"/>
      <c r="V129" s="46"/>
      <c r="W129" s="46"/>
      <c r="X129" s="46"/>
      <c r="Y129" s="46"/>
      <c r="Z129" s="46"/>
      <c r="AA129" s="46"/>
      <c r="AB129" s="46"/>
      <c r="AC129" s="46"/>
      <c r="AD129" s="46"/>
      <c r="AE129" s="46"/>
      <c r="AF129" s="46"/>
      <c r="AG129" s="46"/>
      <c r="AH129" s="46"/>
      <c r="AI129" s="46"/>
      <c r="AJ129" s="46"/>
      <c r="AK129" s="46"/>
      <c r="AL129" s="46"/>
      <c r="AM129" s="46"/>
      <c r="AN129" s="46"/>
      <c r="AO129" s="46"/>
      <c r="AP129" s="46"/>
      <c r="AQ129" s="46"/>
      <c r="AR129" s="46"/>
      <c r="AS129" s="46"/>
      <c r="AT129" s="46"/>
      <c r="AU129" s="46"/>
      <c r="AV129" s="46"/>
      <c r="AW129" s="46"/>
      <c r="AX129" s="46"/>
      <c r="AY129" s="46"/>
      <c r="AZ129" s="46"/>
      <c r="BA129" s="46"/>
      <c r="BB129" s="46"/>
      <c r="BC129" s="46"/>
      <c r="BD129" s="46"/>
      <c r="BE129" s="46"/>
      <c r="BF129" s="46"/>
      <c r="BG129" s="46"/>
      <c r="BH129" s="46"/>
      <c r="BI129" s="46"/>
      <c r="BJ129" s="46"/>
      <c r="BK129" s="46"/>
      <c r="BL129" s="46"/>
      <c r="BM129" s="46"/>
      <c r="BN129" s="46"/>
      <c r="BO129" s="46"/>
      <c r="BP129" s="46"/>
      <c r="BQ129" s="46"/>
      <c r="BR129" s="46"/>
      <c r="BS129" s="46"/>
      <c r="BT129" s="46"/>
      <c r="BU129" s="46"/>
      <c r="BV129" s="46"/>
      <c r="BW129" s="46"/>
      <c r="BX129" s="46"/>
      <c r="BY129" s="46"/>
      <c r="BZ129" s="46"/>
      <c r="CA129" s="46"/>
      <c r="CB129" s="46"/>
      <c r="CC129" s="46"/>
      <c r="CD129" s="46"/>
      <c r="CE129" s="46"/>
      <c r="CF129" s="46"/>
      <c r="CG129" s="46"/>
      <c r="CH129" s="46"/>
      <c r="CI129" s="46"/>
      <c r="CJ129" s="46"/>
      <c r="CK129" s="46"/>
      <c r="CL129" s="46"/>
      <c r="CM129" s="46"/>
      <c r="CN129" s="46"/>
      <c r="CO129" s="46"/>
      <c r="CP129" s="46"/>
      <c r="CQ129" s="46"/>
      <c r="CR129" s="46"/>
      <c r="CS129" s="46"/>
      <c r="CT129" s="46"/>
      <c r="CU129" s="46"/>
      <c r="CV129" s="46"/>
      <c r="CW129" s="46"/>
      <c r="CX129" s="46"/>
      <c r="CY129" s="46"/>
      <c r="CZ129" s="46"/>
      <c r="DA129" s="46"/>
      <c r="DB129" s="46"/>
      <c r="DC129" s="46"/>
      <c r="DD129" s="46"/>
      <c r="DE129" s="46"/>
      <c r="DF129" s="46"/>
      <c r="DG129" s="46"/>
      <c r="DH129" s="46"/>
      <c r="DI129" s="46"/>
      <c r="DJ129" s="46"/>
      <c r="DK129" s="46"/>
      <c r="DL129" s="46"/>
      <c r="DM129" s="46"/>
      <c r="DN129" s="46"/>
      <c r="DO129" s="46"/>
      <c r="DP129" s="46"/>
      <c r="DQ129" s="46"/>
      <c r="DR129" s="46"/>
      <c r="DS129" s="46"/>
      <c r="DT129" s="46"/>
      <c r="DU129" s="46"/>
      <c r="DV129" s="46"/>
      <c r="DW129" s="46"/>
      <c r="DX129" s="46"/>
      <c r="DY129" s="46"/>
      <c r="DZ129" s="46"/>
      <c r="EA129" s="46"/>
    </row>
    <row r="130" spans="2:131" ht="18" customHeight="1">
      <c r="B130" s="46"/>
      <c r="C130" s="46"/>
      <c r="D130" s="46"/>
      <c r="E130" s="46"/>
      <c r="F130" s="46"/>
      <c r="G130" s="46"/>
      <c r="H130" s="46"/>
      <c r="I130" s="46"/>
      <c r="J130" s="46"/>
      <c r="K130" s="46"/>
      <c r="L130" s="45"/>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row>
    <row r="131" spans="2:131" ht="18" customHeight="1">
      <c r="B131" s="46"/>
      <c r="C131" s="46"/>
      <c r="D131" s="46"/>
      <c r="E131" s="46"/>
      <c r="F131" s="46"/>
      <c r="G131" s="46"/>
      <c r="H131" s="46"/>
      <c r="I131" s="46"/>
      <c r="J131" s="46"/>
      <c r="K131" s="46"/>
      <c r="L131" s="45"/>
      <c r="M131" s="46"/>
      <c r="N131" s="4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c r="AW131" s="46"/>
      <c r="AX131" s="46"/>
      <c r="AY131" s="46"/>
      <c r="AZ131" s="46"/>
      <c r="BA131" s="46"/>
      <c r="BB131" s="46"/>
      <c r="BC131" s="46"/>
      <c r="BD131" s="46"/>
      <c r="BE131" s="46"/>
      <c r="BF131" s="46"/>
      <c r="BG131" s="46"/>
      <c r="BH131" s="46"/>
      <c r="BI131" s="46"/>
      <c r="BJ131" s="46"/>
      <c r="BK131" s="46"/>
      <c r="BL131" s="46"/>
      <c r="BM131" s="46"/>
      <c r="BN131" s="46"/>
      <c r="BO131" s="46"/>
      <c r="BP131" s="46"/>
      <c r="BQ131" s="46"/>
      <c r="BR131" s="46"/>
      <c r="BS131" s="46"/>
      <c r="BT131" s="46"/>
      <c r="BU131" s="46"/>
      <c r="BV131" s="46"/>
      <c r="BW131" s="46"/>
      <c r="BX131" s="46"/>
      <c r="BY131" s="46"/>
      <c r="BZ131" s="46"/>
      <c r="CA131" s="46"/>
      <c r="CB131" s="46"/>
      <c r="CC131" s="46"/>
      <c r="CD131" s="46"/>
      <c r="CE131" s="46"/>
      <c r="CF131" s="46"/>
      <c r="CG131" s="46"/>
      <c r="CH131" s="46"/>
      <c r="CI131" s="46"/>
      <c r="CJ131" s="46"/>
      <c r="CK131" s="46"/>
      <c r="CL131" s="46"/>
      <c r="CM131" s="46"/>
      <c r="CN131" s="46"/>
      <c r="CO131" s="46"/>
      <c r="CP131" s="46"/>
      <c r="CQ131" s="46"/>
      <c r="CR131" s="46"/>
      <c r="CS131" s="46"/>
      <c r="CT131" s="46"/>
      <c r="CU131" s="46"/>
      <c r="CV131" s="46"/>
      <c r="CW131" s="46"/>
      <c r="CX131" s="46"/>
      <c r="CY131" s="46"/>
      <c r="CZ131" s="46"/>
      <c r="DA131" s="46"/>
      <c r="DB131" s="46"/>
      <c r="DC131" s="46"/>
      <c r="DD131" s="46"/>
      <c r="DE131" s="46"/>
      <c r="DF131" s="46"/>
      <c r="DG131" s="46"/>
      <c r="DH131" s="46"/>
      <c r="DI131" s="46"/>
      <c r="DJ131" s="46"/>
      <c r="DK131" s="46"/>
      <c r="DL131" s="46"/>
      <c r="DM131" s="46"/>
      <c r="DN131" s="46"/>
      <c r="DO131" s="46"/>
      <c r="DP131" s="46"/>
      <c r="DQ131" s="46"/>
      <c r="DR131" s="46"/>
      <c r="DS131" s="46"/>
      <c r="DT131" s="46"/>
      <c r="DU131" s="46"/>
      <c r="DV131" s="46"/>
      <c r="DW131" s="46"/>
      <c r="DX131" s="46"/>
      <c r="DY131" s="46"/>
      <c r="DZ131" s="46"/>
      <c r="EA131" s="46"/>
    </row>
    <row r="132" spans="2:131" ht="18" customHeight="1">
      <c r="B132" s="46"/>
      <c r="C132" s="46"/>
      <c r="D132" s="46"/>
      <c r="E132" s="46"/>
      <c r="F132" s="46"/>
      <c r="G132" s="46"/>
      <c r="H132" s="46"/>
      <c r="I132" s="46"/>
      <c r="J132" s="46"/>
      <c r="K132" s="46"/>
      <c r="L132" s="45"/>
      <c r="M132" s="46"/>
      <c r="N132" s="4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c r="AW132" s="46"/>
      <c r="AX132" s="46"/>
      <c r="AY132" s="46"/>
      <c r="AZ132" s="46"/>
      <c r="BA132" s="46"/>
      <c r="BB132" s="46"/>
      <c r="BC132" s="46"/>
      <c r="BD132" s="46"/>
      <c r="BE132" s="46"/>
      <c r="BF132" s="46"/>
      <c r="BG132" s="46"/>
      <c r="BH132" s="46"/>
      <c r="BI132" s="46"/>
      <c r="BJ132" s="46"/>
      <c r="BK132" s="46"/>
      <c r="BL132" s="46"/>
      <c r="BM132" s="46"/>
      <c r="BN132" s="46"/>
      <c r="BO132" s="46"/>
      <c r="BP132" s="46"/>
      <c r="BQ132" s="46"/>
      <c r="BR132" s="46"/>
      <c r="BS132" s="46"/>
      <c r="BT132" s="46"/>
      <c r="BU132" s="46"/>
      <c r="BV132" s="46"/>
      <c r="BW132" s="46"/>
      <c r="BX132" s="46"/>
      <c r="BY132" s="46"/>
      <c r="BZ132" s="46"/>
      <c r="CA132" s="46"/>
      <c r="CB132" s="46"/>
      <c r="CC132" s="46"/>
      <c r="CD132" s="46"/>
      <c r="CE132" s="46"/>
      <c r="CF132" s="46"/>
      <c r="CG132" s="46"/>
      <c r="CH132" s="46"/>
      <c r="CI132" s="46"/>
      <c r="CJ132" s="46"/>
      <c r="CK132" s="46"/>
      <c r="CL132" s="46"/>
      <c r="CM132" s="46"/>
      <c r="CN132" s="46"/>
      <c r="CO132" s="46"/>
      <c r="CP132" s="46"/>
      <c r="CQ132" s="46"/>
      <c r="CR132" s="46"/>
      <c r="CS132" s="46"/>
      <c r="CT132" s="46"/>
      <c r="CU132" s="46"/>
      <c r="CV132" s="46"/>
      <c r="CW132" s="46"/>
      <c r="CX132" s="46"/>
      <c r="CY132" s="46"/>
      <c r="CZ132" s="46"/>
      <c r="DA132" s="46"/>
      <c r="DB132" s="46"/>
      <c r="DC132" s="46"/>
      <c r="DD132" s="46"/>
      <c r="DE132" s="46"/>
      <c r="DF132" s="46"/>
      <c r="DG132" s="46"/>
      <c r="DH132" s="46"/>
      <c r="DI132" s="46"/>
      <c r="DJ132" s="46"/>
      <c r="DK132" s="46"/>
      <c r="DL132" s="46"/>
      <c r="DM132" s="46"/>
      <c r="DN132" s="46"/>
      <c r="DO132" s="46"/>
      <c r="DP132" s="46"/>
      <c r="DQ132" s="46"/>
      <c r="DR132" s="46"/>
      <c r="DS132" s="46"/>
      <c r="DT132" s="46"/>
      <c r="DU132" s="46"/>
      <c r="DV132" s="46"/>
      <c r="DW132" s="46"/>
      <c r="DX132" s="46"/>
      <c r="DY132" s="46"/>
      <c r="DZ132" s="46"/>
      <c r="EA132" s="46"/>
    </row>
    <row r="133" spans="2:131" ht="18" customHeight="1">
      <c r="B133" s="46"/>
      <c r="C133" s="46"/>
      <c r="D133" s="46"/>
      <c r="E133" s="46"/>
      <c r="F133" s="46"/>
      <c r="G133" s="46"/>
      <c r="H133" s="46"/>
      <c r="I133" s="46"/>
      <c r="J133" s="46"/>
      <c r="K133" s="46"/>
      <c r="L133" s="45"/>
      <c r="M133" s="46"/>
      <c r="N133" s="46"/>
      <c r="O133" s="46"/>
      <c r="P133" s="46"/>
      <c r="Q133" s="46"/>
      <c r="R133" s="46"/>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c r="AV133" s="46"/>
      <c r="AW133" s="46"/>
      <c r="AX133" s="46"/>
      <c r="AY133" s="46"/>
      <c r="AZ133" s="46"/>
      <c r="BA133" s="46"/>
      <c r="BB133" s="46"/>
      <c r="BC133" s="46"/>
      <c r="BD133" s="46"/>
      <c r="BE133" s="46"/>
      <c r="BF133" s="46"/>
      <c r="BG133" s="46"/>
      <c r="BH133" s="46"/>
      <c r="BI133" s="46"/>
      <c r="BJ133" s="46"/>
      <c r="BK133" s="46"/>
      <c r="BL133" s="46"/>
      <c r="BM133" s="46"/>
      <c r="BN133" s="46"/>
      <c r="BO133" s="46"/>
      <c r="BP133" s="46"/>
      <c r="BQ133" s="46"/>
      <c r="BR133" s="46"/>
      <c r="BS133" s="46"/>
      <c r="BT133" s="46"/>
      <c r="BU133" s="46"/>
      <c r="BV133" s="46"/>
      <c r="BW133" s="46"/>
      <c r="BX133" s="46"/>
      <c r="BY133" s="46"/>
      <c r="BZ133" s="46"/>
      <c r="CA133" s="46"/>
      <c r="CB133" s="46"/>
      <c r="CC133" s="46"/>
      <c r="CD133" s="46"/>
      <c r="CE133" s="46"/>
      <c r="CF133" s="46"/>
      <c r="CG133" s="46"/>
      <c r="CH133" s="46"/>
      <c r="CI133" s="46"/>
      <c r="CJ133" s="46"/>
      <c r="CK133" s="46"/>
      <c r="CL133" s="46"/>
      <c r="CM133" s="46"/>
      <c r="CN133" s="46"/>
      <c r="CO133" s="46"/>
      <c r="CP133" s="46"/>
      <c r="CQ133" s="46"/>
      <c r="CR133" s="46"/>
      <c r="CS133" s="46"/>
      <c r="CT133" s="46"/>
      <c r="CU133" s="46"/>
      <c r="CV133" s="46"/>
      <c r="CW133" s="46"/>
      <c r="CX133" s="46"/>
      <c r="CY133" s="46"/>
      <c r="CZ133" s="46"/>
      <c r="DA133" s="46"/>
      <c r="DB133" s="46"/>
      <c r="DC133" s="46"/>
      <c r="DD133" s="46"/>
      <c r="DE133" s="46"/>
      <c r="DF133" s="46"/>
      <c r="DG133" s="46"/>
      <c r="DH133" s="46"/>
      <c r="DI133" s="46"/>
      <c r="DJ133" s="46"/>
      <c r="DK133" s="46"/>
      <c r="DL133" s="46"/>
      <c r="DM133" s="46"/>
      <c r="DN133" s="46"/>
      <c r="DO133" s="46"/>
      <c r="DP133" s="46"/>
      <c r="DQ133" s="46"/>
      <c r="DR133" s="46"/>
      <c r="DS133" s="46"/>
      <c r="DT133" s="46"/>
      <c r="DU133" s="46"/>
      <c r="DV133" s="46"/>
      <c r="DW133" s="46"/>
      <c r="DX133" s="46"/>
      <c r="DY133" s="46"/>
      <c r="DZ133" s="46"/>
      <c r="EA133" s="46"/>
    </row>
    <row r="134" spans="2:131" ht="18" customHeight="1">
      <c r="B134" s="46"/>
      <c r="C134" s="46"/>
      <c r="D134" s="46"/>
      <c r="E134" s="46"/>
      <c r="F134" s="46"/>
      <c r="G134" s="46"/>
      <c r="H134" s="46"/>
      <c r="I134" s="46"/>
      <c r="J134" s="46"/>
      <c r="K134" s="46"/>
      <c r="L134" s="45"/>
      <c r="M134" s="46"/>
      <c r="N134" s="46"/>
      <c r="O134" s="46"/>
      <c r="P134" s="46"/>
      <c r="Q134" s="46"/>
      <c r="R134" s="46"/>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c r="AV134" s="46"/>
      <c r="AW134" s="46"/>
      <c r="AX134" s="46"/>
      <c r="AY134" s="46"/>
      <c r="AZ134" s="46"/>
      <c r="BA134" s="46"/>
      <c r="BB134" s="46"/>
      <c r="BC134" s="46"/>
      <c r="BD134" s="46"/>
      <c r="BE134" s="46"/>
      <c r="BF134" s="46"/>
      <c r="BG134" s="46"/>
      <c r="BH134" s="46"/>
      <c r="BI134" s="46"/>
      <c r="BJ134" s="46"/>
      <c r="BK134" s="46"/>
      <c r="BL134" s="46"/>
      <c r="BM134" s="46"/>
      <c r="BN134" s="46"/>
      <c r="BO134" s="46"/>
      <c r="BP134" s="46"/>
      <c r="BQ134" s="46"/>
      <c r="BR134" s="46"/>
      <c r="BS134" s="46"/>
      <c r="BT134" s="46"/>
      <c r="BU134" s="46"/>
      <c r="BV134" s="46"/>
      <c r="BW134" s="46"/>
      <c r="BX134" s="46"/>
      <c r="BY134" s="46"/>
      <c r="BZ134" s="46"/>
      <c r="CA134" s="46"/>
      <c r="CB134" s="46"/>
      <c r="CC134" s="46"/>
      <c r="CD134" s="46"/>
      <c r="CE134" s="46"/>
      <c r="CF134" s="46"/>
      <c r="CG134" s="46"/>
      <c r="CH134" s="46"/>
      <c r="CI134" s="46"/>
      <c r="CJ134" s="46"/>
      <c r="CK134" s="46"/>
      <c r="CL134" s="46"/>
      <c r="CM134" s="46"/>
      <c r="CN134" s="46"/>
      <c r="CO134" s="46"/>
      <c r="CP134" s="46"/>
      <c r="CQ134" s="46"/>
      <c r="CR134" s="46"/>
      <c r="CS134" s="46"/>
      <c r="CT134" s="46"/>
      <c r="CU134" s="46"/>
      <c r="CV134" s="46"/>
      <c r="CW134" s="46"/>
      <c r="CX134" s="46"/>
      <c r="CY134" s="46"/>
      <c r="CZ134" s="46"/>
      <c r="DA134" s="46"/>
      <c r="DB134" s="46"/>
      <c r="DC134" s="46"/>
      <c r="DD134" s="46"/>
      <c r="DE134" s="46"/>
      <c r="DF134" s="46"/>
      <c r="DG134" s="46"/>
      <c r="DH134" s="46"/>
      <c r="DI134" s="46"/>
      <c r="DJ134" s="46"/>
      <c r="DK134" s="46"/>
      <c r="DL134" s="46"/>
      <c r="DM134" s="46"/>
      <c r="DN134" s="46"/>
      <c r="DO134" s="46"/>
      <c r="DP134" s="46"/>
      <c r="DQ134" s="46"/>
      <c r="DR134" s="46"/>
      <c r="DS134" s="46"/>
      <c r="DT134" s="46"/>
      <c r="DU134" s="46"/>
      <c r="DV134" s="46"/>
      <c r="DW134" s="46"/>
      <c r="DX134" s="46"/>
      <c r="DY134" s="46"/>
      <c r="DZ134" s="46"/>
      <c r="EA134" s="46"/>
    </row>
    <row r="135" spans="2:131" ht="18" customHeight="1">
      <c r="B135" s="45"/>
      <c r="C135" s="45"/>
      <c r="D135" s="46"/>
      <c r="E135" s="46"/>
      <c r="F135" s="46"/>
      <c r="G135" s="46"/>
      <c r="H135" s="46"/>
      <c r="I135" s="46"/>
      <c r="J135" s="46"/>
      <c r="K135" s="46"/>
      <c r="L135" s="45"/>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c r="DD135" s="46"/>
      <c r="DE135" s="46"/>
      <c r="DF135" s="46"/>
      <c r="DG135" s="46"/>
      <c r="DH135" s="46"/>
      <c r="DI135" s="46"/>
      <c r="DJ135" s="46"/>
      <c r="DK135" s="46"/>
      <c r="DL135" s="46"/>
      <c r="DM135" s="46"/>
      <c r="DN135" s="46"/>
      <c r="DO135" s="46"/>
      <c r="DP135" s="46"/>
      <c r="DQ135" s="46"/>
      <c r="DR135" s="46"/>
      <c r="DS135" s="46"/>
      <c r="DT135" s="46"/>
      <c r="DU135" s="46"/>
      <c r="DV135" s="46"/>
      <c r="DW135" s="46"/>
      <c r="DX135" s="46"/>
      <c r="DY135" s="46"/>
      <c r="DZ135" s="46"/>
      <c r="EA135" s="46"/>
    </row>
    <row r="136" spans="2:131" ht="18" customHeight="1">
      <c r="B136" s="46"/>
      <c r="C136" s="46"/>
      <c r="D136" s="46"/>
      <c r="E136" s="46"/>
      <c r="F136" s="46"/>
      <c r="G136" s="46"/>
      <c r="H136" s="46"/>
      <c r="I136" s="46"/>
      <c r="J136" s="46"/>
      <c r="K136" s="46"/>
      <c r="L136" s="45"/>
      <c r="M136" s="46"/>
      <c r="N136" s="46"/>
      <c r="O136" s="46"/>
      <c r="P136" s="46"/>
      <c r="Q136" s="46"/>
      <c r="R136" s="46"/>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c r="AV136" s="46"/>
      <c r="AW136" s="46"/>
      <c r="AX136" s="46"/>
      <c r="AY136" s="46"/>
      <c r="AZ136" s="46"/>
      <c r="BA136" s="46"/>
      <c r="BB136" s="46"/>
      <c r="BC136" s="46"/>
      <c r="BD136" s="46"/>
      <c r="BE136" s="46"/>
      <c r="BF136" s="46"/>
      <c r="BG136" s="46"/>
      <c r="BH136" s="46"/>
      <c r="BI136" s="46"/>
      <c r="BJ136" s="46"/>
      <c r="BK136" s="46"/>
      <c r="BL136" s="46"/>
      <c r="BM136" s="46"/>
      <c r="BN136" s="46"/>
      <c r="BO136" s="46"/>
      <c r="BP136" s="46"/>
      <c r="BQ136" s="46"/>
      <c r="BR136" s="46"/>
      <c r="BS136" s="46"/>
      <c r="BT136" s="46"/>
      <c r="BU136" s="46"/>
      <c r="BV136" s="46"/>
      <c r="BW136" s="46"/>
      <c r="BX136" s="46"/>
      <c r="BY136" s="46"/>
      <c r="BZ136" s="46"/>
      <c r="CA136" s="46"/>
      <c r="CB136" s="46"/>
      <c r="CC136" s="46"/>
      <c r="CD136" s="46"/>
      <c r="CE136" s="46"/>
      <c r="CF136" s="46"/>
      <c r="CG136" s="46"/>
      <c r="CH136" s="46"/>
      <c r="CI136" s="46"/>
      <c r="CJ136" s="46"/>
      <c r="CK136" s="46"/>
      <c r="CL136" s="46"/>
      <c r="CM136" s="46"/>
      <c r="CN136" s="46"/>
      <c r="CO136" s="46"/>
      <c r="CP136" s="46"/>
      <c r="CQ136" s="46"/>
      <c r="CR136" s="46"/>
      <c r="CS136" s="46"/>
      <c r="CT136" s="46"/>
      <c r="CU136" s="46"/>
      <c r="CV136" s="46"/>
      <c r="CW136" s="46"/>
      <c r="CX136" s="46"/>
      <c r="CY136" s="46"/>
      <c r="CZ136" s="46"/>
      <c r="DA136" s="46"/>
      <c r="DB136" s="46"/>
      <c r="DC136" s="46"/>
      <c r="DD136" s="46"/>
      <c r="DE136" s="46"/>
      <c r="DF136" s="46"/>
      <c r="DG136" s="46"/>
      <c r="DH136" s="46"/>
      <c r="DI136" s="46"/>
      <c r="DJ136" s="46"/>
      <c r="DK136" s="46"/>
      <c r="DL136" s="46"/>
      <c r="DM136" s="46"/>
      <c r="DN136" s="46"/>
      <c r="DO136" s="46"/>
      <c r="DP136" s="46"/>
      <c r="DQ136" s="46"/>
      <c r="DR136" s="46"/>
      <c r="DS136" s="46"/>
      <c r="DT136" s="46"/>
      <c r="DU136" s="46"/>
      <c r="DV136" s="46"/>
      <c r="DW136" s="46"/>
      <c r="DX136" s="46"/>
      <c r="DY136" s="46"/>
      <c r="DZ136" s="46"/>
      <c r="EA136" s="46"/>
    </row>
    <row r="137" spans="2:131" ht="18" customHeight="1">
      <c r="B137" s="46"/>
      <c r="C137" s="46"/>
      <c r="D137" s="46"/>
      <c r="E137" s="46"/>
      <c r="F137" s="46"/>
      <c r="G137" s="46"/>
      <c r="H137" s="46"/>
      <c r="I137" s="46"/>
      <c r="J137" s="46"/>
      <c r="K137" s="46"/>
      <c r="L137" s="45"/>
      <c r="M137" s="46"/>
      <c r="N137" s="46"/>
      <c r="O137" s="46"/>
      <c r="P137" s="46"/>
      <c r="Q137" s="46"/>
      <c r="R137" s="46"/>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c r="AV137" s="46"/>
      <c r="AW137" s="46"/>
      <c r="AX137" s="46"/>
      <c r="AY137" s="46"/>
      <c r="AZ137" s="46"/>
      <c r="BA137" s="46"/>
      <c r="BB137" s="46"/>
      <c r="BC137" s="46"/>
      <c r="BD137" s="46"/>
      <c r="BE137" s="46"/>
      <c r="BF137" s="46"/>
      <c r="BG137" s="46"/>
      <c r="BH137" s="46"/>
      <c r="BI137" s="46"/>
      <c r="BJ137" s="46"/>
      <c r="BK137" s="46"/>
      <c r="BL137" s="46"/>
      <c r="BM137" s="46"/>
      <c r="BN137" s="46"/>
      <c r="BO137" s="46"/>
      <c r="BP137" s="46"/>
      <c r="BQ137" s="46"/>
      <c r="BR137" s="46"/>
      <c r="BS137" s="46"/>
      <c r="BT137" s="46"/>
      <c r="BU137" s="46"/>
      <c r="BV137" s="46"/>
      <c r="BW137" s="46"/>
      <c r="BX137" s="46"/>
      <c r="BY137" s="46"/>
      <c r="BZ137" s="46"/>
      <c r="CA137" s="46"/>
      <c r="CB137" s="46"/>
      <c r="CC137" s="46"/>
      <c r="CD137" s="46"/>
      <c r="CE137" s="46"/>
      <c r="CF137" s="46"/>
      <c r="CG137" s="46"/>
      <c r="CH137" s="46"/>
      <c r="CI137" s="46"/>
      <c r="CJ137" s="46"/>
      <c r="CK137" s="46"/>
      <c r="CL137" s="46"/>
      <c r="CM137" s="46"/>
      <c r="CN137" s="46"/>
      <c r="CO137" s="46"/>
      <c r="CP137" s="46"/>
      <c r="CQ137" s="46"/>
      <c r="CR137" s="46"/>
      <c r="CS137" s="46"/>
      <c r="CT137" s="46"/>
      <c r="CU137" s="46"/>
      <c r="CV137" s="46"/>
      <c r="CW137" s="46"/>
      <c r="CX137" s="46"/>
      <c r="CY137" s="46"/>
      <c r="CZ137" s="46"/>
      <c r="DA137" s="46"/>
      <c r="DB137" s="46"/>
      <c r="DC137" s="46"/>
      <c r="DD137" s="46"/>
      <c r="DE137" s="46"/>
      <c r="DF137" s="46"/>
      <c r="DG137" s="46"/>
      <c r="DH137" s="46"/>
      <c r="DI137" s="46"/>
      <c r="DJ137" s="46"/>
      <c r="DK137" s="46"/>
      <c r="DL137" s="46"/>
      <c r="DM137" s="46"/>
      <c r="DN137" s="46"/>
      <c r="DO137" s="46"/>
      <c r="DP137" s="46"/>
      <c r="DQ137" s="46"/>
      <c r="DR137" s="46"/>
      <c r="DS137" s="46"/>
      <c r="DT137" s="46"/>
      <c r="DU137" s="46"/>
      <c r="DV137" s="46"/>
      <c r="DW137" s="46"/>
      <c r="DX137" s="46"/>
      <c r="DY137" s="46"/>
      <c r="DZ137" s="46"/>
      <c r="EA137" s="46"/>
    </row>
    <row r="138" spans="2:131" ht="18" customHeight="1">
      <c r="B138" s="46"/>
      <c r="C138" s="46"/>
      <c r="D138" s="46"/>
      <c r="E138" s="46"/>
      <c r="F138" s="46"/>
      <c r="G138" s="46"/>
      <c r="H138" s="46"/>
      <c r="I138" s="46"/>
      <c r="J138" s="46"/>
      <c r="K138" s="46"/>
      <c r="L138" s="45"/>
      <c r="M138" s="46"/>
      <c r="N138" s="46"/>
      <c r="O138" s="46"/>
      <c r="P138" s="46"/>
      <c r="Q138" s="46"/>
      <c r="R138" s="46"/>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c r="AV138" s="46"/>
      <c r="AW138" s="46"/>
      <c r="AX138" s="46"/>
      <c r="AY138" s="46"/>
      <c r="AZ138" s="46"/>
      <c r="BA138" s="46"/>
      <c r="BB138" s="46"/>
      <c r="BC138" s="46"/>
      <c r="BD138" s="46"/>
      <c r="BE138" s="46"/>
      <c r="BF138" s="46"/>
      <c r="BG138" s="46"/>
      <c r="BH138" s="46"/>
      <c r="BI138" s="46"/>
      <c r="BJ138" s="46"/>
      <c r="BK138" s="46"/>
      <c r="BL138" s="46"/>
      <c r="BM138" s="46"/>
      <c r="BN138" s="46"/>
      <c r="BO138" s="46"/>
      <c r="BP138" s="46"/>
      <c r="BQ138" s="46"/>
      <c r="BR138" s="46"/>
      <c r="BS138" s="46"/>
      <c r="BT138" s="46"/>
      <c r="BU138" s="46"/>
      <c r="BV138" s="46"/>
      <c r="BW138" s="46"/>
      <c r="BX138" s="46"/>
      <c r="BY138" s="46"/>
      <c r="BZ138" s="46"/>
      <c r="CA138" s="46"/>
      <c r="CB138" s="46"/>
      <c r="CC138" s="46"/>
      <c r="CD138" s="46"/>
      <c r="CE138" s="46"/>
      <c r="CF138" s="46"/>
      <c r="CG138" s="46"/>
      <c r="CH138" s="46"/>
      <c r="CI138" s="46"/>
      <c r="CJ138" s="46"/>
      <c r="CK138" s="46"/>
      <c r="CL138" s="46"/>
      <c r="CM138" s="46"/>
      <c r="CN138" s="46"/>
      <c r="CO138" s="46"/>
      <c r="CP138" s="46"/>
      <c r="CQ138" s="46"/>
      <c r="CR138" s="46"/>
      <c r="CS138" s="46"/>
      <c r="CT138" s="46"/>
      <c r="CU138" s="46"/>
      <c r="CV138" s="46"/>
      <c r="CW138" s="46"/>
      <c r="CX138" s="46"/>
      <c r="CY138" s="46"/>
      <c r="CZ138" s="46"/>
      <c r="DA138" s="46"/>
      <c r="DB138" s="46"/>
      <c r="DC138" s="46"/>
      <c r="DD138" s="46"/>
      <c r="DE138" s="46"/>
      <c r="DF138" s="46"/>
      <c r="DG138" s="46"/>
      <c r="DH138" s="46"/>
      <c r="DI138" s="46"/>
      <c r="DJ138" s="46"/>
      <c r="DK138" s="46"/>
      <c r="DL138" s="46"/>
      <c r="DM138" s="46"/>
      <c r="DN138" s="46"/>
      <c r="DO138" s="46"/>
      <c r="DP138" s="46"/>
      <c r="DQ138" s="46"/>
      <c r="DR138" s="46"/>
      <c r="DS138" s="46"/>
      <c r="DT138" s="46"/>
      <c r="DU138" s="46"/>
      <c r="DV138" s="46"/>
      <c r="DW138" s="46"/>
      <c r="DX138" s="46"/>
      <c r="DY138" s="46"/>
      <c r="DZ138" s="46"/>
      <c r="EA138" s="46"/>
    </row>
    <row r="139" spans="2:131" ht="18" customHeight="1">
      <c r="B139" s="46"/>
      <c r="C139" s="46"/>
      <c r="D139" s="46"/>
      <c r="E139" s="46"/>
      <c r="F139" s="46"/>
      <c r="G139" s="46"/>
      <c r="H139" s="46"/>
      <c r="I139" s="46"/>
      <c r="J139" s="46"/>
      <c r="K139" s="46"/>
      <c r="L139" s="45"/>
      <c r="M139" s="46"/>
      <c r="N139" s="4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c r="AW139" s="46"/>
      <c r="AX139" s="46"/>
      <c r="AY139" s="46"/>
      <c r="AZ139" s="46"/>
      <c r="BA139" s="46"/>
      <c r="BB139" s="46"/>
      <c r="BC139" s="46"/>
      <c r="BD139" s="46"/>
      <c r="BE139" s="46"/>
      <c r="BF139" s="46"/>
      <c r="BG139" s="46"/>
      <c r="BH139" s="46"/>
      <c r="BI139" s="46"/>
      <c r="BJ139" s="46"/>
      <c r="BK139" s="46"/>
      <c r="BL139" s="46"/>
      <c r="BM139" s="46"/>
      <c r="BN139" s="46"/>
      <c r="BO139" s="46"/>
      <c r="BP139" s="46"/>
      <c r="BQ139" s="46"/>
      <c r="BR139" s="46"/>
      <c r="BS139" s="46"/>
      <c r="BT139" s="46"/>
      <c r="BU139" s="46"/>
      <c r="BV139" s="46"/>
      <c r="BW139" s="46"/>
      <c r="BX139" s="46"/>
      <c r="BY139" s="46"/>
      <c r="BZ139" s="46"/>
      <c r="CA139" s="46"/>
      <c r="CB139" s="46"/>
      <c r="CC139" s="46"/>
      <c r="CD139" s="46"/>
      <c r="CE139" s="46"/>
      <c r="CF139" s="46"/>
      <c r="CG139" s="46"/>
      <c r="CH139" s="46"/>
      <c r="CI139" s="46"/>
      <c r="CJ139" s="46"/>
      <c r="CK139" s="46"/>
      <c r="CL139" s="46"/>
      <c r="CM139" s="46"/>
      <c r="CN139" s="46"/>
      <c r="CO139" s="46"/>
      <c r="CP139" s="46"/>
      <c r="CQ139" s="46"/>
      <c r="CR139" s="46"/>
      <c r="CS139" s="46"/>
      <c r="CT139" s="46"/>
      <c r="CU139" s="46"/>
      <c r="CV139" s="46"/>
      <c r="CW139" s="46"/>
      <c r="CX139" s="46"/>
      <c r="CY139" s="46"/>
      <c r="CZ139" s="46"/>
      <c r="DA139" s="46"/>
      <c r="DB139" s="46"/>
      <c r="DC139" s="46"/>
      <c r="DD139" s="46"/>
      <c r="DE139" s="46"/>
      <c r="DF139" s="46"/>
      <c r="DG139" s="46"/>
      <c r="DH139" s="46"/>
      <c r="DI139" s="46"/>
      <c r="DJ139" s="46"/>
      <c r="DK139" s="46"/>
      <c r="DL139" s="46"/>
      <c r="DM139" s="46"/>
      <c r="DN139" s="46"/>
      <c r="DO139" s="46"/>
      <c r="DP139" s="46"/>
      <c r="DQ139" s="46"/>
      <c r="DR139" s="46"/>
      <c r="DS139" s="46"/>
      <c r="DT139" s="46"/>
      <c r="DU139" s="46"/>
      <c r="DV139" s="46"/>
      <c r="DW139" s="46"/>
      <c r="DX139" s="46"/>
      <c r="DY139" s="46"/>
      <c r="DZ139" s="46"/>
      <c r="EA139" s="46"/>
    </row>
    <row r="140" spans="2:131" ht="18" customHeight="1">
      <c r="B140" s="46"/>
      <c r="C140" s="46"/>
      <c r="D140" s="46"/>
      <c r="E140" s="46"/>
      <c r="F140" s="46"/>
      <c r="G140" s="46"/>
      <c r="H140" s="46"/>
      <c r="I140" s="46"/>
      <c r="J140" s="46"/>
      <c r="K140" s="46"/>
      <c r="L140" s="45"/>
      <c r="M140" s="46"/>
      <c r="N140" s="46"/>
      <c r="O140" s="46"/>
      <c r="P140" s="46"/>
      <c r="Q140" s="46"/>
      <c r="R140" s="46"/>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c r="AW140" s="46"/>
      <c r="AX140" s="46"/>
      <c r="AY140" s="46"/>
      <c r="AZ140" s="46"/>
      <c r="BA140" s="46"/>
      <c r="BB140" s="46"/>
      <c r="BC140" s="46"/>
      <c r="BD140" s="46"/>
      <c r="BE140" s="46"/>
      <c r="BF140" s="46"/>
      <c r="BG140" s="46"/>
      <c r="BH140" s="46"/>
      <c r="BI140" s="46"/>
      <c r="BJ140" s="46"/>
      <c r="BK140" s="46"/>
      <c r="BL140" s="46"/>
      <c r="BM140" s="46"/>
      <c r="BN140" s="46"/>
      <c r="BO140" s="46"/>
      <c r="BP140" s="46"/>
      <c r="BQ140" s="46"/>
      <c r="BR140" s="46"/>
      <c r="BS140" s="46"/>
      <c r="BT140" s="46"/>
      <c r="BU140" s="46"/>
      <c r="BV140" s="46"/>
      <c r="BW140" s="46"/>
      <c r="BX140" s="46"/>
      <c r="BY140" s="46"/>
      <c r="BZ140" s="46"/>
      <c r="CA140" s="46"/>
      <c r="CB140" s="46"/>
      <c r="CC140" s="46"/>
      <c r="CD140" s="46"/>
      <c r="CE140" s="46"/>
      <c r="CF140" s="46"/>
      <c r="CG140" s="46"/>
      <c r="CH140" s="46"/>
      <c r="CI140" s="46"/>
      <c r="CJ140" s="46"/>
      <c r="CK140" s="46"/>
      <c r="CL140" s="46"/>
      <c r="CM140" s="46"/>
      <c r="CN140" s="46"/>
      <c r="CO140" s="46"/>
      <c r="CP140" s="46"/>
      <c r="CQ140" s="46"/>
      <c r="CR140" s="46"/>
      <c r="CS140" s="46"/>
      <c r="CT140" s="46"/>
      <c r="CU140" s="46"/>
      <c r="CV140" s="46"/>
      <c r="CW140" s="46"/>
      <c r="CX140" s="46"/>
      <c r="CY140" s="46"/>
      <c r="CZ140" s="46"/>
      <c r="DA140" s="46"/>
      <c r="DB140" s="46"/>
      <c r="DC140" s="46"/>
      <c r="DD140" s="46"/>
      <c r="DE140" s="46"/>
      <c r="DF140" s="46"/>
      <c r="DG140" s="46"/>
      <c r="DH140" s="46"/>
      <c r="DI140" s="46"/>
      <c r="DJ140" s="46"/>
      <c r="DK140" s="46"/>
      <c r="DL140" s="46"/>
      <c r="DM140" s="46"/>
      <c r="DN140" s="46"/>
      <c r="DO140" s="46"/>
      <c r="DP140" s="46"/>
      <c r="DQ140" s="46"/>
      <c r="DR140" s="46"/>
      <c r="DS140" s="46"/>
      <c r="DT140" s="46"/>
      <c r="DU140" s="46"/>
      <c r="DV140" s="46"/>
      <c r="DW140" s="46"/>
      <c r="DX140" s="46"/>
      <c r="DY140" s="46"/>
      <c r="DZ140" s="46"/>
      <c r="EA140" s="46"/>
    </row>
    <row r="141" spans="2:131" ht="18" customHeight="1">
      <c r="B141" s="45"/>
      <c r="C141" s="45"/>
      <c r="D141" s="46"/>
      <c r="E141" s="46"/>
      <c r="F141" s="46"/>
      <c r="G141" s="46"/>
      <c r="H141" s="46"/>
      <c r="I141" s="46"/>
      <c r="J141" s="46"/>
      <c r="K141" s="46"/>
      <c r="L141" s="45"/>
      <c r="M141" s="46"/>
      <c r="N141" s="4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c r="AW141" s="46"/>
      <c r="AX141" s="46"/>
      <c r="AY141" s="46"/>
      <c r="AZ141" s="46"/>
      <c r="BA141" s="46"/>
      <c r="BB141" s="46"/>
      <c r="BC141" s="46"/>
      <c r="BD141" s="46"/>
      <c r="BE141" s="46"/>
      <c r="BF141" s="46"/>
      <c r="BG141" s="46"/>
      <c r="BH141" s="46"/>
      <c r="BI141" s="46"/>
      <c r="BJ141" s="46"/>
      <c r="BK141" s="46"/>
      <c r="BL141" s="46"/>
      <c r="BM141" s="46"/>
      <c r="BN141" s="46"/>
      <c r="BO141" s="46"/>
      <c r="BP141" s="46"/>
      <c r="BQ141" s="46"/>
      <c r="BR141" s="46"/>
      <c r="BS141" s="46"/>
      <c r="BT141" s="46"/>
      <c r="BU141" s="46"/>
      <c r="BV141" s="46"/>
      <c r="BW141" s="46"/>
      <c r="BX141" s="46"/>
      <c r="BY141" s="46"/>
      <c r="BZ141" s="46"/>
      <c r="CA141" s="46"/>
      <c r="CB141" s="46"/>
      <c r="CC141" s="46"/>
      <c r="CD141" s="46"/>
      <c r="CE141" s="46"/>
      <c r="CF141" s="46"/>
      <c r="CG141" s="46"/>
      <c r="CH141" s="46"/>
      <c r="CI141" s="46"/>
      <c r="CJ141" s="46"/>
      <c r="CK141" s="46"/>
      <c r="CL141" s="46"/>
      <c r="CM141" s="46"/>
      <c r="CN141" s="46"/>
      <c r="CO141" s="46"/>
      <c r="CP141" s="46"/>
      <c r="CQ141" s="46"/>
      <c r="CR141" s="46"/>
      <c r="CS141" s="46"/>
      <c r="CT141" s="46"/>
      <c r="CU141" s="46"/>
      <c r="CV141" s="46"/>
      <c r="CW141" s="46"/>
      <c r="CX141" s="46"/>
      <c r="CY141" s="46"/>
      <c r="CZ141" s="46"/>
      <c r="DA141" s="46"/>
      <c r="DB141" s="46"/>
      <c r="DC141" s="46"/>
      <c r="DD141" s="46"/>
      <c r="DE141" s="46"/>
      <c r="DF141" s="46"/>
      <c r="DG141" s="46"/>
      <c r="DH141" s="46"/>
      <c r="DI141" s="46"/>
      <c r="DJ141" s="46"/>
      <c r="DK141" s="46"/>
      <c r="DL141" s="46"/>
      <c r="DM141" s="46"/>
      <c r="DN141" s="46"/>
      <c r="DO141" s="46"/>
      <c r="DP141" s="46"/>
      <c r="DQ141" s="46"/>
      <c r="DR141" s="46"/>
      <c r="DS141" s="46"/>
      <c r="DT141" s="46"/>
      <c r="DU141" s="46"/>
      <c r="DV141" s="46"/>
      <c r="DW141" s="46"/>
      <c r="DX141" s="46"/>
      <c r="DY141" s="46"/>
      <c r="DZ141" s="46"/>
      <c r="EA141" s="46"/>
    </row>
    <row r="142" spans="2:131" ht="18" customHeight="1">
      <c r="B142" s="46"/>
      <c r="C142" s="46"/>
      <c r="D142" s="46"/>
      <c r="E142" s="46"/>
      <c r="F142" s="46"/>
      <c r="G142" s="46"/>
      <c r="H142" s="46"/>
      <c r="I142" s="46"/>
      <c r="J142" s="46"/>
      <c r="K142" s="46"/>
      <c r="L142" s="45"/>
      <c r="M142" s="46"/>
      <c r="N142" s="46"/>
      <c r="O142" s="46"/>
      <c r="P142" s="46"/>
      <c r="Q142" s="46"/>
      <c r="R142" s="46"/>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c r="AV142" s="46"/>
      <c r="AW142" s="46"/>
      <c r="AX142" s="46"/>
      <c r="AY142" s="46"/>
      <c r="AZ142" s="46"/>
      <c r="BA142" s="46"/>
      <c r="BB142" s="46"/>
      <c r="BC142" s="46"/>
      <c r="BD142" s="46"/>
      <c r="BE142" s="46"/>
      <c r="BF142" s="46"/>
      <c r="BG142" s="46"/>
      <c r="BH142" s="46"/>
      <c r="BI142" s="46"/>
      <c r="BJ142" s="46"/>
      <c r="BK142" s="46"/>
      <c r="BL142" s="46"/>
      <c r="BM142" s="46"/>
      <c r="BN142" s="46"/>
      <c r="BO142" s="46"/>
      <c r="BP142" s="46"/>
      <c r="BQ142" s="46"/>
      <c r="BR142" s="46"/>
      <c r="BS142" s="46"/>
      <c r="BT142" s="46"/>
      <c r="BU142" s="46"/>
      <c r="BV142" s="46"/>
      <c r="BW142" s="46"/>
      <c r="BX142" s="46"/>
      <c r="BY142" s="46"/>
      <c r="BZ142" s="46"/>
      <c r="CA142" s="46"/>
      <c r="CB142" s="46"/>
      <c r="CC142" s="46"/>
      <c r="CD142" s="46"/>
      <c r="CE142" s="46"/>
      <c r="CF142" s="46"/>
      <c r="CG142" s="46"/>
      <c r="CH142" s="46"/>
      <c r="CI142" s="46"/>
      <c r="CJ142" s="46"/>
      <c r="CK142" s="46"/>
      <c r="CL142" s="46"/>
      <c r="CM142" s="46"/>
      <c r="CN142" s="46"/>
      <c r="CO142" s="46"/>
      <c r="CP142" s="46"/>
      <c r="CQ142" s="46"/>
      <c r="CR142" s="46"/>
      <c r="CS142" s="46"/>
      <c r="CT142" s="46"/>
      <c r="CU142" s="46"/>
      <c r="CV142" s="46"/>
      <c r="CW142" s="46"/>
      <c r="CX142" s="46"/>
      <c r="CY142" s="46"/>
      <c r="CZ142" s="46"/>
      <c r="DA142" s="46"/>
      <c r="DB142" s="46"/>
      <c r="DC142" s="46"/>
      <c r="DD142" s="46"/>
      <c r="DE142" s="46"/>
      <c r="DF142" s="46"/>
      <c r="DG142" s="46"/>
      <c r="DH142" s="46"/>
      <c r="DI142" s="46"/>
      <c r="DJ142" s="46"/>
      <c r="DK142" s="46"/>
      <c r="DL142" s="46"/>
      <c r="DM142" s="46"/>
      <c r="DN142" s="46"/>
      <c r="DO142" s="46"/>
      <c r="DP142" s="46"/>
      <c r="DQ142" s="46"/>
      <c r="DR142" s="46"/>
      <c r="DS142" s="46"/>
      <c r="DT142" s="46"/>
      <c r="DU142" s="46"/>
      <c r="DV142" s="46"/>
      <c r="DW142" s="46"/>
      <c r="DX142" s="46"/>
      <c r="DY142" s="46"/>
      <c r="DZ142" s="46"/>
      <c r="EA142" s="46"/>
    </row>
    <row r="143" spans="2:131" ht="18" customHeight="1">
      <c r="B143" s="46"/>
      <c r="C143" s="46"/>
      <c r="D143" s="46"/>
      <c r="E143" s="46"/>
      <c r="F143" s="46"/>
      <c r="G143" s="46"/>
      <c r="H143" s="46"/>
      <c r="I143" s="46"/>
      <c r="J143" s="46"/>
      <c r="K143" s="46"/>
      <c r="L143" s="45"/>
      <c r="M143" s="46"/>
      <c r="N143" s="46"/>
      <c r="O143" s="46"/>
      <c r="P143" s="46"/>
      <c r="Q143" s="46"/>
      <c r="R143" s="46"/>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c r="AV143" s="46"/>
      <c r="AW143" s="46"/>
      <c r="AX143" s="46"/>
      <c r="AY143" s="46"/>
      <c r="AZ143" s="46"/>
      <c r="BA143" s="46"/>
      <c r="BB143" s="46"/>
      <c r="BC143" s="46"/>
      <c r="BD143" s="46"/>
      <c r="BE143" s="46"/>
      <c r="BF143" s="46"/>
      <c r="BG143" s="46"/>
      <c r="BH143" s="46"/>
      <c r="BI143" s="46"/>
      <c r="BJ143" s="46"/>
      <c r="BK143" s="46"/>
      <c r="BL143" s="46"/>
      <c r="BM143" s="46"/>
      <c r="BN143" s="46"/>
      <c r="BO143" s="46"/>
      <c r="BP143" s="46"/>
      <c r="BQ143" s="46"/>
      <c r="BR143" s="46"/>
      <c r="BS143" s="46"/>
      <c r="BT143" s="46"/>
      <c r="BU143" s="46"/>
      <c r="BV143" s="46"/>
      <c r="BW143" s="46"/>
      <c r="BX143" s="46"/>
      <c r="BY143" s="46"/>
      <c r="BZ143" s="46"/>
      <c r="CA143" s="46"/>
      <c r="CB143" s="46"/>
      <c r="CC143" s="46"/>
      <c r="CD143" s="46"/>
      <c r="CE143" s="46"/>
      <c r="CF143" s="46"/>
      <c r="CG143" s="46"/>
      <c r="CH143" s="46"/>
      <c r="CI143" s="46"/>
      <c r="CJ143" s="46"/>
      <c r="CK143" s="46"/>
      <c r="CL143" s="46"/>
      <c r="CM143" s="46"/>
      <c r="CN143" s="46"/>
      <c r="CO143" s="46"/>
      <c r="CP143" s="46"/>
      <c r="CQ143" s="46"/>
      <c r="CR143" s="46"/>
      <c r="CS143" s="46"/>
      <c r="CT143" s="46"/>
      <c r="CU143" s="46"/>
      <c r="CV143" s="46"/>
      <c r="CW143" s="46"/>
      <c r="CX143" s="46"/>
      <c r="CY143" s="46"/>
      <c r="CZ143" s="46"/>
      <c r="DA143" s="46"/>
      <c r="DB143" s="46"/>
      <c r="DC143" s="46"/>
      <c r="DD143" s="46"/>
      <c r="DE143" s="46"/>
      <c r="DF143" s="46"/>
      <c r="DG143" s="46"/>
      <c r="DH143" s="46"/>
      <c r="DI143" s="46"/>
      <c r="DJ143" s="46"/>
      <c r="DK143" s="46"/>
      <c r="DL143" s="46"/>
      <c r="DM143" s="46"/>
      <c r="DN143" s="46"/>
      <c r="DO143" s="46"/>
      <c r="DP143" s="46"/>
      <c r="DQ143" s="46"/>
      <c r="DR143" s="46"/>
      <c r="DS143" s="46"/>
      <c r="DT143" s="46"/>
      <c r="DU143" s="46"/>
      <c r="DV143" s="46"/>
      <c r="DW143" s="46"/>
      <c r="DX143" s="46"/>
      <c r="DY143" s="46"/>
      <c r="DZ143" s="46"/>
      <c r="EA143" s="46"/>
    </row>
    <row r="144" spans="2:131" ht="18" customHeight="1">
      <c r="B144" s="46"/>
      <c r="C144" s="46"/>
      <c r="D144" s="46"/>
      <c r="E144" s="46"/>
      <c r="F144" s="46"/>
      <c r="G144" s="46"/>
      <c r="H144" s="46"/>
      <c r="I144" s="46"/>
      <c r="J144" s="46"/>
      <c r="K144" s="46"/>
      <c r="L144" s="45"/>
      <c r="M144" s="46"/>
      <c r="N144" s="4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c r="AW144" s="46"/>
      <c r="AX144" s="46"/>
      <c r="AY144" s="46"/>
      <c r="AZ144" s="46"/>
      <c r="BA144" s="46"/>
      <c r="BB144" s="46"/>
      <c r="BC144" s="46"/>
      <c r="BD144" s="46"/>
      <c r="BE144" s="46"/>
      <c r="BF144" s="46"/>
      <c r="BG144" s="46"/>
      <c r="BH144" s="46"/>
      <c r="BI144" s="46"/>
      <c r="BJ144" s="46"/>
      <c r="BK144" s="46"/>
      <c r="BL144" s="46"/>
      <c r="BM144" s="46"/>
      <c r="BN144" s="46"/>
      <c r="BO144" s="46"/>
      <c r="BP144" s="46"/>
      <c r="BQ144" s="46"/>
      <c r="BR144" s="46"/>
      <c r="BS144" s="46"/>
      <c r="BT144" s="46"/>
      <c r="BU144" s="46"/>
      <c r="BV144" s="46"/>
      <c r="BW144" s="46"/>
      <c r="BX144" s="46"/>
      <c r="BY144" s="46"/>
      <c r="BZ144" s="46"/>
      <c r="CA144" s="46"/>
      <c r="CB144" s="46"/>
      <c r="CC144" s="46"/>
      <c r="CD144" s="46"/>
      <c r="CE144" s="46"/>
      <c r="CF144" s="46"/>
      <c r="CG144" s="46"/>
      <c r="CH144" s="46"/>
      <c r="CI144" s="46"/>
      <c r="CJ144" s="46"/>
      <c r="CK144" s="46"/>
      <c r="CL144" s="46"/>
      <c r="CM144" s="46"/>
      <c r="CN144" s="46"/>
      <c r="CO144" s="46"/>
      <c r="CP144" s="46"/>
      <c r="CQ144" s="46"/>
      <c r="CR144" s="46"/>
      <c r="CS144" s="46"/>
      <c r="CT144" s="46"/>
      <c r="CU144" s="46"/>
      <c r="CV144" s="46"/>
      <c r="CW144" s="46"/>
      <c r="CX144" s="46"/>
      <c r="CY144" s="46"/>
      <c r="CZ144" s="46"/>
      <c r="DA144" s="46"/>
      <c r="DB144" s="46"/>
      <c r="DC144" s="46"/>
      <c r="DD144" s="46"/>
      <c r="DE144" s="46"/>
      <c r="DF144" s="46"/>
      <c r="DG144" s="46"/>
      <c r="DH144" s="46"/>
      <c r="DI144" s="46"/>
      <c r="DJ144" s="46"/>
      <c r="DK144" s="46"/>
      <c r="DL144" s="46"/>
      <c r="DM144" s="46"/>
      <c r="DN144" s="46"/>
      <c r="DO144" s="46"/>
      <c r="DP144" s="46"/>
      <c r="DQ144" s="46"/>
      <c r="DR144" s="46"/>
      <c r="DS144" s="46"/>
      <c r="DT144" s="46"/>
      <c r="DU144" s="46"/>
      <c r="DV144" s="46"/>
      <c r="DW144" s="46"/>
      <c r="DX144" s="46"/>
      <c r="DY144" s="46"/>
      <c r="DZ144" s="46"/>
      <c r="EA144" s="46"/>
    </row>
    <row r="145" spans="2:131" ht="18" customHeight="1">
      <c r="B145" s="46"/>
      <c r="C145" s="46"/>
      <c r="D145" s="46"/>
      <c r="E145" s="46"/>
      <c r="F145" s="46"/>
      <c r="G145" s="46"/>
      <c r="H145" s="46"/>
      <c r="I145" s="46"/>
      <c r="J145" s="46"/>
      <c r="K145" s="46"/>
      <c r="L145" s="45"/>
      <c r="M145" s="46"/>
      <c r="N145" s="46"/>
      <c r="O145" s="46"/>
      <c r="P145" s="46"/>
      <c r="Q145" s="46"/>
      <c r="R145" s="46"/>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row>
    <row r="146" spans="2:131" ht="18" customHeight="1">
      <c r="B146" s="46"/>
      <c r="C146" s="46"/>
      <c r="D146" s="46"/>
      <c r="E146" s="46"/>
      <c r="F146" s="46"/>
      <c r="G146" s="46"/>
      <c r="H146" s="46"/>
      <c r="I146" s="46"/>
      <c r="J146" s="46"/>
      <c r="K146" s="46"/>
      <c r="L146" s="45"/>
      <c r="M146" s="46"/>
      <c r="N146" s="46"/>
      <c r="O146" s="46"/>
      <c r="P146" s="46"/>
      <c r="Q146" s="46"/>
      <c r="R146" s="46"/>
      <c r="S146" s="46"/>
      <c r="T146" s="46"/>
      <c r="U146" s="46"/>
      <c r="V146" s="46"/>
      <c r="W146" s="46"/>
      <c r="X146" s="46"/>
      <c r="Y146" s="46"/>
      <c r="Z146" s="46"/>
      <c r="AA146" s="46"/>
      <c r="AB146" s="46"/>
      <c r="AC146" s="46"/>
      <c r="AD146" s="46"/>
      <c r="AE146" s="46"/>
      <c r="AF146" s="46"/>
      <c r="AG146" s="46"/>
      <c r="AH146" s="46"/>
      <c r="AI146" s="46"/>
      <c r="AJ146" s="46"/>
      <c r="AK146" s="46"/>
      <c r="AL146" s="46"/>
      <c r="AM146" s="46"/>
      <c r="AN146" s="46"/>
      <c r="AO146" s="46"/>
      <c r="AP146" s="46"/>
      <c r="AQ146" s="46"/>
      <c r="AR146" s="46"/>
      <c r="AS146" s="46"/>
      <c r="AT146" s="46"/>
      <c r="AU146" s="46"/>
      <c r="AV146" s="46"/>
      <c r="AW146" s="46"/>
      <c r="AX146" s="46"/>
      <c r="AY146" s="46"/>
      <c r="AZ146" s="46"/>
      <c r="BA146" s="46"/>
      <c r="BB146" s="46"/>
      <c r="BC146" s="46"/>
      <c r="BD146" s="46"/>
      <c r="BE146" s="46"/>
      <c r="BF146" s="46"/>
      <c r="BG146" s="46"/>
      <c r="BH146" s="46"/>
      <c r="BI146" s="46"/>
      <c r="BJ146" s="46"/>
      <c r="BK146" s="46"/>
      <c r="BL146" s="46"/>
      <c r="BM146" s="46"/>
      <c r="BN146" s="46"/>
      <c r="BO146" s="46"/>
      <c r="BP146" s="46"/>
      <c r="BQ146" s="46"/>
      <c r="BR146" s="46"/>
      <c r="BS146" s="46"/>
      <c r="BT146" s="46"/>
      <c r="BU146" s="46"/>
      <c r="BV146" s="46"/>
      <c r="BW146" s="46"/>
      <c r="BX146" s="46"/>
      <c r="BY146" s="46"/>
      <c r="BZ146" s="46"/>
      <c r="CA146" s="46"/>
      <c r="CB146" s="46"/>
      <c r="CC146" s="46"/>
      <c r="CD146" s="46"/>
      <c r="CE146" s="46"/>
      <c r="CF146" s="46"/>
      <c r="CG146" s="46"/>
      <c r="CH146" s="46"/>
      <c r="CI146" s="46"/>
      <c r="CJ146" s="46"/>
      <c r="CK146" s="46"/>
      <c r="CL146" s="46"/>
      <c r="CM146" s="46"/>
      <c r="CN146" s="46"/>
      <c r="CO146" s="46"/>
      <c r="CP146" s="46"/>
      <c r="CQ146" s="46"/>
      <c r="CR146" s="46"/>
      <c r="CS146" s="46"/>
      <c r="CT146" s="46"/>
      <c r="CU146" s="46"/>
      <c r="CV146" s="46"/>
      <c r="CW146" s="46"/>
      <c r="CX146" s="46"/>
      <c r="CY146" s="46"/>
      <c r="CZ146" s="46"/>
      <c r="DA146" s="46"/>
      <c r="DB146" s="46"/>
      <c r="DC146" s="46"/>
      <c r="DD146" s="46"/>
      <c r="DE146" s="46"/>
      <c r="DF146" s="46"/>
      <c r="DG146" s="46"/>
      <c r="DH146" s="46"/>
      <c r="DI146" s="46"/>
      <c r="DJ146" s="46"/>
      <c r="DK146" s="46"/>
      <c r="DL146" s="46"/>
      <c r="DM146" s="46"/>
      <c r="DN146" s="46"/>
      <c r="DO146" s="46"/>
      <c r="DP146" s="46"/>
      <c r="DQ146" s="46"/>
      <c r="DR146" s="46"/>
      <c r="DS146" s="46"/>
      <c r="DT146" s="46"/>
      <c r="DU146" s="46"/>
      <c r="DV146" s="46"/>
      <c r="DW146" s="46"/>
      <c r="DX146" s="46"/>
      <c r="DY146" s="46"/>
      <c r="DZ146" s="46"/>
      <c r="EA146" s="46"/>
    </row>
    <row r="147" spans="2:131" ht="18" customHeight="1">
      <c r="B147" s="45"/>
      <c r="C147" s="45"/>
      <c r="D147" s="46"/>
      <c r="E147" s="46"/>
      <c r="F147" s="46"/>
      <c r="G147" s="46"/>
      <c r="H147" s="46"/>
      <c r="I147" s="46"/>
      <c r="J147" s="46"/>
      <c r="K147" s="46"/>
      <c r="L147" s="45"/>
      <c r="M147" s="46"/>
      <c r="N147" s="46"/>
      <c r="O147" s="46"/>
      <c r="P147" s="46"/>
      <c r="Q147" s="46"/>
      <c r="R147" s="46"/>
      <c r="S147" s="46"/>
      <c r="T147" s="46"/>
      <c r="U147" s="46"/>
      <c r="V147" s="46"/>
      <c r="W147" s="46"/>
      <c r="X147" s="46"/>
      <c r="Y147" s="46"/>
      <c r="Z147" s="46"/>
      <c r="AA147" s="46"/>
      <c r="AB147" s="46"/>
      <c r="AC147" s="46"/>
      <c r="AD147" s="46"/>
      <c r="AE147" s="46"/>
      <c r="AF147" s="46"/>
      <c r="AG147" s="46"/>
      <c r="AH147" s="46"/>
      <c r="AI147" s="46"/>
      <c r="AJ147" s="46"/>
      <c r="AK147" s="46"/>
      <c r="AL147" s="46"/>
      <c r="AM147" s="46"/>
      <c r="AN147" s="46"/>
      <c r="AO147" s="46"/>
      <c r="AP147" s="46"/>
      <c r="AQ147" s="46"/>
      <c r="AR147" s="46"/>
      <c r="AS147" s="46"/>
      <c r="AT147" s="46"/>
      <c r="AU147" s="46"/>
      <c r="AV147" s="46"/>
      <c r="AW147" s="46"/>
      <c r="AX147" s="46"/>
      <c r="AY147" s="46"/>
      <c r="AZ147" s="46"/>
      <c r="BA147" s="46"/>
      <c r="BB147" s="46"/>
      <c r="BC147" s="46"/>
      <c r="BD147" s="46"/>
      <c r="BE147" s="46"/>
      <c r="BF147" s="46"/>
      <c r="BG147" s="46"/>
      <c r="BH147" s="46"/>
      <c r="BI147" s="46"/>
      <c r="BJ147" s="46"/>
      <c r="BK147" s="46"/>
      <c r="BL147" s="46"/>
      <c r="BM147" s="46"/>
      <c r="BN147" s="46"/>
      <c r="BO147" s="46"/>
      <c r="BP147" s="46"/>
      <c r="BQ147" s="46"/>
      <c r="BR147" s="46"/>
      <c r="BS147" s="46"/>
      <c r="BT147" s="46"/>
      <c r="BU147" s="46"/>
      <c r="BV147" s="46"/>
      <c r="BW147" s="46"/>
      <c r="BX147" s="46"/>
      <c r="BY147" s="46"/>
      <c r="BZ147" s="46"/>
      <c r="CA147" s="46"/>
      <c r="CB147" s="46"/>
      <c r="CC147" s="46"/>
      <c r="CD147" s="46"/>
      <c r="CE147" s="46"/>
      <c r="CF147" s="46"/>
      <c r="CG147" s="46"/>
      <c r="CH147" s="46"/>
      <c r="CI147" s="46"/>
      <c r="CJ147" s="46"/>
      <c r="CK147" s="46"/>
      <c r="CL147" s="46"/>
      <c r="CM147" s="46"/>
      <c r="CN147" s="46"/>
      <c r="CO147" s="46"/>
      <c r="CP147" s="46"/>
      <c r="CQ147" s="46"/>
      <c r="CR147" s="46"/>
      <c r="CS147" s="46"/>
      <c r="CT147" s="46"/>
      <c r="CU147" s="46"/>
      <c r="CV147" s="46"/>
      <c r="CW147" s="46"/>
      <c r="CX147" s="46"/>
      <c r="CY147" s="46"/>
      <c r="CZ147" s="46"/>
      <c r="DA147" s="46"/>
      <c r="DB147" s="46"/>
      <c r="DC147" s="46"/>
      <c r="DD147" s="46"/>
      <c r="DE147" s="46"/>
      <c r="DF147" s="46"/>
      <c r="DG147" s="46"/>
      <c r="DH147" s="46"/>
      <c r="DI147" s="46"/>
      <c r="DJ147" s="46"/>
      <c r="DK147" s="46"/>
      <c r="DL147" s="46"/>
      <c r="DM147" s="46"/>
      <c r="DN147" s="46"/>
      <c r="DO147" s="46"/>
      <c r="DP147" s="46"/>
      <c r="DQ147" s="46"/>
      <c r="DR147" s="46"/>
      <c r="DS147" s="46"/>
      <c r="DT147" s="46"/>
      <c r="DU147" s="46"/>
      <c r="DV147" s="46"/>
      <c r="DW147" s="46"/>
      <c r="DX147" s="46"/>
      <c r="DY147" s="46"/>
      <c r="DZ147" s="46"/>
      <c r="EA147" s="46"/>
    </row>
    <row r="148" spans="2:131" ht="18" customHeight="1">
      <c r="B148" s="46"/>
      <c r="C148" s="46"/>
      <c r="D148" s="46"/>
      <c r="E148" s="46"/>
      <c r="F148" s="46"/>
      <c r="G148" s="46"/>
      <c r="H148" s="46"/>
      <c r="I148" s="46"/>
      <c r="J148" s="46"/>
      <c r="K148" s="46"/>
      <c r="L148" s="45"/>
      <c r="M148" s="46"/>
      <c r="N148" s="46"/>
      <c r="O148" s="46"/>
      <c r="P148" s="46"/>
      <c r="Q148" s="46"/>
      <c r="R148" s="46"/>
      <c r="S148" s="46"/>
      <c r="T148" s="46"/>
      <c r="U148" s="46"/>
      <c r="V148" s="46"/>
      <c r="W148" s="46"/>
      <c r="X148" s="46"/>
      <c r="Y148" s="46"/>
      <c r="Z148" s="46"/>
      <c r="AA148" s="46"/>
      <c r="AB148" s="46"/>
      <c r="AC148" s="46"/>
      <c r="AD148" s="46"/>
      <c r="AE148" s="46"/>
      <c r="AF148" s="46"/>
      <c r="AG148" s="46"/>
      <c r="AH148" s="46"/>
      <c r="AI148" s="46"/>
      <c r="AJ148" s="46"/>
      <c r="AK148" s="46"/>
      <c r="AL148" s="46"/>
      <c r="AM148" s="46"/>
      <c r="AN148" s="46"/>
      <c r="AO148" s="46"/>
      <c r="AP148" s="46"/>
      <c r="AQ148" s="46"/>
      <c r="AR148" s="46"/>
      <c r="AS148" s="46"/>
      <c r="AT148" s="46"/>
      <c r="AU148" s="46"/>
      <c r="AV148" s="46"/>
      <c r="AW148" s="46"/>
      <c r="AX148" s="46"/>
      <c r="AY148" s="46"/>
      <c r="AZ148" s="46"/>
      <c r="BA148" s="46"/>
      <c r="BB148" s="46"/>
      <c r="BC148" s="46"/>
      <c r="BD148" s="46"/>
      <c r="BE148" s="46"/>
      <c r="BF148" s="46"/>
      <c r="BG148" s="46"/>
      <c r="BH148" s="46"/>
      <c r="BI148" s="46"/>
      <c r="BJ148" s="46"/>
      <c r="BK148" s="46"/>
      <c r="BL148" s="46"/>
      <c r="BM148" s="46"/>
      <c r="BN148" s="46"/>
      <c r="BO148" s="46"/>
      <c r="BP148" s="46"/>
      <c r="BQ148" s="46"/>
      <c r="BR148" s="46"/>
      <c r="BS148" s="46"/>
      <c r="BT148" s="46"/>
      <c r="BU148" s="46"/>
      <c r="BV148" s="46"/>
      <c r="BW148" s="46"/>
      <c r="BX148" s="46"/>
      <c r="BY148" s="46"/>
      <c r="BZ148" s="46"/>
      <c r="CA148" s="46"/>
      <c r="CB148" s="46"/>
      <c r="CC148" s="46"/>
      <c r="CD148" s="46"/>
      <c r="CE148" s="46"/>
      <c r="CF148" s="46"/>
      <c r="CG148" s="46"/>
      <c r="CH148" s="46"/>
      <c r="CI148" s="46"/>
      <c r="CJ148" s="46"/>
      <c r="CK148" s="46"/>
      <c r="CL148" s="46"/>
      <c r="CM148" s="46"/>
      <c r="CN148" s="46"/>
      <c r="CO148" s="46"/>
      <c r="CP148" s="46"/>
      <c r="CQ148" s="46"/>
      <c r="CR148" s="46"/>
      <c r="CS148" s="46"/>
      <c r="CT148" s="46"/>
      <c r="CU148" s="46"/>
      <c r="CV148" s="46"/>
      <c r="CW148" s="46"/>
      <c r="CX148" s="46"/>
      <c r="CY148" s="46"/>
      <c r="CZ148" s="46"/>
      <c r="DA148" s="46"/>
      <c r="DB148" s="46"/>
      <c r="DC148" s="46"/>
      <c r="DD148" s="46"/>
      <c r="DE148" s="46"/>
      <c r="DF148" s="46"/>
      <c r="DG148" s="46"/>
      <c r="DH148" s="46"/>
      <c r="DI148" s="46"/>
      <c r="DJ148" s="46"/>
      <c r="DK148" s="46"/>
      <c r="DL148" s="46"/>
      <c r="DM148" s="46"/>
      <c r="DN148" s="46"/>
      <c r="DO148" s="46"/>
      <c r="DP148" s="46"/>
      <c r="DQ148" s="46"/>
      <c r="DR148" s="46"/>
      <c r="DS148" s="46"/>
      <c r="DT148" s="46"/>
      <c r="DU148" s="46"/>
      <c r="DV148" s="46"/>
      <c r="DW148" s="46"/>
      <c r="DX148" s="46"/>
      <c r="DY148" s="46"/>
      <c r="DZ148" s="46"/>
      <c r="EA148" s="46"/>
    </row>
    <row r="149" spans="2:131" ht="18" customHeight="1">
      <c r="B149" s="46"/>
      <c r="C149" s="46"/>
      <c r="D149" s="46"/>
      <c r="E149" s="46"/>
      <c r="F149" s="46"/>
      <c r="G149" s="46"/>
      <c r="H149" s="46"/>
      <c r="I149" s="46"/>
      <c r="J149" s="46"/>
      <c r="K149" s="46"/>
      <c r="L149" s="45"/>
      <c r="M149" s="46"/>
      <c r="N149" s="46"/>
      <c r="O149" s="46"/>
      <c r="P149" s="46"/>
      <c r="Q149" s="46"/>
      <c r="R149" s="46"/>
      <c r="S149" s="46"/>
      <c r="T149" s="46"/>
      <c r="U149" s="46"/>
      <c r="V149" s="46"/>
      <c r="W149" s="46"/>
      <c r="X149" s="46"/>
      <c r="Y149" s="46"/>
      <c r="Z149" s="46"/>
      <c r="AA149" s="46"/>
      <c r="AB149" s="46"/>
      <c r="AC149" s="46"/>
      <c r="AD149" s="46"/>
      <c r="AE149" s="46"/>
      <c r="AF149" s="46"/>
      <c r="AG149" s="46"/>
      <c r="AH149" s="46"/>
      <c r="AI149" s="46"/>
      <c r="AJ149" s="46"/>
      <c r="AK149" s="46"/>
      <c r="AL149" s="46"/>
      <c r="AM149" s="46"/>
      <c r="AN149" s="46"/>
      <c r="AO149" s="46"/>
      <c r="AP149" s="46"/>
      <c r="AQ149" s="46"/>
      <c r="AR149" s="46"/>
      <c r="AS149" s="46"/>
      <c r="AT149" s="46"/>
      <c r="AU149" s="46"/>
      <c r="AV149" s="46"/>
      <c r="AW149" s="46"/>
      <c r="AX149" s="46"/>
      <c r="AY149" s="46"/>
      <c r="AZ149" s="46"/>
      <c r="BA149" s="46"/>
      <c r="BB149" s="46"/>
      <c r="BC149" s="46"/>
      <c r="BD149" s="46"/>
      <c r="BE149" s="46"/>
      <c r="BF149" s="46"/>
      <c r="BG149" s="46"/>
      <c r="BH149" s="46"/>
      <c r="BI149" s="46"/>
      <c r="BJ149" s="46"/>
      <c r="BK149" s="46"/>
      <c r="BL149" s="46"/>
      <c r="BM149" s="46"/>
      <c r="BN149" s="46"/>
      <c r="BO149" s="46"/>
      <c r="BP149" s="46"/>
      <c r="BQ149" s="46"/>
      <c r="BR149" s="46"/>
      <c r="BS149" s="46"/>
      <c r="BT149" s="46"/>
      <c r="BU149" s="46"/>
      <c r="BV149" s="46"/>
      <c r="BW149" s="46"/>
      <c r="BX149" s="46"/>
      <c r="BY149" s="46"/>
      <c r="BZ149" s="46"/>
      <c r="CA149" s="46"/>
      <c r="CB149" s="46"/>
      <c r="CC149" s="46"/>
      <c r="CD149" s="46"/>
      <c r="CE149" s="46"/>
      <c r="CF149" s="46"/>
      <c r="CG149" s="46"/>
      <c r="CH149" s="46"/>
      <c r="CI149" s="46"/>
      <c r="CJ149" s="46"/>
      <c r="CK149" s="46"/>
      <c r="CL149" s="46"/>
      <c r="CM149" s="46"/>
      <c r="CN149" s="46"/>
      <c r="CO149" s="46"/>
      <c r="CP149" s="46"/>
      <c r="CQ149" s="46"/>
      <c r="CR149" s="46"/>
      <c r="CS149" s="46"/>
      <c r="CT149" s="46"/>
      <c r="CU149" s="46"/>
      <c r="CV149" s="46"/>
      <c r="CW149" s="46"/>
      <c r="CX149" s="46"/>
      <c r="CY149" s="46"/>
      <c r="CZ149" s="46"/>
      <c r="DA149" s="46"/>
      <c r="DB149" s="46"/>
      <c r="DC149" s="46"/>
      <c r="DD149" s="46"/>
      <c r="DE149" s="46"/>
      <c r="DF149" s="46"/>
      <c r="DG149" s="46"/>
      <c r="DH149" s="46"/>
      <c r="DI149" s="46"/>
      <c r="DJ149" s="46"/>
      <c r="DK149" s="46"/>
      <c r="DL149" s="46"/>
      <c r="DM149" s="46"/>
      <c r="DN149" s="46"/>
      <c r="DO149" s="46"/>
      <c r="DP149" s="46"/>
      <c r="DQ149" s="46"/>
      <c r="DR149" s="46"/>
      <c r="DS149" s="46"/>
      <c r="DT149" s="46"/>
      <c r="DU149" s="46"/>
      <c r="DV149" s="46"/>
      <c r="DW149" s="46"/>
      <c r="DX149" s="46"/>
      <c r="DY149" s="46"/>
      <c r="DZ149" s="46"/>
      <c r="EA149" s="46"/>
    </row>
    <row r="150" spans="2:131" ht="18" customHeight="1">
      <c r="B150" s="46"/>
      <c r="C150" s="46"/>
      <c r="D150" s="46"/>
      <c r="E150" s="46"/>
      <c r="F150" s="46"/>
      <c r="G150" s="46"/>
      <c r="H150" s="46"/>
      <c r="I150" s="46"/>
      <c r="J150" s="46"/>
      <c r="K150" s="46"/>
      <c r="L150" s="45"/>
      <c r="M150" s="46"/>
      <c r="N150" s="46"/>
      <c r="O150" s="46"/>
      <c r="P150" s="46"/>
      <c r="Q150" s="46"/>
      <c r="R150" s="46"/>
      <c r="S150" s="46"/>
      <c r="T150" s="46"/>
      <c r="U150" s="46"/>
      <c r="V150" s="46"/>
      <c r="W150" s="46"/>
      <c r="X150" s="46"/>
      <c r="Y150" s="46"/>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row>
    <row r="151" spans="2:131" ht="18" customHeight="1">
      <c r="B151" s="46"/>
      <c r="C151" s="46"/>
      <c r="D151" s="46"/>
      <c r="E151" s="46"/>
      <c r="F151" s="46"/>
      <c r="G151" s="46"/>
      <c r="H151" s="46"/>
      <c r="I151" s="46"/>
      <c r="J151" s="46"/>
      <c r="K151" s="46"/>
      <c r="L151" s="45"/>
      <c r="M151" s="46"/>
      <c r="N151" s="46"/>
      <c r="O151" s="46"/>
      <c r="P151" s="46"/>
      <c r="Q151" s="46"/>
      <c r="R151" s="46"/>
      <c r="S151" s="46"/>
      <c r="T151" s="46"/>
      <c r="U151" s="46"/>
      <c r="V151" s="46"/>
      <c r="W151" s="46"/>
      <c r="X151" s="46"/>
      <c r="Y151" s="46"/>
      <c r="Z151" s="46"/>
      <c r="AA151" s="46"/>
      <c r="AB151" s="46"/>
      <c r="AC151" s="46"/>
      <c r="AD151" s="46"/>
      <c r="AE151" s="46"/>
      <c r="AF151" s="46"/>
      <c r="AG151" s="46"/>
      <c r="AH151" s="46"/>
      <c r="AI151" s="46"/>
      <c r="AJ151" s="46"/>
      <c r="AK151" s="46"/>
      <c r="AL151" s="46"/>
      <c r="AM151" s="46"/>
      <c r="AN151" s="46"/>
      <c r="AO151" s="46"/>
      <c r="AP151" s="46"/>
      <c r="AQ151" s="46"/>
      <c r="AR151" s="46"/>
      <c r="AS151" s="46"/>
      <c r="AT151" s="46"/>
      <c r="AU151" s="46"/>
      <c r="AV151" s="46"/>
      <c r="AW151" s="46"/>
      <c r="AX151" s="46"/>
      <c r="AY151" s="46"/>
      <c r="AZ151" s="46"/>
      <c r="BA151" s="46"/>
      <c r="BB151" s="46"/>
      <c r="BC151" s="46"/>
      <c r="BD151" s="46"/>
      <c r="BE151" s="46"/>
      <c r="BF151" s="46"/>
      <c r="BG151" s="46"/>
      <c r="BH151" s="46"/>
      <c r="BI151" s="46"/>
      <c r="BJ151" s="46"/>
      <c r="BK151" s="46"/>
      <c r="BL151" s="46"/>
      <c r="BM151" s="46"/>
      <c r="BN151" s="46"/>
      <c r="BO151" s="46"/>
      <c r="BP151" s="46"/>
      <c r="BQ151" s="46"/>
      <c r="BR151" s="46"/>
      <c r="BS151" s="46"/>
      <c r="BT151" s="46"/>
      <c r="BU151" s="46"/>
      <c r="BV151" s="46"/>
      <c r="BW151" s="46"/>
      <c r="BX151" s="46"/>
      <c r="BY151" s="46"/>
      <c r="BZ151" s="46"/>
      <c r="CA151" s="46"/>
      <c r="CB151" s="46"/>
      <c r="CC151" s="46"/>
      <c r="CD151" s="46"/>
      <c r="CE151" s="46"/>
      <c r="CF151" s="46"/>
      <c r="CG151" s="46"/>
      <c r="CH151" s="46"/>
      <c r="CI151" s="46"/>
      <c r="CJ151" s="46"/>
      <c r="CK151" s="46"/>
      <c r="CL151" s="46"/>
      <c r="CM151" s="46"/>
      <c r="CN151" s="46"/>
      <c r="CO151" s="46"/>
      <c r="CP151" s="46"/>
      <c r="CQ151" s="46"/>
      <c r="CR151" s="46"/>
      <c r="CS151" s="46"/>
      <c r="CT151" s="46"/>
      <c r="CU151" s="46"/>
      <c r="CV151" s="46"/>
      <c r="CW151" s="46"/>
      <c r="CX151" s="46"/>
      <c r="CY151" s="46"/>
      <c r="CZ151" s="46"/>
      <c r="DA151" s="46"/>
      <c r="DB151" s="46"/>
      <c r="DC151" s="46"/>
      <c r="DD151" s="46"/>
      <c r="DE151" s="46"/>
      <c r="DF151" s="46"/>
      <c r="DG151" s="46"/>
      <c r="DH151" s="46"/>
      <c r="DI151" s="46"/>
      <c r="DJ151" s="46"/>
      <c r="DK151" s="46"/>
      <c r="DL151" s="46"/>
      <c r="DM151" s="46"/>
      <c r="DN151" s="46"/>
      <c r="DO151" s="46"/>
      <c r="DP151" s="46"/>
      <c r="DQ151" s="46"/>
      <c r="DR151" s="46"/>
      <c r="DS151" s="46"/>
      <c r="DT151" s="46"/>
      <c r="DU151" s="46"/>
      <c r="DV151" s="46"/>
      <c r="DW151" s="46"/>
      <c r="DX151" s="46"/>
      <c r="DY151" s="46"/>
      <c r="DZ151" s="46"/>
      <c r="EA151" s="46"/>
    </row>
    <row r="153" spans="2:131" ht="18" customHeight="1">
      <c r="B153" s="45"/>
      <c r="C153" s="45"/>
      <c r="D153" s="46"/>
      <c r="E153" s="46"/>
      <c r="F153" s="46"/>
      <c r="G153" s="46"/>
      <c r="H153" s="46"/>
      <c r="I153" s="46"/>
      <c r="J153" s="46"/>
      <c r="K153" s="46"/>
      <c r="L153" s="45"/>
      <c r="M153" s="46"/>
      <c r="N153" s="46"/>
      <c r="O153" s="46"/>
      <c r="P153" s="46"/>
      <c r="Q153" s="46"/>
      <c r="R153" s="46"/>
      <c r="S153" s="46"/>
      <c r="T153" s="46"/>
      <c r="U153" s="46"/>
      <c r="V153" s="46"/>
      <c r="W153" s="46"/>
      <c r="X153" s="46"/>
      <c r="Y153" s="46"/>
      <c r="Z153" s="46"/>
      <c r="AA153" s="46"/>
      <c r="AB153" s="46"/>
      <c r="AC153" s="46"/>
      <c r="AD153" s="46"/>
      <c r="AE153" s="46"/>
      <c r="AF153" s="46"/>
      <c r="AG153" s="46"/>
      <c r="AH153" s="46"/>
      <c r="AI153" s="46"/>
      <c r="AJ153" s="46"/>
      <c r="AK153" s="46"/>
      <c r="AL153" s="46"/>
      <c r="AM153" s="46"/>
      <c r="AN153" s="46"/>
      <c r="AO153" s="46"/>
      <c r="AP153" s="46"/>
      <c r="AQ153" s="46"/>
      <c r="AR153" s="46"/>
      <c r="AS153" s="46"/>
      <c r="AT153" s="46"/>
      <c r="AU153" s="46"/>
      <c r="AV153" s="46"/>
      <c r="AW153" s="46"/>
      <c r="AX153" s="46"/>
      <c r="AY153" s="46"/>
      <c r="AZ153" s="46"/>
      <c r="BA153" s="46"/>
      <c r="BB153" s="46"/>
      <c r="BC153" s="46"/>
      <c r="BD153" s="46"/>
      <c r="BE153" s="46"/>
      <c r="BF153" s="46"/>
      <c r="BG153" s="46"/>
      <c r="BH153" s="46"/>
      <c r="BI153" s="46"/>
      <c r="BJ153" s="46"/>
      <c r="BK153" s="46"/>
      <c r="BL153" s="46"/>
      <c r="BM153" s="46"/>
      <c r="BN153" s="46"/>
      <c r="BO153" s="46"/>
      <c r="BP153" s="46"/>
      <c r="BQ153" s="46"/>
      <c r="BR153" s="46"/>
      <c r="BS153" s="46"/>
      <c r="BT153" s="46"/>
      <c r="BU153" s="46"/>
      <c r="BV153" s="46"/>
      <c r="BW153" s="46"/>
      <c r="BX153" s="46"/>
      <c r="BY153" s="46"/>
      <c r="BZ153" s="46"/>
      <c r="CA153" s="46"/>
      <c r="CB153" s="46"/>
      <c r="CC153" s="46"/>
      <c r="CD153" s="46"/>
      <c r="CE153" s="46"/>
      <c r="CF153" s="46"/>
      <c r="CG153" s="46"/>
      <c r="CH153" s="46"/>
      <c r="CI153" s="46"/>
      <c r="CJ153" s="46"/>
      <c r="CK153" s="46"/>
      <c r="CL153" s="46"/>
      <c r="CM153" s="46"/>
      <c r="CN153" s="46"/>
      <c r="CO153" s="46"/>
      <c r="CP153" s="46"/>
      <c r="CQ153" s="46"/>
      <c r="CR153" s="46"/>
      <c r="CS153" s="46"/>
      <c r="CT153" s="46"/>
      <c r="CU153" s="46"/>
      <c r="CV153" s="46"/>
      <c r="CW153" s="46"/>
      <c r="CX153" s="46"/>
      <c r="CY153" s="46"/>
      <c r="CZ153" s="46"/>
      <c r="DA153" s="46"/>
      <c r="DB153" s="46"/>
      <c r="DC153" s="46"/>
      <c r="DD153" s="46"/>
      <c r="DE153" s="46"/>
      <c r="DF153" s="46"/>
      <c r="DG153" s="46"/>
      <c r="DH153" s="46"/>
      <c r="DI153" s="46"/>
      <c r="DJ153" s="46"/>
      <c r="DK153" s="46"/>
      <c r="DL153" s="46"/>
      <c r="DM153" s="46"/>
      <c r="DN153" s="46"/>
      <c r="DO153" s="46"/>
      <c r="DP153" s="46"/>
      <c r="DQ153" s="46"/>
      <c r="DR153" s="46"/>
      <c r="DS153" s="46"/>
      <c r="DT153" s="46"/>
      <c r="DU153" s="46"/>
      <c r="DV153" s="46"/>
      <c r="DW153" s="46"/>
      <c r="DX153" s="46"/>
      <c r="DY153" s="46"/>
      <c r="DZ153" s="46"/>
      <c r="EA153" s="46"/>
    </row>
    <row r="154" spans="2:131" ht="18" customHeight="1">
      <c r="B154" s="46"/>
      <c r="C154" s="46"/>
      <c r="D154" s="46"/>
      <c r="E154" s="46"/>
      <c r="F154" s="46"/>
      <c r="G154" s="46"/>
      <c r="H154" s="46"/>
      <c r="I154" s="46"/>
      <c r="J154" s="46"/>
      <c r="K154" s="46"/>
      <c r="L154" s="45"/>
      <c r="M154" s="46"/>
      <c r="N154" s="46"/>
      <c r="O154" s="46"/>
      <c r="P154" s="46"/>
      <c r="Q154" s="46"/>
      <c r="R154" s="46"/>
      <c r="S154" s="46"/>
      <c r="T154" s="46"/>
      <c r="U154" s="46"/>
      <c r="V154" s="46"/>
      <c r="W154" s="46"/>
      <c r="X154" s="46"/>
      <c r="Y154" s="46"/>
      <c r="Z154" s="46"/>
      <c r="AA154" s="46"/>
      <c r="AB154" s="46"/>
      <c r="AC154" s="46"/>
      <c r="AD154" s="46"/>
      <c r="AE154" s="46"/>
      <c r="AF154" s="46"/>
      <c r="AG154" s="46"/>
      <c r="AH154" s="46"/>
      <c r="AI154" s="46"/>
      <c r="AJ154" s="46"/>
      <c r="AK154" s="46"/>
      <c r="AL154" s="46"/>
      <c r="AM154" s="46"/>
      <c r="AN154" s="46"/>
      <c r="AO154" s="46"/>
      <c r="AP154" s="46"/>
      <c r="AQ154" s="46"/>
      <c r="AR154" s="46"/>
      <c r="AS154" s="46"/>
      <c r="AT154" s="46"/>
      <c r="AU154" s="46"/>
      <c r="AV154" s="46"/>
      <c r="AW154" s="46"/>
      <c r="AX154" s="46"/>
      <c r="AY154" s="46"/>
      <c r="AZ154" s="46"/>
      <c r="BA154" s="46"/>
      <c r="BB154" s="46"/>
      <c r="BC154" s="46"/>
      <c r="BD154" s="46"/>
      <c r="BE154" s="46"/>
      <c r="BF154" s="46"/>
      <c r="BG154" s="46"/>
      <c r="BH154" s="46"/>
      <c r="BI154" s="46"/>
      <c r="BJ154" s="46"/>
      <c r="BK154" s="46"/>
      <c r="BL154" s="46"/>
      <c r="BM154" s="46"/>
      <c r="BN154" s="46"/>
      <c r="BO154" s="46"/>
      <c r="BP154" s="46"/>
      <c r="BQ154" s="46"/>
      <c r="BR154" s="46"/>
      <c r="BS154" s="46"/>
      <c r="BT154" s="46"/>
      <c r="BU154" s="46"/>
      <c r="BV154" s="46"/>
      <c r="BW154" s="46"/>
      <c r="BX154" s="46"/>
      <c r="BY154" s="46"/>
      <c r="BZ154" s="46"/>
      <c r="CA154" s="46"/>
      <c r="CB154" s="46"/>
      <c r="CC154" s="46"/>
      <c r="CD154" s="46"/>
      <c r="CE154" s="46"/>
      <c r="CF154" s="46"/>
      <c r="CG154" s="46"/>
      <c r="CH154" s="46"/>
      <c r="CI154" s="46"/>
      <c r="CJ154" s="46"/>
      <c r="CK154" s="46"/>
      <c r="CL154" s="46"/>
      <c r="CM154" s="46"/>
      <c r="CN154" s="46"/>
      <c r="CO154" s="46"/>
      <c r="CP154" s="46"/>
      <c r="CQ154" s="46"/>
      <c r="CR154" s="46"/>
      <c r="CS154" s="46"/>
      <c r="CT154" s="46"/>
      <c r="CU154" s="46"/>
      <c r="CV154" s="46"/>
      <c r="CW154" s="46"/>
      <c r="CX154" s="46"/>
      <c r="CY154" s="46"/>
      <c r="CZ154" s="46"/>
      <c r="DA154" s="46"/>
      <c r="DB154" s="46"/>
      <c r="DC154" s="46"/>
      <c r="DD154" s="46"/>
      <c r="DE154" s="46"/>
      <c r="DF154" s="46"/>
      <c r="DG154" s="46"/>
      <c r="DH154" s="46"/>
      <c r="DI154" s="46"/>
      <c r="DJ154" s="46"/>
      <c r="DK154" s="46"/>
      <c r="DL154" s="46"/>
      <c r="DM154" s="46"/>
      <c r="DN154" s="46"/>
      <c r="DO154" s="46"/>
      <c r="DP154" s="46"/>
      <c r="DQ154" s="46"/>
      <c r="DR154" s="46"/>
      <c r="DS154" s="46"/>
      <c r="DT154" s="46"/>
      <c r="DU154" s="46"/>
      <c r="DV154" s="46"/>
      <c r="DW154" s="46"/>
      <c r="DX154" s="46"/>
      <c r="DY154" s="46"/>
      <c r="DZ154" s="46"/>
      <c r="EA154" s="46"/>
    </row>
    <row r="155" spans="2:131" ht="18" customHeight="1">
      <c r="B155" s="46"/>
      <c r="C155" s="46"/>
      <c r="D155" s="46"/>
      <c r="E155" s="46"/>
      <c r="F155" s="46"/>
      <c r="G155" s="46"/>
      <c r="H155" s="46"/>
      <c r="I155" s="46"/>
      <c r="J155" s="46"/>
      <c r="K155" s="46"/>
      <c r="L155" s="45"/>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row>
    <row r="156" spans="2:131" ht="18" customHeight="1">
      <c r="B156" s="46"/>
      <c r="C156" s="46"/>
      <c r="D156" s="46"/>
      <c r="E156" s="46"/>
      <c r="F156" s="46"/>
      <c r="G156" s="46"/>
      <c r="H156" s="46"/>
      <c r="I156" s="46"/>
      <c r="J156" s="46"/>
      <c r="K156" s="46"/>
      <c r="L156" s="45"/>
      <c r="M156" s="46"/>
      <c r="N156" s="46"/>
      <c r="O156" s="46"/>
      <c r="P156" s="46"/>
      <c r="Q156" s="46"/>
      <c r="R156" s="46"/>
      <c r="S156" s="46"/>
      <c r="T156" s="46"/>
      <c r="U156" s="46"/>
      <c r="V156" s="46"/>
      <c r="W156" s="46"/>
      <c r="X156" s="46"/>
      <c r="Y156" s="46"/>
      <c r="Z156" s="46"/>
      <c r="AA156" s="46"/>
      <c r="AB156" s="46"/>
      <c r="AC156" s="46"/>
      <c r="AD156" s="46"/>
      <c r="AE156" s="46"/>
      <c r="AF156" s="46"/>
      <c r="AG156" s="46"/>
      <c r="AH156" s="46"/>
      <c r="AI156" s="46"/>
      <c r="AJ156" s="46"/>
      <c r="AK156" s="46"/>
      <c r="AL156" s="46"/>
      <c r="AM156" s="46"/>
      <c r="AN156" s="46"/>
      <c r="AO156" s="46"/>
      <c r="AP156" s="46"/>
      <c r="AQ156" s="46"/>
      <c r="AR156" s="46"/>
      <c r="AS156" s="46"/>
      <c r="AT156" s="46"/>
      <c r="AU156" s="46"/>
      <c r="AV156" s="46"/>
      <c r="AW156" s="46"/>
      <c r="AX156" s="46"/>
      <c r="AY156" s="46"/>
      <c r="AZ156" s="46"/>
      <c r="BA156" s="46"/>
      <c r="BB156" s="46"/>
      <c r="BC156" s="46"/>
      <c r="BD156" s="46"/>
      <c r="BE156" s="46"/>
      <c r="BF156" s="46"/>
      <c r="BG156" s="46"/>
      <c r="BH156" s="46"/>
      <c r="BI156" s="46"/>
      <c r="BJ156" s="46"/>
      <c r="BK156" s="46"/>
      <c r="BL156" s="46"/>
      <c r="BM156" s="46"/>
      <c r="BN156" s="46"/>
      <c r="BO156" s="46"/>
      <c r="BP156" s="46"/>
      <c r="BQ156" s="46"/>
      <c r="BR156" s="46"/>
      <c r="BS156" s="46"/>
      <c r="BT156" s="46"/>
      <c r="BU156" s="46"/>
      <c r="BV156" s="46"/>
      <c r="BW156" s="46"/>
      <c r="BX156" s="46"/>
      <c r="BY156" s="46"/>
      <c r="BZ156" s="46"/>
      <c r="CA156" s="46"/>
      <c r="CB156" s="46"/>
      <c r="CC156" s="46"/>
      <c r="CD156" s="46"/>
      <c r="CE156" s="46"/>
      <c r="CF156" s="46"/>
      <c r="CG156" s="46"/>
      <c r="CH156" s="46"/>
      <c r="CI156" s="46"/>
      <c r="CJ156" s="46"/>
      <c r="CK156" s="46"/>
      <c r="CL156" s="46"/>
      <c r="CM156" s="46"/>
      <c r="CN156" s="46"/>
      <c r="CO156" s="46"/>
      <c r="CP156" s="46"/>
      <c r="CQ156" s="46"/>
      <c r="CR156" s="46"/>
      <c r="CS156" s="46"/>
      <c r="CT156" s="46"/>
      <c r="CU156" s="46"/>
      <c r="CV156" s="46"/>
      <c r="CW156" s="46"/>
      <c r="CX156" s="46"/>
      <c r="CY156" s="46"/>
      <c r="CZ156" s="46"/>
      <c r="DA156" s="46"/>
      <c r="DB156" s="46"/>
      <c r="DC156" s="46"/>
      <c r="DD156" s="46"/>
      <c r="DE156" s="46"/>
      <c r="DF156" s="46"/>
      <c r="DG156" s="46"/>
      <c r="DH156" s="46"/>
      <c r="DI156" s="46"/>
      <c r="DJ156" s="46"/>
      <c r="DK156" s="46"/>
      <c r="DL156" s="46"/>
      <c r="DM156" s="46"/>
      <c r="DN156" s="46"/>
      <c r="DO156" s="46"/>
      <c r="DP156" s="46"/>
      <c r="DQ156" s="46"/>
      <c r="DR156" s="46"/>
      <c r="DS156" s="46"/>
      <c r="DT156" s="46"/>
      <c r="DU156" s="46"/>
      <c r="DV156" s="46"/>
      <c r="DW156" s="46"/>
      <c r="DX156" s="46"/>
      <c r="DY156" s="46"/>
      <c r="DZ156" s="46"/>
      <c r="EA156" s="46"/>
    </row>
    <row r="157" spans="2:131" ht="18" customHeight="1">
      <c r="B157" s="46"/>
      <c r="C157" s="46"/>
      <c r="D157" s="46"/>
      <c r="E157" s="46"/>
      <c r="F157" s="46"/>
      <c r="G157" s="46"/>
      <c r="H157" s="46"/>
      <c r="I157" s="46"/>
      <c r="J157" s="46"/>
      <c r="K157" s="46"/>
      <c r="L157" s="45"/>
      <c r="M157" s="46"/>
      <c r="N157" s="46"/>
      <c r="O157" s="46"/>
      <c r="P157" s="46"/>
      <c r="Q157" s="46"/>
      <c r="R157" s="46"/>
      <c r="S157" s="46"/>
      <c r="T157" s="46"/>
      <c r="U157" s="46"/>
      <c r="V157" s="46"/>
      <c r="W157" s="46"/>
      <c r="X157" s="46"/>
      <c r="Y157" s="46"/>
      <c r="Z157" s="46"/>
      <c r="AA157" s="46"/>
      <c r="AB157" s="46"/>
      <c r="AC157" s="46"/>
      <c r="AD157" s="46"/>
      <c r="AE157" s="46"/>
      <c r="AF157" s="46"/>
      <c r="AG157" s="46"/>
      <c r="AH157" s="46"/>
      <c r="AI157" s="46"/>
      <c r="AJ157" s="46"/>
      <c r="AK157" s="46"/>
      <c r="AL157" s="46"/>
      <c r="AM157" s="46"/>
      <c r="AN157" s="46"/>
      <c r="AO157" s="46"/>
      <c r="AP157" s="46"/>
      <c r="AQ157" s="46"/>
      <c r="AR157" s="46"/>
      <c r="AS157" s="46"/>
      <c r="AT157" s="46"/>
      <c r="AU157" s="46"/>
      <c r="AV157" s="46"/>
      <c r="AW157" s="46"/>
      <c r="AX157" s="46"/>
      <c r="AY157" s="46"/>
      <c r="AZ157" s="46"/>
      <c r="BA157" s="46"/>
      <c r="BB157" s="46"/>
      <c r="BC157" s="46"/>
      <c r="BD157" s="46"/>
      <c r="BE157" s="46"/>
      <c r="BF157" s="46"/>
      <c r="BG157" s="46"/>
      <c r="BH157" s="46"/>
      <c r="BI157" s="46"/>
      <c r="BJ157" s="46"/>
      <c r="BK157" s="46"/>
      <c r="BL157" s="46"/>
      <c r="BM157" s="46"/>
      <c r="BN157" s="46"/>
      <c r="BO157" s="46"/>
      <c r="BP157" s="46"/>
      <c r="BQ157" s="46"/>
      <c r="BR157" s="46"/>
      <c r="BS157" s="46"/>
      <c r="BT157" s="46"/>
      <c r="BU157" s="46"/>
      <c r="BV157" s="46"/>
      <c r="BW157" s="46"/>
      <c r="BX157" s="46"/>
      <c r="BY157" s="46"/>
      <c r="BZ157" s="46"/>
      <c r="CA157" s="46"/>
      <c r="CB157" s="46"/>
      <c r="CC157" s="46"/>
      <c r="CD157" s="46"/>
      <c r="CE157" s="46"/>
      <c r="CF157" s="46"/>
      <c r="CG157" s="46"/>
      <c r="CH157" s="46"/>
      <c r="CI157" s="46"/>
      <c r="CJ157" s="46"/>
      <c r="CK157" s="46"/>
      <c r="CL157" s="46"/>
      <c r="CM157" s="46"/>
      <c r="CN157" s="46"/>
      <c r="CO157" s="46"/>
      <c r="CP157" s="46"/>
      <c r="CQ157" s="46"/>
      <c r="CR157" s="46"/>
      <c r="CS157" s="46"/>
      <c r="CT157" s="46"/>
      <c r="CU157" s="46"/>
      <c r="CV157" s="46"/>
      <c r="CW157" s="46"/>
      <c r="CX157" s="46"/>
      <c r="CY157" s="46"/>
      <c r="CZ157" s="46"/>
      <c r="DA157" s="46"/>
      <c r="DB157" s="46"/>
      <c r="DC157" s="46"/>
      <c r="DD157" s="46"/>
      <c r="DE157" s="46"/>
      <c r="DF157" s="46"/>
      <c r="DG157" s="46"/>
      <c r="DH157" s="46"/>
      <c r="DI157" s="46"/>
      <c r="DJ157" s="46"/>
      <c r="DK157" s="46"/>
      <c r="DL157" s="46"/>
      <c r="DM157" s="46"/>
      <c r="DN157" s="46"/>
      <c r="DO157" s="46"/>
      <c r="DP157" s="46"/>
      <c r="DQ157" s="46"/>
      <c r="DR157" s="46"/>
      <c r="DS157" s="46"/>
      <c r="DT157" s="46"/>
      <c r="DU157" s="46"/>
      <c r="DV157" s="46"/>
      <c r="DW157" s="46"/>
      <c r="DX157" s="46"/>
      <c r="DY157" s="46"/>
      <c r="DZ157" s="46"/>
      <c r="EA157" s="46"/>
    </row>
    <row r="158" spans="2:131" ht="18" customHeight="1">
      <c r="B158" s="46"/>
      <c r="C158" s="46"/>
      <c r="D158" s="46"/>
      <c r="E158" s="46"/>
      <c r="F158" s="46"/>
      <c r="G158" s="46"/>
      <c r="H158" s="46"/>
      <c r="I158" s="46"/>
      <c r="J158" s="46"/>
      <c r="K158" s="46"/>
      <c r="L158" s="45"/>
      <c r="M158" s="46"/>
      <c r="N158" s="46"/>
      <c r="O158" s="46"/>
      <c r="P158" s="46"/>
      <c r="Q158" s="46"/>
      <c r="R158" s="46"/>
      <c r="S158" s="46"/>
      <c r="T158" s="46"/>
      <c r="U158" s="46"/>
      <c r="V158" s="46"/>
      <c r="W158" s="46"/>
      <c r="X158" s="46"/>
      <c r="Y158" s="46"/>
      <c r="Z158" s="46"/>
      <c r="AA158" s="46"/>
      <c r="AB158" s="46"/>
      <c r="AC158" s="46"/>
      <c r="AD158" s="46"/>
      <c r="AE158" s="46"/>
      <c r="AF158" s="46"/>
      <c r="AG158" s="46"/>
      <c r="AH158" s="46"/>
      <c r="AI158" s="46"/>
      <c r="AJ158" s="46"/>
      <c r="AK158" s="46"/>
      <c r="AL158" s="46"/>
      <c r="AM158" s="46"/>
      <c r="AN158" s="46"/>
      <c r="AO158" s="46"/>
      <c r="AP158" s="46"/>
      <c r="AQ158" s="46"/>
      <c r="AR158" s="46"/>
      <c r="AS158" s="46"/>
      <c r="AT158" s="46"/>
      <c r="AU158" s="46"/>
      <c r="AV158" s="46"/>
      <c r="AW158" s="46"/>
      <c r="AX158" s="46"/>
      <c r="AY158" s="46"/>
      <c r="AZ158" s="46"/>
      <c r="BA158" s="46"/>
      <c r="BB158" s="46"/>
      <c r="BC158" s="46"/>
      <c r="BD158" s="46"/>
      <c r="BE158" s="46"/>
      <c r="BF158" s="46"/>
      <c r="BG158" s="46"/>
      <c r="BH158" s="46"/>
      <c r="BI158" s="46"/>
      <c r="BJ158" s="46"/>
      <c r="BK158" s="46"/>
      <c r="BL158" s="46"/>
      <c r="BM158" s="46"/>
      <c r="BN158" s="46"/>
      <c r="BO158" s="46"/>
      <c r="BP158" s="46"/>
      <c r="BQ158" s="46"/>
      <c r="BR158" s="46"/>
      <c r="BS158" s="46"/>
      <c r="BT158" s="46"/>
      <c r="BU158" s="46"/>
      <c r="BV158" s="46"/>
      <c r="BW158" s="46"/>
      <c r="BX158" s="46"/>
      <c r="BY158" s="46"/>
      <c r="BZ158" s="46"/>
      <c r="CA158" s="46"/>
      <c r="CB158" s="46"/>
      <c r="CC158" s="46"/>
      <c r="CD158" s="46"/>
      <c r="CE158" s="46"/>
      <c r="CF158" s="46"/>
      <c r="CG158" s="46"/>
      <c r="CH158" s="46"/>
      <c r="CI158" s="46"/>
      <c r="CJ158" s="46"/>
      <c r="CK158" s="46"/>
      <c r="CL158" s="46"/>
      <c r="CM158" s="46"/>
      <c r="CN158" s="46"/>
      <c r="CO158" s="46"/>
      <c r="CP158" s="46"/>
      <c r="CQ158" s="46"/>
      <c r="CR158" s="46"/>
      <c r="CS158" s="46"/>
      <c r="CT158" s="46"/>
      <c r="CU158" s="46"/>
      <c r="CV158" s="46"/>
      <c r="CW158" s="46"/>
      <c r="CX158" s="46"/>
      <c r="CY158" s="46"/>
      <c r="CZ158" s="46"/>
      <c r="DA158" s="46"/>
      <c r="DB158" s="46"/>
      <c r="DC158" s="46"/>
      <c r="DD158" s="46"/>
      <c r="DE158" s="46"/>
      <c r="DF158" s="46"/>
      <c r="DG158" s="46"/>
      <c r="DH158" s="46"/>
      <c r="DI158" s="46"/>
      <c r="DJ158" s="46"/>
      <c r="DK158" s="46"/>
      <c r="DL158" s="46"/>
      <c r="DM158" s="46"/>
      <c r="DN158" s="46"/>
      <c r="DO158" s="46"/>
      <c r="DP158" s="46"/>
      <c r="DQ158" s="46"/>
      <c r="DR158" s="46"/>
      <c r="DS158" s="46"/>
      <c r="DT158" s="46"/>
      <c r="DU158" s="46"/>
      <c r="DV158" s="46"/>
      <c r="DW158" s="46"/>
      <c r="DX158" s="46"/>
      <c r="DY158" s="46"/>
      <c r="DZ158" s="46"/>
      <c r="EA158" s="46"/>
    </row>
    <row r="159" spans="2:131" ht="18" customHeight="1">
      <c r="B159" s="45"/>
      <c r="C159" s="45"/>
      <c r="D159" s="46"/>
      <c r="E159" s="46"/>
      <c r="F159" s="46"/>
      <c r="G159" s="46"/>
      <c r="H159" s="46"/>
      <c r="I159" s="46"/>
      <c r="J159" s="46"/>
      <c r="K159" s="46"/>
      <c r="L159" s="45"/>
      <c r="M159" s="46"/>
      <c r="N159" s="46"/>
      <c r="O159" s="46"/>
      <c r="P159" s="46"/>
      <c r="Q159" s="46"/>
      <c r="R159" s="46"/>
      <c r="S159" s="46"/>
      <c r="T159" s="46"/>
      <c r="U159" s="46"/>
      <c r="V159" s="46"/>
      <c r="W159" s="46"/>
      <c r="X159" s="46"/>
      <c r="Y159" s="46"/>
      <c r="Z159" s="46"/>
      <c r="AA159" s="46"/>
      <c r="AB159" s="46"/>
      <c r="AC159" s="46"/>
      <c r="AD159" s="46"/>
      <c r="AE159" s="46"/>
      <c r="AF159" s="46"/>
      <c r="AG159" s="46"/>
      <c r="AH159" s="46"/>
      <c r="AI159" s="46"/>
      <c r="AJ159" s="46"/>
      <c r="AK159" s="46"/>
      <c r="AL159" s="46"/>
      <c r="AM159" s="46"/>
      <c r="AN159" s="46"/>
      <c r="AO159" s="46"/>
      <c r="AP159" s="46"/>
      <c r="AQ159" s="46"/>
      <c r="AR159" s="46"/>
      <c r="AS159" s="46"/>
      <c r="AT159" s="46"/>
      <c r="AU159" s="46"/>
      <c r="AV159" s="46"/>
      <c r="AW159" s="46"/>
      <c r="AX159" s="46"/>
      <c r="AY159" s="46"/>
      <c r="AZ159" s="46"/>
      <c r="BA159" s="46"/>
      <c r="BB159" s="46"/>
      <c r="BC159" s="46"/>
      <c r="BD159" s="46"/>
      <c r="BE159" s="46"/>
      <c r="BF159" s="46"/>
      <c r="BG159" s="46"/>
      <c r="BH159" s="46"/>
      <c r="BI159" s="46"/>
      <c r="BJ159" s="46"/>
      <c r="BK159" s="46"/>
      <c r="BL159" s="46"/>
      <c r="BM159" s="46"/>
      <c r="BN159" s="46"/>
      <c r="BO159" s="46"/>
      <c r="BP159" s="46"/>
      <c r="BQ159" s="46"/>
      <c r="BR159" s="46"/>
      <c r="BS159" s="46"/>
      <c r="BT159" s="46"/>
      <c r="BU159" s="46"/>
      <c r="BV159" s="46"/>
      <c r="BW159" s="46"/>
      <c r="BX159" s="46"/>
      <c r="BY159" s="46"/>
      <c r="BZ159" s="46"/>
      <c r="CA159" s="46"/>
      <c r="CB159" s="46"/>
      <c r="CC159" s="46"/>
      <c r="CD159" s="46"/>
      <c r="CE159" s="46"/>
      <c r="CF159" s="46"/>
      <c r="CG159" s="46"/>
      <c r="CH159" s="46"/>
      <c r="CI159" s="46"/>
      <c r="CJ159" s="46"/>
      <c r="CK159" s="46"/>
      <c r="CL159" s="46"/>
      <c r="CM159" s="46"/>
      <c r="CN159" s="46"/>
      <c r="CO159" s="46"/>
      <c r="CP159" s="46"/>
      <c r="CQ159" s="46"/>
      <c r="CR159" s="46"/>
      <c r="CS159" s="46"/>
      <c r="CT159" s="46"/>
      <c r="CU159" s="46"/>
      <c r="CV159" s="46"/>
      <c r="CW159" s="46"/>
      <c r="CX159" s="46"/>
      <c r="CY159" s="46"/>
      <c r="CZ159" s="46"/>
      <c r="DA159" s="46"/>
      <c r="DB159" s="46"/>
      <c r="DC159" s="46"/>
      <c r="DD159" s="46"/>
      <c r="DE159" s="46"/>
      <c r="DF159" s="46"/>
      <c r="DG159" s="46"/>
      <c r="DH159" s="46"/>
      <c r="DI159" s="46"/>
      <c r="DJ159" s="46"/>
      <c r="DK159" s="46"/>
      <c r="DL159" s="46"/>
      <c r="DM159" s="46"/>
      <c r="DN159" s="46"/>
      <c r="DO159" s="46"/>
      <c r="DP159" s="46"/>
      <c r="DQ159" s="46"/>
      <c r="DR159" s="46"/>
      <c r="DS159" s="46"/>
      <c r="DT159" s="46"/>
      <c r="DU159" s="46"/>
      <c r="DV159" s="46"/>
      <c r="DW159" s="46"/>
      <c r="DX159" s="46"/>
      <c r="DY159" s="46"/>
      <c r="DZ159" s="46"/>
      <c r="EA159" s="46"/>
    </row>
    <row r="160" spans="2:131" ht="18" customHeight="1">
      <c r="B160" s="46"/>
      <c r="C160" s="46"/>
      <c r="D160" s="46"/>
      <c r="E160" s="46"/>
      <c r="F160" s="46"/>
      <c r="G160" s="46"/>
      <c r="H160" s="46"/>
      <c r="I160" s="46"/>
      <c r="J160" s="46"/>
      <c r="K160" s="46"/>
      <c r="L160" s="45"/>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c r="BA160" s="46"/>
      <c r="BB160" s="46"/>
      <c r="BC160" s="46"/>
      <c r="BD160" s="46"/>
      <c r="BE160" s="46"/>
      <c r="BF160" s="46"/>
      <c r="BG160" s="46"/>
      <c r="BH160" s="46"/>
      <c r="BI160" s="46"/>
      <c r="BJ160" s="46"/>
      <c r="BK160" s="46"/>
      <c r="BL160" s="46"/>
      <c r="BM160" s="46"/>
      <c r="BN160" s="46"/>
      <c r="BO160" s="46"/>
      <c r="BP160" s="46"/>
      <c r="BQ160" s="46"/>
      <c r="BR160" s="46"/>
      <c r="BS160" s="46"/>
      <c r="BT160" s="46"/>
      <c r="BU160" s="46"/>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c r="DD160" s="46"/>
      <c r="DE160" s="46"/>
      <c r="DF160" s="46"/>
      <c r="DG160" s="46"/>
      <c r="DH160" s="46"/>
      <c r="DI160" s="46"/>
      <c r="DJ160" s="46"/>
      <c r="DK160" s="46"/>
      <c r="DL160" s="46"/>
      <c r="DM160" s="46"/>
      <c r="DN160" s="46"/>
      <c r="DO160" s="46"/>
      <c r="DP160" s="46"/>
      <c r="DQ160" s="46"/>
      <c r="DR160" s="46"/>
      <c r="DS160" s="46"/>
      <c r="DT160" s="46"/>
      <c r="DU160" s="46"/>
      <c r="DV160" s="46"/>
      <c r="DW160" s="46"/>
      <c r="DX160" s="46"/>
      <c r="DY160" s="46"/>
      <c r="DZ160" s="46"/>
      <c r="EA160" s="46"/>
    </row>
    <row r="161" spans="2:131" ht="18" customHeight="1">
      <c r="B161" s="46"/>
      <c r="C161" s="46"/>
      <c r="D161" s="46"/>
      <c r="E161" s="46"/>
      <c r="F161" s="46"/>
      <c r="G161" s="46"/>
      <c r="H161" s="46"/>
      <c r="I161" s="46"/>
      <c r="J161" s="46"/>
      <c r="K161" s="46"/>
      <c r="L161" s="45"/>
      <c r="M161" s="46"/>
      <c r="N161" s="46"/>
      <c r="O161" s="46"/>
      <c r="P161" s="46"/>
      <c r="Q161" s="46"/>
      <c r="R161" s="46"/>
      <c r="S161" s="46"/>
      <c r="T161" s="46"/>
      <c r="U161" s="46"/>
      <c r="V161" s="46"/>
      <c r="W161" s="46"/>
      <c r="X161" s="46"/>
      <c r="Y161" s="46"/>
      <c r="Z161" s="46"/>
      <c r="AA161" s="46"/>
      <c r="AB161" s="46"/>
      <c r="AC161" s="46"/>
      <c r="AD161" s="46"/>
      <c r="AE161" s="46"/>
      <c r="AF161" s="46"/>
      <c r="AG161" s="46"/>
      <c r="AH161" s="46"/>
      <c r="AI161" s="46"/>
      <c r="AJ161" s="46"/>
      <c r="AK161" s="46"/>
      <c r="AL161" s="46"/>
      <c r="AM161" s="46"/>
      <c r="AN161" s="46"/>
      <c r="AO161" s="46"/>
      <c r="AP161" s="46"/>
      <c r="AQ161" s="46"/>
      <c r="AR161" s="46"/>
      <c r="AS161" s="46"/>
      <c r="AT161" s="46"/>
      <c r="AU161" s="46"/>
      <c r="AV161" s="46"/>
      <c r="AW161" s="46"/>
      <c r="AX161" s="46"/>
      <c r="AY161" s="46"/>
      <c r="AZ161" s="46"/>
      <c r="BA161" s="46"/>
      <c r="BB161" s="46"/>
      <c r="BC161" s="46"/>
      <c r="BD161" s="46"/>
      <c r="BE161" s="46"/>
      <c r="BF161" s="46"/>
      <c r="BG161" s="46"/>
      <c r="BH161" s="46"/>
      <c r="BI161" s="46"/>
      <c r="BJ161" s="46"/>
      <c r="BK161" s="46"/>
      <c r="BL161" s="46"/>
      <c r="BM161" s="46"/>
      <c r="BN161" s="46"/>
      <c r="BO161" s="46"/>
      <c r="BP161" s="46"/>
      <c r="BQ161" s="46"/>
      <c r="BR161" s="46"/>
      <c r="BS161" s="46"/>
      <c r="BT161" s="46"/>
      <c r="BU161" s="46"/>
      <c r="BV161" s="46"/>
      <c r="BW161" s="46"/>
      <c r="BX161" s="46"/>
      <c r="BY161" s="46"/>
      <c r="BZ161" s="46"/>
      <c r="CA161" s="46"/>
      <c r="CB161" s="46"/>
      <c r="CC161" s="46"/>
      <c r="CD161" s="46"/>
      <c r="CE161" s="46"/>
      <c r="CF161" s="46"/>
      <c r="CG161" s="46"/>
      <c r="CH161" s="46"/>
      <c r="CI161" s="46"/>
      <c r="CJ161" s="46"/>
      <c r="CK161" s="46"/>
      <c r="CL161" s="46"/>
      <c r="CM161" s="46"/>
      <c r="CN161" s="46"/>
      <c r="CO161" s="46"/>
      <c r="CP161" s="46"/>
      <c r="CQ161" s="46"/>
      <c r="CR161" s="46"/>
      <c r="CS161" s="46"/>
      <c r="CT161" s="46"/>
      <c r="CU161" s="46"/>
      <c r="CV161" s="46"/>
      <c r="CW161" s="46"/>
      <c r="CX161" s="46"/>
      <c r="CY161" s="46"/>
      <c r="CZ161" s="46"/>
      <c r="DA161" s="46"/>
      <c r="DB161" s="46"/>
      <c r="DC161" s="46"/>
      <c r="DD161" s="46"/>
      <c r="DE161" s="46"/>
      <c r="DF161" s="46"/>
      <c r="DG161" s="46"/>
      <c r="DH161" s="46"/>
      <c r="DI161" s="46"/>
      <c r="DJ161" s="46"/>
      <c r="DK161" s="46"/>
      <c r="DL161" s="46"/>
      <c r="DM161" s="46"/>
      <c r="DN161" s="46"/>
      <c r="DO161" s="46"/>
      <c r="DP161" s="46"/>
      <c r="DQ161" s="46"/>
      <c r="DR161" s="46"/>
      <c r="DS161" s="46"/>
      <c r="DT161" s="46"/>
      <c r="DU161" s="46"/>
      <c r="DV161" s="46"/>
      <c r="DW161" s="46"/>
      <c r="DX161" s="46"/>
      <c r="DY161" s="46"/>
      <c r="DZ161" s="46"/>
      <c r="EA161" s="46"/>
    </row>
    <row r="162" spans="2:131" ht="18" customHeight="1">
      <c r="B162" s="46"/>
      <c r="C162" s="46"/>
      <c r="D162" s="46"/>
      <c r="E162" s="46"/>
      <c r="F162" s="46"/>
      <c r="G162" s="46"/>
      <c r="H162" s="46"/>
      <c r="I162" s="46"/>
      <c r="J162" s="46"/>
      <c r="K162" s="46"/>
      <c r="L162" s="45"/>
      <c r="M162" s="46"/>
      <c r="N162" s="46"/>
      <c r="O162" s="46"/>
      <c r="P162" s="46"/>
      <c r="Q162" s="46"/>
      <c r="R162" s="46"/>
      <c r="S162" s="46"/>
      <c r="T162" s="46"/>
      <c r="U162" s="46"/>
      <c r="V162" s="46"/>
      <c r="W162" s="46"/>
      <c r="X162" s="46"/>
      <c r="Y162" s="46"/>
      <c r="Z162" s="46"/>
      <c r="AA162" s="46"/>
      <c r="AB162" s="46"/>
      <c r="AC162" s="46"/>
      <c r="AD162" s="46"/>
      <c r="AE162" s="46"/>
      <c r="AF162" s="46"/>
      <c r="AG162" s="46"/>
      <c r="AH162" s="46"/>
      <c r="AI162" s="46"/>
      <c r="AJ162" s="46"/>
      <c r="AK162" s="46"/>
      <c r="AL162" s="46"/>
      <c r="AM162" s="46"/>
      <c r="AN162" s="46"/>
      <c r="AO162" s="46"/>
      <c r="AP162" s="46"/>
      <c r="AQ162" s="46"/>
      <c r="AR162" s="46"/>
      <c r="AS162" s="46"/>
      <c r="AT162" s="46"/>
      <c r="AU162" s="46"/>
      <c r="AV162" s="46"/>
      <c r="AW162" s="46"/>
      <c r="AX162" s="46"/>
      <c r="AY162" s="46"/>
      <c r="AZ162" s="46"/>
      <c r="BA162" s="46"/>
      <c r="BB162" s="46"/>
      <c r="BC162" s="46"/>
      <c r="BD162" s="46"/>
      <c r="BE162" s="46"/>
      <c r="BF162" s="46"/>
      <c r="BG162" s="46"/>
      <c r="BH162" s="46"/>
      <c r="BI162" s="46"/>
      <c r="BJ162" s="46"/>
      <c r="BK162" s="46"/>
      <c r="BL162" s="46"/>
      <c r="BM162" s="46"/>
      <c r="BN162" s="46"/>
      <c r="BO162" s="46"/>
      <c r="BP162" s="46"/>
      <c r="BQ162" s="46"/>
      <c r="BR162" s="46"/>
      <c r="BS162" s="46"/>
      <c r="BT162" s="46"/>
      <c r="BU162" s="46"/>
      <c r="BV162" s="46"/>
      <c r="BW162" s="46"/>
      <c r="BX162" s="46"/>
      <c r="BY162" s="46"/>
      <c r="BZ162" s="46"/>
      <c r="CA162" s="46"/>
      <c r="CB162" s="46"/>
      <c r="CC162" s="46"/>
      <c r="CD162" s="46"/>
      <c r="CE162" s="46"/>
      <c r="CF162" s="46"/>
      <c r="CG162" s="46"/>
      <c r="CH162" s="46"/>
      <c r="CI162" s="46"/>
      <c r="CJ162" s="46"/>
      <c r="CK162" s="46"/>
      <c r="CL162" s="46"/>
      <c r="CM162" s="46"/>
      <c r="CN162" s="46"/>
      <c r="CO162" s="46"/>
      <c r="CP162" s="46"/>
      <c r="CQ162" s="46"/>
      <c r="CR162" s="46"/>
      <c r="CS162" s="46"/>
      <c r="CT162" s="46"/>
      <c r="CU162" s="46"/>
      <c r="CV162" s="46"/>
      <c r="CW162" s="46"/>
      <c r="CX162" s="46"/>
      <c r="CY162" s="46"/>
      <c r="CZ162" s="46"/>
      <c r="DA162" s="46"/>
      <c r="DB162" s="46"/>
      <c r="DC162" s="46"/>
      <c r="DD162" s="46"/>
      <c r="DE162" s="46"/>
      <c r="DF162" s="46"/>
      <c r="DG162" s="46"/>
      <c r="DH162" s="46"/>
      <c r="DI162" s="46"/>
      <c r="DJ162" s="46"/>
      <c r="DK162" s="46"/>
      <c r="DL162" s="46"/>
      <c r="DM162" s="46"/>
      <c r="DN162" s="46"/>
      <c r="DO162" s="46"/>
      <c r="DP162" s="46"/>
      <c r="DQ162" s="46"/>
      <c r="DR162" s="46"/>
      <c r="DS162" s="46"/>
      <c r="DT162" s="46"/>
      <c r="DU162" s="46"/>
      <c r="DV162" s="46"/>
      <c r="DW162" s="46"/>
      <c r="DX162" s="46"/>
      <c r="DY162" s="46"/>
      <c r="DZ162" s="46"/>
      <c r="EA162" s="46"/>
    </row>
    <row r="163" spans="2:131" ht="18" customHeight="1">
      <c r="B163" s="45"/>
      <c r="C163" s="45"/>
      <c r="D163" s="46"/>
      <c r="E163" s="46"/>
      <c r="F163" s="46"/>
      <c r="G163" s="46"/>
      <c r="H163" s="46"/>
      <c r="I163" s="46"/>
      <c r="J163" s="46"/>
      <c r="K163" s="46"/>
      <c r="L163" s="45"/>
      <c r="M163" s="46"/>
      <c r="N163" s="46"/>
      <c r="O163" s="46"/>
      <c r="P163" s="46"/>
      <c r="Q163" s="46"/>
      <c r="R163" s="46"/>
      <c r="S163" s="46"/>
      <c r="T163" s="46"/>
      <c r="U163" s="46"/>
      <c r="V163" s="46"/>
      <c r="W163" s="46"/>
      <c r="X163" s="46"/>
      <c r="Y163" s="46"/>
      <c r="Z163" s="46"/>
      <c r="AA163" s="46"/>
      <c r="AB163" s="46"/>
      <c r="AC163" s="46"/>
      <c r="AD163" s="46"/>
      <c r="AE163" s="46"/>
      <c r="AF163" s="46"/>
      <c r="AG163" s="46"/>
      <c r="AH163" s="46"/>
      <c r="AI163" s="46"/>
      <c r="AJ163" s="46"/>
      <c r="AK163" s="46"/>
      <c r="AL163" s="46"/>
      <c r="AM163" s="46"/>
      <c r="AN163" s="46"/>
      <c r="AO163" s="46"/>
      <c r="AP163" s="46"/>
      <c r="AQ163" s="46"/>
      <c r="AR163" s="46"/>
      <c r="AS163" s="46"/>
      <c r="AT163" s="46"/>
      <c r="AU163" s="46"/>
      <c r="AV163" s="46"/>
      <c r="AW163" s="46"/>
      <c r="AX163" s="46"/>
      <c r="AY163" s="46"/>
      <c r="AZ163" s="46"/>
      <c r="BA163" s="46"/>
      <c r="BB163" s="46"/>
      <c r="BC163" s="46"/>
      <c r="BD163" s="46"/>
      <c r="BE163" s="46"/>
      <c r="BF163" s="46"/>
      <c r="BG163" s="46"/>
      <c r="BH163" s="46"/>
      <c r="BI163" s="46"/>
      <c r="BJ163" s="46"/>
      <c r="BK163" s="46"/>
      <c r="BL163" s="46"/>
      <c r="BM163" s="46"/>
      <c r="BN163" s="46"/>
      <c r="BO163" s="46"/>
      <c r="BP163" s="46"/>
      <c r="BQ163" s="46"/>
      <c r="BR163" s="46"/>
      <c r="BS163" s="46"/>
      <c r="BT163" s="46"/>
      <c r="BU163" s="46"/>
      <c r="BV163" s="46"/>
      <c r="BW163" s="46"/>
      <c r="BX163" s="46"/>
      <c r="BY163" s="46"/>
      <c r="BZ163" s="46"/>
      <c r="CA163" s="46"/>
      <c r="CB163" s="46"/>
      <c r="CC163" s="46"/>
      <c r="CD163" s="46"/>
      <c r="CE163" s="46"/>
      <c r="CF163" s="46"/>
      <c r="CG163" s="46"/>
      <c r="CH163" s="46"/>
      <c r="CI163" s="46"/>
      <c r="CJ163" s="46"/>
      <c r="CK163" s="46"/>
      <c r="CL163" s="46"/>
      <c r="CM163" s="46"/>
      <c r="CN163" s="46"/>
      <c r="CO163" s="46"/>
      <c r="CP163" s="46"/>
      <c r="CQ163" s="46"/>
      <c r="CR163" s="46"/>
      <c r="CS163" s="46"/>
      <c r="CT163" s="46"/>
      <c r="CU163" s="46"/>
      <c r="CV163" s="46"/>
      <c r="CW163" s="46"/>
      <c r="CX163" s="46"/>
      <c r="CY163" s="46"/>
      <c r="CZ163" s="46"/>
      <c r="DA163" s="46"/>
      <c r="DB163" s="46"/>
      <c r="DC163" s="46"/>
      <c r="DD163" s="46"/>
      <c r="DE163" s="46"/>
      <c r="DF163" s="46"/>
      <c r="DG163" s="46"/>
      <c r="DH163" s="46"/>
      <c r="DI163" s="46"/>
      <c r="DJ163" s="46"/>
      <c r="DK163" s="46"/>
      <c r="DL163" s="46"/>
      <c r="DM163" s="46"/>
      <c r="DN163" s="46"/>
      <c r="DO163" s="46"/>
      <c r="DP163" s="46"/>
      <c r="DQ163" s="46"/>
      <c r="DR163" s="46"/>
      <c r="DS163" s="46"/>
      <c r="DT163" s="46"/>
      <c r="DU163" s="46"/>
      <c r="DV163" s="46"/>
      <c r="DW163" s="46"/>
      <c r="DX163" s="46"/>
      <c r="DY163" s="46"/>
      <c r="DZ163" s="46"/>
      <c r="EA163" s="46"/>
    </row>
    <row r="164" spans="2:131" ht="18" customHeight="1">
      <c r="B164" s="46"/>
      <c r="C164" s="46"/>
      <c r="D164" s="46"/>
      <c r="E164" s="46"/>
      <c r="F164" s="46"/>
      <c r="G164" s="46"/>
      <c r="H164" s="46"/>
      <c r="I164" s="46"/>
      <c r="J164" s="46"/>
      <c r="K164" s="46"/>
      <c r="L164" s="45"/>
      <c r="M164" s="46"/>
      <c r="N164" s="46"/>
      <c r="O164" s="46"/>
      <c r="P164" s="46"/>
      <c r="Q164" s="46"/>
      <c r="R164" s="46"/>
      <c r="S164" s="46"/>
      <c r="T164" s="46"/>
      <c r="U164" s="46"/>
      <c r="V164" s="46"/>
      <c r="W164" s="46"/>
      <c r="X164" s="46"/>
      <c r="Y164" s="46"/>
      <c r="Z164" s="46"/>
      <c r="AA164" s="46"/>
      <c r="AB164" s="46"/>
      <c r="AC164" s="46"/>
      <c r="AD164" s="46"/>
      <c r="AE164" s="46"/>
      <c r="AF164" s="46"/>
      <c r="AG164" s="46"/>
      <c r="AH164" s="46"/>
      <c r="AI164" s="46"/>
      <c r="AJ164" s="46"/>
      <c r="AK164" s="46"/>
      <c r="AL164" s="46"/>
      <c r="AM164" s="46"/>
      <c r="AN164" s="46"/>
      <c r="AO164" s="46"/>
      <c r="AP164" s="46"/>
      <c r="AQ164" s="46"/>
      <c r="AR164" s="46"/>
      <c r="AS164" s="46"/>
      <c r="AT164" s="46"/>
      <c r="AU164" s="46"/>
      <c r="AV164" s="46"/>
      <c r="AW164" s="46"/>
      <c r="AX164" s="46"/>
      <c r="AY164" s="46"/>
      <c r="AZ164" s="46"/>
      <c r="BA164" s="46"/>
      <c r="BB164" s="46"/>
      <c r="BC164" s="46"/>
      <c r="BD164" s="46"/>
      <c r="BE164" s="46"/>
      <c r="BF164" s="46"/>
      <c r="BG164" s="46"/>
      <c r="BH164" s="46"/>
      <c r="BI164" s="46"/>
      <c r="BJ164" s="46"/>
      <c r="BK164" s="46"/>
      <c r="BL164" s="46"/>
      <c r="BM164" s="46"/>
      <c r="BN164" s="46"/>
      <c r="BO164" s="46"/>
      <c r="BP164" s="46"/>
      <c r="BQ164" s="46"/>
      <c r="BR164" s="46"/>
      <c r="BS164" s="46"/>
      <c r="BT164" s="46"/>
      <c r="BU164" s="46"/>
      <c r="BV164" s="46"/>
      <c r="BW164" s="46"/>
      <c r="BX164" s="46"/>
      <c r="BY164" s="46"/>
      <c r="BZ164" s="46"/>
      <c r="CA164" s="46"/>
      <c r="CB164" s="46"/>
      <c r="CC164" s="46"/>
      <c r="CD164" s="46"/>
      <c r="CE164" s="46"/>
      <c r="CF164" s="46"/>
      <c r="CG164" s="46"/>
      <c r="CH164" s="46"/>
      <c r="CI164" s="46"/>
      <c r="CJ164" s="46"/>
      <c r="CK164" s="46"/>
      <c r="CL164" s="46"/>
      <c r="CM164" s="46"/>
      <c r="CN164" s="46"/>
      <c r="CO164" s="46"/>
      <c r="CP164" s="46"/>
      <c r="CQ164" s="46"/>
      <c r="CR164" s="46"/>
      <c r="CS164" s="46"/>
      <c r="CT164" s="46"/>
      <c r="CU164" s="46"/>
      <c r="CV164" s="46"/>
      <c r="CW164" s="46"/>
      <c r="CX164" s="46"/>
      <c r="CY164" s="46"/>
      <c r="CZ164" s="46"/>
      <c r="DA164" s="46"/>
      <c r="DB164" s="46"/>
      <c r="DC164" s="46"/>
      <c r="DD164" s="46"/>
      <c r="DE164" s="46"/>
      <c r="DF164" s="46"/>
      <c r="DG164" s="46"/>
      <c r="DH164" s="46"/>
      <c r="DI164" s="46"/>
      <c r="DJ164" s="46"/>
      <c r="DK164" s="46"/>
      <c r="DL164" s="46"/>
      <c r="DM164" s="46"/>
      <c r="DN164" s="46"/>
      <c r="DO164" s="46"/>
      <c r="DP164" s="46"/>
      <c r="DQ164" s="46"/>
      <c r="DR164" s="46"/>
      <c r="DS164" s="46"/>
      <c r="DT164" s="46"/>
      <c r="DU164" s="46"/>
      <c r="DV164" s="46"/>
      <c r="DW164" s="46"/>
      <c r="DX164" s="46"/>
      <c r="DY164" s="46"/>
      <c r="DZ164" s="46"/>
      <c r="EA164" s="46"/>
    </row>
    <row r="165" spans="2:131" ht="18" customHeight="1">
      <c r="B165" s="45"/>
      <c r="C165" s="45"/>
      <c r="D165" s="46"/>
      <c r="E165" s="46"/>
      <c r="F165" s="46"/>
      <c r="G165" s="46"/>
      <c r="H165" s="46"/>
      <c r="I165" s="46"/>
      <c r="J165" s="46"/>
      <c r="K165" s="46"/>
      <c r="L165" s="45"/>
      <c r="M165" s="46"/>
      <c r="N165" s="46"/>
      <c r="O165" s="46"/>
      <c r="P165" s="46"/>
      <c r="Q165" s="46"/>
      <c r="R165" s="46"/>
      <c r="S165" s="46"/>
      <c r="T165" s="46"/>
      <c r="U165" s="46"/>
      <c r="V165" s="46"/>
      <c r="W165" s="46"/>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c r="BA165" s="46"/>
      <c r="BB165" s="46"/>
      <c r="BC165" s="46"/>
      <c r="BD165" s="46"/>
      <c r="BE165" s="46"/>
      <c r="BF165" s="46"/>
      <c r="BG165" s="46"/>
      <c r="BH165" s="46"/>
      <c r="BI165" s="46"/>
      <c r="BJ165" s="46"/>
      <c r="BK165" s="46"/>
      <c r="BL165" s="46"/>
      <c r="BM165" s="46"/>
      <c r="BN165" s="46"/>
      <c r="BO165" s="46"/>
      <c r="BP165" s="46"/>
      <c r="BQ165" s="46"/>
      <c r="BR165" s="46"/>
      <c r="BS165" s="46"/>
      <c r="BT165" s="46"/>
      <c r="BU165" s="46"/>
      <c r="BV165" s="46"/>
      <c r="BW165" s="46"/>
      <c r="BX165" s="46"/>
      <c r="BY165" s="46"/>
      <c r="BZ165" s="46"/>
      <c r="CA165" s="46"/>
      <c r="CB165" s="46"/>
      <c r="CC165" s="46"/>
      <c r="CD165" s="46"/>
      <c r="CE165" s="46"/>
      <c r="CF165" s="46"/>
      <c r="CG165" s="46"/>
      <c r="CH165" s="46"/>
      <c r="CI165" s="46"/>
      <c r="CJ165" s="46"/>
      <c r="CK165" s="46"/>
      <c r="CL165" s="46"/>
      <c r="CM165" s="46"/>
      <c r="CN165" s="46"/>
      <c r="CO165" s="46"/>
      <c r="CP165" s="46"/>
      <c r="CQ165" s="46"/>
      <c r="CR165" s="46"/>
      <c r="CS165" s="46"/>
      <c r="CT165" s="46"/>
      <c r="CU165" s="46"/>
      <c r="CV165" s="46"/>
      <c r="CW165" s="46"/>
      <c r="CX165" s="46"/>
      <c r="CY165" s="46"/>
      <c r="CZ165" s="46"/>
      <c r="DA165" s="46"/>
      <c r="DB165" s="46"/>
      <c r="DC165" s="46"/>
      <c r="DD165" s="46"/>
      <c r="DE165" s="46"/>
      <c r="DF165" s="46"/>
      <c r="DG165" s="46"/>
      <c r="DH165" s="46"/>
      <c r="DI165" s="46"/>
      <c r="DJ165" s="46"/>
      <c r="DK165" s="46"/>
      <c r="DL165" s="46"/>
      <c r="DM165" s="46"/>
      <c r="DN165" s="46"/>
      <c r="DO165" s="46"/>
      <c r="DP165" s="46"/>
      <c r="DQ165" s="46"/>
      <c r="DR165" s="46"/>
      <c r="DS165" s="46"/>
      <c r="DT165" s="46"/>
      <c r="DU165" s="46"/>
      <c r="DV165" s="46"/>
      <c r="DW165" s="46"/>
      <c r="DX165" s="46"/>
      <c r="DY165" s="46"/>
      <c r="DZ165" s="46"/>
      <c r="EA165" s="46"/>
    </row>
    <row r="166" spans="2:131" ht="18" customHeight="1">
      <c r="B166" s="46"/>
      <c r="C166" s="46"/>
      <c r="D166" s="46"/>
      <c r="E166" s="46"/>
      <c r="F166" s="46"/>
      <c r="G166" s="46"/>
      <c r="H166" s="46"/>
      <c r="I166" s="46"/>
      <c r="J166" s="46"/>
      <c r="K166" s="46"/>
      <c r="L166" s="45"/>
      <c r="M166" s="46"/>
      <c r="N166" s="46"/>
      <c r="O166" s="46"/>
      <c r="P166" s="46"/>
      <c r="Q166" s="46"/>
      <c r="R166" s="46"/>
      <c r="S166" s="46"/>
      <c r="T166" s="46"/>
      <c r="U166" s="46"/>
      <c r="V166" s="46"/>
      <c r="W166" s="46"/>
      <c r="X166" s="46"/>
      <c r="Y166" s="46"/>
      <c r="Z166" s="46"/>
      <c r="AA166" s="46"/>
      <c r="AB166" s="46"/>
      <c r="AC166" s="46"/>
      <c r="AD166" s="46"/>
      <c r="AE166" s="46"/>
      <c r="AF166" s="46"/>
      <c r="AG166" s="46"/>
      <c r="AH166" s="46"/>
      <c r="AI166" s="46"/>
      <c r="AJ166" s="46"/>
      <c r="AK166" s="46"/>
      <c r="AL166" s="46"/>
      <c r="AM166" s="46"/>
      <c r="AN166" s="46"/>
      <c r="AO166" s="46"/>
      <c r="AP166" s="46"/>
      <c r="AQ166" s="46"/>
      <c r="AR166" s="46"/>
      <c r="AS166" s="46"/>
      <c r="AT166" s="46"/>
      <c r="AU166" s="46"/>
      <c r="AV166" s="46"/>
      <c r="AW166" s="46"/>
      <c r="AX166" s="46"/>
      <c r="AY166" s="46"/>
      <c r="AZ166" s="46"/>
      <c r="BA166" s="46"/>
      <c r="BB166" s="46"/>
      <c r="BC166" s="46"/>
      <c r="BD166" s="46"/>
      <c r="BE166" s="46"/>
      <c r="BF166" s="46"/>
      <c r="BG166" s="46"/>
      <c r="BH166" s="46"/>
      <c r="BI166" s="46"/>
      <c r="BJ166" s="46"/>
      <c r="BK166" s="46"/>
      <c r="BL166" s="46"/>
      <c r="BM166" s="46"/>
      <c r="BN166" s="46"/>
      <c r="BO166" s="46"/>
      <c r="BP166" s="46"/>
      <c r="BQ166" s="46"/>
      <c r="BR166" s="46"/>
      <c r="BS166" s="46"/>
      <c r="BT166" s="46"/>
      <c r="BU166" s="46"/>
      <c r="BV166" s="46"/>
      <c r="BW166" s="46"/>
      <c r="BX166" s="46"/>
      <c r="BY166" s="46"/>
      <c r="BZ166" s="46"/>
      <c r="CA166" s="46"/>
      <c r="CB166" s="46"/>
      <c r="CC166" s="46"/>
      <c r="CD166" s="46"/>
      <c r="CE166" s="46"/>
      <c r="CF166" s="46"/>
      <c r="CG166" s="46"/>
      <c r="CH166" s="46"/>
      <c r="CI166" s="46"/>
      <c r="CJ166" s="46"/>
      <c r="CK166" s="46"/>
      <c r="CL166" s="46"/>
      <c r="CM166" s="46"/>
      <c r="CN166" s="46"/>
      <c r="CO166" s="46"/>
      <c r="CP166" s="46"/>
      <c r="CQ166" s="46"/>
      <c r="CR166" s="46"/>
      <c r="CS166" s="46"/>
      <c r="CT166" s="46"/>
      <c r="CU166" s="46"/>
      <c r="CV166" s="46"/>
      <c r="CW166" s="46"/>
      <c r="CX166" s="46"/>
      <c r="CY166" s="46"/>
      <c r="CZ166" s="46"/>
      <c r="DA166" s="46"/>
      <c r="DB166" s="46"/>
      <c r="DC166" s="46"/>
      <c r="DD166" s="46"/>
      <c r="DE166" s="46"/>
      <c r="DF166" s="46"/>
      <c r="DG166" s="46"/>
      <c r="DH166" s="46"/>
      <c r="DI166" s="46"/>
      <c r="DJ166" s="46"/>
      <c r="DK166" s="46"/>
      <c r="DL166" s="46"/>
      <c r="DM166" s="46"/>
      <c r="DN166" s="46"/>
      <c r="DO166" s="46"/>
      <c r="DP166" s="46"/>
      <c r="DQ166" s="46"/>
      <c r="DR166" s="46"/>
      <c r="DS166" s="46"/>
      <c r="DT166" s="46"/>
      <c r="DU166" s="46"/>
      <c r="DV166" s="46"/>
      <c r="DW166" s="46"/>
      <c r="DX166" s="46"/>
      <c r="DY166" s="46"/>
      <c r="DZ166" s="46"/>
      <c r="EA166" s="46"/>
    </row>
    <row r="167" spans="2:131" ht="18" customHeight="1">
      <c r="B167" s="46"/>
      <c r="C167" s="46"/>
      <c r="D167" s="46"/>
      <c r="E167" s="46"/>
      <c r="F167" s="46"/>
      <c r="G167" s="46"/>
      <c r="H167" s="46"/>
      <c r="I167" s="46"/>
      <c r="J167" s="46"/>
      <c r="K167" s="46"/>
      <c r="L167" s="45"/>
      <c r="M167" s="46"/>
      <c r="N167" s="46"/>
      <c r="O167" s="46"/>
      <c r="P167" s="46"/>
      <c r="Q167" s="46"/>
      <c r="R167" s="46"/>
      <c r="S167" s="46"/>
      <c r="T167" s="46"/>
      <c r="U167" s="46"/>
      <c r="V167" s="46"/>
      <c r="W167" s="46"/>
      <c r="X167" s="46"/>
      <c r="Y167" s="46"/>
      <c r="Z167" s="46"/>
      <c r="AA167" s="46"/>
      <c r="AB167" s="46"/>
      <c r="AC167" s="46"/>
      <c r="AD167" s="46"/>
      <c r="AE167" s="46"/>
      <c r="AF167" s="46"/>
      <c r="AG167" s="46"/>
      <c r="AH167" s="46"/>
      <c r="AI167" s="46"/>
      <c r="AJ167" s="46"/>
      <c r="AK167" s="46"/>
      <c r="AL167" s="46"/>
      <c r="AM167" s="46"/>
      <c r="AN167" s="46"/>
      <c r="AO167" s="46"/>
      <c r="AP167" s="46"/>
      <c r="AQ167" s="46"/>
      <c r="AR167" s="46"/>
      <c r="AS167" s="46"/>
      <c r="AT167" s="46"/>
      <c r="AU167" s="46"/>
      <c r="AV167" s="46"/>
      <c r="AW167" s="46"/>
      <c r="AX167" s="46"/>
      <c r="AY167" s="46"/>
      <c r="AZ167" s="46"/>
      <c r="BA167" s="46"/>
      <c r="BB167" s="46"/>
      <c r="BC167" s="46"/>
      <c r="BD167" s="46"/>
      <c r="BE167" s="46"/>
      <c r="BF167" s="46"/>
      <c r="BG167" s="46"/>
      <c r="BH167" s="46"/>
      <c r="BI167" s="46"/>
      <c r="BJ167" s="46"/>
      <c r="BK167" s="46"/>
      <c r="BL167" s="46"/>
      <c r="BM167" s="46"/>
      <c r="BN167" s="46"/>
      <c r="BO167" s="46"/>
      <c r="BP167" s="46"/>
      <c r="BQ167" s="46"/>
      <c r="BR167" s="46"/>
      <c r="BS167" s="46"/>
      <c r="BT167" s="46"/>
      <c r="BU167" s="46"/>
      <c r="BV167" s="46"/>
      <c r="BW167" s="46"/>
      <c r="BX167" s="46"/>
      <c r="BY167" s="46"/>
      <c r="BZ167" s="46"/>
      <c r="CA167" s="46"/>
      <c r="CB167" s="46"/>
      <c r="CC167" s="46"/>
      <c r="CD167" s="46"/>
      <c r="CE167" s="46"/>
      <c r="CF167" s="46"/>
      <c r="CG167" s="46"/>
      <c r="CH167" s="46"/>
      <c r="CI167" s="46"/>
      <c r="CJ167" s="46"/>
      <c r="CK167" s="46"/>
      <c r="CL167" s="46"/>
      <c r="CM167" s="46"/>
      <c r="CN167" s="46"/>
      <c r="CO167" s="46"/>
      <c r="CP167" s="46"/>
      <c r="CQ167" s="46"/>
      <c r="CR167" s="46"/>
      <c r="CS167" s="46"/>
      <c r="CT167" s="46"/>
      <c r="CU167" s="46"/>
      <c r="CV167" s="46"/>
      <c r="CW167" s="46"/>
      <c r="CX167" s="46"/>
      <c r="CY167" s="46"/>
      <c r="CZ167" s="46"/>
      <c r="DA167" s="46"/>
      <c r="DB167" s="46"/>
      <c r="DC167" s="46"/>
      <c r="DD167" s="46"/>
      <c r="DE167" s="46"/>
      <c r="DF167" s="46"/>
      <c r="DG167" s="46"/>
      <c r="DH167" s="46"/>
      <c r="DI167" s="46"/>
      <c r="DJ167" s="46"/>
      <c r="DK167" s="46"/>
      <c r="DL167" s="46"/>
      <c r="DM167" s="46"/>
      <c r="DN167" s="46"/>
      <c r="DO167" s="46"/>
      <c r="DP167" s="46"/>
      <c r="DQ167" s="46"/>
      <c r="DR167" s="46"/>
      <c r="DS167" s="46"/>
      <c r="DT167" s="46"/>
      <c r="DU167" s="46"/>
      <c r="DV167" s="46"/>
      <c r="DW167" s="46"/>
      <c r="DX167" s="46"/>
      <c r="DY167" s="46"/>
      <c r="DZ167" s="46"/>
      <c r="EA167" s="46"/>
    </row>
    <row r="168" spans="2:131" ht="18" customHeight="1">
      <c r="B168" s="46"/>
      <c r="C168" s="46"/>
      <c r="D168" s="46"/>
      <c r="E168" s="46"/>
      <c r="F168" s="46"/>
      <c r="G168" s="46"/>
      <c r="H168" s="46"/>
      <c r="I168" s="46"/>
      <c r="J168" s="46"/>
      <c r="K168" s="46"/>
      <c r="L168" s="45"/>
      <c r="M168" s="46"/>
      <c r="N168" s="46"/>
      <c r="O168" s="46"/>
      <c r="P168" s="46"/>
      <c r="Q168" s="46"/>
      <c r="R168" s="46"/>
      <c r="S168" s="46"/>
      <c r="T168" s="46"/>
      <c r="U168" s="46"/>
      <c r="V168" s="46"/>
      <c r="W168" s="46"/>
      <c r="X168" s="46"/>
      <c r="Y168" s="46"/>
      <c r="Z168" s="46"/>
      <c r="AA168" s="46"/>
      <c r="AB168" s="46"/>
      <c r="AC168" s="46"/>
      <c r="AD168" s="46"/>
      <c r="AE168" s="46"/>
      <c r="AF168" s="46"/>
      <c r="AG168" s="46"/>
      <c r="AH168" s="46"/>
      <c r="AI168" s="46"/>
      <c r="AJ168" s="46"/>
      <c r="AK168" s="46"/>
      <c r="AL168" s="46"/>
      <c r="AM168" s="46"/>
      <c r="AN168" s="46"/>
      <c r="AO168" s="46"/>
      <c r="AP168" s="46"/>
      <c r="AQ168" s="46"/>
      <c r="AR168" s="46"/>
      <c r="AS168" s="46"/>
      <c r="AT168" s="46"/>
      <c r="AU168" s="46"/>
      <c r="AV168" s="46"/>
      <c r="AW168" s="46"/>
      <c r="AX168" s="46"/>
      <c r="AY168" s="46"/>
      <c r="AZ168" s="46"/>
      <c r="BA168" s="46"/>
      <c r="BB168" s="46"/>
      <c r="BC168" s="46"/>
      <c r="BD168" s="46"/>
      <c r="BE168" s="46"/>
      <c r="BF168" s="46"/>
      <c r="BG168" s="46"/>
      <c r="BH168" s="46"/>
      <c r="BI168" s="46"/>
      <c r="BJ168" s="46"/>
      <c r="BK168" s="46"/>
      <c r="BL168" s="46"/>
      <c r="BM168" s="46"/>
      <c r="BN168" s="46"/>
      <c r="BO168" s="46"/>
      <c r="BP168" s="46"/>
      <c r="BQ168" s="46"/>
      <c r="BR168" s="46"/>
      <c r="BS168" s="46"/>
      <c r="BT168" s="46"/>
      <c r="BU168" s="46"/>
      <c r="BV168" s="46"/>
      <c r="BW168" s="46"/>
      <c r="BX168" s="46"/>
      <c r="BY168" s="46"/>
      <c r="BZ168" s="46"/>
      <c r="CA168" s="46"/>
      <c r="CB168" s="46"/>
      <c r="CC168" s="46"/>
      <c r="CD168" s="46"/>
      <c r="CE168" s="46"/>
      <c r="CF168" s="46"/>
      <c r="CG168" s="46"/>
      <c r="CH168" s="46"/>
      <c r="CI168" s="46"/>
      <c r="CJ168" s="46"/>
      <c r="CK168" s="46"/>
      <c r="CL168" s="46"/>
      <c r="CM168" s="46"/>
      <c r="CN168" s="46"/>
      <c r="CO168" s="46"/>
      <c r="CP168" s="46"/>
      <c r="CQ168" s="46"/>
      <c r="CR168" s="46"/>
      <c r="CS168" s="46"/>
      <c r="CT168" s="46"/>
      <c r="CU168" s="46"/>
      <c r="CV168" s="46"/>
      <c r="CW168" s="46"/>
      <c r="CX168" s="46"/>
      <c r="CY168" s="46"/>
      <c r="CZ168" s="46"/>
      <c r="DA168" s="46"/>
      <c r="DB168" s="46"/>
      <c r="DC168" s="46"/>
      <c r="DD168" s="46"/>
      <c r="DE168" s="46"/>
      <c r="DF168" s="46"/>
      <c r="DG168" s="46"/>
      <c r="DH168" s="46"/>
      <c r="DI168" s="46"/>
      <c r="DJ168" s="46"/>
      <c r="DK168" s="46"/>
      <c r="DL168" s="46"/>
      <c r="DM168" s="46"/>
      <c r="DN168" s="46"/>
      <c r="DO168" s="46"/>
      <c r="DP168" s="46"/>
      <c r="DQ168" s="46"/>
      <c r="DR168" s="46"/>
      <c r="DS168" s="46"/>
      <c r="DT168" s="46"/>
      <c r="DU168" s="46"/>
      <c r="DV168" s="46"/>
      <c r="DW168" s="46"/>
      <c r="DX168" s="46"/>
      <c r="DY168" s="46"/>
      <c r="DZ168" s="46"/>
      <c r="EA168" s="46"/>
    </row>
    <row r="169" spans="2:131" ht="18" customHeight="1">
      <c r="B169" s="46"/>
      <c r="C169" s="46"/>
      <c r="D169" s="46"/>
      <c r="E169" s="46"/>
      <c r="F169" s="46"/>
      <c r="G169" s="46"/>
      <c r="H169" s="46"/>
      <c r="I169" s="46"/>
      <c r="J169" s="46"/>
      <c r="K169" s="46"/>
      <c r="L169" s="45"/>
      <c r="M169" s="46"/>
      <c r="N169" s="46"/>
      <c r="O169" s="46"/>
      <c r="P169" s="46"/>
      <c r="Q169" s="46"/>
      <c r="R169" s="46"/>
      <c r="S169" s="46"/>
      <c r="T169" s="46"/>
      <c r="U169" s="46"/>
      <c r="V169" s="46"/>
      <c r="W169" s="46"/>
      <c r="X169" s="46"/>
      <c r="Y169" s="46"/>
      <c r="Z169" s="46"/>
      <c r="AA169" s="46"/>
      <c r="AB169" s="46"/>
      <c r="AC169" s="46"/>
      <c r="AD169" s="46"/>
      <c r="AE169" s="46"/>
      <c r="AF169" s="46"/>
      <c r="AG169" s="46"/>
      <c r="AH169" s="46"/>
      <c r="AI169" s="46"/>
      <c r="AJ169" s="46"/>
      <c r="AK169" s="46"/>
      <c r="AL169" s="46"/>
      <c r="AM169" s="46"/>
      <c r="AN169" s="46"/>
      <c r="AO169" s="46"/>
      <c r="AP169" s="46"/>
      <c r="AQ169" s="46"/>
      <c r="AR169" s="46"/>
      <c r="AS169" s="46"/>
      <c r="AT169" s="46"/>
      <c r="AU169" s="46"/>
      <c r="AV169" s="46"/>
      <c r="AW169" s="46"/>
      <c r="AX169" s="46"/>
      <c r="AY169" s="46"/>
      <c r="AZ169" s="46"/>
      <c r="BA169" s="46"/>
      <c r="BB169" s="46"/>
      <c r="BC169" s="46"/>
      <c r="BD169" s="46"/>
      <c r="BE169" s="46"/>
      <c r="BF169" s="46"/>
      <c r="BG169" s="46"/>
      <c r="BH169" s="46"/>
      <c r="BI169" s="46"/>
      <c r="BJ169" s="46"/>
      <c r="BK169" s="46"/>
      <c r="BL169" s="46"/>
      <c r="BM169" s="46"/>
      <c r="BN169" s="46"/>
      <c r="BO169" s="46"/>
      <c r="BP169" s="46"/>
      <c r="BQ169" s="46"/>
      <c r="BR169" s="46"/>
      <c r="BS169" s="46"/>
      <c r="BT169" s="46"/>
      <c r="BU169" s="46"/>
      <c r="BV169" s="46"/>
      <c r="BW169" s="46"/>
      <c r="BX169" s="46"/>
      <c r="BY169" s="46"/>
      <c r="BZ169" s="46"/>
      <c r="CA169" s="46"/>
      <c r="CB169" s="46"/>
      <c r="CC169" s="46"/>
      <c r="CD169" s="46"/>
      <c r="CE169" s="46"/>
      <c r="CF169" s="46"/>
      <c r="CG169" s="46"/>
      <c r="CH169" s="46"/>
      <c r="CI169" s="46"/>
      <c r="CJ169" s="46"/>
      <c r="CK169" s="46"/>
      <c r="CL169" s="46"/>
      <c r="CM169" s="46"/>
      <c r="CN169" s="46"/>
      <c r="CO169" s="46"/>
      <c r="CP169" s="46"/>
      <c r="CQ169" s="46"/>
      <c r="CR169" s="46"/>
      <c r="CS169" s="46"/>
      <c r="CT169" s="46"/>
      <c r="CU169" s="46"/>
      <c r="CV169" s="46"/>
      <c r="CW169" s="46"/>
      <c r="CX169" s="46"/>
      <c r="CY169" s="46"/>
      <c r="CZ169" s="46"/>
      <c r="DA169" s="46"/>
      <c r="DB169" s="46"/>
      <c r="DC169" s="46"/>
      <c r="DD169" s="46"/>
      <c r="DE169" s="46"/>
      <c r="DF169" s="46"/>
      <c r="DG169" s="46"/>
      <c r="DH169" s="46"/>
      <c r="DI169" s="46"/>
      <c r="DJ169" s="46"/>
      <c r="DK169" s="46"/>
      <c r="DL169" s="46"/>
      <c r="DM169" s="46"/>
      <c r="DN169" s="46"/>
      <c r="DO169" s="46"/>
      <c r="DP169" s="46"/>
      <c r="DQ169" s="46"/>
      <c r="DR169" s="46"/>
      <c r="DS169" s="46"/>
      <c r="DT169" s="46"/>
      <c r="DU169" s="46"/>
      <c r="DV169" s="46"/>
      <c r="DW169" s="46"/>
      <c r="DX169" s="46"/>
      <c r="DY169" s="46"/>
      <c r="DZ169" s="46"/>
      <c r="EA169" s="46"/>
    </row>
    <row r="170" spans="2:131" ht="18" customHeight="1">
      <c r="B170" s="46"/>
      <c r="C170" s="46"/>
      <c r="D170" s="46"/>
      <c r="E170" s="46"/>
      <c r="F170" s="46"/>
      <c r="G170" s="46"/>
      <c r="H170" s="46"/>
      <c r="I170" s="46"/>
      <c r="J170" s="46"/>
      <c r="K170" s="46"/>
      <c r="L170" s="45"/>
      <c r="M170" s="46"/>
      <c r="N170" s="46"/>
      <c r="O170" s="46"/>
      <c r="P170" s="46"/>
      <c r="Q170" s="46"/>
      <c r="R170" s="46"/>
      <c r="S170" s="46"/>
      <c r="T170" s="46"/>
      <c r="U170" s="46"/>
      <c r="V170" s="46"/>
      <c r="W170" s="46"/>
      <c r="X170" s="46"/>
      <c r="Y170" s="46"/>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c r="BA170" s="46"/>
      <c r="BB170" s="46"/>
      <c r="BC170" s="46"/>
      <c r="BD170" s="46"/>
      <c r="BE170" s="46"/>
      <c r="BF170" s="46"/>
      <c r="BG170" s="46"/>
      <c r="BH170" s="46"/>
      <c r="BI170" s="46"/>
      <c r="BJ170" s="46"/>
      <c r="BK170" s="46"/>
      <c r="BL170" s="46"/>
      <c r="BM170" s="46"/>
      <c r="BN170" s="46"/>
      <c r="BO170" s="46"/>
      <c r="BP170" s="46"/>
      <c r="BQ170" s="46"/>
      <c r="BR170" s="46"/>
      <c r="BS170" s="46"/>
      <c r="BT170" s="46"/>
      <c r="BU170" s="46"/>
      <c r="BV170" s="46"/>
      <c r="BW170" s="46"/>
      <c r="BX170" s="46"/>
      <c r="BY170" s="46"/>
      <c r="BZ170" s="46"/>
      <c r="CA170" s="46"/>
      <c r="CB170" s="46"/>
      <c r="CC170" s="46"/>
      <c r="CD170" s="46"/>
      <c r="CE170" s="46"/>
      <c r="CF170" s="46"/>
      <c r="CG170" s="46"/>
      <c r="CH170" s="46"/>
      <c r="CI170" s="46"/>
      <c r="CJ170" s="46"/>
      <c r="CK170" s="46"/>
      <c r="CL170" s="46"/>
      <c r="CM170" s="46"/>
      <c r="CN170" s="46"/>
      <c r="CO170" s="46"/>
      <c r="CP170" s="46"/>
      <c r="CQ170" s="46"/>
      <c r="CR170" s="46"/>
      <c r="CS170" s="46"/>
      <c r="CT170" s="46"/>
      <c r="CU170" s="46"/>
      <c r="CV170" s="46"/>
      <c r="CW170" s="46"/>
      <c r="CX170" s="46"/>
      <c r="CY170" s="46"/>
      <c r="CZ170" s="46"/>
      <c r="DA170" s="46"/>
      <c r="DB170" s="46"/>
      <c r="DC170" s="46"/>
      <c r="DD170" s="46"/>
      <c r="DE170" s="46"/>
      <c r="DF170" s="46"/>
      <c r="DG170" s="46"/>
      <c r="DH170" s="46"/>
      <c r="DI170" s="46"/>
      <c r="DJ170" s="46"/>
      <c r="DK170" s="46"/>
      <c r="DL170" s="46"/>
      <c r="DM170" s="46"/>
      <c r="DN170" s="46"/>
      <c r="DO170" s="46"/>
      <c r="DP170" s="46"/>
      <c r="DQ170" s="46"/>
      <c r="DR170" s="46"/>
      <c r="DS170" s="46"/>
      <c r="DT170" s="46"/>
      <c r="DU170" s="46"/>
      <c r="DV170" s="46"/>
      <c r="DW170" s="46"/>
      <c r="DX170" s="46"/>
      <c r="DY170" s="46"/>
      <c r="DZ170" s="46"/>
      <c r="EA170" s="46"/>
    </row>
    <row r="171" spans="2:131" ht="18" customHeight="1">
      <c r="B171" s="45"/>
      <c r="C171" s="45"/>
      <c r="D171" s="46"/>
      <c r="E171" s="46"/>
      <c r="F171" s="46"/>
      <c r="G171" s="46"/>
      <c r="H171" s="46"/>
      <c r="I171" s="46"/>
      <c r="J171" s="46"/>
      <c r="K171" s="46"/>
      <c r="L171" s="45"/>
      <c r="M171" s="46"/>
      <c r="N171" s="46"/>
      <c r="O171" s="46"/>
      <c r="P171" s="46"/>
      <c r="Q171" s="46"/>
      <c r="R171" s="46"/>
      <c r="S171" s="46"/>
      <c r="T171" s="46"/>
      <c r="U171" s="46"/>
      <c r="V171" s="46"/>
      <c r="W171" s="46"/>
      <c r="X171" s="46"/>
      <c r="Y171" s="46"/>
      <c r="Z171" s="46"/>
      <c r="AA171" s="46"/>
      <c r="AB171" s="46"/>
      <c r="AC171" s="46"/>
      <c r="AD171" s="46"/>
      <c r="AE171" s="46"/>
      <c r="AF171" s="46"/>
      <c r="AG171" s="46"/>
      <c r="AH171" s="46"/>
      <c r="AI171" s="46"/>
      <c r="AJ171" s="46"/>
      <c r="AK171" s="46"/>
      <c r="AL171" s="46"/>
      <c r="AM171" s="46"/>
      <c r="AN171" s="46"/>
      <c r="AO171" s="46"/>
      <c r="AP171" s="46"/>
      <c r="AQ171" s="46"/>
      <c r="AR171" s="46"/>
      <c r="AS171" s="46"/>
      <c r="AT171" s="46"/>
      <c r="AU171" s="46"/>
      <c r="AV171" s="46"/>
      <c r="AW171" s="46"/>
      <c r="AX171" s="46"/>
      <c r="AY171" s="46"/>
      <c r="AZ171" s="46"/>
      <c r="BA171" s="46"/>
      <c r="BB171" s="46"/>
      <c r="BC171" s="46"/>
      <c r="BD171" s="46"/>
      <c r="BE171" s="46"/>
      <c r="BF171" s="46"/>
      <c r="BG171" s="46"/>
      <c r="BH171" s="46"/>
      <c r="BI171" s="46"/>
      <c r="BJ171" s="46"/>
      <c r="BK171" s="46"/>
      <c r="BL171" s="46"/>
      <c r="BM171" s="46"/>
      <c r="BN171" s="46"/>
      <c r="BO171" s="46"/>
      <c r="BP171" s="46"/>
      <c r="BQ171" s="46"/>
      <c r="BR171" s="46"/>
      <c r="BS171" s="46"/>
      <c r="BT171" s="46"/>
      <c r="BU171" s="46"/>
      <c r="BV171" s="46"/>
      <c r="BW171" s="46"/>
      <c r="BX171" s="46"/>
      <c r="BY171" s="46"/>
      <c r="BZ171" s="46"/>
      <c r="CA171" s="46"/>
      <c r="CB171" s="46"/>
      <c r="CC171" s="46"/>
      <c r="CD171" s="46"/>
      <c r="CE171" s="46"/>
      <c r="CF171" s="46"/>
      <c r="CG171" s="46"/>
      <c r="CH171" s="46"/>
      <c r="CI171" s="46"/>
      <c r="CJ171" s="46"/>
      <c r="CK171" s="46"/>
      <c r="CL171" s="46"/>
      <c r="CM171" s="46"/>
      <c r="CN171" s="46"/>
      <c r="CO171" s="46"/>
      <c r="CP171" s="46"/>
      <c r="CQ171" s="46"/>
      <c r="CR171" s="46"/>
      <c r="CS171" s="46"/>
      <c r="CT171" s="46"/>
      <c r="CU171" s="46"/>
      <c r="CV171" s="46"/>
      <c r="CW171" s="46"/>
      <c r="CX171" s="46"/>
      <c r="CY171" s="46"/>
      <c r="CZ171" s="46"/>
      <c r="DA171" s="46"/>
      <c r="DB171" s="46"/>
      <c r="DC171" s="46"/>
      <c r="DD171" s="46"/>
      <c r="DE171" s="46"/>
      <c r="DF171" s="46"/>
      <c r="DG171" s="46"/>
      <c r="DH171" s="46"/>
      <c r="DI171" s="46"/>
      <c r="DJ171" s="46"/>
      <c r="DK171" s="46"/>
      <c r="DL171" s="46"/>
      <c r="DM171" s="46"/>
      <c r="DN171" s="46"/>
      <c r="DO171" s="46"/>
      <c r="DP171" s="46"/>
      <c r="DQ171" s="46"/>
      <c r="DR171" s="46"/>
      <c r="DS171" s="46"/>
      <c r="DT171" s="46"/>
      <c r="DU171" s="46"/>
      <c r="DV171" s="46"/>
      <c r="DW171" s="46"/>
      <c r="DX171" s="46"/>
      <c r="DY171" s="46"/>
      <c r="DZ171" s="46"/>
      <c r="EA171" s="46"/>
    </row>
    <row r="172" spans="2:131" ht="18" customHeight="1">
      <c r="B172" s="46"/>
      <c r="C172" s="46"/>
      <c r="D172" s="46"/>
      <c r="E172" s="46"/>
      <c r="F172" s="46"/>
      <c r="G172" s="46"/>
      <c r="H172" s="46"/>
      <c r="I172" s="46"/>
      <c r="J172" s="46"/>
      <c r="K172" s="46"/>
      <c r="L172" s="45"/>
      <c r="M172" s="46"/>
      <c r="N172" s="46"/>
      <c r="O172" s="46"/>
      <c r="P172" s="46"/>
      <c r="Q172" s="46"/>
      <c r="R172" s="46"/>
      <c r="S172" s="46"/>
      <c r="T172" s="46"/>
      <c r="U172" s="46"/>
      <c r="V172" s="46"/>
      <c r="W172" s="46"/>
      <c r="X172" s="46"/>
      <c r="Y172" s="46"/>
      <c r="Z172" s="46"/>
      <c r="AA172" s="46"/>
      <c r="AB172" s="46"/>
      <c r="AC172" s="46"/>
      <c r="AD172" s="46"/>
      <c r="AE172" s="46"/>
      <c r="AF172" s="46"/>
      <c r="AG172" s="46"/>
      <c r="AH172" s="46"/>
      <c r="AI172" s="46"/>
      <c r="AJ172" s="46"/>
      <c r="AK172" s="46"/>
      <c r="AL172" s="46"/>
      <c r="AM172" s="46"/>
      <c r="AN172" s="46"/>
      <c r="AO172" s="46"/>
      <c r="AP172" s="46"/>
      <c r="AQ172" s="46"/>
      <c r="AR172" s="46"/>
      <c r="AS172" s="46"/>
      <c r="AT172" s="46"/>
      <c r="AU172" s="46"/>
      <c r="AV172" s="46"/>
      <c r="AW172" s="46"/>
      <c r="AX172" s="46"/>
      <c r="AY172" s="46"/>
      <c r="AZ172" s="46"/>
      <c r="BA172" s="46"/>
      <c r="BB172" s="46"/>
      <c r="BC172" s="46"/>
      <c r="BD172" s="46"/>
      <c r="BE172" s="46"/>
      <c r="BF172" s="46"/>
      <c r="BG172" s="46"/>
      <c r="BH172" s="46"/>
      <c r="BI172" s="46"/>
      <c r="BJ172" s="46"/>
      <c r="BK172" s="46"/>
      <c r="BL172" s="46"/>
      <c r="BM172" s="46"/>
      <c r="BN172" s="46"/>
      <c r="BO172" s="46"/>
      <c r="BP172" s="46"/>
      <c r="BQ172" s="46"/>
      <c r="BR172" s="46"/>
      <c r="BS172" s="46"/>
      <c r="BT172" s="46"/>
      <c r="BU172" s="46"/>
      <c r="BV172" s="46"/>
      <c r="BW172" s="46"/>
      <c r="BX172" s="46"/>
      <c r="BY172" s="46"/>
      <c r="BZ172" s="46"/>
      <c r="CA172" s="46"/>
      <c r="CB172" s="46"/>
      <c r="CC172" s="46"/>
      <c r="CD172" s="46"/>
      <c r="CE172" s="46"/>
      <c r="CF172" s="46"/>
      <c r="CG172" s="46"/>
      <c r="CH172" s="46"/>
      <c r="CI172" s="46"/>
      <c r="CJ172" s="46"/>
      <c r="CK172" s="46"/>
      <c r="CL172" s="46"/>
      <c r="CM172" s="46"/>
      <c r="CN172" s="46"/>
      <c r="CO172" s="46"/>
      <c r="CP172" s="46"/>
      <c r="CQ172" s="46"/>
      <c r="CR172" s="46"/>
      <c r="CS172" s="46"/>
      <c r="CT172" s="46"/>
      <c r="CU172" s="46"/>
      <c r="CV172" s="46"/>
      <c r="CW172" s="46"/>
      <c r="CX172" s="46"/>
      <c r="CY172" s="46"/>
      <c r="CZ172" s="46"/>
      <c r="DA172" s="46"/>
      <c r="DB172" s="46"/>
      <c r="DC172" s="46"/>
      <c r="DD172" s="46"/>
      <c r="DE172" s="46"/>
      <c r="DF172" s="46"/>
      <c r="DG172" s="46"/>
      <c r="DH172" s="46"/>
      <c r="DI172" s="46"/>
      <c r="DJ172" s="46"/>
      <c r="DK172" s="46"/>
      <c r="DL172" s="46"/>
      <c r="DM172" s="46"/>
      <c r="DN172" s="46"/>
      <c r="DO172" s="46"/>
      <c r="DP172" s="46"/>
      <c r="DQ172" s="46"/>
      <c r="DR172" s="46"/>
      <c r="DS172" s="46"/>
      <c r="DT172" s="46"/>
      <c r="DU172" s="46"/>
      <c r="DV172" s="46"/>
      <c r="DW172" s="46"/>
      <c r="DX172" s="46"/>
      <c r="DY172" s="46"/>
      <c r="DZ172" s="46"/>
      <c r="EA172" s="46"/>
    </row>
    <row r="173" spans="2:131" ht="18" customHeight="1">
      <c r="B173" s="46"/>
      <c r="C173" s="46"/>
      <c r="D173" s="46"/>
      <c r="E173" s="46"/>
      <c r="F173" s="46"/>
      <c r="G173" s="46"/>
      <c r="H173" s="46"/>
      <c r="I173" s="46"/>
      <c r="J173" s="46"/>
      <c r="K173" s="46"/>
      <c r="L173" s="45"/>
      <c r="M173" s="46"/>
      <c r="N173" s="46"/>
      <c r="O173" s="46"/>
      <c r="P173" s="46"/>
      <c r="Q173" s="46"/>
      <c r="R173" s="46"/>
      <c r="S173" s="46"/>
      <c r="T173" s="46"/>
      <c r="U173" s="46"/>
      <c r="V173" s="46"/>
      <c r="W173" s="46"/>
      <c r="X173" s="46"/>
      <c r="Y173" s="46"/>
      <c r="Z173" s="46"/>
      <c r="AA173" s="46"/>
      <c r="AB173" s="46"/>
      <c r="AC173" s="46"/>
      <c r="AD173" s="46"/>
      <c r="AE173" s="46"/>
      <c r="AF173" s="46"/>
      <c r="AG173" s="46"/>
      <c r="AH173" s="46"/>
      <c r="AI173" s="46"/>
      <c r="AJ173" s="46"/>
      <c r="AK173" s="46"/>
      <c r="AL173" s="46"/>
      <c r="AM173" s="46"/>
      <c r="AN173" s="46"/>
      <c r="AO173" s="46"/>
      <c r="AP173" s="46"/>
      <c r="AQ173" s="46"/>
      <c r="AR173" s="46"/>
      <c r="AS173" s="46"/>
      <c r="AT173" s="46"/>
      <c r="AU173" s="46"/>
      <c r="AV173" s="46"/>
      <c r="AW173" s="46"/>
      <c r="AX173" s="46"/>
      <c r="AY173" s="46"/>
      <c r="AZ173" s="46"/>
      <c r="BA173" s="46"/>
      <c r="BB173" s="46"/>
      <c r="BC173" s="46"/>
      <c r="BD173" s="46"/>
      <c r="BE173" s="46"/>
      <c r="BF173" s="46"/>
      <c r="BG173" s="46"/>
      <c r="BH173" s="46"/>
      <c r="BI173" s="46"/>
      <c r="BJ173" s="46"/>
      <c r="BK173" s="46"/>
      <c r="BL173" s="46"/>
      <c r="BM173" s="46"/>
      <c r="BN173" s="46"/>
      <c r="BO173" s="46"/>
      <c r="BP173" s="46"/>
      <c r="BQ173" s="46"/>
      <c r="BR173" s="46"/>
      <c r="BS173" s="46"/>
      <c r="BT173" s="46"/>
      <c r="BU173" s="46"/>
      <c r="BV173" s="46"/>
      <c r="BW173" s="46"/>
      <c r="BX173" s="46"/>
      <c r="BY173" s="46"/>
      <c r="BZ173" s="46"/>
      <c r="CA173" s="46"/>
      <c r="CB173" s="46"/>
      <c r="CC173" s="46"/>
      <c r="CD173" s="46"/>
      <c r="CE173" s="46"/>
      <c r="CF173" s="46"/>
      <c r="CG173" s="46"/>
      <c r="CH173" s="46"/>
      <c r="CI173" s="46"/>
      <c r="CJ173" s="46"/>
      <c r="CK173" s="46"/>
      <c r="CL173" s="46"/>
      <c r="CM173" s="46"/>
      <c r="CN173" s="46"/>
      <c r="CO173" s="46"/>
      <c r="CP173" s="46"/>
      <c r="CQ173" s="46"/>
      <c r="CR173" s="46"/>
      <c r="CS173" s="46"/>
      <c r="CT173" s="46"/>
      <c r="CU173" s="46"/>
      <c r="CV173" s="46"/>
      <c r="CW173" s="46"/>
      <c r="CX173" s="46"/>
      <c r="CY173" s="46"/>
      <c r="CZ173" s="46"/>
      <c r="DA173" s="46"/>
      <c r="DB173" s="46"/>
      <c r="DC173" s="46"/>
      <c r="DD173" s="46"/>
      <c r="DE173" s="46"/>
      <c r="DF173" s="46"/>
      <c r="DG173" s="46"/>
      <c r="DH173" s="46"/>
      <c r="DI173" s="46"/>
      <c r="DJ173" s="46"/>
      <c r="DK173" s="46"/>
      <c r="DL173" s="46"/>
      <c r="DM173" s="46"/>
      <c r="DN173" s="46"/>
      <c r="DO173" s="46"/>
      <c r="DP173" s="46"/>
      <c r="DQ173" s="46"/>
      <c r="DR173" s="46"/>
      <c r="DS173" s="46"/>
      <c r="DT173" s="46"/>
      <c r="DU173" s="46"/>
      <c r="DV173" s="46"/>
      <c r="DW173" s="46"/>
      <c r="DX173" s="46"/>
      <c r="DY173" s="46"/>
      <c r="DZ173" s="46"/>
      <c r="EA173" s="46"/>
    </row>
    <row r="174" spans="2:131" ht="18" customHeight="1">
      <c r="B174" s="46"/>
      <c r="C174" s="46"/>
      <c r="D174" s="46"/>
      <c r="E174" s="46"/>
      <c r="F174" s="46"/>
      <c r="G174" s="46"/>
      <c r="H174" s="46"/>
      <c r="I174" s="46"/>
      <c r="J174" s="46"/>
      <c r="K174" s="46"/>
      <c r="L174" s="45"/>
      <c r="M174" s="46"/>
      <c r="N174" s="46"/>
      <c r="O174" s="46"/>
      <c r="P174" s="46"/>
      <c r="Q174" s="46"/>
      <c r="R174" s="46"/>
      <c r="S174" s="46"/>
      <c r="T174" s="46"/>
      <c r="U174" s="46"/>
      <c r="V174" s="46"/>
      <c r="W174" s="46"/>
      <c r="X174" s="46"/>
      <c r="Y174" s="46"/>
      <c r="Z174" s="46"/>
      <c r="AA174" s="46"/>
      <c r="AB174" s="46"/>
      <c r="AC174" s="46"/>
      <c r="AD174" s="46"/>
      <c r="AE174" s="46"/>
      <c r="AF174" s="46"/>
      <c r="AG174" s="46"/>
      <c r="AH174" s="46"/>
      <c r="AI174" s="46"/>
      <c r="AJ174" s="46"/>
      <c r="AK174" s="46"/>
      <c r="AL174" s="46"/>
      <c r="AM174" s="46"/>
      <c r="AN174" s="46"/>
      <c r="AO174" s="46"/>
      <c r="AP174" s="46"/>
      <c r="AQ174" s="46"/>
      <c r="AR174" s="46"/>
      <c r="AS174" s="46"/>
      <c r="AT174" s="46"/>
      <c r="AU174" s="46"/>
      <c r="AV174" s="46"/>
      <c r="AW174" s="46"/>
      <c r="AX174" s="46"/>
      <c r="AY174" s="46"/>
      <c r="AZ174" s="46"/>
      <c r="BA174" s="46"/>
      <c r="BB174" s="46"/>
      <c r="BC174" s="46"/>
      <c r="BD174" s="46"/>
      <c r="BE174" s="46"/>
      <c r="BF174" s="46"/>
      <c r="BG174" s="46"/>
      <c r="BH174" s="46"/>
      <c r="BI174" s="46"/>
      <c r="BJ174" s="46"/>
      <c r="BK174" s="46"/>
      <c r="BL174" s="46"/>
      <c r="BM174" s="46"/>
      <c r="BN174" s="46"/>
      <c r="BO174" s="46"/>
      <c r="BP174" s="46"/>
      <c r="BQ174" s="46"/>
      <c r="BR174" s="46"/>
      <c r="BS174" s="46"/>
      <c r="BT174" s="46"/>
      <c r="BU174" s="46"/>
      <c r="BV174" s="46"/>
      <c r="BW174" s="46"/>
      <c r="BX174" s="46"/>
      <c r="BY174" s="46"/>
      <c r="BZ174" s="46"/>
      <c r="CA174" s="46"/>
      <c r="CB174" s="46"/>
      <c r="CC174" s="46"/>
      <c r="CD174" s="46"/>
      <c r="CE174" s="46"/>
      <c r="CF174" s="46"/>
      <c r="CG174" s="46"/>
      <c r="CH174" s="46"/>
      <c r="CI174" s="46"/>
      <c r="CJ174" s="46"/>
      <c r="CK174" s="46"/>
      <c r="CL174" s="46"/>
      <c r="CM174" s="46"/>
      <c r="CN174" s="46"/>
      <c r="CO174" s="46"/>
      <c r="CP174" s="46"/>
      <c r="CQ174" s="46"/>
      <c r="CR174" s="46"/>
      <c r="CS174" s="46"/>
      <c r="CT174" s="46"/>
      <c r="CU174" s="46"/>
      <c r="CV174" s="46"/>
      <c r="CW174" s="46"/>
      <c r="CX174" s="46"/>
      <c r="CY174" s="46"/>
      <c r="CZ174" s="46"/>
      <c r="DA174" s="46"/>
      <c r="DB174" s="46"/>
      <c r="DC174" s="46"/>
      <c r="DD174" s="46"/>
      <c r="DE174" s="46"/>
      <c r="DF174" s="46"/>
      <c r="DG174" s="46"/>
      <c r="DH174" s="46"/>
      <c r="DI174" s="46"/>
      <c r="DJ174" s="46"/>
      <c r="DK174" s="46"/>
      <c r="DL174" s="46"/>
      <c r="DM174" s="46"/>
      <c r="DN174" s="46"/>
      <c r="DO174" s="46"/>
      <c r="DP174" s="46"/>
      <c r="DQ174" s="46"/>
      <c r="DR174" s="46"/>
      <c r="DS174" s="46"/>
      <c r="DT174" s="46"/>
      <c r="DU174" s="46"/>
      <c r="DV174" s="46"/>
      <c r="DW174" s="46"/>
      <c r="DX174" s="46"/>
      <c r="DY174" s="46"/>
      <c r="DZ174" s="46"/>
      <c r="EA174" s="46"/>
    </row>
    <row r="175" spans="2:131" ht="18" customHeight="1">
      <c r="B175" s="46"/>
      <c r="C175" s="46"/>
      <c r="D175" s="46"/>
      <c r="E175" s="46"/>
      <c r="F175" s="46"/>
      <c r="G175" s="46"/>
      <c r="H175" s="46"/>
      <c r="I175" s="46"/>
      <c r="J175" s="46"/>
      <c r="K175" s="46"/>
      <c r="L175" s="45"/>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c r="BA175" s="46"/>
      <c r="BB175" s="46"/>
      <c r="BC175" s="46"/>
      <c r="BD175" s="46"/>
      <c r="BE175" s="46"/>
      <c r="BF175" s="46"/>
      <c r="BG175" s="46"/>
      <c r="BH175" s="46"/>
      <c r="BI175" s="46"/>
      <c r="BJ175" s="46"/>
      <c r="BK175" s="46"/>
      <c r="BL175" s="46"/>
      <c r="BM175" s="46"/>
      <c r="BN175" s="46"/>
      <c r="BO175" s="46"/>
      <c r="BP175" s="46"/>
      <c r="BQ175" s="46"/>
      <c r="BR175" s="46"/>
      <c r="BS175" s="46"/>
      <c r="BT175" s="46"/>
      <c r="BU175" s="46"/>
      <c r="BV175" s="46"/>
      <c r="BW175" s="46"/>
      <c r="BX175" s="46"/>
      <c r="BY175" s="46"/>
      <c r="BZ175" s="46"/>
      <c r="CA175" s="46"/>
      <c r="CB175" s="46"/>
      <c r="CC175" s="46"/>
      <c r="CD175" s="46"/>
      <c r="CE175" s="46"/>
      <c r="CF175" s="46"/>
      <c r="CG175" s="46"/>
      <c r="CH175" s="46"/>
      <c r="CI175" s="46"/>
      <c r="CJ175" s="46"/>
      <c r="CK175" s="46"/>
      <c r="CL175" s="46"/>
      <c r="CM175" s="46"/>
      <c r="CN175" s="46"/>
      <c r="CO175" s="46"/>
      <c r="CP175" s="46"/>
      <c r="CQ175" s="46"/>
      <c r="CR175" s="46"/>
      <c r="CS175" s="46"/>
      <c r="CT175" s="46"/>
      <c r="CU175" s="46"/>
      <c r="CV175" s="46"/>
      <c r="CW175" s="46"/>
      <c r="CX175" s="46"/>
      <c r="CY175" s="46"/>
      <c r="CZ175" s="46"/>
      <c r="DA175" s="46"/>
      <c r="DB175" s="46"/>
      <c r="DC175" s="46"/>
      <c r="DD175" s="46"/>
      <c r="DE175" s="46"/>
      <c r="DF175" s="46"/>
      <c r="DG175" s="46"/>
      <c r="DH175" s="46"/>
      <c r="DI175" s="46"/>
      <c r="DJ175" s="46"/>
      <c r="DK175" s="46"/>
      <c r="DL175" s="46"/>
      <c r="DM175" s="46"/>
      <c r="DN175" s="46"/>
      <c r="DO175" s="46"/>
      <c r="DP175" s="46"/>
      <c r="DQ175" s="46"/>
      <c r="DR175" s="46"/>
      <c r="DS175" s="46"/>
      <c r="DT175" s="46"/>
      <c r="DU175" s="46"/>
      <c r="DV175" s="46"/>
      <c r="DW175" s="46"/>
      <c r="DX175" s="46"/>
      <c r="DY175" s="46"/>
      <c r="DZ175" s="46"/>
      <c r="EA175" s="46"/>
    </row>
    <row r="176" spans="2:131" ht="18" customHeight="1">
      <c r="B176" s="46"/>
      <c r="C176" s="46"/>
      <c r="D176" s="46"/>
      <c r="E176" s="46"/>
      <c r="F176" s="46"/>
      <c r="G176" s="46"/>
      <c r="H176" s="46"/>
      <c r="I176" s="46"/>
      <c r="J176" s="46"/>
      <c r="K176" s="46"/>
      <c r="L176" s="45"/>
      <c r="M176" s="46"/>
      <c r="N176" s="46"/>
      <c r="O176" s="46"/>
      <c r="P176" s="46"/>
      <c r="Q176" s="46"/>
      <c r="R176" s="46"/>
      <c r="S176" s="46"/>
      <c r="T176" s="46"/>
      <c r="U176" s="46"/>
      <c r="V176" s="46"/>
      <c r="W176" s="46"/>
      <c r="X176" s="46"/>
      <c r="Y176" s="46"/>
      <c r="Z176" s="46"/>
      <c r="AA176" s="46"/>
      <c r="AB176" s="46"/>
      <c r="AC176" s="46"/>
      <c r="AD176" s="46"/>
      <c r="AE176" s="46"/>
      <c r="AF176" s="46"/>
      <c r="AG176" s="46"/>
      <c r="AH176" s="46"/>
      <c r="AI176" s="46"/>
      <c r="AJ176" s="46"/>
      <c r="AK176" s="46"/>
      <c r="AL176" s="46"/>
      <c r="AM176" s="46"/>
      <c r="AN176" s="46"/>
      <c r="AO176" s="46"/>
      <c r="AP176" s="46"/>
      <c r="AQ176" s="46"/>
      <c r="AR176" s="46"/>
      <c r="AS176" s="46"/>
      <c r="AT176" s="46"/>
      <c r="AU176" s="46"/>
      <c r="AV176" s="46"/>
      <c r="AW176" s="46"/>
      <c r="AX176" s="46"/>
      <c r="AY176" s="46"/>
      <c r="AZ176" s="46"/>
      <c r="BA176" s="46"/>
      <c r="BB176" s="46"/>
      <c r="BC176" s="46"/>
      <c r="BD176" s="46"/>
      <c r="BE176" s="46"/>
      <c r="BF176" s="46"/>
      <c r="BG176" s="46"/>
      <c r="BH176" s="46"/>
      <c r="BI176" s="46"/>
      <c r="BJ176" s="46"/>
      <c r="BK176" s="46"/>
      <c r="BL176" s="46"/>
      <c r="BM176" s="46"/>
      <c r="BN176" s="46"/>
      <c r="BO176" s="46"/>
      <c r="BP176" s="46"/>
      <c r="BQ176" s="46"/>
      <c r="BR176" s="46"/>
      <c r="BS176" s="46"/>
      <c r="BT176" s="46"/>
      <c r="BU176" s="46"/>
      <c r="BV176" s="46"/>
      <c r="BW176" s="46"/>
      <c r="BX176" s="46"/>
      <c r="BY176" s="46"/>
      <c r="BZ176" s="46"/>
      <c r="CA176" s="46"/>
      <c r="CB176" s="46"/>
      <c r="CC176" s="46"/>
      <c r="CD176" s="46"/>
      <c r="CE176" s="46"/>
      <c r="CF176" s="46"/>
      <c r="CG176" s="46"/>
      <c r="CH176" s="46"/>
      <c r="CI176" s="46"/>
      <c r="CJ176" s="46"/>
      <c r="CK176" s="46"/>
      <c r="CL176" s="46"/>
      <c r="CM176" s="46"/>
      <c r="CN176" s="46"/>
      <c r="CO176" s="46"/>
      <c r="CP176" s="46"/>
      <c r="CQ176" s="46"/>
      <c r="CR176" s="46"/>
      <c r="CS176" s="46"/>
      <c r="CT176" s="46"/>
      <c r="CU176" s="46"/>
      <c r="CV176" s="46"/>
      <c r="CW176" s="46"/>
      <c r="CX176" s="46"/>
      <c r="CY176" s="46"/>
      <c r="CZ176" s="46"/>
      <c r="DA176" s="46"/>
      <c r="DB176" s="46"/>
      <c r="DC176" s="46"/>
      <c r="DD176" s="46"/>
      <c r="DE176" s="46"/>
      <c r="DF176" s="46"/>
      <c r="DG176" s="46"/>
      <c r="DH176" s="46"/>
      <c r="DI176" s="46"/>
      <c r="DJ176" s="46"/>
      <c r="DK176" s="46"/>
      <c r="DL176" s="46"/>
      <c r="DM176" s="46"/>
      <c r="DN176" s="46"/>
      <c r="DO176" s="46"/>
      <c r="DP176" s="46"/>
      <c r="DQ176" s="46"/>
      <c r="DR176" s="46"/>
      <c r="DS176" s="46"/>
      <c r="DT176" s="46"/>
      <c r="DU176" s="46"/>
      <c r="DV176" s="46"/>
      <c r="DW176" s="46"/>
      <c r="DX176" s="46"/>
      <c r="DY176" s="46"/>
      <c r="DZ176" s="46"/>
      <c r="EA176" s="46"/>
    </row>
    <row r="177" spans="2:131" ht="18" customHeight="1">
      <c r="B177" s="45"/>
      <c r="C177" s="45"/>
      <c r="D177" s="46"/>
      <c r="E177" s="46"/>
      <c r="F177" s="46"/>
      <c r="G177" s="46"/>
      <c r="H177" s="46"/>
      <c r="I177" s="46"/>
      <c r="J177" s="46"/>
      <c r="K177" s="46"/>
      <c r="L177" s="45"/>
      <c r="M177" s="46"/>
      <c r="N177" s="46"/>
      <c r="O177" s="46"/>
      <c r="P177" s="46"/>
      <c r="Q177" s="46"/>
      <c r="R177" s="46"/>
      <c r="S177" s="46"/>
      <c r="T177" s="46"/>
      <c r="U177" s="46"/>
      <c r="V177" s="46"/>
      <c r="W177" s="46"/>
      <c r="X177" s="46"/>
      <c r="Y177" s="46"/>
      <c r="Z177" s="46"/>
      <c r="AA177" s="46"/>
      <c r="AB177" s="46"/>
      <c r="AC177" s="46"/>
      <c r="AD177" s="46"/>
      <c r="AE177" s="46"/>
      <c r="AF177" s="46"/>
      <c r="AG177" s="46"/>
      <c r="AH177" s="46"/>
      <c r="AI177" s="46"/>
      <c r="AJ177" s="46"/>
      <c r="AK177" s="46"/>
      <c r="AL177" s="46"/>
      <c r="AM177" s="46"/>
      <c r="AN177" s="46"/>
      <c r="AO177" s="46"/>
      <c r="AP177" s="46"/>
      <c r="AQ177" s="46"/>
      <c r="AR177" s="46"/>
      <c r="AS177" s="46"/>
      <c r="AT177" s="46"/>
      <c r="AU177" s="46"/>
      <c r="AV177" s="46"/>
      <c r="AW177" s="46"/>
      <c r="AX177" s="46"/>
      <c r="AY177" s="46"/>
      <c r="AZ177" s="46"/>
      <c r="BA177" s="46"/>
      <c r="BB177" s="46"/>
      <c r="BC177" s="46"/>
      <c r="BD177" s="46"/>
      <c r="BE177" s="46"/>
      <c r="BF177" s="46"/>
      <c r="BG177" s="46"/>
      <c r="BH177" s="46"/>
      <c r="BI177" s="46"/>
      <c r="BJ177" s="46"/>
      <c r="BK177" s="46"/>
      <c r="BL177" s="46"/>
      <c r="BM177" s="46"/>
      <c r="BN177" s="46"/>
      <c r="BO177" s="46"/>
      <c r="BP177" s="46"/>
      <c r="BQ177" s="46"/>
      <c r="BR177" s="46"/>
      <c r="BS177" s="46"/>
      <c r="BT177" s="46"/>
      <c r="BU177" s="46"/>
      <c r="BV177" s="46"/>
      <c r="BW177" s="46"/>
      <c r="BX177" s="46"/>
      <c r="BY177" s="46"/>
      <c r="BZ177" s="46"/>
      <c r="CA177" s="46"/>
      <c r="CB177" s="46"/>
      <c r="CC177" s="46"/>
      <c r="CD177" s="46"/>
      <c r="CE177" s="46"/>
      <c r="CF177" s="46"/>
      <c r="CG177" s="46"/>
      <c r="CH177" s="46"/>
      <c r="CI177" s="46"/>
      <c r="CJ177" s="46"/>
      <c r="CK177" s="46"/>
      <c r="CL177" s="46"/>
      <c r="CM177" s="46"/>
      <c r="CN177" s="46"/>
      <c r="CO177" s="46"/>
      <c r="CP177" s="46"/>
      <c r="CQ177" s="46"/>
      <c r="CR177" s="46"/>
      <c r="CS177" s="46"/>
      <c r="CT177" s="46"/>
      <c r="CU177" s="46"/>
      <c r="CV177" s="46"/>
      <c r="CW177" s="46"/>
      <c r="CX177" s="46"/>
      <c r="CY177" s="46"/>
      <c r="CZ177" s="46"/>
      <c r="DA177" s="46"/>
      <c r="DB177" s="46"/>
      <c r="DC177" s="46"/>
      <c r="DD177" s="46"/>
      <c r="DE177" s="46"/>
      <c r="DF177" s="46"/>
      <c r="DG177" s="46"/>
      <c r="DH177" s="46"/>
      <c r="DI177" s="46"/>
      <c r="DJ177" s="46"/>
      <c r="DK177" s="46"/>
      <c r="DL177" s="46"/>
      <c r="DM177" s="46"/>
      <c r="DN177" s="46"/>
      <c r="DO177" s="46"/>
      <c r="DP177" s="46"/>
      <c r="DQ177" s="46"/>
      <c r="DR177" s="46"/>
      <c r="DS177" s="46"/>
      <c r="DT177" s="46"/>
      <c r="DU177" s="46"/>
      <c r="DV177" s="46"/>
      <c r="DW177" s="46"/>
      <c r="DX177" s="46"/>
      <c r="DY177" s="46"/>
      <c r="DZ177" s="46"/>
      <c r="EA177" s="46"/>
    </row>
    <row r="178" spans="2:131" ht="18" customHeight="1">
      <c r="B178" s="46"/>
      <c r="C178" s="46"/>
      <c r="D178" s="46"/>
      <c r="E178" s="46"/>
      <c r="F178" s="46"/>
      <c r="G178" s="46"/>
      <c r="H178" s="46"/>
      <c r="I178" s="46"/>
      <c r="J178" s="46"/>
      <c r="K178" s="46"/>
      <c r="L178" s="45"/>
      <c r="M178" s="46"/>
      <c r="N178" s="46"/>
      <c r="O178" s="46"/>
      <c r="P178" s="46"/>
      <c r="Q178" s="46"/>
      <c r="R178" s="46"/>
      <c r="S178" s="46"/>
      <c r="T178" s="46"/>
      <c r="U178" s="46"/>
      <c r="V178" s="46"/>
      <c r="W178" s="46"/>
      <c r="X178" s="46"/>
      <c r="Y178" s="46"/>
      <c r="Z178" s="46"/>
      <c r="AA178" s="46"/>
      <c r="AB178" s="46"/>
      <c r="AC178" s="46"/>
      <c r="AD178" s="46"/>
      <c r="AE178" s="46"/>
      <c r="AF178" s="46"/>
      <c r="AG178" s="46"/>
      <c r="AH178" s="46"/>
      <c r="AI178" s="46"/>
      <c r="AJ178" s="46"/>
      <c r="AK178" s="46"/>
      <c r="AL178" s="46"/>
      <c r="AM178" s="46"/>
      <c r="AN178" s="46"/>
      <c r="AO178" s="46"/>
      <c r="AP178" s="46"/>
      <c r="AQ178" s="46"/>
      <c r="AR178" s="46"/>
      <c r="AS178" s="46"/>
      <c r="AT178" s="46"/>
      <c r="AU178" s="46"/>
      <c r="AV178" s="46"/>
      <c r="AW178" s="46"/>
      <c r="AX178" s="46"/>
      <c r="AY178" s="46"/>
      <c r="AZ178" s="46"/>
      <c r="BA178" s="46"/>
      <c r="BB178" s="46"/>
      <c r="BC178" s="46"/>
      <c r="BD178" s="46"/>
      <c r="BE178" s="46"/>
      <c r="BF178" s="46"/>
      <c r="BG178" s="46"/>
      <c r="BH178" s="46"/>
      <c r="BI178" s="46"/>
      <c r="BJ178" s="46"/>
      <c r="BK178" s="46"/>
      <c r="BL178" s="46"/>
      <c r="BM178" s="46"/>
      <c r="BN178" s="46"/>
      <c r="BO178" s="46"/>
      <c r="BP178" s="46"/>
      <c r="BQ178" s="46"/>
      <c r="BR178" s="46"/>
      <c r="BS178" s="46"/>
      <c r="BT178" s="46"/>
      <c r="BU178" s="46"/>
      <c r="BV178" s="46"/>
      <c r="BW178" s="46"/>
      <c r="BX178" s="46"/>
      <c r="BY178" s="46"/>
      <c r="BZ178" s="46"/>
      <c r="CA178" s="46"/>
      <c r="CB178" s="46"/>
      <c r="CC178" s="46"/>
      <c r="CD178" s="46"/>
      <c r="CE178" s="46"/>
      <c r="CF178" s="46"/>
      <c r="CG178" s="46"/>
      <c r="CH178" s="46"/>
      <c r="CI178" s="46"/>
      <c r="CJ178" s="46"/>
      <c r="CK178" s="46"/>
      <c r="CL178" s="46"/>
      <c r="CM178" s="46"/>
      <c r="CN178" s="46"/>
      <c r="CO178" s="46"/>
      <c r="CP178" s="46"/>
      <c r="CQ178" s="46"/>
      <c r="CR178" s="46"/>
      <c r="CS178" s="46"/>
      <c r="CT178" s="46"/>
      <c r="CU178" s="46"/>
      <c r="CV178" s="46"/>
      <c r="CW178" s="46"/>
      <c r="CX178" s="46"/>
      <c r="CY178" s="46"/>
      <c r="CZ178" s="46"/>
      <c r="DA178" s="46"/>
      <c r="DB178" s="46"/>
      <c r="DC178" s="46"/>
      <c r="DD178" s="46"/>
      <c r="DE178" s="46"/>
      <c r="DF178" s="46"/>
      <c r="DG178" s="46"/>
      <c r="DH178" s="46"/>
      <c r="DI178" s="46"/>
      <c r="DJ178" s="46"/>
      <c r="DK178" s="46"/>
      <c r="DL178" s="46"/>
      <c r="DM178" s="46"/>
      <c r="DN178" s="46"/>
      <c r="DO178" s="46"/>
      <c r="DP178" s="46"/>
      <c r="DQ178" s="46"/>
      <c r="DR178" s="46"/>
      <c r="DS178" s="46"/>
      <c r="DT178" s="46"/>
      <c r="DU178" s="46"/>
      <c r="DV178" s="46"/>
      <c r="DW178" s="46"/>
      <c r="DX178" s="46"/>
      <c r="DY178" s="46"/>
      <c r="DZ178" s="46"/>
      <c r="EA178" s="46"/>
    </row>
    <row r="179" spans="2:131" ht="18" customHeight="1">
      <c r="B179" s="46"/>
      <c r="C179" s="46"/>
      <c r="D179" s="46"/>
      <c r="E179" s="46"/>
      <c r="F179" s="46"/>
      <c r="G179" s="46"/>
      <c r="H179" s="46"/>
      <c r="I179" s="46"/>
      <c r="J179" s="46"/>
      <c r="K179" s="46"/>
      <c r="L179" s="45"/>
      <c r="M179" s="46"/>
      <c r="N179" s="46"/>
      <c r="O179" s="46"/>
      <c r="P179" s="46"/>
      <c r="Q179" s="46"/>
      <c r="R179" s="46"/>
      <c r="S179" s="46"/>
      <c r="T179" s="46"/>
      <c r="U179" s="46"/>
      <c r="V179" s="46"/>
      <c r="W179" s="46"/>
      <c r="X179" s="46"/>
      <c r="Y179" s="46"/>
      <c r="Z179" s="46"/>
      <c r="AA179" s="46"/>
      <c r="AB179" s="46"/>
      <c r="AC179" s="46"/>
      <c r="AD179" s="46"/>
      <c r="AE179" s="46"/>
      <c r="AF179" s="46"/>
      <c r="AG179" s="46"/>
      <c r="AH179" s="46"/>
      <c r="AI179" s="46"/>
      <c r="AJ179" s="46"/>
      <c r="AK179" s="46"/>
      <c r="AL179" s="46"/>
      <c r="AM179" s="46"/>
      <c r="AN179" s="46"/>
      <c r="AO179" s="46"/>
      <c r="AP179" s="46"/>
      <c r="AQ179" s="46"/>
      <c r="AR179" s="46"/>
      <c r="AS179" s="46"/>
      <c r="AT179" s="46"/>
      <c r="AU179" s="46"/>
      <c r="AV179" s="46"/>
      <c r="AW179" s="46"/>
      <c r="AX179" s="46"/>
      <c r="AY179" s="46"/>
      <c r="AZ179" s="46"/>
      <c r="BA179" s="46"/>
      <c r="BB179" s="46"/>
      <c r="BC179" s="46"/>
      <c r="BD179" s="46"/>
      <c r="BE179" s="46"/>
      <c r="BF179" s="46"/>
      <c r="BG179" s="46"/>
      <c r="BH179" s="46"/>
      <c r="BI179" s="46"/>
      <c r="BJ179" s="46"/>
      <c r="BK179" s="46"/>
      <c r="BL179" s="46"/>
      <c r="BM179" s="46"/>
      <c r="BN179" s="46"/>
      <c r="BO179" s="46"/>
      <c r="BP179" s="46"/>
      <c r="BQ179" s="46"/>
      <c r="BR179" s="46"/>
      <c r="BS179" s="46"/>
      <c r="BT179" s="46"/>
      <c r="BU179" s="46"/>
      <c r="BV179" s="46"/>
      <c r="BW179" s="46"/>
      <c r="BX179" s="46"/>
      <c r="BY179" s="46"/>
      <c r="BZ179" s="46"/>
      <c r="CA179" s="46"/>
      <c r="CB179" s="46"/>
      <c r="CC179" s="46"/>
      <c r="CD179" s="46"/>
      <c r="CE179" s="46"/>
      <c r="CF179" s="46"/>
      <c r="CG179" s="46"/>
      <c r="CH179" s="46"/>
      <c r="CI179" s="46"/>
      <c r="CJ179" s="46"/>
      <c r="CK179" s="46"/>
      <c r="CL179" s="46"/>
      <c r="CM179" s="46"/>
      <c r="CN179" s="46"/>
      <c r="CO179" s="46"/>
      <c r="CP179" s="46"/>
      <c r="CQ179" s="46"/>
      <c r="CR179" s="46"/>
      <c r="CS179" s="46"/>
      <c r="CT179" s="46"/>
      <c r="CU179" s="46"/>
      <c r="CV179" s="46"/>
      <c r="CW179" s="46"/>
      <c r="CX179" s="46"/>
      <c r="CY179" s="46"/>
      <c r="CZ179" s="46"/>
      <c r="DA179" s="46"/>
      <c r="DB179" s="46"/>
      <c r="DC179" s="46"/>
      <c r="DD179" s="46"/>
      <c r="DE179" s="46"/>
      <c r="DF179" s="46"/>
      <c r="DG179" s="46"/>
      <c r="DH179" s="46"/>
      <c r="DI179" s="46"/>
      <c r="DJ179" s="46"/>
      <c r="DK179" s="46"/>
      <c r="DL179" s="46"/>
      <c r="DM179" s="46"/>
      <c r="DN179" s="46"/>
      <c r="DO179" s="46"/>
      <c r="DP179" s="46"/>
      <c r="DQ179" s="46"/>
      <c r="DR179" s="46"/>
      <c r="DS179" s="46"/>
      <c r="DT179" s="46"/>
      <c r="DU179" s="46"/>
      <c r="DV179" s="46"/>
      <c r="DW179" s="46"/>
      <c r="DX179" s="46"/>
      <c r="DY179" s="46"/>
      <c r="DZ179" s="46"/>
      <c r="EA179" s="46"/>
    </row>
    <row r="180" spans="2:131" ht="18" customHeight="1">
      <c r="B180" s="46"/>
      <c r="C180" s="46"/>
      <c r="D180" s="46"/>
      <c r="E180" s="46"/>
      <c r="F180" s="46"/>
      <c r="G180" s="46"/>
      <c r="H180" s="46"/>
      <c r="I180" s="46"/>
      <c r="J180" s="46"/>
      <c r="K180" s="46"/>
      <c r="L180" s="45"/>
      <c r="M180" s="46"/>
      <c r="N180" s="46"/>
      <c r="O180" s="46"/>
      <c r="P180" s="46"/>
      <c r="Q180" s="46"/>
      <c r="R180" s="46"/>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c r="AV180" s="46"/>
      <c r="AW180" s="46"/>
      <c r="AX180" s="46"/>
      <c r="AY180" s="46"/>
      <c r="AZ180" s="46"/>
      <c r="BA180" s="46"/>
      <c r="BB180" s="46"/>
      <c r="BC180" s="46"/>
      <c r="BD180" s="46"/>
      <c r="BE180" s="46"/>
      <c r="BF180" s="46"/>
      <c r="BG180" s="46"/>
      <c r="BH180" s="46"/>
      <c r="BI180" s="46"/>
      <c r="BJ180" s="46"/>
      <c r="BK180" s="46"/>
      <c r="BL180" s="46"/>
      <c r="BM180" s="46"/>
      <c r="BN180" s="46"/>
      <c r="BO180" s="46"/>
      <c r="BP180" s="46"/>
      <c r="BQ180" s="46"/>
      <c r="BR180" s="46"/>
      <c r="BS180" s="46"/>
      <c r="BT180" s="46"/>
      <c r="BU180" s="46"/>
      <c r="BV180" s="46"/>
      <c r="BW180" s="46"/>
      <c r="BX180" s="46"/>
      <c r="BY180" s="46"/>
      <c r="BZ180" s="46"/>
      <c r="CA180" s="46"/>
      <c r="CB180" s="46"/>
      <c r="CC180" s="46"/>
      <c r="CD180" s="46"/>
      <c r="CE180" s="46"/>
      <c r="CF180" s="46"/>
      <c r="CG180" s="46"/>
      <c r="CH180" s="46"/>
      <c r="CI180" s="46"/>
      <c r="CJ180" s="46"/>
      <c r="CK180" s="46"/>
      <c r="CL180" s="46"/>
      <c r="CM180" s="46"/>
      <c r="CN180" s="46"/>
      <c r="CO180" s="46"/>
      <c r="CP180" s="46"/>
      <c r="CQ180" s="46"/>
      <c r="CR180" s="46"/>
      <c r="CS180" s="46"/>
      <c r="CT180" s="46"/>
      <c r="CU180" s="46"/>
      <c r="CV180" s="46"/>
      <c r="CW180" s="46"/>
      <c r="CX180" s="46"/>
      <c r="CY180" s="46"/>
      <c r="CZ180" s="46"/>
      <c r="DA180" s="46"/>
      <c r="DB180" s="46"/>
      <c r="DC180" s="46"/>
      <c r="DD180" s="46"/>
      <c r="DE180" s="46"/>
      <c r="DF180" s="46"/>
      <c r="DG180" s="46"/>
      <c r="DH180" s="46"/>
      <c r="DI180" s="46"/>
      <c r="DJ180" s="46"/>
      <c r="DK180" s="46"/>
      <c r="DL180" s="46"/>
      <c r="DM180" s="46"/>
      <c r="DN180" s="46"/>
      <c r="DO180" s="46"/>
      <c r="DP180" s="46"/>
      <c r="DQ180" s="46"/>
      <c r="DR180" s="46"/>
      <c r="DS180" s="46"/>
      <c r="DT180" s="46"/>
      <c r="DU180" s="46"/>
      <c r="DV180" s="46"/>
      <c r="DW180" s="46"/>
      <c r="DX180" s="46"/>
      <c r="DY180" s="46"/>
      <c r="DZ180" s="46"/>
      <c r="EA180" s="46"/>
    </row>
    <row r="181" spans="2:131" ht="18" customHeight="1">
      <c r="B181" s="46"/>
      <c r="C181" s="46"/>
      <c r="D181" s="46"/>
      <c r="E181" s="46"/>
      <c r="F181" s="46"/>
      <c r="G181" s="46"/>
      <c r="H181" s="46"/>
      <c r="I181" s="46"/>
      <c r="J181" s="46"/>
      <c r="K181" s="46"/>
      <c r="L181" s="45"/>
      <c r="M181" s="46"/>
      <c r="N181" s="46"/>
      <c r="O181" s="46"/>
      <c r="P181" s="46"/>
      <c r="Q181" s="46"/>
      <c r="R181" s="46"/>
      <c r="S181" s="46"/>
      <c r="T181" s="46"/>
      <c r="U181" s="46"/>
      <c r="V181" s="46"/>
      <c r="W181" s="46"/>
      <c r="X181" s="46"/>
      <c r="Y181" s="46"/>
      <c r="Z181" s="46"/>
      <c r="AA181" s="46"/>
      <c r="AB181" s="46"/>
      <c r="AC181" s="46"/>
      <c r="AD181" s="46"/>
      <c r="AE181" s="46"/>
      <c r="AF181" s="46"/>
      <c r="AG181" s="46"/>
      <c r="AH181" s="46"/>
      <c r="AI181" s="46"/>
      <c r="AJ181" s="46"/>
      <c r="AK181" s="46"/>
      <c r="AL181" s="46"/>
      <c r="AM181" s="46"/>
      <c r="AN181" s="46"/>
      <c r="AO181" s="46"/>
      <c r="AP181" s="46"/>
      <c r="AQ181" s="46"/>
      <c r="AR181" s="46"/>
      <c r="AS181" s="46"/>
      <c r="AT181" s="46"/>
      <c r="AU181" s="46"/>
      <c r="AV181" s="46"/>
      <c r="AW181" s="46"/>
      <c r="AX181" s="46"/>
      <c r="AY181" s="46"/>
      <c r="AZ181" s="46"/>
      <c r="BA181" s="46"/>
      <c r="BB181" s="46"/>
      <c r="BC181" s="46"/>
      <c r="BD181" s="46"/>
      <c r="BE181" s="46"/>
      <c r="BF181" s="46"/>
      <c r="BG181" s="46"/>
      <c r="BH181" s="46"/>
      <c r="BI181" s="46"/>
      <c r="BJ181" s="46"/>
      <c r="BK181" s="46"/>
      <c r="BL181" s="46"/>
      <c r="BM181" s="46"/>
      <c r="BN181" s="46"/>
      <c r="BO181" s="46"/>
      <c r="BP181" s="46"/>
      <c r="BQ181" s="46"/>
      <c r="BR181" s="46"/>
      <c r="BS181" s="46"/>
      <c r="BT181" s="46"/>
      <c r="BU181" s="46"/>
      <c r="BV181" s="46"/>
      <c r="BW181" s="46"/>
      <c r="BX181" s="46"/>
      <c r="BY181" s="46"/>
      <c r="BZ181" s="46"/>
      <c r="CA181" s="46"/>
      <c r="CB181" s="46"/>
      <c r="CC181" s="46"/>
      <c r="CD181" s="46"/>
      <c r="CE181" s="46"/>
      <c r="CF181" s="46"/>
      <c r="CG181" s="46"/>
      <c r="CH181" s="46"/>
      <c r="CI181" s="46"/>
      <c r="CJ181" s="46"/>
      <c r="CK181" s="46"/>
      <c r="CL181" s="46"/>
      <c r="CM181" s="46"/>
      <c r="CN181" s="46"/>
      <c r="CO181" s="46"/>
      <c r="CP181" s="46"/>
      <c r="CQ181" s="46"/>
      <c r="CR181" s="46"/>
      <c r="CS181" s="46"/>
      <c r="CT181" s="46"/>
      <c r="CU181" s="46"/>
      <c r="CV181" s="46"/>
      <c r="CW181" s="46"/>
      <c r="CX181" s="46"/>
      <c r="CY181" s="46"/>
      <c r="CZ181" s="46"/>
      <c r="DA181" s="46"/>
      <c r="DB181" s="46"/>
      <c r="DC181" s="46"/>
      <c r="DD181" s="46"/>
      <c r="DE181" s="46"/>
      <c r="DF181" s="46"/>
      <c r="DG181" s="46"/>
      <c r="DH181" s="46"/>
      <c r="DI181" s="46"/>
      <c r="DJ181" s="46"/>
      <c r="DK181" s="46"/>
      <c r="DL181" s="46"/>
      <c r="DM181" s="46"/>
      <c r="DN181" s="46"/>
      <c r="DO181" s="46"/>
      <c r="DP181" s="46"/>
      <c r="DQ181" s="46"/>
      <c r="DR181" s="46"/>
      <c r="DS181" s="46"/>
      <c r="DT181" s="46"/>
      <c r="DU181" s="46"/>
      <c r="DV181" s="46"/>
      <c r="DW181" s="46"/>
      <c r="DX181" s="46"/>
      <c r="DY181" s="46"/>
      <c r="DZ181" s="46"/>
      <c r="EA181" s="46"/>
    </row>
    <row r="182" spans="2:131" ht="18" customHeight="1">
      <c r="B182" s="46"/>
      <c r="C182" s="46"/>
      <c r="D182" s="46"/>
      <c r="E182" s="46"/>
      <c r="F182" s="46"/>
      <c r="G182" s="46"/>
      <c r="H182" s="46"/>
      <c r="I182" s="46"/>
      <c r="J182" s="46"/>
      <c r="K182" s="46"/>
      <c r="L182" s="45"/>
      <c r="M182" s="46"/>
      <c r="N182" s="46"/>
      <c r="O182" s="46"/>
      <c r="P182" s="46"/>
      <c r="Q182" s="46"/>
      <c r="R182" s="46"/>
      <c r="S182" s="46"/>
      <c r="T182" s="46"/>
      <c r="U182" s="46"/>
      <c r="V182" s="46"/>
      <c r="W182" s="46"/>
      <c r="X182" s="46"/>
      <c r="Y182" s="46"/>
      <c r="Z182" s="46"/>
      <c r="AA182" s="46"/>
      <c r="AB182" s="46"/>
      <c r="AC182" s="46"/>
      <c r="AD182" s="46"/>
      <c r="AE182" s="46"/>
      <c r="AF182" s="46"/>
      <c r="AG182" s="46"/>
      <c r="AH182" s="46"/>
      <c r="AI182" s="46"/>
      <c r="AJ182" s="46"/>
      <c r="AK182" s="46"/>
      <c r="AL182" s="46"/>
      <c r="AM182" s="46"/>
      <c r="AN182" s="46"/>
      <c r="AO182" s="46"/>
      <c r="AP182" s="46"/>
      <c r="AQ182" s="46"/>
      <c r="AR182" s="46"/>
      <c r="AS182" s="46"/>
      <c r="AT182" s="46"/>
      <c r="AU182" s="46"/>
      <c r="AV182" s="46"/>
      <c r="AW182" s="46"/>
      <c r="AX182" s="46"/>
      <c r="AY182" s="46"/>
      <c r="AZ182" s="46"/>
      <c r="BA182" s="46"/>
      <c r="BB182" s="46"/>
      <c r="BC182" s="46"/>
      <c r="BD182" s="46"/>
      <c r="BE182" s="46"/>
      <c r="BF182" s="46"/>
      <c r="BG182" s="46"/>
      <c r="BH182" s="46"/>
      <c r="BI182" s="46"/>
      <c r="BJ182" s="46"/>
      <c r="BK182" s="46"/>
      <c r="BL182" s="46"/>
      <c r="BM182" s="46"/>
      <c r="BN182" s="46"/>
      <c r="BO182" s="46"/>
      <c r="BP182" s="46"/>
      <c r="BQ182" s="46"/>
      <c r="BR182" s="46"/>
      <c r="BS182" s="46"/>
      <c r="BT182" s="46"/>
      <c r="BU182" s="46"/>
      <c r="BV182" s="46"/>
      <c r="BW182" s="46"/>
      <c r="BX182" s="46"/>
      <c r="BY182" s="46"/>
      <c r="BZ182" s="46"/>
      <c r="CA182" s="46"/>
      <c r="CB182" s="46"/>
      <c r="CC182" s="46"/>
      <c r="CD182" s="46"/>
      <c r="CE182" s="46"/>
      <c r="CF182" s="46"/>
      <c r="CG182" s="46"/>
      <c r="CH182" s="46"/>
      <c r="CI182" s="46"/>
      <c r="CJ182" s="46"/>
      <c r="CK182" s="46"/>
      <c r="CL182" s="46"/>
      <c r="CM182" s="46"/>
      <c r="CN182" s="46"/>
      <c r="CO182" s="46"/>
      <c r="CP182" s="46"/>
      <c r="CQ182" s="46"/>
      <c r="CR182" s="46"/>
      <c r="CS182" s="46"/>
      <c r="CT182" s="46"/>
      <c r="CU182" s="46"/>
      <c r="CV182" s="46"/>
      <c r="CW182" s="46"/>
      <c r="CX182" s="46"/>
      <c r="CY182" s="46"/>
      <c r="CZ182" s="46"/>
      <c r="DA182" s="46"/>
      <c r="DB182" s="46"/>
      <c r="DC182" s="46"/>
      <c r="DD182" s="46"/>
      <c r="DE182" s="46"/>
      <c r="DF182" s="46"/>
      <c r="DG182" s="46"/>
      <c r="DH182" s="46"/>
      <c r="DI182" s="46"/>
      <c r="DJ182" s="46"/>
      <c r="DK182" s="46"/>
      <c r="DL182" s="46"/>
      <c r="DM182" s="46"/>
      <c r="DN182" s="46"/>
      <c r="DO182" s="46"/>
      <c r="DP182" s="46"/>
      <c r="DQ182" s="46"/>
      <c r="DR182" s="46"/>
      <c r="DS182" s="46"/>
      <c r="DT182" s="46"/>
      <c r="DU182" s="46"/>
      <c r="DV182" s="46"/>
      <c r="DW182" s="46"/>
      <c r="DX182" s="46"/>
      <c r="DY182" s="46"/>
      <c r="DZ182" s="46"/>
      <c r="EA182" s="46"/>
    </row>
    <row r="183" spans="2:131" ht="18" customHeight="1">
      <c r="B183" s="45"/>
      <c r="C183" s="45"/>
      <c r="D183" s="46"/>
      <c r="E183" s="46"/>
      <c r="F183" s="46"/>
      <c r="G183" s="46"/>
      <c r="H183" s="46"/>
      <c r="I183" s="46"/>
      <c r="J183" s="46"/>
      <c r="K183" s="46"/>
      <c r="L183" s="45"/>
      <c r="M183" s="46"/>
      <c r="N183" s="46"/>
      <c r="O183" s="46"/>
      <c r="P183" s="46"/>
      <c r="Q183" s="46"/>
      <c r="R183" s="46"/>
      <c r="S183" s="46"/>
      <c r="T183" s="46"/>
      <c r="U183" s="46"/>
      <c r="V183" s="46"/>
      <c r="W183" s="46"/>
      <c r="X183" s="46"/>
      <c r="Y183" s="46"/>
      <c r="Z183" s="46"/>
      <c r="AA183" s="46"/>
      <c r="AB183" s="46"/>
      <c r="AC183" s="46"/>
      <c r="AD183" s="46"/>
      <c r="AE183" s="46"/>
      <c r="AF183" s="46"/>
      <c r="AG183" s="46"/>
      <c r="AH183" s="46"/>
      <c r="AI183" s="46"/>
      <c r="AJ183" s="46"/>
      <c r="AK183" s="46"/>
      <c r="AL183" s="46"/>
      <c r="AM183" s="46"/>
      <c r="AN183" s="46"/>
      <c r="AO183" s="46"/>
      <c r="AP183" s="46"/>
      <c r="AQ183" s="46"/>
      <c r="AR183" s="46"/>
      <c r="AS183" s="46"/>
      <c r="AT183" s="46"/>
      <c r="AU183" s="46"/>
      <c r="AV183" s="46"/>
      <c r="AW183" s="46"/>
      <c r="AX183" s="46"/>
      <c r="AY183" s="46"/>
      <c r="AZ183" s="46"/>
      <c r="BA183" s="46"/>
      <c r="BB183" s="46"/>
      <c r="BC183" s="46"/>
      <c r="BD183" s="46"/>
      <c r="BE183" s="46"/>
      <c r="BF183" s="46"/>
      <c r="BG183" s="46"/>
      <c r="BH183" s="46"/>
      <c r="BI183" s="46"/>
      <c r="BJ183" s="46"/>
      <c r="BK183" s="46"/>
      <c r="BL183" s="46"/>
      <c r="BM183" s="46"/>
      <c r="BN183" s="46"/>
      <c r="BO183" s="46"/>
      <c r="BP183" s="46"/>
      <c r="BQ183" s="46"/>
      <c r="BR183" s="46"/>
      <c r="BS183" s="46"/>
      <c r="BT183" s="46"/>
      <c r="BU183" s="46"/>
      <c r="BV183" s="46"/>
      <c r="BW183" s="46"/>
      <c r="BX183" s="46"/>
      <c r="BY183" s="46"/>
      <c r="BZ183" s="46"/>
      <c r="CA183" s="46"/>
      <c r="CB183" s="46"/>
      <c r="CC183" s="46"/>
      <c r="CD183" s="46"/>
      <c r="CE183" s="46"/>
      <c r="CF183" s="46"/>
      <c r="CG183" s="46"/>
      <c r="CH183" s="46"/>
      <c r="CI183" s="46"/>
      <c r="CJ183" s="46"/>
      <c r="CK183" s="46"/>
      <c r="CL183" s="46"/>
      <c r="CM183" s="46"/>
      <c r="CN183" s="46"/>
      <c r="CO183" s="46"/>
      <c r="CP183" s="46"/>
      <c r="CQ183" s="46"/>
      <c r="CR183" s="46"/>
      <c r="CS183" s="46"/>
      <c r="CT183" s="46"/>
      <c r="CU183" s="46"/>
      <c r="CV183" s="46"/>
      <c r="CW183" s="46"/>
      <c r="CX183" s="46"/>
      <c r="CY183" s="46"/>
      <c r="CZ183" s="46"/>
      <c r="DA183" s="46"/>
      <c r="DB183" s="46"/>
      <c r="DC183" s="46"/>
      <c r="DD183" s="46"/>
      <c r="DE183" s="46"/>
      <c r="DF183" s="46"/>
      <c r="DG183" s="46"/>
      <c r="DH183" s="46"/>
      <c r="DI183" s="46"/>
      <c r="DJ183" s="46"/>
      <c r="DK183" s="46"/>
      <c r="DL183" s="46"/>
      <c r="DM183" s="46"/>
      <c r="DN183" s="46"/>
      <c r="DO183" s="46"/>
      <c r="DP183" s="46"/>
      <c r="DQ183" s="46"/>
      <c r="DR183" s="46"/>
      <c r="DS183" s="46"/>
      <c r="DT183" s="46"/>
      <c r="DU183" s="46"/>
      <c r="DV183" s="46"/>
      <c r="DW183" s="46"/>
      <c r="DX183" s="46"/>
      <c r="DY183" s="46"/>
      <c r="DZ183" s="46"/>
      <c r="EA183" s="46"/>
    </row>
    <row r="184" spans="2:131" ht="18" customHeight="1">
      <c r="B184" s="46"/>
      <c r="C184" s="46"/>
      <c r="D184" s="46"/>
      <c r="E184" s="46"/>
      <c r="F184" s="46"/>
      <c r="G184" s="46"/>
      <c r="H184" s="46"/>
      <c r="I184" s="46"/>
      <c r="J184" s="46"/>
      <c r="K184" s="46"/>
      <c r="L184" s="45"/>
      <c r="M184" s="46"/>
      <c r="N184" s="46"/>
      <c r="O184" s="46"/>
      <c r="P184" s="46"/>
      <c r="Q184" s="46"/>
      <c r="R184" s="46"/>
      <c r="S184" s="46"/>
      <c r="T184" s="46"/>
      <c r="U184" s="46"/>
      <c r="V184" s="46"/>
      <c r="W184" s="46"/>
      <c r="X184" s="46"/>
      <c r="Y184" s="46"/>
      <c r="Z184" s="46"/>
      <c r="AA184" s="46"/>
      <c r="AB184" s="46"/>
      <c r="AC184" s="46"/>
      <c r="AD184" s="46"/>
      <c r="AE184" s="46"/>
      <c r="AF184" s="46"/>
      <c r="AG184" s="46"/>
      <c r="AH184" s="46"/>
      <c r="AI184" s="46"/>
      <c r="AJ184" s="46"/>
      <c r="AK184" s="46"/>
      <c r="AL184" s="46"/>
      <c r="AM184" s="46"/>
      <c r="AN184" s="46"/>
      <c r="AO184" s="46"/>
      <c r="AP184" s="46"/>
      <c r="AQ184" s="46"/>
      <c r="AR184" s="46"/>
      <c r="AS184" s="46"/>
      <c r="AT184" s="46"/>
      <c r="AU184" s="46"/>
      <c r="AV184" s="46"/>
      <c r="AW184" s="46"/>
      <c r="AX184" s="46"/>
      <c r="AY184" s="46"/>
      <c r="AZ184" s="46"/>
      <c r="BA184" s="46"/>
      <c r="BB184" s="46"/>
      <c r="BC184" s="46"/>
      <c r="BD184" s="46"/>
      <c r="BE184" s="46"/>
      <c r="BF184" s="46"/>
      <c r="BG184" s="46"/>
      <c r="BH184" s="46"/>
      <c r="BI184" s="46"/>
      <c r="BJ184" s="46"/>
      <c r="BK184" s="46"/>
      <c r="BL184" s="46"/>
      <c r="BM184" s="46"/>
      <c r="BN184" s="46"/>
      <c r="BO184" s="46"/>
      <c r="BP184" s="46"/>
      <c r="BQ184" s="46"/>
      <c r="BR184" s="46"/>
      <c r="BS184" s="46"/>
      <c r="BT184" s="46"/>
      <c r="BU184" s="46"/>
      <c r="BV184" s="46"/>
      <c r="BW184" s="46"/>
      <c r="BX184" s="46"/>
      <c r="BY184" s="46"/>
      <c r="BZ184" s="46"/>
      <c r="CA184" s="46"/>
      <c r="CB184" s="46"/>
      <c r="CC184" s="46"/>
      <c r="CD184" s="46"/>
      <c r="CE184" s="46"/>
      <c r="CF184" s="46"/>
      <c r="CG184" s="46"/>
      <c r="CH184" s="46"/>
      <c r="CI184" s="46"/>
      <c r="CJ184" s="46"/>
      <c r="CK184" s="46"/>
      <c r="CL184" s="46"/>
      <c r="CM184" s="46"/>
      <c r="CN184" s="46"/>
      <c r="CO184" s="46"/>
      <c r="CP184" s="46"/>
      <c r="CQ184" s="46"/>
      <c r="CR184" s="46"/>
      <c r="CS184" s="46"/>
      <c r="CT184" s="46"/>
      <c r="CU184" s="46"/>
      <c r="CV184" s="46"/>
      <c r="CW184" s="46"/>
      <c r="CX184" s="46"/>
      <c r="CY184" s="46"/>
      <c r="CZ184" s="46"/>
      <c r="DA184" s="46"/>
      <c r="DB184" s="46"/>
      <c r="DC184" s="46"/>
      <c r="DD184" s="46"/>
      <c r="DE184" s="46"/>
      <c r="DF184" s="46"/>
      <c r="DG184" s="46"/>
      <c r="DH184" s="46"/>
      <c r="DI184" s="46"/>
      <c r="DJ184" s="46"/>
      <c r="DK184" s="46"/>
      <c r="DL184" s="46"/>
      <c r="DM184" s="46"/>
      <c r="DN184" s="46"/>
      <c r="DO184" s="46"/>
      <c r="DP184" s="46"/>
      <c r="DQ184" s="46"/>
      <c r="DR184" s="46"/>
      <c r="DS184" s="46"/>
      <c r="DT184" s="46"/>
      <c r="DU184" s="46"/>
      <c r="DV184" s="46"/>
      <c r="DW184" s="46"/>
      <c r="DX184" s="46"/>
      <c r="DY184" s="46"/>
      <c r="DZ184" s="46"/>
      <c r="EA184" s="46"/>
    </row>
    <row r="185" spans="2:131" ht="18" customHeight="1">
      <c r="B185" s="46"/>
      <c r="C185" s="46"/>
      <c r="D185" s="46"/>
      <c r="E185" s="46"/>
      <c r="F185" s="46"/>
      <c r="G185" s="46"/>
      <c r="H185" s="46"/>
      <c r="I185" s="46"/>
      <c r="J185" s="46"/>
      <c r="K185" s="46"/>
      <c r="L185" s="45"/>
      <c r="M185" s="46"/>
      <c r="N185" s="46"/>
      <c r="O185" s="46"/>
      <c r="P185" s="46"/>
      <c r="Q185" s="46"/>
      <c r="R185" s="46"/>
      <c r="S185" s="46"/>
      <c r="T185" s="46"/>
      <c r="U185" s="46"/>
      <c r="V185" s="46"/>
      <c r="W185" s="46"/>
      <c r="X185" s="46"/>
      <c r="Y185" s="46"/>
      <c r="Z185" s="46"/>
      <c r="AA185" s="46"/>
      <c r="AB185" s="46"/>
      <c r="AC185" s="46"/>
      <c r="AD185" s="46"/>
      <c r="AE185" s="46"/>
      <c r="AF185" s="46"/>
      <c r="AG185" s="46"/>
      <c r="AH185" s="46"/>
      <c r="AI185" s="46"/>
      <c r="AJ185" s="46"/>
      <c r="AK185" s="46"/>
      <c r="AL185" s="46"/>
      <c r="AM185" s="46"/>
      <c r="AN185" s="46"/>
      <c r="AO185" s="46"/>
      <c r="AP185" s="46"/>
      <c r="AQ185" s="46"/>
      <c r="AR185" s="46"/>
      <c r="AS185" s="46"/>
      <c r="AT185" s="46"/>
      <c r="AU185" s="46"/>
      <c r="AV185" s="46"/>
      <c r="AW185" s="46"/>
      <c r="AX185" s="46"/>
      <c r="AY185" s="46"/>
      <c r="AZ185" s="46"/>
      <c r="BA185" s="46"/>
      <c r="BB185" s="46"/>
      <c r="BC185" s="46"/>
      <c r="BD185" s="46"/>
      <c r="BE185" s="46"/>
      <c r="BF185" s="46"/>
      <c r="BG185" s="46"/>
      <c r="BH185" s="46"/>
      <c r="BI185" s="46"/>
      <c r="BJ185" s="46"/>
      <c r="BK185" s="46"/>
      <c r="BL185" s="46"/>
      <c r="BM185" s="46"/>
      <c r="BN185" s="46"/>
      <c r="BO185" s="46"/>
      <c r="BP185" s="46"/>
      <c r="BQ185" s="46"/>
      <c r="BR185" s="46"/>
      <c r="BS185" s="46"/>
      <c r="BT185" s="46"/>
      <c r="BU185" s="46"/>
      <c r="BV185" s="46"/>
      <c r="BW185" s="46"/>
      <c r="BX185" s="46"/>
      <c r="BY185" s="46"/>
      <c r="BZ185" s="46"/>
      <c r="CA185" s="46"/>
      <c r="CB185" s="46"/>
      <c r="CC185" s="46"/>
      <c r="CD185" s="46"/>
      <c r="CE185" s="46"/>
      <c r="CF185" s="46"/>
      <c r="CG185" s="46"/>
      <c r="CH185" s="46"/>
      <c r="CI185" s="46"/>
      <c r="CJ185" s="46"/>
      <c r="CK185" s="46"/>
      <c r="CL185" s="46"/>
      <c r="CM185" s="46"/>
      <c r="CN185" s="46"/>
      <c r="CO185" s="46"/>
      <c r="CP185" s="46"/>
      <c r="CQ185" s="46"/>
      <c r="CR185" s="46"/>
      <c r="CS185" s="46"/>
      <c r="CT185" s="46"/>
      <c r="CU185" s="46"/>
      <c r="CV185" s="46"/>
      <c r="CW185" s="46"/>
      <c r="CX185" s="46"/>
      <c r="CY185" s="46"/>
      <c r="CZ185" s="46"/>
      <c r="DA185" s="46"/>
      <c r="DB185" s="46"/>
      <c r="DC185" s="46"/>
      <c r="DD185" s="46"/>
      <c r="DE185" s="46"/>
      <c r="DF185" s="46"/>
      <c r="DG185" s="46"/>
      <c r="DH185" s="46"/>
      <c r="DI185" s="46"/>
      <c r="DJ185" s="46"/>
      <c r="DK185" s="46"/>
      <c r="DL185" s="46"/>
      <c r="DM185" s="46"/>
      <c r="DN185" s="46"/>
      <c r="DO185" s="46"/>
      <c r="DP185" s="46"/>
      <c r="DQ185" s="46"/>
      <c r="DR185" s="46"/>
      <c r="DS185" s="46"/>
      <c r="DT185" s="46"/>
      <c r="DU185" s="46"/>
      <c r="DV185" s="46"/>
      <c r="DW185" s="46"/>
      <c r="DX185" s="46"/>
      <c r="DY185" s="46"/>
      <c r="DZ185" s="46"/>
      <c r="EA185" s="46"/>
    </row>
    <row r="186" spans="2:131" ht="18" customHeight="1">
      <c r="B186" s="46"/>
      <c r="C186" s="46"/>
      <c r="D186" s="46"/>
      <c r="E186" s="46"/>
      <c r="F186" s="46"/>
      <c r="G186" s="46"/>
      <c r="H186" s="46"/>
      <c r="I186" s="46"/>
      <c r="J186" s="46"/>
      <c r="K186" s="46"/>
      <c r="L186" s="45"/>
      <c r="M186" s="46"/>
      <c r="N186" s="46"/>
      <c r="O186" s="46"/>
      <c r="P186" s="46"/>
      <c r="Q186" s="46"/>
      <c r="R186" s="46"/>
      <c r="S186" s="46"/>
      <c r="T186" s="46"/>
      <c r="U186" s="46"/>
      <c r="V186" s="46"/>
      <c r="W186" s="46"/>
      <c r="X186" s="46"/>
      <c r="Y186" s="46"/>
      <c r="Z186" s="46"/>
      <c r="AA186" s="46"/>
      <c r="AB186" s="46"/>
      <c r="AC186" s="46"/>
      <c r="AD186" s="46"/>
      <c r="AE186" s="46"/>
      <c r="AF186" s="46"/>
      <c r="AG186" s="46"/>
      <c r="AH186" s="46"/>
      <c r="AI186" s="46"/>
      <c r="AJ186" s="46"/>
      <c r="AK186" s="46"/>
      <c r="AL186" s="46"/>
      <c r="AM186" s="46"/>
      <c r="AN186" s="46"/>
      <c r="AO186" s="46"/>
      <c r="AP186" s="46"/>
      <c r="AQ186" s="46"/>
      <c r="AR186" s="46"/>
      <c r="AS186" s="46"/>
      <c r="AT186" s="46"/>
      <c r="AU186" s="46"/>
      <c r="AV186" s="46"/>
      <c r="AW186" s="46"/>
      <c r="AX186" s="46"/>
      <c r="AY186" s="46"/>
      <c r="AZ186" s="46"/>
      <c r="BA186" s="46"/>
      <c r="BB186" s="46"/>
      <c r="BC186" s="46"/>
      <c r="BD186" s="46"/>
      <c r="BE186" s="46"/>
      <c r="BF186" s="46"/>
      <c r="BG186" s="46"/>
      <c r="BH186" s="46"/>
      <c r="BI186" s="46"/>
      <c r="BJ186" s="46"/>
      <c r="BK186" s="46"/>
      <c r="BL186" s="46"/>
      <c r="BM186" s="46"/>
      <c r="BN186" s="46"/>
      <c r="BO186" s="46"/>
      <c r="BP186" s="46"/>
      <c r="BQ186" s="46"/>
      <c r="BR186" s="46"/>
      <c r="BS186" s="46"/>
      <c r="BT186" s="46"/>
      <c r="BU186" s="46"/>
      <c r="BV186" s="46"/>
      <c r="BW186" s="46"/>
      <c r="BX186" s="46"/>
      <c r="BY186" s="46"/>
      <c r="BZ186" s="46"/>
      <c r="CA186" s="46"/>
      <c r="CB186" s="46"/>
      <c r="CC186" s="46"/>
      <c r="CD186" s="46"/>
      <c r="CE186" s="46"/>
      <c r="CF186" s="46"/>
      <c r="CG186" s="46"/>
      <c r="CH186" s="46"/>
      <c r="CI186" s="46"/>
      <c r="CJ186" s="46"/>
      <c r="CK186" s="46"/>
      <c r="CL186" s="46"/>
      <c r="CM186" s="46"/>
      <c r="CN186" s="46"/>
      <c r="CO186" s="46"/>
      <c r="CP186" s="46"/>
      <c r="CQ186" s="46"/>
      <c r="CR186" s="46"/>
      <c r="CS186" s="46"/>
      <c r="CT186" s="46"/>
      <c r="CU186" s="46"/>
      <c r="CV186" s="46"/>
      <c r="CW186" s="46"/>
      <c r="CX186" s="46"/>
      <c r="CY186" s="46"/>
      <c r="CZ186" s="46"/>
      <c r="DA186" s="46"/>
      <c r="DB186" s="46"/>
      <c r="DC186" s="46"/>
      <c r="DD186" s="46"/>
      <c r="DE186" s="46"/>
      <c r="DF186" s="46"/>
      <c r="DG186" s="46"/>
      <c r="DH186" s="46"/>
      <c r="DI186" s="46"/>
      <c r="DJ186" s="46"/>
      <c r="DK186" s="46"/>
      <c r="DL186" s="46"/>
      <c r="DM186" s="46"/>
      <c r="DN186" s="46"/>
      <c r="DO186" s="46"/>
      <c r="DP186" s="46"/>
      <c r="DQ186" s="46"/>
      <c r="DR186" s="46"/>
      <c r="DS186" s="46"/>
      <c r="DT186" s="46"/>
      <c r="DU186" s="46"/>
      <c r="DV186" s="46"/>
      <c r="DW186" s="46"/>
      <c r="DX186" s="46"/>
      <c r="DY186" s="46"/>
      <c r="DZ186" s="46"/>
      <c r="EA186" s="46"/>
    </row>
    <row r="187" spans="2:131" ht="18" customHeight="1">
      <c r="B187" s="46"/>
      <c r="C187" s="46"/>
      <c r="D187" s="46"/>
      <c r="E187" s="46"/>
      <c r="F187" s="46"/>
      <c r="G187" s="46"/>
      <c r="H187" s="46"/>
      <c r="I187" s="46"/>
      <c r="J187" s="46"/>
      <c r="K187" s="46"/>
      <c r="L187" s="45"/>
      <c r="M187" s="46"/>
      <c r="N187" s="46"/>
      <c r="O187" s="46"/>
      <c r="P187" s="46"/>
      <c r="Q187" s="46"/>
      <c r="R187" s="46"/>
      <c r="S187" s="46"/>
      <c r="T187" s="46"/>
      <c r="U187" s="46"/>
      <c r="V187" s="46"/>
      <c r="W187" s="46"/>
      <c r="X187" s="46"/>
      <c r="Y187" s="46"/>
      <c r="Z187" s="46"/>
      <c r="AA187" s="46"/>
      <c r="AB187" s="46"/>
      <c r="AC187" s="46"/>
      <c r="AD187" s="46"/>
      <c r="AE187" s="46"/>
      <c r="AF187" s="46"/>
      <c r="AG187" s="46"/>
      <c r="AH187" s="46"/>
      <c r="AI187" s="46"/>
      <c r="AJ187" s="46"/>
      <c r="AK187" s="46"/>
      <c r="AL187" s="46"/>
      <c r="AM187" s="46"/>
      <c r="AN187" s="46"/>
      <c r="AO187" s="46"/>
      <c r="AP187" s="46"/>
      <c r="AQ187" s="46"/>
      <c r="AR187" s="46"/>
      <c r="AS187" s="46"/>
      <c r="AT187" s="46"/>
      <c r="AU187" s="46"/>
      <c r="AV187" s="46"/>
      <c r="AW187" s="46"/>
      <c r="AX187" s="46"/>
      <c r="AY187" s="46"/>
      <c r="AZ187" s="46"/>
      <c r="BA187" s="46"/>
      <c r="BB187" s="46"/>
      <c r="BC187" s="46"/>
      <c r="BD187" s="46"/>
      <c r="BE187" s="46"/>
      <c r="BF187" s="46"/>
      <c r="BG187" s="46"/>
      <c r="BH187" s="46"/>
      <c r="BI187" s="46"/>
      <c r="BJ187" s="46"/>
      <c r="BK187" s="46"/>
      <c r="BL187" s="46"/>
      <c r="BM187" s="46"/>
      <c r="BN187" s="46"/>
      <c r="BO187" s="46"/>
      <c r="BP187" s="46"/>
      <c r="BQ187" s="46"/>
      <c r="BR187" s="46"/>
      <c r="BS187" s="46"/>
      <c r="BT187" s="46"/>
      <c r="BU187" s="46"/>
      <c r="BV187" s="46"/>
      <c r="BW187" s="46"/>
      <c r="BX187" s="46"/>
      <c r="BY187" s="46"/>
      <c r="BZ187" s="46"/>
      <c r="CA187" s="46"/>
      <c r="CB187" s="46"/>
      <c r="CC187" s="46"/>
      <c r="CD187" s="46"/>
      <c r="CE187" s="46"/>
      <c r="CF187" s="46"/>
      <c r="CG187" s="46"/>
      <c r="CH187" s="46"/>
      <c r="CI187" s="46"/>
      <c r="CJ187" s="46"/>
      <c r="CK187" s="46"/>
      <c r="CL187" s="46"/>
      <c r="CM187" s="46"/>
      <c r="CN187" s="46"/>
      <c r="CO187" s="46"/>
      <c r="CP187" s="46"/>
      <c r="CQ187" s="46"/>
      <c r="CR187" s="46"/>
      <c r="CS187" s="46"/>
      <c r="CT187" s="46"/>
      <c r="CU187" s="46"/>
      <c r="CV187" s="46"/>
      <c r="CW187" s="46"/>
      <c r="CX187" s="46"/>
      <c r="CY187" s="46"/>
      <c r="CZ187" s="46"/>
      <c r="DA187" s="46"/>
      <c r="DB187" s="46"/>
      <c r="DC187" s="46"/>
      <c r="DD187" s="46"/>
      <c r="DE187" s="46"/>
      <c r="DF187" s="46"/>
      <c r="DG187" s="46"/>
      <c r="DH187" s="46"/>
      <c r="DI187" s="46"/>
      <c r="DJ187" s="46"/>
      <c r="DK187" s="46"/>
      <c r="DL187" s="46"/>
      <c r="DM187" s="46"/>
      <c r="DN187" s="46"/>
      <c r="DO187" s="46"/>
      <c r="DP187" s="46"/>
      <c r="DQ187" s="46"/>
      <c r="DR187" s="46"/>
      <c r="DS187" s="46"/>
      <c r="DT187" s="46"/>
      <c r="DU187" s="46"/>
      <c r="DV187" s="46"/>
      <c r="DW187" s="46"/>
      <c r="DX187" s="46"/>
      <c r="DY187" s="46"/>
      <c r="DZ187" s="46"/>
      <c r="EA187" s="46"/>
    </row>
    <row r="188" spans="2:131" ht="18" customHeight="1">
      <c r="B188" s="46"/>
      <c r="C188" s="46"/>
      <c r="D188" s="46"/>
      <c r="E188" s="46"/>
      <c r="F188" s="46"/>
      <c r="G188" s="46"/>
      <c r="H188" s="46"/>
      <c r="I188" s="46"/>
      <c r="J188" s="46"/>
      <c r="K188" s="46"/>
      <c r="L188" s="45"/>
      <c r="M188" s="46"/>
      <c r="N188" s="46"/>
      <c r="O188" s="46"/>
      <c r="P188" s="46"/>
      <c r="Q188" s="46"/>
      <c r="R188" s="46"/>
      <c r="S188" s="46"/>
      <c r="T188" s="46"/>
      <c r="U188" s="46"/>
      <c r="V188" s="46"/>
      <c r="W188" s="46"/>
      <c r="X188" s="46"/>
      <c r="Y188" s="46"/>
      <c r="Z188" s="46"/>
      <c r="AA188" s="46"/>
      <c r="AB188" s="46"/>
      <c r="AC188" s="46"/>
      <c r="AD188" s="46"/>
      <c r="AE188" s="46"/>
      <c r="AF188" s="46"/>
      <c r="AG188" s="46"/>
      <c r="AH188" s="46"/>
      <c r="AI188" s="46"/>
      <c r="AJ188" s="46"/>
      <c r="AK188" s="46"/>
      <c r="AL188" s="46"/>
      <c r="AM188" s="46"/>
      <c r="AN188" s="46"/>
      <c r="AO188" s="46"/>
      <c r="AP188" s="46"/>
      <c r="AQ188" s="46"/>
      <c r="AR188" s="46"/>
      <c r="AS188" s="46"/>
      <c r="AT188" s="46"/>
      <c r="AU188" s="46"/>
      <c r="AV188" s="46"/>
      <c r="AW188" s="46"/>
      <c r="AX188" s="46"/>
      <c r="AY188" s="46"/>
      <c r="AZ188" s="46"/>
      <c r="BA188" s="46"/>
      <c r="BB188" s="46"/>
      <c r="BC188" s="46"/>
      <c r="BD188" s="46"/>
      <c r="BE188" s="46"/>
      <c r="BF188" s="46"/>
      <c r="BG188" s="46"/>
      <c r="BH188" s="46"/>
      <c r="BI188" s="46"/>
      <c r="BJ188" s="46"/>
      <c r="BK188" s="46"/>
      <c r="BL188" s="46"/>
      <c r="BM188" s="46"/>
      <c r="BN188" s="46"/>
      <c r="BO188" s="46"/>
      <c r="BP188" s="46"/>
      <c r="BQ188" s="46"/>
      <c r="BR188" s="46"/>
      <c r="BS188" s="46"/>
      <c r="BT188" s="46"/>
      <c r="BU188" s="46"/>
      <c r="BV188" s="46"/>
      <c r="BW188" s="46"/>
      <c r="BX188" s="46"/>
      <c r="BY188" s="46"/>
      <c r="BZ188" s="46"/>
      <c r="CA188" s="46"/>
      <c r="CB188" s="46"/>
      <c r="CC188" s="46"/>
      <c r="CD188" s="46"/>
      <c r="CE188" s="46"/>
      <c r="CF188" s="46"/>
      <c r="CG188" s="46"/>
      <c r="CH188" s="46"/>
      <c r="CI188" s="46"/>
      <c r="CJ188" s="46"/>
      <c r="CK188" s="46"/>
      <c r="CL188" s="46"/>
      <c r="CM188" s="46"/>
      <c r="CN188" s="46"/>
      <c r="CO188" s="46"/>
      <c r="CP188" s="46"/>
      <c r="CQ188" s="46"/>
      <c r="CR188" s="46"/>
      <c r="CS188" s="46"/>
      <c r="CT188" s="46"/>
      <c r="CU188" s="46"/>
      <c r="CV188" s="46"/>
      <c r="CW188" s="46"/>
      <c r="CX188" s="46"/>
      <c r="CY188" s="46"/>
      <c r="CZ188" s="46"/>
      <c r="DA188" s="46"/>
      <c r="DB188" s="46"/>
      <c r="DC188" s="46"/>
      <c r="DD188" s="46"/>
      <c r="DE188" s="46"/>
      <c r="DF188" s="46"/>
      <c r="DG188" s="46"/>
      <c r="DH188" s="46"/>
      <c r="DI188" s="46"/>
      <c r="DJ188" s="46"/>
      <c r="DK188" s="46"/>
      <c r="DL188" s="46"/>
      <c r="DM188" s="46"/>
      <c r="DN188" s="46"/>
      <c r="DO188" s="46"/>
      <c r="DP188" s="46"/>
      <c r="DQ188" s="46"/>
      <c r="DR188" s="46"/>
      <c r="DS188" s="46"/>
      <c r="DT188" s="46"/>
      <c r="DU188" s="46"/>
      <c r="DV188" s="46"/>
      <c r="DW188" s="46"/>
      <c r="DX188" s="46"/>
      <c r="DY188" s="46"/>
      <c r="DZ188" s="46"/>
      <c r="EA188" s="46"/>
    </row>
    <row r="189" spans="2:131" ht="18" customHeight="1">
      <c r="B189" s="45"/>
      <c r="C189" s="45"/>
      <c r="D189" s="46"/>
      <c r="E189" s="46"/>
      <c r="F189" s="46"/>
      <c r="G189" s="46"/>
      <c r="H189" s="46"/>
      <c r="I189" s="46"/>
      <c r="J189" s="46"/>
      <c r="K189" s="46"/>
      <c r="L189" s="45"/>
      <c r="M189" s="46"/>
      <c r="N189" s="46"/>
      <c r="O189" s="46"/>
      <c r="P189" s="46"/>
      <c r="Q189" s="46"/>
      <c r="R189" s="46"/>
      <c r="S189" s="46"/>
      <c r="T189" s="46"/>
      <c r="U189" s="46"/>
      <c r="V189" s="46"/>
      <c r="W189" s="46"/>
      <c r="X189" s="46"/>
      <c r="Y189" s="46"/>
      <c r="Z189" s="46"/>
      <c r="AA189" s="46"/>
      <c r="AB189" s="46"/>
      <c r="AC189" s="46"/>
      <c r="AD189" s="46"/>
      <c r="AE189" s="46"/>
      <c r="AF189" s="46"/>
      <c r="AG189" s="46"/>
      <c r="AH189" s="46"/>
      <c r="AI189" s="46"/>
      <c r="AJ189" s="46"/>
      <c r="AK189" s="46"/>
      <c r="AL189" s="46"/>
      <c r="AM189" s="46"/>
      <c r="AN189" s="46"/>
      <c r="AO189" s="46"/>
      <c r="AP189" s="46"/>
      <c r="AQ189" s="46"/>
      <c r="AR189" s="46"/>
      <c r="AS189" s="46"/>
      <c r="AT189" s="46"/>
      <c r="AU189" s="46"/>
      <c r="AV189" s="46"/>
      <c r="AW189" s="46"/>
      <c r="AX189" s="46"/>
      <c r="AY189" s="46"/>
      <c r="AZ189" s="46"/>
      <c r="BA189" s="46"/>
      <c r="BB189" s="46"/>
      <c r="BC189" s="46"/>
      <c r="BD189" s="46"/>
      <c r="BE189" s="46"/>
      <c r="BF189" s="46"/>
      <c r="BG189" s="46"/>
      <c r="BH189" s="46"/>
      <c r="BI189" s="46"/>
      <c r="BJ189" s="46"/>
      <c r="BK189" s="46"/>
      <c r="BL189" s="46"/>
      <c r="BM189" s="46"/>
      <c r="BN189" s="46"/>
      <c r="BO189" s="46"/>
      <c r="BP189" s="46"/>
      <c r="BQ189" s="46"/>
      <c r="BR189" s="46"/>
      <c r="BS189" s="46"/>
      <c r="BT189" s="46"/>
      <c r="BU189" s="46"/>
      <c r="BV189" s="46"/>
      <c r="BW189" s="46"/>
      <c r="BX189" s="46"/>
      <c r="BY189" s="46"/>
      <c r="BZ189" s="46"/>
      <c r="CA189" s="46"/>
      <c r="CB189" s="46"/>
      <c r="CC189" s="46"/>
      <c r="CD189" s="46"/>
      <c r="CE189" s="46"/>
      <c r="CF189" s="46"/>
      <c r="CG189" s="46"/>
      <c r="CH189" s="46"/>
      <c r="CI189" s="46"/>
      <c r="CJ189" s="46"/>
      <c r="CK189" s="46"/>
      <c r="CL189" s="46"/>
      <c r="CM189" s="46"/>
      <c r="CN189" s="46"/>
      <c r="CO189" s="46"/>
      <c r="CP189" s="46"/>
      <c r="CQ189" s="46"/>
      <c r="CR189" s="46"/>
      <c r="CS189" s="46"/>
      <c r="CT189" s="46"/>
      <c r="CU189" s="46"/>
      <c r="CV189" s="46"/>
      <c r="CW189" s="46"/>
      <c r="CX189" s="46"/>
      <c r="CY189" s="46"/>
      <c r="CZ189" s="46"/>
      <c r="DA189" s="46"/>
      <c r="DB189" s="46"/>
      <c r="DC189" s="46"/>
      <c r="DD189" s="46"/>
      <c r="DE189" s="46"/>
      <c r="DF189" s="46"/>
      <c r="DG189" s="46"/>
      <c r="DH189" s="46"/>
      <c r="DI189" s="46"/>
      <c r="DJ189" s="46"/>
      <c r="DK189" s="46"/>
      <c r="DL189" s="46"/>
      <c r="DM189" s="46"/>
      <c r="DN189" s="46"/>
      <c r="DO189" s="46"/>
      <c r="DP189" s="46"/>
      <c r="DQ189" s="46"/>
      <c r="DR189" s="46"/>
      <c r="DS189" s="46"/>
      <c r="DT189" s="46"/>
      <c r="DU189" s="46"/>
      <c r="DV189" s="46"/>
      <c r="DW189" s="46"/>
      <c r="DX189" s="46"/>
      <c r="DY189" s="46"/>
      <c r="DZ189" s="46"/>
      <c r="EA189" s="46"/>
    </row>
    <row r="190" spans="2:131" ht="18" customHeight="1">
      <c r="B190" s="46"/>
      <c r="C190" s="46"/>
      <c r="D190" s="46"/>
      <c r="E190" s="46"/>
      <c r="F190" s="46"/>
      <c r="G190" s="46"/>
      <c r="H190" s="46"/>
      <c r="I190" s="46"/>
      <c r="J190" s="46"/>
      <c r="K190" s="46"/>
      <c r="L190" s="45"/>
      <c r="M190" s="46"/>
      <c r="N190" s="46"/>
      <c r="O190" s="46"/>
      <c r="P190" s="46"/>
      <c r="Q190" s="46"/>
      <c r="R190" s="46"/>
      <c r="S190" s="46"/>
      <c r="T190" s="46"/>
      <c r="U190" s="46"/>
      <c r="V190" s="46"/>
      <c r="W190" s="46"/>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c r="BA190" s="46"/>
      <c r="BB190" s="46"/>
      <c r="BC190" s="46"/>
      <c r="BD190" s="46"/>
      <c r="BE190" s="46"/>
      <c r="BF190" s="46"/>
      <c r="BG190" s="46"/>
      <c r="BH190" s="46"/>
      <c r="BI190" s="46"/>
      <c r="BJ190" s="46"/>
      <c r="BK190" s="46"/>
      <c r="BL190" s="46"/>
      <c r="BM190" s="46"/>
      <c r="BN190" s="46"/>
      <c r="BO190" s="46"/>
      <c r="BP190" s="46"/>
      <c r="BQ190" s="46"/>
      <c r="BR190" s="46"/>
      <c r="BS190" s="46"/>
      <c r="BT190" s="46"/>
      <c r="BU190" s="46"/>
      <c r="BV190" s="46"/>
      <c r="BW190" s="46"/>
      <c r="BX190" s="46"/>
      <c r="BY190" s="46"/>
      <c r="BZ190" s="46"/>
      <c r="CA190" s="46"/>
      <c r="CB190" s="46"/>
      <c r="CC190" s="46"/>
      <c r="CD190" s="46"/>
      <c r="CE190" s="46"/>
      <c r="CF190" s="46"/>
      <c r="CG190" s="46"/>
      <c r="CH190" s="46"/>
      <c r="CI190" s="46"/>
      <c r="CJ190" s="46"/>
      <c r="CK190" s="46"/>
      <c r="CL190" s="46"/>
      <c r="CM190" s="46"/>
      <c r="CN190" s="46"/>
      <c r="CO190" s="46"/>
      <c r="CP190" s="46"/>
      <c r="CQ190" s="46"/>
      <c r="CR190" s="46"/>
      <c r="CS190" s="46"/>
      <c r="CT190" s="46"/>
      <c r="CU190" s="46"/>
      <c r="CV190" s="46"/>
      <c r="CW190" s="46"/>
      <c r="CX190" s="46"/>
      <c r="CY190" s="46"/>
      <c r="CZ190" s="46"/>
      <c r="DA190" s="46"/>
      <c r="DB190" s="46"/>
      <c r="DC190" s="46"/>
      <c r="DD190" s="46"/>
      <c r="DE190" s="46"/>
      <c r="DF190" s="46"/>
      <c r="DG190" s="46"/>
      <c r="DH190" s="46"/>
      <c r="DI190" s="46"/>
      <c r="DJ190" s="46"/>
      <c r="DK190" s="46"/>
      <c r="DL190" s="46"/>
      <c r="DM190" s="46"/>
      <c r="DN190" s="46"/>
      <c r="DO190" s="46"/>
      <c r="DP190" s="46"/>
      <c r="DQ190" s="46"/>
      <c r="DR190" s="46"/>
      <c r="DS190" s="46"/>
      <c r="DT190" s="46"/>
      <c r="DU190" s="46"/>
      <c r="DV190" s="46"/>
      <c r="DW190" s="46"/>
      <c r="DX190" s="46"/>
      <c r="DY190" s="46"/>
      <c r="DZ190" s="46"/>
      <c r="EA190" s="46"/>
    </row>
    <row r="191" spans="2:131" ht="18" customHeight="1">
      <c r="B191" s="46"/>
      <c r="C191" s="46"/>
      <c r="D191" s="46"/>
      <c r="E191" s="46"/>
      <c r="F191" s="46"/>
      <c r="G191" s="46"/>
      <c r="H191" s="46"/>
      <c r="I191" s="46"/>
      <c r="J191" s="46"/>
      <c r="K191" s="46"/>
      <c r="L191" s="45"/>
      <c r="M191" s="46"/>
      <c r="N191" s="46"/>
      <c r="O191" s="46"/>
      <c r="P191" s="46"/>
      <c r="Q191" s="46"/>
      <c r="R191" s="46"/>
      <c r="S191" s="46"/>
      <c r="T191" s="46"/>
      <c r="U191" s="46"/>
      <c r="V191" s="46"/>
      <c r="W191" s="46"/>
      <c r="X191" s="46"/>
      <c r="Y191" s="46"/>
      <c r="Z191" s="46"/>
      <c r="AA191" s="46"/>
      <c r="AB191" s="46"/>
      <c r="AC191" s="46"/>
      <c r="AD191" s="46"/>
      <c r="AE191" s="46"/>
      <c r="AF191" s="46"/>
      <c r="AG191" s="46"/>
      <c r="AH191" s="46"/>
      <c r="AI191" s="46"/>
      <c r="AJ191" s="46"/>
      <c r="AK191" s="46"/>
      <c r="AL191" s="46"/>
      <c r="AM191" s="46"/>
      <c r="AN191" s="46"/>
      <c r="AO191" s="46"/>
      <c r="AP191" s="46"/>
      <c r="AQ191" s="46"/>
      <c r="AR191" s="46"/>
      <c r="AS191" s="46"/>
      <c r="AT191" s="46"/>
      <c r="AU191" s="46"/>
      <c r="AV191" s="46"/>
      <c r="AW191" s="46"/>
      <c r="AX191" s="46"/>
      <c r="AY191" s="46"/>
      <c r="AZ191" s="46"/>
      <c r="BA191" s="46"/>
      <c r="BB191" s="46"/>
      <c r="BC191" s="46"/>
      <c r="BD191" s="46"/>
      <c r="BE191" s="46"/>
      <c r="BF191" s="46"/>
      <c r="BG191" s="46"/>
      <c r="BH191" s="46"/>
      <c r="BI191" s="46"/>
      <c r="BJ191" s="46"/>
      <c r="BK191" s="46"/>
      <c r="BL191" s="46"/>
      <c r="BM191" s="46"/>
      <c r="BN191" s="46"/>
      <c r="BO191" s="46"/>
      <c r="BP191" s="46"/>
      <c r="BQ191" s="46"/>
      <c r="BR191" s="46"/>
      <c r="BS191" s="46"/>
      <c r="BT191" s="46"/>
      <c r="BU191" s="46"/>
      <c r="BV191" s="46"/>
      <c r="BW191" s="46"/>
      <c r="BX191" s="46"/>
      <c r="BY191" s="46"/>
      <c r="BZ191" s="46"/>
      <c r="CA191" s="46"/>
      <c r="CB191" s="46"/>
      <c r="CC191" s="46"/>
      <c r="CD191" s="46"/>
      <c r="CE191" s="46"/>
      <c r="CF191" s="46"/>
      <c r="CG191" s="46"/>
      <c r="CH191" s="46"/>
      <c r="CI191" s="46"/>
      <c r="CJ191" s="46"/>
      <c r="CK191" s="46"/>
      <c r="CL191" s="46"/>
      <c r="CM191" s="46"/>
      <c r="CN191" s="46"/>
      <c r="CO191" s="46"/>
      <c r="CP191" s="46"/>
      <c r="CQ191" s="46"/>
      <c r="CR191" s="46"/>
      <c r="CS191" s="46"/>
      <c r="CT191" s="46"/>
      <c r="CU191" s="46"/>
      <c r="CV191" s="46"/>
      <c r="CW191" s="46"/>
      <c r="CX191" s="46"/>
      <c r="CY191" s="46"/>
      <c r="CZ191" s="46"/>
      <c r="DA191" s="46"/>
      <c r="DB191" s="46"/>
      <c r="DC191" s="46"/>
      <c r="DD191" s="46"/>
      <c r="DE191" s="46"/>
      <c r="DF191" s="46"/>
      <c r="DG191" s="46"/>
      <c r="DH191" s="46"/>
      <c r="DI191" s="46"/>
      <c r="DJ191" s="46"/>
      <c r="DK191" s="46"/>
      <c r="DL191" s="46"/>
      <c r="DM191" s="46"/>
      <c r="DN191" s="46"/>
      <c r="DO191" s="46"/>
      <c r="DP191" s="46"/>
      <c r="DQ191" s="46"/>
      <c r="DR191" s="46"/>
      <c r="DS191" s="46"/>
      <c r="DT191" s="46"/>
      <c r="DU191" s="46"/>
      <c r="DV191" s="46"/>
      <c r="DW191" s="46"/>
      <c r="DX191" s="46"/>
      <c r="DY191" s="46"/>
      <c r="DZ191" s="46"/>
      <c r="EA191" s="46"/>
    </row>
    <row r="192" spans="2:131" ht="18" customHeight="1">
      <c r="B192" s="46"/>
      <c r="C192" s="46"/>
      <c r="D192" s="46"/>
      <c r="E192" s="46"/>
      <c r="F192" s="46"/>
      <c r="G192" s="46"/>
      <c r="H192" s="46"/>
      <c r="I192" s="46"/>
      <c r="J192" s="46"/>
      <c r="K192" s="46"/>
      <c r="L192" s="45"/>
      <c r="M192" s="46"/>
      <c r="N192" s="46"/>
      <c r="O192" s="46"/>
      <c r="P192" s="46"/>
      <c r="Q192" s="46"/>
      <c r="R192" s="46"/>
      <c r="S192" s="46"/>
      <c r="T192" s="46"/>
      <c r="U192" s="46"/>
      <c r="V192" s="46"/>
      <c r="W192" s="46"/>
      <c r="X192" s="46"/>
      <c r="Y192" s="46"/>
      <c r="Z192" s="46"/>
      <c r="AA192" s="46"/>
      <c r="AB192" s="46"/>
      <c r="AC192" s="46"/>
      <c r="AD192" s="46"/>
      <c r="AE192" s="46"/>
      <c r="AF192" s="46"/>
      <c r="AG192" s="46"/>
      <c r="AH192" s="46"/>
      <c r="AI192" s="46"/>
      <c r="AJ192" s="46"/>
      <c r="AK192" s="46"/>
      <c r="AL192" s="46"/>
      <c r="AM192" s="46"/>
      <c r="AN192" s="46"/>
      <c r="AO192" s="46"/>
      <c r="AP192" s="46"/>
      <c r="AQ192" s="46"/>
      <c r="AR192" s="46"/>
      <c r="AS192" s="46"/>
      <c r="AT192" s="46"/>
      <c r="AU192" s="46"/>
      <c r="AV192" s="46"/>
      <c r="AW192" s="46"/>
      <c r="AX192" s="46"/>
      <c r="AY192" s="46"/>
      <c r="AZ192" s="46"/>
      <c r="BA192" s="46"/>
      <c r="BB192" s="46"/>
      <c r="BC192" s="46"/>
      <c r="BD192" s="46"/>
      <c r="BE192" s="46"/>
      <c r="BF192" s="46"/>
      <c r="BG192" s="46"/>
      <c r="BH192" s="46"/>
      <c r="BI192" s="46"/>
      <c r="BJ192" s="46"/>
      <c r="BK192" s="46"/>
      <c r="BL192" s="46"/>
      <c r="BM192" s="46"/>
      <c r="BN192" s="46"/>
      <c r="BO192" s="46"/>
      <c r="BP192" s="46"/>
      <c r="BQ192" s="46"/>
      <c r="BR192" s="46"/>
      <c r="BS192" s="46"/>
      <c r="BT192" s="46"/>
      <c r="BU192" s="46"/>
      <c r="BV192" s="46"/>
      <c r="BW192" s="46"/>
      <c r="BX192" s="46"/>
      <c r="BY192" s="46"/>
      <c r="BZ192" s="46"/>
      <c r="CA192" s="46"/>
      <c r="CB192" s="46"/>
      <c r="CC192" s="46"/>
      <c r="CD192" s="46"/>
      <c r="CE192" s="46"/>
      <c r="CF192" s="46"/>
      <c r="CG192" s="46"/>
      <c r="CH192" s="46"/>
      <c r="CI192" s="46"/>
      <c r="CJ192" s="46"/>
      <c r="CK192" s="46"/>
      <c r="CL192" s="46"/>
      <c r="CM192" s="46"/>
      <c r="CN192" s="46"/>
      <c r="CO192" s="46"/>
      <c r="CP192" s="46"/>
      <c r="CQ192" s="46"/>
      <c r="CR192" s="46"/>
      <c r="CS192" s="46"/>
      <c r="CT192" s="46"/>
      <c r="CU192" s="46"/>
      <c r="CV192" s="46"/>
      <c r="CW192" s="46"/>
      <c r="CX192" s="46"/>
      <c r="CY192" s="46"/>
      <c r="CZ192" s="46"/>
      <c r="DA192" s="46"/>
      <c r="DB192" s="46"/>
      <c r="DC192" s="46"/>
      <c r="DD192" s="46"/>
      <c r="DE192" s="46"/>
      <c r="DF192" s="46"/>
      <c r="DG192" s="46"/>
      <c r="DH192" s="46"/>
      <c r="DI192" s="46"/>
      <c r="DJ192" s="46"/>
      <c r="DK192" s="46"/>
      <c r="DL192" s="46"/>
      <c r="DM192" s="46"/>
      <c r="DN192" s="46"/>
      <c r="DO192" s="46"/>
      <c r="DP192" s="46"/>
      <c r="DQ192" s="46"/>
      <c r="DR192" s="46"/>
      <c r="DS192" s="46"/>
      <c r="DT192" s="46"/>
      <c r="DU192" s="46"/>
      <c r="DV192" s="46"/>
      <c r="DW192" s="46"/>
      <c r="DX192" s="46"/>
      <c r="DY192" s="46"/>
      <c r="DZ192" s="46"/>
      <c r="EA192" s="46"/>
    </row>
    <row r="193" spans="2:131" ht="18" customHeight="1">
      <c r="B193" s="46"/>
      <c r="C193" s="46"/>
      <c r="D193" s="46"/>
      <c r="E193" s="46"/>
      <c r="F193" s="46"/>
      <c r="G193" s="46"/>
      <c r="H193" s="46"/>
      <c r="I193" s="46"/>
      <c r="J193" s="46"/>
      <c r="K193" s="46"/>
      <c r="L193" s="45"/>
      <c r="M193" s="46"/>
      <c r="N193" s="46"/>
      <c r="O193" s="46"/>
      <c r="P193" s="46"/>
      <c r="Q193" s="46"/>
      <c r="R193" s="46"/>
      <c r="S193" s="46"/>
      <c r="T193" s="46"/>
      <c r="U193" s="46"/>
      <c r="V193" s="46"/>
      <c r="W193" s="46"/>
      <c r="X193" s="46"/>
      <c r="Y193" s="46"/>
      <c r="Z193" s="46"/>
      <c r="AA193" s="46"/>
      <c r="AB193" s="46"/>
      <c r="AC193" s="46"/>
      <c r="AD193" s="46"/>
      <c r="AE193" s="46"/>
      <c r="AF193" s="46"/>
      <c r="AG193" s="46"/>
      <c r="AH193" s="46"/>
      <c r="AI193" s="46"/>
      <c r="AJ193" s="46"/>
      <c r="AK193" s="46"/>
      <c r="AL193" s="46"/>
      <c r="AM193" s="46"/>
      <c r="AN193" s="46"/>
      <c r="AO193" s="46"/>
      <c r="AP193" s="46"/>
      <c r="AQ193" s="46"/>
      <c r="AR193" s="46"/>
      <c r="AS193" s="46"/>
      <c r="AT193" s="46"/>
      <c r="AU193" s="46"/>
      <c r="AV193" s="46"/>
      <c r="AW193" s="46"/>
      <c r="AX193" s="46"/>
      <c r="AY193" s="46"/>
      <c r="AZ193" s="46"/>
      <c r="BA193" s="46"/>
      <c r="BB193" s="46"/>
      <c r="BC193" s="46"/>
      <c r="BD193" s="46"/>
      <c r="BE193" s="46"/>
      <c r="BF193" s="46"/>
      <c r="BG193" s="46"/>
      <c r="BH193" s="46"/>
      <c r="BI193" s="46"/>
      <c r="BJ193" s="46"/>
      <c r="BK193" s="46"/>
      <c r="BL193" s="46"/>
      <c r="BM193" s="46"/>
      <c r="BN193" s="46"/>
      <c r="BO193" s="46"/>
      <c r="BP193" s="46"/>
      <c r="BQ193" s="46"/>
      <c r="BR193" s="46"/>
      <c r="BS193" s="46"/>
      <c r="BT193" s="46"/>
      <c r="BU193" s="46"/>
      <c r="BV193" s="46"/>
      <c r="BW193" s="46"/>
      <c r="BX193" s="46"/>
      <c r="BY193" s="46"/>
      <c r="BZ193" s="46"/>
      <c r="CA193" s="46"/>
      <c r="CB193" s="46"/>
      <c r="CC193" s="46"/>
      <c r="CD193" s="46"/>
      <c r="CE193" s="46"/>
      <c r="CF193" s="46"/>
      <c r="CG193" s="46"/>
      <c r="CH193" s="46"/>
      <c r="CI193" s="46"/>
      <c r="CJ193" s="46"/>
      <c r="CK193" s="46"/>
      <c r="CL193" s="46"/>
      <c r="CM193" s="46"/>
      <c r="CN193" s="46"/>
      <c r="CO193" s="46"/>
      <c r="CP193" s="46"/>
      <c r="CQ193" s="46"/>
      <c r="CR193" s="46"/>
      <c r="CS193" s="46"/>
      <c r="CT193" s="46"/>
      <c r="CU193" s="46"/>
      <c r="CV193" s="46"/>
      <c r="CW193" s="46"/>
      <c r="CX193" s="46"/>
      <c r="CY193" s="46"/>
      <c r="CZ193" s="46"/>
      <c r="DA193" s="46"/>
      <c r="DB193" s="46"/>
      <c r="DC193" s="46"/>
      <c r="DD193" s="46"/>
      <c r="DE193" s="46"/>
      <c r="DF193" s="46"/>
      <c r="DG193" s="46"/>
      <c r="DH193" s="46"/>
      <c r="DI193" s="46"/>
      <c r="DJ193" s="46"/>
      <c r="DK193" s="46"/>
      <c r="DL193" s="46"/>
      <c r="DM193" s="46"/>
      <c r="DN193" s="46"/>
      <c r="DO193" s="46"/>
      <c r="DP193" s="46"/>
      <c r="DQ193" s="46"/>
      <c r="DR193" s="46"/>
      <c r="DS193" s="46"/>
      <c r="DT193" s="46"/>
      <c r="DU193" s="46"/>
      <c r="DV193" s="46"/>
      <c r="DW193" s="46"/>
      <c r="DX193" s="46"/>
      <c r="DY193" s="46"/>
      <c r="DZ193" s="46"/>
      <c r="EA193" s="46"/>
    </row>
    <row r="194" spans="2:131" ht="18" customHeight="1">
      <c r="B194" s="46"/>
      <c r="C194" s="46"/>
      <c r="D194" s="46"/>
      <c r="E194" s="46"/>
      <c r="F194" s="46"/>
      <c r="G194" s="46"/>
      <c r="H194" s="46"/>
      <c r="I194" s="46"/>
      <c r="J194" s="46"/>
      <c r="K194" s="46"/>
      <c r="L194" s="45"/>
      <c r="M194" s="46"/>
      <c r="N194" s="46"/>
      <c r="O194" s="46"/>
      <c r="P194" s="46"/>
      <c r="Q194" s="46"/>
      <c r="R194" s="46"/>
      <c r="S194" s="46"/>
      <c r="T194" s="46"/>
      <c r="U194" s="46"/>
      <c r="V194" s="46"/>
      <c r="W194" s="46"/>
      <c r="X194" s="46"/>
      <c r="Y194" s="46"/>
      <c r="Z194" s="46"/>
      <c r="AA194" s="46"/>
      <c r="AB194" s="46"/>
      <c r="AC194" s="46"/>
      <c r="AD194" s="46"/>
      <c r="AE194" s="46"/>
      <c r="AF194" s="46"/>
      <c r="AG194" s="46"/>
      <c r="AH194" s="46"/>
      <c r="AI194" s="46"/>
      <c r="AJ194" s="46"/>
      <c r="AK194" s="46"/>
      <c r="AL194" s="46"/>
      <c r="AM194" s="46"/>
      <c r="AN194" s="46"/>
      <c r="AO194" s="46"/>
      <c r="AP194" s="46"/>
      <c r="AQ194" s="46"/>
      <c r="AR194" s="46"/>
      <c r="AS194" s="46"/>
      <c r="AT194" s="46"/>
      <c r="AU194" s="46"/>
      <c r="AV194" s="46"/>
      <c r="AW194" s="46"/>
      <c r="AX194" s="46"/>
      <c r="AY194" s="46"/>
      <c r="AZ194" s="46"/>
      <c r="BA194" s="46"/>
      <c r="BB194" s="46"/>
      <c r="BC194" s="46"/>
      <c r="BD194" s="46"/>
      <c r="BE194" s="46"/>
      <c r="BF194" s="46"/>
      <c r="BG194" s="46"/>
      <c r="BH194" s="46"/>
      <c r="BI194" s="46"/>
      <c r="BJ194" s="46"/>
      <c r="BK194" s="46"/>
      <c r="BL194" s="46"/>
      <c r="BM194" s="46"/>
      <c r="BN194" s="46"/>
      <c r="BO194" s="46"/>
      <c r="BP194" s="46"/>
      <c r="BQ194" s="46"/>
      <c r="BR194" s="46"/>
      <c r="BS194" s="46"/>
      <c r="BT194" s="46"/>
      <c r="BU194" s="46"/>
      <c r="BV194" s="46"/>
      <c r="BW194" s="46"/>
      <c r="BX194" s="46"/>
      <c r="BY194" s="46"/>
      <c r="BZ194" s="46"/>
      <c r="CA194" s="46"/>
      <c r="CB194" s="46"/>
      <c r="CC194" s="46"/>
      <c r="CD194" s="46"/>
      <c r="CE194" s="46"/>
      <c r="CF194" s="46"/>
      <c r="CG194" s="46"/>
      <c r="CH194" s="46"/>
      <c r="CI194" s="46"/>
      <c r="CJ194" s="46"/>
      <c r="CK194" s="46"/>
      <c r="CL194" s="46"/>
      <c r="CM194" s="46"/>
      <c r="CN194" s="46"/>
      <c r="CO194" s="46"/>
      <c r="CP194" s="46"/>
      <c r="CQ194" s="46"/>
      <c r="CR194" s="46"/>
      <c r="CS194" s="46"/>
      <c r="CT194" s="46"/>
      <c r="CU194" s="46"/>
      <c r="CV194" s="46"/>
      <c r="CW194" s="46"/>
      <c r="CX194" s="46"/>
      <c r="CY194" s="46"/>
      <c r="CZ194" s="46"/>
      <c r="DA194" s="46"/>
      <c r="DB194" s="46"/>
      <c r="DC194" s="46"/>
      <c r="DD194" s="46"/>
      <c r="DE194" s="46"/>
      <c r="DF194" s="46"/>
      <c r="DG194" s="46"/>
      <c r="DH194" s="46"/>
      <c r="DI194" s="46"/>
      <c r="DJ194" s="46"/>
      <c r="DK194" s="46"/>
      <c r="DL194" s="46"/>
      <c r="DM194" s="46"/>
      <c r="DN194" s="46"/>
      <c r="DO194" s="46"/>
      <c r="DP194" s="46"/>
      <c r="DQ194" s="46"/>
      <c r="DR194" s="46"/>
      <c r="DS194" s="46"/>
      <c r="DT194" s="46"/>
      <c r="DU194" s="46"/>
      <c r="DV194" s="46"/>
      <c r="DW194" s="46"/>
      <c r="DX194" s="46"/>
      <c r="DY194" s="46"/>
      <c r="DZ194" s="46"/>
      <c r="EA194" s="46"/>
    </row>
    <row r="195" spans="2:131" ht="18" customHeight="1">
      <c r="B195" s="45"/>
      <c r="C195" s="45"/>
      <c r="D195" s="46"/>
      <c r="E195" s="46"/>
      <c r="F195" s="46"/>
      <c r="G195" s="46"/>
      <c r="H195" s="46"/>
      <c r="I195" s="46"/>
      <c r="J195" s="46"/>
      <c r="K195" s="46"/>
      <c r="L195" s="45"/>
      <c r="M195" s="46"/>
      <c r="N195" s="46"/>
      <c r="O195" s="46"/>
      <c r="P195" s="46"/>
      <c r="Q195" s="46"/>
      <c r="R195" s="46"/>
      <c r="S195" s="46"/>
      <c r="T195" s="46"/>
      <c r="U195" s="46"/>
      <c r="V195" s="46"/>
      <c r="W195" s="46"/>
      <c r="X195" s="46"/>
      <c r="Y195" s="46"/>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c r="BA195" s="46"/>
      <c r="BB195" s="46"/>
      <c r="BC195" s="46"/>
      <c r="BD195" s="46"/>
      <c r="BE195" s="46"/>
      <c r="BF195" s="46"/>
      <c r="BG195" s="46"/>
      <c r="BH195" s="46"/>
      <c r="BI195" s="46"/>
      <c r="BJ195" s="46"/>
      <c r="BK195" s="46"/>
      <c r="BL195" s="46"/>
      <c r="BM195" s="46"/>
      <c r="BN195" s="46"/>
      <c r="BO195" s="46"/>
      <c r="BP195" s="46"/>
      <c r="BQ195" s="46"/>
      <c r="BR195" s="46"/>
      <c r="BS195" s="46"/>
      <c r="BT195" s="46"/>
      <c r="BU195" s="46"/>
      <c r="BV195" s="46"/>
      <c r="BW195" s="46"/>
      <c r="BX195" s="46"/>
      <c r="BY195" s="46"/>
      <c r="BZ195" s="46"/>
      <c r="CA195" s="46"/>
      <c r="CB195" s="46"/>
      <c r="CC195" s="46"/>
      <c r="CD195" s="46"/>
      <c r="CE195" s="46"/>
      <c r="CF195" s="46"/>
      <c r="CG195" s="46"/>
      <c r="CH195" s="46"/>
      <c r="CI195" s="46"/>
      <c r="CJ195" s="46"/>
      <c r="CK195" s="46"/>
      <c r="CL195" s="46"/>
      <c r="CM195" s="46"/>
      <c r="CN195" s="46"/>
      <c r="CO195" s="46"/>
      <c r="CP195" s="46"/>
      <c r="CQ195" s="46"/>
      <c r="CR195" s="46"/>
      <c r="CS195" s="46"/>
      <c r="CT195" s="46"/>
      <c r="CU195" s="46"/>
      <c r="CV195" s="46"/>
      <c r="CW195" s="46"/>
      <c r="CX195" s="46"/>
      <c r="CY195" s="46"/>
      <c r="CZ195" s="46"/>
      <c r="DA195" s="46"/>
      <c r="DB195" s="46"/>
      <c r="DC195" s="46"/>
      <c r="DD195" s="46"/>
      <c r="DE195" s="46"/>
      <c r="DF195" s="46"/>
      <c r="DG195" s="46"/>
      <c r="DH195" s="46"/>
      <c r="DI195" s="46"/>
      <c r="DJ195" s="46"/>
      <c r="DK195" s="46"/>
      <c r="DL195" s="46"/>
      <c r="DM195" s="46"/>
      <c r="DN195" s="46"/>
      <c r="DO195" s="46"/>
      <c r="DP195" s="46"/>
      <c r="DQ195" s="46"/>
      <c r="DR195" s="46"/>
      <c r="DS195" s="46"/>
      <c r="DT195" s="46"/>
      <c r="DU195" s="46"/>
      <c r="DV195" s="46"/>
      <c r="DW195" s="46"/>
      <c r="DX195" s="46"/>
      <c r="DY195" s="46"/>
      <c r="DZ195" s="46"/>
      <c r="EA195" s="46"/>
    </row>
    <row r="196" spans="2:131" ht="18" customHeight="1">
      <c r="B196" s="46"/>
      <c r="C196" s="46"/>
      <c r="D196" s="46"/>
      <c r="E196" s="46"/>
      <c r="F196" s="46"/>
      <c r="G196" s="46"/>
      <c r="H196" s="46"/>
      <c r="I196" s="46"/>
      <c r="J196" s="46"/>
      <c r="K196" s="46"/>
      <c r="L196" s="45"/>
      <c r="M196" s="46"/>
      <c r="N196" s="46"/>
      <c r="O196" s="46"/>
      <c r="P196" s="46"/>
      <c r="Q196" s="46"/>
      <c r="R196" s="46"/>
      <c r="S196" s="46"/>
      <c r="T196" s="46"/>
      <c r="U196" s="46"/>
      <c r="V196" s="46"/>
      <c r="W196" s="46"/>
      <c r="X196" s="46"/>
      <c r="Y196" s="46"/>
      <c r="Z196" s="46"/>
      <c r="AA196" s="46"/>
      <c r="AB196" s="46"/>
      <c r="AC196" s="46"/>
      <c r="AD196" s="46"/>
      <c r="AE196" s="46"/>
      <c r="AF196" s="46"/>
      <c r="AG196" s="46"/>
      <c r="AH196" s="46"/>
      <c r="AI196" s="46"/>
      <c r="AJ196" s="46"/>
      <c r="AK196" s="46"/>
      <c r="AL196" s="46"/>
      <c r="AM196" s="46"/>
      <c r="AN196" s="46"/>
      <c r="AO196" s="46"/>
      <c r="AP196" s="46"/>
      <c r="AQ196" s="46"/>
      <c r="AR196" s="46"/>
      <c r="AS196" s="46"/>
      <c r="AT196" s="46"/>
      <c r="AU196" s="46"/>
      <c r="AV196" s="46"/>
      <c r="AW196" s="46"/>
      <c r="AX196" s="46"/>
      <c r="AY196" s="46"/>
      <c r="AZ196" s="46"/>
      <c r="BA196" s="46"/>
      <c r="BB196" s="46"/>
      <c r="BC196" s="46"/>
      <c r="BD196" s="46"/>
      <c r="BE196" s="46"/>
      <c r="BF196" s="46"/>
      <c r="BG196" s="46"/>
      <c r="BH196" s="46"/>
      <c r="BI196" s="46"/>
      <c r="BJ196" s="46"/>
      <c r="BK196" s="46"/>
      <c r="BL196" s="46"/>
      <c r="BM196" s="46"/>
      <c r="BN196" s="46"/>
      <c r="BO196" s="46"/>
      <c r="BP196" s="46"/>
      <c r="BQ196" s="46"/>
      <c r="BR196" s="46"/>
      <c r="BS196" s="46"/>
      <c r="BT196" s="46"/>
      <c r="BU196" s="46"/>
      <c r="BV196" s="46"/>
      <c r="BW196" s="46"/>
      <c r="BX196" s="46"/>
      <c r="BY196" s="46"/>
      <c r="BZ196" s="46"/>
      <c r="CA196" s="46"/>
      <c r="CB196" s="46"/>
      <c r="CC196" s="46"/>
      <c r="CD196" s="46"/>
      <c r="CE196" s="46"/>
      <c r="CF196" s="46"/>
      <c r="CG196" s="46"/>
      <c r="CH196" s="46"/>
      <c r="CI196" s="46"/>
      <c r="CJ196" s="46"/>
      <c r="CK196" s="46"/>
      <c r="CL196" s="46"/>
      <c r="CM196" s="46"/>
      <c r="CN196" s="46"/>
      <c r="CO196" s="46"/>
      <c r="CP196" s="46"/>
      <c r="CQ196" s="46"/>
      <c r="CR196" s="46"/>
      <c r="CS196" s="46"/>
      <c r="CT196" s="46"/>
      <c r="CU196" s="46"/>
      <c r="CV196" s="46"/>
      <c r="CW196" s="46"/>
      <c r="CX196" s="46"/>
      <c r="CY196" s="46"/>
      <c r="CZ196" s="46"/>
      <c r="DA196" s="46"/>
      <c r="DB196" s="46"/>
      <c r="DC196" s="46"/>
      <c r="DD196" s="46"/>
      <c r="DE196" s="46"/>
      <c r="DF196" s="46"/>
      <c r="DG196" s="46"/>
      <c r="DH196" s="46"/>
      <c r="DI196" s="46"/>
      <c r="DJ196" s="46"/>
      <c r="DK196" s="46"/>
      <c r="DL196" s="46"/>
      <c r="DM196" s="46"/>
      <c r="DN196" s="46"/>
      <c r="DO196" s="46"/>
      <c r="DP196" s="46"/>
      <c r="DQ196" s="46"/>
      <c r="DR196" s="46"/>
      <c r="DS196" s="46"/>
      <c r="DT196" s="46"/>
      <c r="DU196" s="46"/>
      <c r="DV196" s="46"/>
      <c r="DW196" s="46"/>
      <c r="DX196" s="46"/>
      <c r="DY196" s="46"/>
      <c r="DZ196" s="46"/>
      <c r="EA196" s="46"/>
    </row>
    <row r="197" spans="2:131" ht="18" customHeight="1">
      <c r="B197" s="46"/>
      <c r="C197" s="46"/>
      <c r="D197" s="46"/>
      <c r="E197" s="46"/>
      <c r="F197" s="46"/>
      <c r="G197" s="46"/>
      <c r="H197" s="46"/>
      <c r="I197" s="46"/>
      <c r="J197" s="46"/>
      <c r="K197" s="46"/>
      <c r="L197" s="45"/>
      <c r="M197" s="46"/>
      <c r="N197" s="46"/>
      <c r="O197" s="46"/>
      <c r="P197" s="46"/>
      <c r="Q197" s="46"/>
      <c r="R197" s="46"/>
      <c r="S197" s="46"/>
      <c r="T197" s="46"/>
      <c r="U197" s="46"/>
      <c r="V197" s="46"/>
      <c r="W197" s="46"/>
      <c r="X197" s="46"/>
      <c r="Y197" s="46"/>
      <c r="Z197" s="46"/>
      <c r="AA197" s="46"/>
      <c r="AB197" s="46"/>
      <c r="AC197" s="46"/>
      <c r="AD197" s="46"/>
      <c r="AE197" s="46"/>
      <c r="AF197" s="46"/>
      <c r="AG197" s="46"/>
      <c r="AH197" s="46"/>
      <c r="AI197" s="46"/>
      <c r="AJ197" s="46"/>
      <c r="AK197" s="46"/>
      <c r="AL197" s="46"/>
      <c r="AM197" s="46"/>
      <c r="AN197" s="46"/>
      <c r="AO197" s="46"/>
      <c r="AP197" s="46"/>
      <c r="AQ197" s="46"/>
      <c r="AR197" s="46"/>
      <c r="AS197" s="46"/>
      <c r="AT197" s="46"/>
      <c r="AU197" s="46"/>
      <c r="AV197" s="46"/>
      <c r="AW197" s="46"/>
      <c r="AX197" s="46"/>
      <c r="AY197" s="46"/>
      <c r="AZ197" s="46"/>
      <c r="BA197" s="46"/>
      <c r="BB197" s="46"/>
      <c r="BC197" s="46"/>
      <c r="BD197" s="46"/>
      <c r="BE197" s="46"/>
      <c r="BF197" s="46"/>
      <c r="BG197" s="46"/>
      <c r="BH197" s="46"/>
      <c r="BI197" s="46"/>
      <c r="BJ197" s="46"/>
      <c r="BK197" s="46"/>
      <c r="BL197" s="46"/>
      <c r="BM197" s="46"/>
      <c r="BN197" s="46"/>
      <c r="BO197" s="46"/>
      <c r="BP197" s="46"/>
      <c r="BQ197" s="46"/>
      <c r="BR197" s="46"/>
      <c r="BS197" s="46"/>
      <c r="BT197" s="46"/>
      <c r="BU197" s="46"/>
      <c r="BV197" s="46"/>
      <c r="BW197" s="46"/>
      <c r="BX197" s="46"/>
      <c r="BY197" s="46"/>
      <c r="BZ197" s="46"/>
      <c r="CA197" s="46"/>
      <c r="CB197" s="46"/>
      <c r="CC197" s="46"/>
      <c r="CD197" s="46"/>
      <c r="CE197" s="46"/>
      <c r="CF197" s="46"/>
      <c r="CG197" s="46"/>
      <c r="CH197" s="46"/>
      <c r="CI197" s="46"/>
      <c r="CJ197" s="46"/>
      <c r="CK197" s="46"/>
      <c r="CL197" s="46"/>
      <c r="CM197" s="46"/>
      <c r="CN197" s="46"/>
      <c r="CO197" s="46"/>
      <c r="CP197" s="46"/>
      <c r="CQ197" s="46"/>
      <c r="CR197" s="46"/>
      <c r="CS197" s="46"/>
      <c r="CT197" s="46"/>
      <c r="CU197" s="46"/>
      <c r="CV197" s="46"/>
      <c r="CW197" s="46"/>
      <c r="CX197" s="46"/>
      <c r="CY197" s="46"/>
      <c r="CZ197" s="46"/>
      <c r="DA197" s="46"/>
      <c r="DB197" s="46"/>
      <c r="DC197" s="46"/>
      <c r="DD197" s="46"/>
      <c r="DE197" s="46"/>
      <c r="DF197" s="46"/>
      <c r="DG197" s="46"/>
      <c r="DH197" s="46"/>
      <c r="DI197" s="46"/>
      <c r="DJ197" s="46"/>
      <c r="DK197" s="46"/>
      <c r="DL197" s="46"/>
      <c r="DM197" s="46"/>
      <c r="DN197" s="46"/>
      <c r="DO197" s="46"/>
      <c r="DP197" s="46"/>
      <c r="DQ197" s="46"/>
      <c r="DR197" s="46"/>
      <c r="DS197" s="46"/>
      <c r="DT197" s="46"/>
      <c r="DU197" s="46"/>
      <c r="DV197" s="46"/>
      <c r="DW197" s="46"/>
      <c r="DX197" s="46"/>
      <c r="DY197" s="46"/>
      <c r="DZ197" s="46"/>
      <c r="EA197" s="46"/>
    </row>
    <row r="198" spans="2:131" ht="18" customHeight="1">
      <c r="B198" s="46"/>
      <c r="C198" s="46"/>
      <c r="D198" s="46"/>
      <c r="E198" s="46"/>
      <c r="F198" s="46"/>
      <c r="G198" s="46"/>
      <c r="H198" s="46"/>
      <c r="I198" s="46"/>
      <c r="J198" s="46"/>
      <c r="K198" s="46"/>
      <c r="L198" s="45"/>
      <c r="M198" s="46"/>
      <c r="N198" s="46"/>
      <c r="O198" s="46"/>
      <c r="P198" s="46"/>
      <c r="Q198" s="46"/>
      <c r="R198" s="46"/>
      <c r="S198" s="46"/>
      <c r="T198" s="46"/>
      <c r="U198" s="46"/>
      <c r="V198" s="46"/>
      <c r="W198" s="46"/>
      <c r="X198" s="46"/>
      <c r="Y198" s="46"/>
      <c r="Z198" s="46"/>
      <c r="AA198" s="46"/>
      <c r="AB198" s="46"/>
      <c r="AC198" s="46"/>
      <c r="AD198" s="46"/>
      <c r="AE198" s="46"/>
      <c r="AF198" s="46"/>
      <c r="AG198" s="46"/>
      <c r="AH198" s="46"/>
      <c r="AI198" s="46"/>
      <c r="AJ198" s="46"/>
      <c r="AK198" s="46"/>
      <c r="AL198" s="46"/>
      <c r="AM198" s="46"/>
      <c r="AN198" s="46"/>
      <c r="AO198" s="46"/>
      <c r="AP198" s="46"/>
      <c r="AQ198" s="46"/>
      <c r="AR198" s="46"/>
      <c r="AS198" s="46"/>
      <c r="AT198" s="46"/>
      <c r="AU198" s="46"/>
      <c r="AV198" s="46"/>
      <c r="AW198" s="46"/>
      <c r="AX198" s="46"/>
      <c r="AY198" s="46"/>
      <c r="AZ198" s="46"/>
      <c r="BA198" s="46"/>
      <c r="BB198" s="46"/>
      <c r="BC198" s="46"/>
      <c r="BD198" s="46"/>
      <c r="BE198" s="46"/>
      <c r="BF198" s="46"/>
      <c r="BG198" s="46"/>
      <c r="BH198" s="46"/>
      <c r="BI198" s="46"/>
      <c r="BJ198" s="46"/>
      <c r="BK198" s="46"/>
      <c r="BL198" s="46"/>
      <c r="BM198" s="46"/>
      <c r="BN198" s="46"/>
      <c r="BO198" s="46"/>
      <c r="BP198" s="46"/>
      <c r="BQ198" s="46"/>
      <c r="BR198" s="46"/>
      <c r="BS198" s="46"/>
      <c r="BT198" s="46"/>
      <c r="BU198" s="46"/>
      <c r="BV198" s="46"/>
      <c r="BW198" s="46"/>
      <c r="BX198" s="46"/>
      <c r="BY198" s="46"/>
      <c r="BZ198" s="46"/>
      <c r="CA198" s="46"/>
      <c r="CB198" s="46"/>
      <c r="CC198" s="46"/>
      <c r="CD198" s="46"/>
      <c r="CE198" s="46"/>
      <c r="CF198" s="46"/>
      <c r="CG198" s="46"/>
      <c r="CH198" s="46"/>
      <c r="CI198" s="46"/>
      <c r="CJ198" s="46"/>
      <c r="CK198" s="46"/>
      <c r="CL198" s="46"/>
      <c r="CM198" s="46"/>
      <c r="CN198" s="46"/>
      <c r="CO198" s="46"/>
      <c r="CP198" s="46"/>
      <c r="CQ198" s="46"/>
      <c r="CR198" s="46"/>
      <c r="CS198" s="46"/>
      <c r="CT198" s="46"/>
      <c r="CU198" s="46"/>
      <c r="CV198" s="46"/>
      <c r="CW198" s="46"/>
      <c r="CX198" s="46"/>
      <c r="CY198" s="46"/>
      <c r="CZ198" s="46"/>
      <c r="DA198" s="46"/>
      <c r="DB198" s="46"/>
      <c r="DC198" s="46"/>
      <c r="DD198" s="46"/>
      <c r="DE198" s="46"/>
      <c r="DF198" s="46"/>
      <c r="DG198" s="46"/>
      <c r="DH198" s="46"/>
      <c r="DI198" s="46"/>
      <c r="DJ198" s="46"/>
      <c r="DK198" s="46"/>
      <c r="DL198" s="46"/>
      <c r="DM198" s="46"/>
      <c r="DN198" s="46"/>
      <c r="DO198" s="46"/>
      <c r="DP198" s="46"/>
      <c r="DQ198" s="46"/>
      <c r="DR198" s="46"/>
      <c r="DS198" s="46"/>
      <c r="DT198" s="46"/>
      <c r="DU198" s="46"/>
      <c r="DV198" s="46"/>
      <c r="DW198" s="46"/>
      <c r="DX198" s="46"/>
      <c r="DY198" s="46"/>
      <c r="DZ198" s="46"/>
      <c r="EA198" s="46"/>
    </row>
    <row r="199" spans="2:131" ht="18" customHeight="1">
      <c r="B199" s="46"/>
      <c r="C199" s="46"/>
      <c r="D199" s="46"/>
      <c r="E199" s="46"/>
      <c r="F199" s="46"/>
      <c r="G199" s="46"/>
      <c r="H199" s="46"/>
      <c r="I199" s="46"/>
      <c r="J199" s="46"/>
      <c r="K199" s="46"/>
      <c r="L199" s="45"/>
      <c r="M199" s="46"/>
      <c r="N199" s="46"/>
      <c r="O199" s="46"/>
      <c r="P199" s="46"/>
      <c r="Q199" s="46"/>
      <c r="R199" s="46"/>
      <c r="S199" s="46"/>
      <c r="T199" s="46"/>
      <c r="U199" s="46"/>
      <c r="V199" s="46"/>
      <c r="W199" s="46"/>
      <c r="X199" s="46"/>
      <c r="Y199" s="46"/>
      <c r="Z199" s="46"/>
      <c r="AA199" s="46"/>
      <c r="AB199" s="46"/>
      <c r="AC199" s="46"/>
      <c r="AD199" s="46"/>
      <c r="AE199" s="46"/>
      <c r="AF199" s="46"/>
      <c r="AG199" s="46"/>
      <c r="AH199" s="46"/>
      <c r="AI199" s="46"/>
      <c r="AJ199" s="46"/>
      <c r="AK199" s="46"/>
      <c r="AL199" s="46"/>
      <c r="AM199" s="46"/>
      <c r="AN199" s="46"/>
      <c r="AO199" s="46"/>
      <c r="AP199" s="46"/>
      <c r="AQ199" s="46"/>
      <c r="AR199" s="46"/>
      <c r="AS199" s="46"/>
      <c r="AT199" s="46"/>
      <c r="AU199" s="46"/>
      <c r="AV199" s="46"/>
      <c r="AW199" s="46"/>
      <c r="AX199" s="46"/>
      <c r="AY199" s="46"/>
      <c r="AZ199" s="46"/>
      <c r="BA199" s="46"/>
      <c r="BB199" s="46"/>
      <c r="BC199" s="46"/>
      <c r="BD199" s="46"/>
      <c r="BE199" s="46"/>
      <c r="BF199" s="46"/>
      <c r="BG199" s="46"/>
      <c r="BH199" s="46"/>
      <c r="BI199" s="46"/>
      <c r="BJ199" s="46"/>
      <c r="BK199" s="46"/>
      <c r="BL199" s="46"/>
      <c r="BM199" s="46"/>
      <c r="BN199" s="46"/>
      <c r="BO199" s="46"/>
      <c r="BP199" s="46"/>
      <c r="BQ199" s="46"/>
      <c r="BR199" s="46"/>
      <c r="BS199" s="46"/>
      <c r="BT199" s="46"/>
      <c r="BU199" s="46"/>
      <c r="BV199" s="46"/>
      <c r="BW199" s="46"/>
      <c r="BX199" s="46"/>
      <c r="BY199" s="46"/>
      <c r="BZ199" s="46"/>
      <c r="CA199" s="46"/>
      <c r="CB199" s="46"/>
      <c r="CC199" s="46"/>
      <c r="CD199" s="46"/>
      <c r="CE199" s="46"/>
      <c r="CF199" s="46"/>
      <c r="CG199" s="46"/>
      <c r="CH199" s="46"/>
      <c r="CI199" s="46"/>
      <c r="CJ199" s="46"/>
      <c r="CK199" s="46"/>
      <c r="CL199" s="46"/>
      <c r="CM199" s="46"/>
      <c r="CN199" s="46"/>
      <c r="CO199" s="46"/>
      <c r="CP199" s="46"/>
      <c r="CQ199" s="46"/>
      <c r="CR199" s="46"/>
      <c r="CS199" s="46"/>
      <c r="CT199" s="46"/>
      <c r="CU199" s="46"/>
      <c r="CV199" s="46"/>
      <c r="CW199" s="46"/>
      <c r="CX199" s="46"/>
      <c r="CY199" s="46"/>
      <c r="CZ199" s="46"/>
      <c r="DA199" s="46"/>
      <c r="DB199" s="46"/>
      <c r="DC199" s="46"/>
      <c r="DD199" s="46"/>
      <c r="DE199" s="46"/>
      <c r="DF199" s="46"/>
      <c r="DG199" s="46"/>
      <c r="DH199" s="46"/>
      <c r="DI199" s="46"/>
      <c r="DJ199" s="46"/>
      <c r="DK199" s="46"/>
      <c r="DL199" s="46"/>
      <c r="DM199" s="46"/>
      <c r="DN199" s="46"/>
      <c r="DO199" s="46"/>
      <c r="DP199" s="46"/>
      <c r="DQ199" s="46"/>
      <c r="DR199" s="46"/>
      <c r="DS199" s="46"/>
      <c r="DT199" s="46"/>
      <c r="DU199" s="46"/>
      <c r="DV199" s="46"/>
      <c r="DW199" s="46"/>
      <c r="DX199" s="46"/>
      <c r="DY199" s="46"/>
      <c r="DZ199" s="46"/>
      <c r="EA199" s="46"/>
    </row>
    <row r="200" spans="2:131" ht="18" customHeight="1">
      <c r="B200" s="46"/>
      <c r="C200" s="46"/>
      <c r="D200" s="46"/>
      <c r="E200" s="46"/>
      <c r="F200" s="46"/>
      <c r="G200" s="46"/>
      <c r="H200" s="46"/>
      <c r="I200" s="46"/>
      <c r="J200" s="46"/>
      <c r="K200" s="46"/>
      <c r="L200" s="45"/>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c r="BA200" s="46"/>
      <c r="BB200" s="46"/>
      <c r="BC200" s="46"/>
      <c r="BD200" s="46"/>
      <c r="BE200" s="46"/>
      <c r="BF200" s="46"/>
      <c r="BG200" s="46"/>
      <c r="BH200" s="46"/>
      <c r="BI200" s="46"/>
      <c r="BJ200" s="46"/>
      <c r="BK200" s="46"/>
      <c r="BL200" s="46"/>
      <c r="BM200" s="46"/>
      <c r="BN200" s="46"/>
      <c r="BO200" s="46"/>
      <c r="BP200" s="46"/>
      <c r="BQ200" s="46"/>
      <c r="BR200" s="46"/>
      <c r="BS200" s="46"/>
      <c r="BT200" s="46"/>
      <c r="BU200" s="46"/>
      <c r="BV200" s="46"/>
      <c r="BW200" s="46"/>
      <c r="BX200" s="46"/>
      <c r="BY200" s="46"/>
      <c r="BZ200" s="46"/>
      <c r="CA200" s="46"/>
      <c r="CB200" s="46"/>
      <c r="CC200" s="46"/>
      <c r="CD200" s="46"/>
      <c r="CE200" s="46"/>
      <c r="CF200" s="46"/>
      <c r="CG200" s="46"/>
      <c r="CH200" s="46"/>
      <c r="CI200" s="46"/>
      <c r="CJ200" s="46"/>
      <c r="CK200" s="46"/>
      <c r="CL200" s="46"/>
      <c r="CM200" s="46"/>
      <c r="CN200" s="46"/>
      <c r="CO200" s="46"/>
      <c r="CP200" s="46"/>
      <c r="CQ200" s="46"/>
      <c r="CR200" s="46"/>
      <c r="CS200" s="46"/>
      <c r="CT200" s="46"/>
      <c r="CU200" s="46"/>
      <c r="CV200" s="46"/>
      <c r="CW200" s="46"/>
      <c r="CX200" s="46"/>
      <c r="CY200" s="46"/>
      <c r="CZ200" s="46"/>
      <c r="DA200" s="46"/>
      <c r="DB200" s="46"/>
      <c r="DC200" s="46"/>
      <c r="DD200" s="46"/>
      <c r="DE200" s="46"/>
      <c r="DF200" s="46"/>
      <c r="DG200" s="46"/>
      <c r="DH200" s="46"/>
      <c r="DI200" s="46"/>
      <c r="DJ200" s="46"/>
      <c r="DK200" s="46"/>
      <c r="DL200" s="46"/>
      <c r="DM200" s="46"/>
      <c r="DN200" s="46"/>
      <c r="DO200" s="46"/>
      <c r="DP200" s="46"/>
      <c r="DQ200" s="46"/>
      <c r="DR200" s="46"/>
      <c r="DS200" s="46"/>
      <c r="DT200" s="46"/>
      <c r="DU200" s="46"/>
      <c r="DV200" s="46"/>
      <c r="DW200" s="46"/>
      <c r="DX200" s="46"/>
      <c r="DY200" s="46"/>
      <c r="DZ200" s="46"/>
      <c r="EA200" s="46"/>
    </row>
    <row r="201" spans="2:131" ht="18" customHeight="1">
      <c r="B201" s="45"/>
      <c r="C201" s="45"/>
      <c r="D201" s="46"/>
      <c r="E201" s="46"/>
      <c r="F201" s="46"/>
      <c r="G201" s="46"/>
      <c r="H201" s="46"/>
      <c r="I201" s="46"/>
      <c r="J201" s="46"/>
      <c r="K201" s="46"/>
      <c r="L201" s="45"/>
      <c r="M201" s="46"/>
      <c r="N201" s="46"/>
      <c r="O201" s="46"/>
      <c r="P201" s="46"/>
      <c r="Q201" s="46"/>
      <c r="R201" s="46"/>
      <c r="S201" s="46"/>
      <c r="T201" s="46"/>
      <c r="U201" s="46"/>
      <c r="V201" s="46"/>
      <c r="W201" s="46"/>
      <c r="X201" s="46"/>
      <c r="Y201" s="46"/>
      <c r="Z201" s="46"/>
      <c r="AA201" s="46"/>
      <c r="AB201" s="46"/>
      <c r="AC201" s="46"/>
      <c r="AD201" s="46"/>
      <c r="AE201" s="46"/>
      <c r="AF201" s="46"/>
      <c r="AG201" s="46"/>
      <c r="AH201" s="46"/>
      <c r="AI201" s="46"/>
      <c r="AJ201" s="46"/>
      <c r="AK201" s="46"/>
      <c r="AL201" s="46"/>
      <c r="AM201" s="46"/>
      <c r="AN201" s="46"/>
      <c r="AO201" s="46"/>
      <c r="AP201" s="46"/>
      <c r="AQ201" s="46"/>
      <c r="AR201" s="46"/>
      <c r="AS201" s="46"/>
      <c r="AT201" s="46"/>
      <c r="AU201" s="46"/>
      <c r="AV201" s="46"/>
      <c r="AW201" s="46"/>
      <c r="AX201" s="46"/>
      <c r="AY201" s="46"/>
      <c r="AZ201" s="46"/>
      <c r="BA201" s="46"/>
      <c r="BB201" s="46"/>
      <c r="BC201" s="46"/>
      <c r="BD201" s="46"/>
      <c r="BE201" s="46"/>
      <c r="BF201" s="46"/>
      <c r="BG201" s="46"/>
      <c r="BH201" s="46"/>
      <c r="BI201" s="46"/>
      <c r="BJ201" s="46"/>
      <c r="BK201" s="46"/>
      <c r="BL201" s="46"/>
      <c r="BM201" s="46"/>
      <c r="BN201" s="46"/>
      <c r="BO201" s="46"/>
      <c r="BP201" s="46"/>
      <c r="BQ201" s="46"/>
      <c r="BR201" s="46"/>
      <c r="BS201" s="46"/>
      <c r="BT201" s="46"/>
      <c r="BU201" s="46"/>
      <c r="BV201" s="46"/>
      <c r="BW201" s="46"/>
      <c r="BX201" s="46"/>
      <c r="BY201" s="46"/>
      <c r="BZ201" s="46"/>
      <c r="CA201" s="46"/>
      <c r="CB201" s="46"/>
      <c r="CC201" s="46"/>
      <c r="CD201" s="46"/>
      <c r="CE201" s="46"/>
      <c r="CF201" s="46"/>
      <c r="CG201" s="46"/>
      <c r="CH201" s="46"/>
      <c r="CI201" s="46"/>
      <c r="CJ201" s="46"/>
      <c r="CK201" s="46"/>
      <c r="CL201" s="46"/>
      <c r="CM201" s="46"/>
      <c r="CN201" s="46"/>
      <c r="CO201" s="46"/>
      <c r="CP201" s="46"/>
      <c r="CQ201" s="46"/>
      <c r="CR201" s="46"/>
      <c r="CS201" s="46"/>
      <c r="CT201" s="46"/>
      <c r="CU201" s="46"/>
      <c r="CV201" s="46"/>
      <c r="CW201" s="46"/>
      <c r="CX201" s="46"/>
      <c r="CY201" s="46"/>
      <c r="CZ201" s="46"/>
      <c r="DA201" s="46"/>
      <c r="DB201" s="46"/>
      <c r="DC201" s="46"/>
      <c r="DD201" s="46"/>
      <c r="DE201" s="46"/>
      <c r="DF201" s="46"/>
      <c r="DG201" s="46"/>
      <c r="DH201" s="46"/>
      <c r="DI201" s="46"/>
      <c r="DJ201" s="46"/>
      <c r="DK201" s="46"/>
      <c r="DL201" s="46"/>
      <c r="DM201" s="46"/>
      <c r="DN201" s="46"/>
      <c r="DO201" s="46"/>
      <c r="DP201" s="46"/>
      <c r="DQ201" s="46"/>
      <c r="DR201" s="46"/>
      <c r="DS201" s="46"/>
      <c r="DT201" s="46"/>
      <c r="DU201" s="46"/>
      <c r="DV201" s="46"/>
      <c r="DW201" s="46"/>
      <c r="DX201" s="46"/>
      <c r="DY201" s="46"/>
      <c r="DZ201" s="46"/>
      <c r="EA201" s="46"/>
    </row>
    <row r="202" spans="2:131" ht="18" customHeight="1">
      <c r="B202" s="46"/>
      <c r="C202" s="46"/>
      <c r="D202" s="46"/>
      <c r="E202" s="46"/>
      <c r="F202" s="46"/>
      <c r="G202" s="46"/>
      <c r="H202" s="46"/>
      <c r="I202" s="46"/>
      <c r="J202" s="46"/>
      <c r="K202" s="46"/>
      <c r="L202" s="45"/>
      <c r="M202" s="46"/>
      <c r="N202" s="46"/>
      <c r="O202" s="46"/>
      <c r="P202" s="46"/>
      <c r="Q202" s="46"/>
      <c r="R202" s="46"/>
      <c r="S202" s="46"/>
      <c r="T202" s="46"/>
      <c r="U202" s="46"/>
      <c r="V202" s="46"/>
      <c r="W202" s="46"/>
      <c r="X202" s="46"/>
      <c r="Y202" s="46"/>
      <c r="Z202" s="46"/>
      <c r="AA202" s="46"/>
      <c r="AB202" s="46"/>
      <c r="AC202" s="46"/>
      <c r="AD202" s="46"/>
      <c r="AE202" s="46"/>
      <c r="AF202" s="46"/>
      <c r="AG202" s="46"/>
      <c r="AH202" s="46"/>
      <c r="AI202" s="46"/>
      <c r="AJ202" s="46"/>
      <c r="AK202" s="46"/>
      <c r="AL202" s="46"/>
      <c r="AM202" s="46"/>
      <c r="AN202" s="46"/>
      <c r="AO202" s="46"/>
      <c r="AP202" s="46"/>
      <c r="AQ202" s="46"/>
      <c r="AR202" s="46"/>
      <c r="AS202" s="46"/>
      <c r="AT202" s="46"/>
      <c r="AU202" s="46"/>
      <c r="AV202" s="46"/>
      <c r="AW202" s="46"/>
      <c r="AX202" s="46"/>
      <c r="AY202" s="46"/>
      <c r="AZ202" s="46"/>
      <c r="BA202" s="46"/>
      <c r="BB202" s="46"/>
      <c r="BC202" s="46"/>
      <c r="BD202" s="46"/>
      <c r="BE202" s="46"/>
      <c r="BF202" s="46"/>
      <c r="BG202" s="46"/>
      <c r="BH202" s="46"/>
      <c r="BI202" s="46"/>
      <c r="BJ202" s="46"/>
      <c r="BK202" s="46"/>
      <c r="BL202" s="46"/>
      <c r="BM202" s="46"/>
      <c r="BN202" s="46"/>
      <c r="BO202" s="46"/>
      <c r="BP202" s="46"/>
      <c r="BQ202" s="46"/>
      <c r="BR202" s="46"/>
      <c r="BS202" s="46"/>
      <c r="BT202" s="46"/>
      <c r="BU202" s="46"/>
      <c r="BV202" s="46"/>
      <c r="BW202" s="46"/>
      <c r="BX202" s="46"/>
      <c r="BY202" s="46"/>
      <c r="BZ202" s="46"/>
      <c r="CA202" s="46"/>
      <c r="CB202" s="46"/>
      <c r="CC202" s="46"/>
      <c r="CD202" s="46"/>
      <c r="CE202" s="46"/>
      <c r="CF202" s="46"/>
      <c r="CG202" s="46"/>
      <c r="CH202" s="46"/>
      <c r="CI202" s="46"/>
      <c r="CJ202" s="46"/>
      <c r="CK202" s="46"/>
      <c r="CL202" s="46"/>
      <c r="CM202" s="46"/>
      <c r="CN202" s="46"/>
      <c r="CO202" s="46"/>
      <c r="CP202" s="46"/>
      <c r="CQ202" s="46"/>
      <c r="CR202" s="46"/>
      <c r="CS202" s="46"/>
      <c r="CT202" s="46"/>
      <c r="CU202" s="46"/>
      <c r="CV202" s="46"/>
      <c r="CW202" s="46"/>
      <c r="CX202" s="46"/>
      <c r="CY202" s="46"/>
      <c r="CZ202" s="46"/>
      <c r="DA202" s="46"/>
      <c r="DB202" s="46"/>
      <c r="DC202" s="46"/>
      <c r="DD202" s="46"/>
      <c r="DE202" s="46"/>
      <c r="DF202" s="46"/>
      <c r="DG202" s="46"/>
      <c r="DH202" s="46"/>
      <c r="DI202" s="46"/>
      <c r="DJ202" s="46"/>
      <c r="DK202" s="46"/>
      <c r="DL202" s="46"/>
      <c r="DM202" s="46"/>
      <c r="DN202" s="46"/>
      <c r="DO202" s="46"/>
      <c r="DP202" s="46"/>
      <c r="DQ202" s="46"/>
      <c r="DR202" s="46"/>
      <c r="DS202" s="46"/>
      <c r="DT202" s="46"/>
      <c r="DU202" s="46"/>
      <c r="DV202" s="46"/>
      <c r="DW202" s="46"/>
      <c r="DX202" s="46"/>
      <c r="DY202" s="46"/>
      <c r="DZ202" s="46"/>
      <c r="EA202" s="46"/>
    </row>
    <row r="203" spans="2:131" ht="18" customHeight="1">
      <c r="B203" s="46"/>
      <c r="C203" s="46"/>
      <c r="D203" s="46"/>
      <c r="E203" s="46"/>
      <c r="F203" s="46"/>
      <c r="G203" s="46"/>
      <c r="H203" s="46"/>
      <c r="I203" s="46"/>
      <c r="J203" s="46"/>
      <c r="K203" s="46"/>
      <c r="L203" s="45"/>
      <c r="M203" s="46"/>
      <c r="N203" s="46"/>
      <c r="O203" s="46"/>
      <c r="P203" s="46"/>
      <c r="Q203" s="46"/>
      <c r="R203" s="46"/>
      <c r="S203" s="46"/>
      <c r="T203" s="46"/>
      <c r="U203" s="46"/>
      <c r="V203" s="46"/>
      <c r="W203" s="46"/>
      <c r="X203" s="46"/>
      <c r="Y203" s="46"/>
      <c r="Z203" s="46"/>
      <c r="AA203" s="46"/>
      <c r="AB203" s="46"/>
      <c r="AC203" s="46"/>
      <c r="AD203" s="46"/>
      <c r="AE203" s="46"/>
      <c r="AF203" s="46"/>
      <c r="AG203" s="46"/>
      <c r="AH203" s="46"/>
      <c r="AI203" s="46"/>
      <c r="AJ203" s="46"/>
      <c r="AK203" s="46"/>
      <c r="AL203" s="46"/>
      <c r="AM203" s="46"/>
      <c r="AN203" s="46"/>
      <c r="AO203" s="46"/>
      <c r="AP203" s="46"/>
      <c r="AQ203" s="46"/>
      <c r="AR203" s="46"/>
      <c r="AS203" s="46"/>
      <c r="AT203" s="46"/>
      <c r="AU203" s="46"/>
      <c r="AV203" s="46"/>
      <c r="AW203" s="46"/>
      <c r="AX203" s="46"/>
      <c r="AY203" s="46"/>
      <c r="AZ203" s="46"/>
      <c r="BA203" s="46"/>
      <c r="BB203" s="46"/>
      <c r="BC203" s="46"/>
      <c r="BD203" s="46"/>
      <c r="BE203" s="46"/>
      <c r="BF203" s="46"/>
      <c r="BG203" s="46"/>
      <c r="BH203" s="46"/>
      <c r="BI203" s="46"/>
      <c r="BJ203" s="46"/>
      <c r="BK203" s="46"/>
      <c r="BL203" s="46"/>
      <c r="BM203" s="46"/>
      <c r="BN203" s="46"/>
      <c r="BO203" s="46"/>
      <c r="BP203" s="46"/>
      <c r="BQ203" s="46"/>
      <c r="BR203" s="46"/>
      <c r="BS203" s="46"/>
      <c r="BT203" s="46"/>
      <c r="BU203" s="46"/>
      <c r="BV203" s="46"/>
      <c r="BW203" s="46"/>
      <c r="BX203" s="46"/>
      <c r="BY203" s="46"/>
      <c r="BZ203" s="46"/>
      <c r="CA203" s="46"/>
      <c r="CB203" s="46"/>
      <c r="CC203" s="46"/>
      <c r="CD203" s="46"/>
      <c r="CE203" s="46"/>
      <c r="CF203" s="46"/>
      <c r="CG203" s="46"/>
      <c r="CH203" s="46"/>
      <c r="CI203" s="46"/>
      <c r="CJ203" s="46"/>
      <c r="CK203" s="46"/>
      <c r="CL203" s="46"/>
      <c r="CM203" s="46"/>
      <c r="CN203" s="46"/>
      <c r="CO203" s="46"/>
      <c r="CP203" s="46"/>
      <c r="CQ203" s="46"/>
      <c r="CR203" s="46"/>
      <c r="CS203" s="46"/>
      <c r="CT203" s="46"/>
      <c r="CU203" s="46"/>
      <c r="CV203" s="46"/>
      <c r="CW203" s="46"/>
      <c r="CX203" s="46"/>
      <c r="CY203" s="46"/>
      <c r="CZ203" s="46"/>
      <c r="DA203" s="46"/>
      <c r="DB203" s="46"/>
      <c r="DC203" s="46"/>
      <c r="DD203" s="46"/>
      <c r="DE203" s="46"/>
      <c r="DF203" s="46"/>
      <c r="DG203" s="46"/>
      <c r="DH203" s="46"/>
      <c r="DI203" s="46"/>
      <c r="DJ203" s="46"/>
      <c r="DK203" s="46"/>
      <c r="DL203" s="46"/>
      <c r="DM203" s="46"/>
      <c r="DN203" s="46"/>
      <c r="DO203" s="46"/>
      <c r="DP203" s="46"/>
      <c r="DQ203" s="46"/>
      <c r="DR203" s="46"/>
      <c r="DS203" s="46"/>
      <c r="DT203" s="46"/>
      <c r="DU203" s="46"/>
      <c r="DV203" s="46"/>
      <c r="DW203" s="46"/>
      <c r="DX203" s="46"/>
      <c r="DY203" s="46"/>
      <c r="DZ203" s="46"/>
      <c r="EA203" s="46"/>
    </row>
    <row r="204" spans="2:131" ht="18" customHeight="1">
      <c r="B204" s="46"/>
      <c r="C204" s="46"/>
      <c r="D204" s="46"/>
      <c r="E204" s="46"/>
      <c r="F204" s="46"/>
      <c r="G204" s="46"/>
      <c r="H204" s="46"/>
      <c r="I204" s="46"/>
      <c r="J204" s="46"/>
      <c r="K204" s="46"/>
      <c r="L204" s="45"/>
      <c r="M204" s="46"/>
      <c r="N204" s="46"/>
      <c r="O204" s="46"/>
      <c r="P204" s="46"/>
      <c r="Q204" s="46"/>
      <c r="R204" s="46"/>
      <c r="S204" s="46"/>
      <c r="T204" s="46"/>
      <c r="U204" s="46"/>
      <c r="V204" s="46"/>
      <c r="W204" s="46"/>
      <c r="X204" s="46"/>
      <c r="Y204" s="46"/>
      <c r="Z204" s="46"/>
      <c r="AA204" s="46"/>
      <c r="AB204" s="46"/>
      <c r="AC204" s="46"/>
      <c r="AD204" s="46"/>
      <c r="AE204" s="46"/>
      <c r="AF204" s="46"/>
      <c r="AG204" s="46"/>
      <c r="AH204" s="46"/>
      <c r="AI204" s="46"/>
      <c r="AJ204" s="46"/>
      <c r="AK204" s="46"/>
      <c r="AL204" s="46"/>
      <c r="AM204" s="46"/>
      <c r="AN204" s="46"/>
      <c r="AO204" s="46"/>
      <c r="AP204" s="46"/>
      <c r="AQ204" s="46"/>
      <c r="AR204" s="46"/>
      <c r="AS204" s="46"/>
      <c r="AT204" s="46"/>
      <c r="AU204" s="46"/>
      <c r="AV204" s="46"/>
      <c r="AW204" s="46"/>
      <c r="AX204" s="46"/>
      <c r="AY204" s="46"/>
      <c r="AZ204" s="46"/>
      <c r="BA204" s="46"/>
      <c r="BB204" s="46"/>
      <c r="BC204" s="46"/>
      <c r="BD204" s="46"/>
      <c r="BE204" s="46"/>
      <c r="BF204" s="46"/>
      <c r="BG204" s="46"/>
      <c r="BH204" s="46"/>
      <c r="BI204" s="46"/>
      <c r="BJ204" s="46"/>
      <c r="BK204" s="46"/>
      <c r="BL204" s="46"/>
      <c r="BM204" s="46"/>
      <c r="BN204" s="46"/>
      <c r="BO204" s="46"/>
      <c r="BP204" s="46"/>
      <c r="BQ204" s="46"/>
      <c r="BR204" s="46"/>
      <c r="BS204" s="46"/>
      <c r="BT204" s="46"/>
      <c r="BU204" s="46"/>
      <c r="BV204" s="46"/>
      <c r="BW204" s="46"/>
      <c r="BX204" s="46"/>
      <c r="BY204" s="46"/>
      <c r="BZ204" s="46"/>
      <c r="CA204" s="46"/>
      <c r="CB204" s="46"/>
      <c r="CC204" s="46"/>
      <c r="CD204" s="46"/>
      <c r="CE204" s="46"/>
      <c r="CF204" s="46"/>
      <c r="CG204" s="46"/>
      <c r="CH204" s="46"/>
      <c r="CI204" s="46"/>
      <c r="CJ204" s="46"/>
      <c r="CK204" s="46"/>
      <c r="CL204" s="46"/>
      <c r="CM204" s="46"/>
      <c r="CN204" s="46"/>
      <c r="CO204" s="46"/>
      <c r="CP204" s="46"/>
      <c r="CQ204" s="46"/>
      <c r="CR204" s="46"/>
      <c r="CS204" s="46"/>
      <c r="CT204" s="46"/>
      <c r="CU204" s="46"/>
      <c r="CV204" s="46"/>
      <c r="CW204" s="46"/>
      <c r="CX204" s="46"/>
      <c r="CY204" s="46"/>
      <c r="CZ204" s="46"/>
      <c r="DA204" s="46"/>
      <c r="DB204" s="46"/>
      <c r="DC204" s="46"/>
      <c r="DD204" s="46"/>
      <c r="DE204" s="46"/>
      <c r="DF204" s="46"/>
      <c r="DG204" s="46"/>
      <c r="DH204" s="46"/>
      <c r="DI204" s="46"/>
      <c r="DJ204" s="46"/>
      <c r="DK204" s="46"/>
      <c r="DL204" s="46"/>
      <c r="DM204" s="46"/>
      <c r="DN204" s="46"/>
      <c r="DO204" s="46"/>
      <c r="DP204" s="46"/>
      <c r="DQ204" s="46"/>
      <c r="DR204" s="46"/>
      <c r="DS204" s="46"/>
      <c r="DT204" s="46"/>
      <c r="DU204" s="46"/>
      <c r="DV204" s="46"/>
      <c r="DW204" s="46"/>
      <c r="DX204" s="46"/>
      <c r="DY204" s="46"/>
      <c r="DZ204" s="46"/>
      <c r="EA204" s="46"/>
    </row>
    <row r="205" spans="2:131" ht="18" customHeight="1">
      <c r="B205" s="46"/>
      <c r="C205" s="46"/>
      <c r="D205" s="46"/>
      <c r="E205" s="46"/>
      <c r="F205" s="46"/>
      <c r="G205" s="46"/>
      <c r="H205" s="46"/>
      <c r="I205" s="46"/>
      <c r="J205" s="46"/>
      <c r="K205" s="46"/>
      <c r="L205" s="45"/>
      <c r="M205" s="46"/>
      <c r="N205" s="46"/>
      <c r="O205" s="46"/>
      <c r="P205" s="46"/>
      <c r="Q205" s="46"/>
      <c r="R205" s="46"/>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c r="BA205" s="46"/>
      <c r="BB205" s="46"/>
      <c r="BC205" s="46"/>
      <c r="BD205" s="46"/>
      <c r="BE205" s="46"/>
      <c r="BF205" s="46"/>
      <c r="BG205" s="46"/>
      <c r="BH205" s="46"/>
      <c r="BI205" s="46"/>
      <c r="BJ205" s="46"/>
      <c r="BK205" s="46"/>
      <c r="BL205" s="46"/>
      <c r="BM205" s="46"/>
      <c r="BN205" s="46"/>
      <c r="BO205" s="46"/>
      <c r="BP205" s="46"/>
      <c r="BQ205" s="46"/>
      <c r="BR205" s="46"/>
      <c r="BS205" s="46"/>
      <c r="BT205" s="46"/>
      <c r="BU205" s="46"/>
      <c r="BV205" s="46"/>
      <c r="BW205" s="46"/>
      <c r="BX205" s="46"/>
      <c r="BY205" s="46"/>
      <c r="BZ205" s="46"/>
      <c r="CA205" s="46"/>
      <c r="CB205" s="46"/>
      <c r="CC205" s="46"/>
      <c r="CD205" s="46"/>
      <c r="CE205" s="46"/>
      <c r="CF205" s="46"/>
      <c r="CG205" s="46"/>
      <c r="CH205" s="46"/>
      <c r="CI205" s="46"/>
      <c r="CJ205" s="46"/>
      <c r="CK205" s="46"/>
      <c r="CL205" s="46"/>
      <c r="CM205" s="46"/>
      <c r="CN205" s="46"/>
      <c r="CO205" s="46"/>
      <c r="CP205" s="46"/>
      <c r="CQ205" s="46"/>
      <c r="CR205" s="46"/>
      <c r="CS205" s="46"/>
      <c r="CT205" s="46"/>
      <c r="CU205" s="46"/>
      <c r="CV205" s="46"/>
      <c r="CW205" s="46"/>
      <c r="CX205" s="46"/>
      <c r="CY205" s="46"/>
      <c r="CZ205" s="46"/>
      <c r="DA205" s="46"/>
      <c r="DB205" s="46"/>
      <c r="DC205" s="46"/>
      <c r="DD205" s="46"/>
      <c r="DE205" s="46"/>
      <c r="DF205" s="46"/>
      <c r="DG205" s="46"/>
      <c r="DH205" s="46"/>
      <c r="DI205" s="46"/>
      <c r="DJ205" s="46"/>
      <c r="DK205" s="46"/>
      <c r="DL205" s="46"/>
      <c r="DM205" s="46"/>
      <c r="DN205" s="46"/>
      <c r="DO205" s="46"/>
      <c r="DP205" s="46"/>
      <c r="DQ205" s="46"/>
      <c r="DR205" s="46"/>
      <c r="DS205" s="46"/>
      <c r="DT205" s="46"/>
      <c r="DU205" s="46"/>
      <c r="DV205" s="46"/>
      <c r="DW205" s="46"/>
      <c r="DX205" s="46"/>
      <c r="DY205" s="46"/>
      <c r="DZ205" s="46"/>
      <c r="EA205" s="46"/>
    </row>
    <row r="206" spans="2:131" ht="18" customHeight="1">
      <c r="B206" s="46"/>
      <c r="C206" s="46"/>
      <c r="D206" s="46"/>
      <c r="E206" s="46"/>
      <c r="F206" s="46"/>
      <c r="G206" s="46"/>
      <c r="H206" s="46"/>
      <c r="I206" s="46"/>
      <c r="J206" s="46"/>
      <c r="K206" s="46"/>
      <c r="L206" s="45"/>
      <c r="M206" s="46"/>
      <c r="N206" s="46"/>
      <c r="O206" s="46"/>
      <c r="P206" s="46"/>
      <c r="Q206" s="46"/>
      <c r="R206" s="46"/>
      <c r="S206" s="46"/>
      <c r="T206" s="46"/>
      <c r="U206" s="46"/>
      <c r="V206" s="46"/>
      <c r="W206" s="46"/>
      <c r="X206" s="46"/>
      <c r="Y206" s="46"/>
      <c r="Z206" s="46"/>
      <c r="AA206" s="46"/>
      <c r="AB206" s="46"/>
      <c r="AC206" s="46"/>
      <c r="AD206" s="46"/>
      <c r="AE206" s="46"/>
      <c r="AF206" s="46"/>
      <c r="AG206" s="46"/>
      <c r="AH206" s="46"/>
      <c r="AI206" s="46"/>
      <c r="AJ206" s="46"/>
      <c r="AK206" s="46"/>
      <c r="AL206" s="46"/>
      <c r="AM206" s="46"/>
      <c r="AN206" s="46"/>
      <c r="AO206" s="46"/>
      <c r="AP206" s="46"/>
      <c r="AQ206" s="46"/>
      <c r="AR206" s="46"/>
      <c r="AS206" s="46"/>
      <c r="AT206" s="46"/>
      <c r="AU206" s="46"/>
      <c r="AV206" s="46"/>
      <c r="AW206" s="46"/>
      <c r="AX206" s="46"/>
      <c r="AY206" s="46"/>
      <c r="AZ206" s="46"/>
      <c r="BA206" s="46"/>
      <c r="BB206" s="46"/>
      <c r="BC206" s="46"/>
      <c r="BD206" s="46"/>
      <c r="BE206" s="46"/>
      <c r="BF206" s="46"/>
      <c r="BG206" s="46"/>
      <c r="BH206" s="46"/>
      <c r="BI206" s="46"/>
      <c r="BJ206" s="46"/>
      <c r="BK206" s="46"/>
      <c r="BL206" s="46"/>
      <c r="BM206" s="46"/>
      <c r="BN206" s="46"/>
      <c r="BO206" s="46"/>
      <c r="BP206" s="46"/>
      <c r="BQ206" s="46"/>
      <c r="BR206" s="46"/>
      <c r="BS206" s="46"/>
      <c r="BT206" s="46"/>
      <c r="BU206" s="46"/>
      <c r="BV206" s="46"/>
      <c r="BW206" s="46"/>
      <c r="BX206" s="46"/>
      <c r="BY206" s="46"/>
      <c r="BZ206" s="46"/>
      <c r="CA206" s="46"/>
      <c r="CB206" s="46"/>
      <c r="CC206" s="46"/>
      <c r="CD206" s="46"/>
      <c r="CE206" s="46"/>
      <c r="CF206" s="46"/>
      <c r="CG206" s="46"/>
      <c r="CH206" s="46"/>
      <c r="CI206" s="46"/>
      <c r="CJ206" s="46"/>
      <c r="CK206" s="46"/>
      <c r="CL206" s="46"/>
      <c r="CM206" s="46"/>
      <c r="CN206" s="46"/>
      <c r="CO206" s="46"/>
      <c r="CP206" s="46"/>
      <c r="CQ206" s="46"/>
      <c r="CR206" s="46"/>
      <c r="CS206" s="46"/>
      <c r="CT206" s="46"/>
      <c r="CU206" s="46"/>
      <c r="CV206" s="46"/>
      <c r="CW206" s="46"/>
      <c r="CX206" s="46"/>
      <c r="CY206" s="46"/>
      <c r="CZ206" s="46"/>
      <c r="DA206" s="46"/>
      <c r="DB206" s="46"/>
      <c r="DC206" s="46"/>
      <c r="DD206" s="46"/>
      <c r="DE206" s="46"/>
      <c r="DF206" s="46"/>
      <c r="DG206" s="46"/>
      <c r="DH206" s="46"/>
      <c r="DI206" s="46"/>
      <c r="DJ206" s="46"/>
      <c r="DK206" s="46"/>
      <c r="DL206" s="46"/>
      <c r="DM206" s="46"/>
      <c r="DN206" s="46"/>
      <c r="DO206" s="46"/>
      <c r="DP206" s="46"/>
      <c r="DQ206" s="46"/>
      <c r="DR206" s="46"/>
      <c r="DS206" s="46"/>
      <c r="DT206" s="46"/>
      <c r="DU206" s="46"/>
      <c r="DV206" s="46"/>
      <c r="DW206" s="46"/>
      <c r="DX206" s="46"/>
      <c r="DY206" s="46"/>
      <c r="DZ206" s="46"/>
      <c r="EA206" s="46"/>
    </row>
    <row r="207" spans="2:131" ht="18" customHeight="1">
      <c r="B207" s="45"/>
      <c r="C207" s="45"/>
      <c r="D207" s="46"/>
      <c r="E207" s="46"/>
      <c r="F207" s="46"/>
      <c r="G207" s="46"/>
      <c r="H207" s="46"/>
      <c r="I207" s="46"/>
      <c r="J207" s="46"/>
      <c r="K207" s="46"/>
      <c r="L207" s="45"/>
      <c r="M207" s="46"/>
      <c r="N207" s="46"/>
      <c r="O207" s="46"/>
      <c r="P207" s="46"/>
      <c r="Q207" s="46"/>
      <c r="R207" s="46"/>
      <c r="S207" s="46"/>
      <c r="T207" s="46"/>
      <c r="U207" s="46"/>
      <c r="V207" s="46"/>
      <c r="W207" s="46"/>
      <c r="X207" s="46"/>
      <c r="Y207" s="46"/>
      <c r="Z207" s="46"/>
      <c r="AA207" s="46"/>
      <c r="AB207" s="46"/>
      <c r="AC207" s="46"/>
      <c r="AD207" s="46"/>
      <c r="AE207" s="46"/>
      <c r="AF207" s="46"/>
      <c r="AG207" s="46"/>
      <c r="AH207" s="46"/>
      <c r="AI207" s="46"/>
      <c r="AJ207" s="46"/>
      <c r="AK207" s="46"/>
      <c r="AL207" s="46"/>
      <c r="AM207" s="46"/>
      <c r="AN207" s="46"/>
      <c r="AO207" s="46"/>
      <c r="AP207" s="46"/>
      <c r="AQ207" s="46"/>
      <c r="AR207" s="46"/>
      <c r="AS207" s="46"/>
      <c r="AT207" s="46"/>
      <c r="AU207" s="46"/>
      <c r="AV207" s="46"/>
      <c r="AW207" s="46"/>
      <c r="AX207" s="46"/>
      <c r="AY207" s="46"/>
      <c r="AZ207" s="46"/>
      <c r="BA207" s="46"/>
      <c r="BB207" s="46"/>
      <c r="BC207" s="46"/>
      <c r="BD207" s="46"/>
      <c r="BE207" s="46"/>
      <c r="BF207" s="46"/>
      <c r="BG207" s="46"/>
      <c r="BH207" s="46"/>
      <c r="BI207" s="46"/>
      <c r="BJ207" s="46"/>
      <c r="BK207" s="46"/>
      <c r="BL207" s="46"/>
      <c r="BM207" s="46"/>
      <c r="BN207" s="46"/>
      <c r="BO207" s="46"/>
      <c r="BP207" s="46"/>
      <c r="BQ207" s="46"/>
      <c r="BR207" s="46"/>
      <c r="BS207" s="46"/>
      <c r="BT207" s="46"/>
      <c r="BU207" s="46"/>
      <c r="BV207" s="46"/>
      <c r="BW207" s="46"/>
      <c r="BX207" s="46"/>
      <c r="BY207" s="46"/>
      <c r="BZ207" s="46"/>
      <c r="CA207" s="46"/>
      <c r="CB207" s="46"/>
      <c r="CC207" s="46"/>
      <c r="CD207" s="46"/>
      <c r="CE207" s="46"/>
      <c r="CF207" s="46"/>
      <c r="CG207" s="46"/>
      <c r="CH207" s="46"/>
      <c r="CI207" s="46"/>
      <c r="CJ207" s="46"/>
      <c r="CK207" s="46"/>
      <c r="CL207" s="46"/>
      <c r="CM207" s="46"/>
      <c r="CN207" s="46"/>
      <c r="CO207" s="46"/>
      <c r="CP207" s="46"/>
      <c r="CQ207" s="46"/>
      <c r="CR207" s="46"/>
      <c r="CS207" s="46"/>
      <c r="CT207" s="46"/>
      <c r="CU207" s="46"/>
      <c r="CV207" s="46"/>
      <c r="CW207" s="46"/>
      <c r="CX207" s="46"/>
      <c r="CY207" s="46"/>
      <c r="CZ207" s="46"/>
      <c r="DA207" s="46"/>
      <c r="DB207" s="46"/>
      <c r="DC207" s="46"/>
      <c r="DD207" s="46"/>
      <c r="DE207" s="46"/>
      <c r="DF207" s="46"/>
      <c r="DG207" s="46"/>
      <c r="DH207" s="46"/>
      <c r="DI207" s="46"/>
      <c r="DJ207" s="46"/>
      <c r="DK207" s="46"/>
      <c r="DL207" s="46"/>
      <c r="DM207" s="46"/>
      <c r="DN207" s="46"/>
      <c r="DO207" s="46"/>
      <c r="DP207" s="46"/>
      <c r="DQ207" s="46"/>
      <c r="DR207" s="46"/>
      <c r="DS207" s="46"/>
      <c r="DT207" s="46"/>
      <c r="DU207" s="46"/>
      <c r="DV207" s="46"/>
      <c r="DW207" s="46"/>
      <c r="DX207" s="46"/>
      <c r="DY207" s="46"/>
      <c r="DZ207" s="46"/>
      <c r="EA207" s="46"/>
    </row>
    <row r="208" spans="2:131" ht="18" customHeight="1">
      <c r="B208" s="46"/>
      <c r="C208" s="46"/>
      <c r="D208" s="46"/>
      <c r="E208" s="46"/>
      <c r="F208" s="46"/>
      <c r="G208" s="46"/>
      <c r="H208" s="46"/>
      <c r="I208" s="46"/>
      <c r="J208" s="46"/>
      <c r="K208" s="46"/>
      <c r="L208" s="45"/>
      <c r="M208" s="46"/>
      <c r="N208" s="46"/>
      <c r="O208" s="46"/>
      <c r="P208" s="46"/>
      <c r="Q208" s="46"/>
      <c r="R208" s="46"/>
      <c r="S208" s="46"/>
      <c r="T208" s="46"/>
      <c r="U208" s="46"/>
      <c r="V208" s="46"/>
      <c r="W208" s="46"/>
      <c r="X208" s="46"/>
      <c r="Y208" s="46"/>
      <c r="Z208" s="46"/>
      <c r="AA208" s="46"/>
      <c r="AB208" s="46"/>
      <c r="AC208" s="46"/>
      <c r="AD208" s="46"/>
      <c r="AE208" s="46"/>
      <c r="AF208" s="46"/>
      <c r="AG208" s="46"/>
      <c r="AH208" s="46"/>
      <c r="AI208" s="46"/>
      <c r="AJ208" s="46"/>
      <c r="AK208" s="46"/>
      <c r="AL208" s="46"/>
      <c r="AM208" s="46"/>
      <c r="AN208" s="46"/>
      <c r="AO208" s="46"/>
      <c r="AP208" s="46"/>
      <c r="AQ208" s="46"/>
      <c r="AR208" s="46"/>
      <c r="AS208" s="46"/>
      <c r="AT208" s="46"/>
      <c r="AU208" s="46"/>
      <c r="AV208" s="46"/>
      <c r="AW208" s="46"/>
      <c r="AX208" s="46"/>
      <c r="AY208" s="46"/>
      <c r="AZ208" s="46"/>
      <c r="BA208" s="46"/>
      <c r="BB208" s="46"/>
      <c r="BC208" s="46"/>
      <c r="BD208" s="46"/>
      <c r="BE208" s="46"/>
      <c r="BF208" s="46"/>
      <c r="BG208" s="46"/>
      <c r="BH208" s="46"/>
      <c r="BI208" s="46"/>
      <c r="BJ208" s="46"/>
      <c r="BK208" s="46"/>
      <c r="BL208" s="46"/>
      <c r="BM208" s="46"/>
      <c r="BN208" s="46"/>
      <c r="BO208" s="46"/>
      <c r="BP208" s="46"/>
      <c r="BQ208" s="46"/>
      <c r="BR208" s="46"/>
      <c r="BS208" s="46"/>
      <c r="BT208" s="46"/>
      <c r="BU208" s="46"/>
      <c r="BV208" s="46"/>
      <c r="BW208" s="46"/>
      <c r="BX208" s="46"/>
      <c r="BY208" s="46"/>
      <c r="BZ208" s="46"/>
      <c r="CA208" s="46"/>
      <c r="CB208" s="46"/>
      <c r="CC208" s="46"/>
      <c r="CD208" s="46"/>
      <c r="CE208" s="46"/>
      <c r="CF208" s="46"/>
      <c r="CG208" s="46"/>
      <c r="CH208" s="46"/>
      <c r="CI208" s="46"/>
      <c r="CJ208" s="46"/>
      <c r="CK208" s="46"/>
      <c r="CL208" s="46"/>
      <c r="CM208" s="46"/>
      <c r="CN208" s="46"/>
      <c r="CO208" s="46"/>
      <c r="CP208" s="46"/>
      <c r="CQ208" s="46"/>
      <c r="CR208" s="46"/>
      <c r="CS208" s="46"/>
      <c r="CT208" s="46"/>
      <c r="CU208" s="46"/>
      <c r="CV208" s="46"/>
      <c r="CW208" s="46"/>
      <c r="CX208" s="46"/>
      <c r="CY208" s="46"/>
      <c r="CZ208" s="46"/>
      <c r="DA208" s="46"/>
      <c r="DB208" s="46"/>
      <c r="DC208" s="46"/>
      <c r="DD208" s="46"/>
      <c r="DE208" s="46"/>
      <c r="DF208" s="46"/>
      <c r="DG208" s="46"/>
      <c r="DH208" s="46"/>
      <c r="DI208" s="46"/>
      <c r="DJ208" s="46"/>
      <c r="DK208" s="46"/>
      <c r="DL208" s="46"/>
      <c r="DM208" s="46"/>
      <c r="DN208" s="46"/>
      <c r="DO208" s="46"/>
      <c r="DP208" s="46"/>
      <c r="DQ208" s="46"/>
      <c r="DR208" s="46"/>
      <c r="DS208" s="46"/>
      <c r="DT208" s="46"/>
      <c r="DU208" s="46"/>
      <c r="DV208" s="46"/>
      <c r="DW208" s="46"/>
      <c r="DX208" s="46"/>
      <c r="DY208" s="46"/>
      <c r="DZ208" s="46"/>
      <c r="EA208" s="46"/>
    </row>
    <row r="209" spans="2:131" ht="18" customHeight="1">
      <c r="B209" s="46"/>
      <c r="C209" s="46"/>
      <c r="D209" s="46"/>
      <c r="E209" s="46"/>
      <c r="F209" s="46"/>
      <c r="G209" s="46"/>
      <c r="H209" s="46"/>
      <c r="I209" s="46"/>
      <c r="J209" s="46"/>
      <c r="K209" s="46"/>
      <c r="L209" s="45"/>
      <c r="M209" s="46"/>
      <c r="N209" s="46"/>
      <c r="O209" s="46"/>
      <c r="P209" s="46"/>
      <c r="Q209" s="46"/>
      <c r="R209" s="46"/>
      <c r="S209" s="46"/>
      <c r="T209" s="46"/>
      <c r="U209" s="46"/>
      <c r="V209" s="46"/>
      <c r="W209" s="46"/>
      <c r="X209" s="46"/>
      <c r="Y209" s="46"/>
      <c r="Z209" s="46"/>
      <c r="AA209" s="46"/>
      <c r="AB209" s="46"/>
      <c r="AC209" s="46"/>
      <c r="AD209" s="46"/>
      <c r="AE209" s="46"/>
      <c r="AF209" s="46"/>
      <c r="AG209" s="46"/>
      <c r="AH209" s="46"/>
      <c r="AI209" s="46"/>
      <c r="AJ209" s="46"/>
      <c r="AK209" s="46"/>
      <c r="AL209" s="46"/>
      <c r="AM209" s="46"/>
      <c r="AN209" s="46"/>
      <c r="AO209" s="46"/>
      <c r="AP209" s="46"/>
      <c r="AQ209" s="46"/>
      <c r="AR209" s="46"/>
      <c r="AS209" s="46"/>
      <c r="AT209" s="46"/>
      <c r="AU209" s="46"/>
      <c r="AV209" s="46"/>
      <c r="AW209" s="46"/>
      <c r="AX209" s="46"/>
      <c r="AY209" s="46"/>
      <c r="AZ209" s="46"/>
      <c r="BA209" s="46"/>
      <c r="BB209" s="46"/>
      <c r="BC209" s="46"/>
      <c r="BD209" s="46"/>
      <c r="BE209" s="46"/>
      <c r="BF209" s="46"/>
      <c r="BG209" s="46"/>
      <c r="BH209" s="46"/>
      <c r="BI209" s="46"/>
      <c r="BJ209" s="46"/>
      <c r="BK209" s="46"/>
      <c r="BL209" s="46"/>
      <c r="BM209" s="46"/>
      <c r="BN209" s="46"/>
      <c r="BO209" s="46"/>
      <c r="BP209" s="46"/>
      <c r="BQ209" s="46"/>
      <c r="BR209" s="46"/>
      <c r="BS209" s="46"/>
      <c r="BT209" s="46"/>
      <c r="BU209" s="46"/>
      <c r="BV209" s="46"/>
      <c r="BW209" s="46"/>
      <c r="BX209" s="46"/>
      <c r="BY209" s="46"/>
      <c r="BZ209" s="46"/>
      <c r="CA209" s="46"/>
      <c r="CB209" s="46"/>
      <c r="CC209" s="46"/>
      <c r="CD209" s="46"/>
      <c r="CE209" s="46"/>
      <c r="CF209" s="46"/>
      <c r="CG209" s="46"/>
      <c r="CH209" s="46"/>
      <c r="CI209" s="46"/>
      <c r="CJ209" s="46"/>
      <c r="CK209" s="46"/>
      <c r="CL209" s="46"/>
      <c r="CM209" s="46"/>
      <c r="CN209" s="46"/>
      <c r="CO209" s="46"/>
      <c r="CP209" s="46"/>
      <c r="CQ209" s="46"/>
      <c r="CR209" s="46"/>
      <c r="CS209" s="46"/>
      <c r="CT209" s="46"/>
      <c r="CU209" s="46"/>
      <c r="CV209" s="46"/>
      <c r="CW209" s="46"/>
      <c r="CX209" s="46"/>
      <c r="CY209" s="46"/>
      <c r="CZ209" s="46"/>
      <c r="DA209" s="46"/>
      <c r="DB209" s="46"/>
      <c r="DC209" s="46"/>
      <c r="DD209" s="46"/>
      <c r="DE209" s="46"/>
      <c r="DF209" s="46"/>
      <c r="DG209" s="46"/>
      <c r="DH209" s="46"/>
      <c r="DI209" s="46"/>
      <c r="DJ209" s="46"/>
      <c r="DK209" s="46"/>
      <c r="DL209" s="46"/>
      <c r="DM209" s="46"/>
      <c r="DN209" s="46"/>
      <c r="DO209" s="46"/>
      <c r="DP209" s="46"/>
      <c r="DQ209" s="46"/>
      <c r="DR209" s="46"/>
      <c r="DS209" s="46"/>
      <c r="DT209" s="46"/>
      <c r="DU209" s="46"/>
      <c r="DV209" s="46"/>
      <c r="DW209" s="46"/>
      <c r="DX209" s="46"/>
      <c r="DY209" s="46"/>
      <c r="DZ209" s="46"/>
      <c r="EA209" s="46"/>
    </row>
    <row r="210" spans="2:131" ht="18" customHeight="1">
      <c r="B210" s="46"/>
      <c r="C210" s="46"/>
      <c r="D210" s="46"/>
      <c r="E210" s="46"/>
      <c r="F210" s="46"/>
      <c r="G210" s="46"/>
      <c r="H210" s="46"/>
      <c r="I210" s="46"/>
      <c r="J210" s="46"/>
      <c r="K210" s="46"/>
      <c r="L210" s="45"/>
      <c r="M210" s="46"/>
      <c r="N210" s="46"/>
      <c r="O210" s="46"/>
      <c r="P210" s="46"/>
      <c r="Q210" s="46"/>
      <c r="R210" s="46"/>
      <c r="S210" s="46"/>
      <c r="T210" s="46"/>
      <c r="U210" s="46"/>
      <c r="V210" s="46"/>
      <c r="W210" s="46"/>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c r="BA210" s="46"/>
      <c r="BB210" s="46"/>
      <c r="BC210" s="46"/>
      <c r="BD210" s="46"/>
      <c r="BE210" s="46"/>
      <c r="BF210" s="46"/>
      <c r="BG210" s="46"/>
      <c r="BH210" s="46"/>
      <c r="BI210" s="46"/>
      <c r="BJ210" s="46"/>
      <c r="BK210" s="46"/>
      <c r="BL210" s="46"/>
      <c r="BM210" s="46"/>
      <c r="BN210" s="46"/>
      <c r="BO210" s="46"/>
      <c r="BP210" s="46"/>
      <c r="BQ210" s="46"/>
      <c r="BR210" s="46"/>
      <c r="BS210" s="46"/>
      <c r="BT210" s="46"/>
      <c r="BU210" s="46"/>
      <c r="BV210" s="46"/>
      <c r="BW210" s="46"/>
      <c r="BX210" s="46"/>
      <c r="BY210" s="46"/>
      <c r="BZ210" s="46"/>
      <c r="CA210" s="46"/>
      <c r="CB210" s="46"/>
      <c r="CC210" s="46"/>
      <c r="CD210" s="46"/>
      <c r="CE210" s="46"/>
      <c r="CF210" s="46"/>
      <c r="CG210" s="46"/>
      <c r="CH210" s="46"/>
      <c r="CI210" s="46"/>
      <c r="CJ210" s="46"/>
      <c r="CK210" s="46"/>
      <c r="CL210" s="46"/>
      <c r="CM210" s="46"/>
      <c r="CN210" s="46"/>
      <c r="CO210" s="46"/>
      <c r="CP210" s="46"/>
      <c r="CQ210" s="46"/>
      <c r="CR210" s="46"/>
      <c r="CS210" s="46"/>
      <c r="CT210" s="46"/>
      <c r="CU210" s="46"/>
      <c r="CV210" s="46"/>
      <c r="CW210" s="46"/>
      <c r="CX210" s="46"/>
      <c r="CY210" s="46"/>
      <c r="CZ210" s="46"/>
      <c r="DA210" s="46"/>
      <c r="DB210" s="46"/>
      <c r="DC210" s="46"/>
      <c r="DD210" s="46"/>
      <c r="DE210" s="46"/>
      <c r="DF210" s="46"/>
      <c r="DG210" s="46"/>
      <c r="DH210" s="46"/>
      <c r="DI210" s="46"/>
      <c r="DJ210" s="46"/>
      <c r="DK210" s="46"/>
      <c r="DL210" s="46"/>
      <c r="DM210" s="46"/>
      <c r="DN210" s="46"/>
      <c r="DO210" s="46"/>
      <c r="DP210" s="46"/>
      <c r="DQ210" s="46"/>
      <c r="DR210" s="46"/>
      <c r="DS210" s="46"/>
      <c r="DT210" s="46"/>
      <c r="DU210" s="46"/>
      <c r="DV210" s="46"/>
      <c r="DW210" s="46"/>
      <c r="DX210" s="46"/>
      <c r="DY210" s="46"/>
      <c r="DZ210" s="46"/>
      <c r="EA210" s="46"/>
    </row>
    <row r="211" spans="2:131" ht="18" customHeight="1">
      <c r="B211" s="46"/>
      <c r="C211" s="46"/>
      <c r="D211" s="46"/>
      <c r="E211" s="46"/>
      <c r="F211" s="46"/>
      <c r="G211" s="46"/>
      <c r="H211" s="46"/>
      <c r="I211" s="46"/>
      <c r="J211" s="46"/>
      <c r="K211" s="46"/>
      <c r="L211" s="45"/>
      <c r="M211" s="46"/>
      <c r="N211" s="46"/>
      <c r="O211" s="46"/>
      <c r="P211" s="46"/>
      <c r="Q211" s="46"/>
      <c r="R211" s="46"/>
      <c r="S211" s="46"/>
      <c r="T211" s="46"/>
      <c r="U211" s="46"/>
      <c r="V211" s="46"/>
      <c r="W211" s="46"/>
      <c r="X211" s="46"/>
      <c r="Y211" s="46"/>
      <c r="Z211" s="46"/>
      <c r="AA211" s="46"/>
      <c r="AB211" s="46"/>
      <c r="AC211" s="46"/>
      <c r="AD211" s="46"/>
      <c r="AE211" s="46"/>
      <c r="AF211" s="46"/>
      <c r="AG211" s="46"/>
      <c r="AH211" s="46"/>
      <c r="AI211" s="46"/>
      <c r="AJ211" s="46"/>
      <c r="AK211" s="46"/>
      <c r="AL211" s="46"/>
      <c r="AM211" s="46"/>
      <c r="AN211" s="46"/>
      <c r="AO211" s="46"/>
      <c r="AP211" s="46"/>
      <c r="AQ211" s="46"/>
      <c r="AR211" s="46"/>
      <c r="AS211" s="46"/>
      <c r="AT211" s="46"/>
      <c r="AU211" s="46"/>
      <c r="AV211" s="46"/>
      <c r="AW211" s="46"/>
      <c r="AX211" s="46"/>
      <c r="AY211" s="46"/>
      <c r="AZ211" s="46"/>
      <c r="BA211" s="46"/>
      <c r="BB211" s="46"/>
      <c r="BC211" s="46"/>
      <c r="BD211" s="46"/>
      <c r="BE211" s="46"/>
      <c r="BF211" s="46"/>
      <c r="BG211" s="46"/>
      <c r="BH211" s="46"/>
      <c r="BI211" s="46"/>
      <c r="BJ211" s="46"/>
      <c r="BK211" s="46"/>
      <c r="BL211" s="46"/>
      <c r="BM211" s="46"/>
      <c r="BN211" s="46"/>
      <c r="BO211" s="46"/>
      <c r="BP211" s="46"/>
      <c r="BQ211" s="46"/>
      <c r="BR211" s="46"/>
      <c r="BS211" s="46"/>
      <c r="BT211" s="46"/>
      <c r="BU211" s="46"/>
      <c r="BV211" s="46"/>
      <c r="BW211" s="46"/>
      <c r="BX211" s="46"/>
      <c r="BY211" s="46"/>
      <c r="BZ211" s="46"/>
      <c r="CA211" s="46"/>
      <c r="CB211" s="46"/>
      <c r="CC211" s="46"/>
      <c r="CD211" s="46"/>
      <c r="CE211" s="46"/>
      <c r="CF211" s="46"/>
      <c r="CG211" s="46"/>
      <c r="CH211" s="46"/>
      <c r="CI211" s="46"/>
      <c r="CJ211" s="46"/>
      <c r="CK211" s="46"/>
      <c r="CL211" s="46"/>
      <c r="CM211" s="46"/>
      <c r="CN211" s="46"/>
      <c r="CO211" s="46"/>
      <c r="CP211" s="46"/>
      <c r="CQ211" s="46"/>
      <c r="CR211" s="46"/>
      <c r="CS211" s="46"/>
      <c r="CT211" s="46"/>
      <c r="CU211" s="46"/>
      <c r="CV211" s="46"/>
      <c r="CW211" s="46"/>
      <c r="CX211" s="46"/>
      <c r="CY211" s="46"/>
      <c r="CZ211" s="46"/>
      <c r="DA211" s="46"/>
      <c r="DB211" s="46"/>
      <c r="DC211" s="46"/>
      <c r="DD211" s="46"/>
      <c r="DE211" s="46"/>
      <c r="DF211" s="46"/>
      <c r="DG211" s="46"/>
      <c r="DH211" s="46"/>
      <c r="DI211" s="46"/>
      <c r="DJ211" s="46"/>
      <c r="DK211" s="46"/>
      <c r="DL211" s="46"/>
      <c r="DM211" s="46"/>
      <c r="DN211" s="46"/>
      <c r="DO211" s="46"/>
      <c r="DP211" s="46"/>
      <c r="DQ211" s="46"/>
      <c r="DR211" s="46"/>
      <c r="DS211" s="46"/>
      <c r="DT211" s="46"/>
      <c r="DU211" s="46"/>
      <c r="DV211" s="46"/>
      <c r="DW211" s="46"/>
      <c r="DX211" s="46"/>
      <c r="DY211" s="46"/>
      <c r="DZ211" s="46"/>
      <c r="EA211" s="46"/>
    </row>
    <row r="212" spans="2:131" ht="18" customHeight="1">
      <c r="B212" s="46"/>
      <c r="C212" s="46"/>
      <c r="D212" s="46"/>
      <c r="E212" s="46"/>
      <c r="F212" s="46"/>
      <c r="G212" s="46"/>
      <c r="H212" s="46"/>
      <c r="I212" s="46"/>
      <c r="J212" s="46"/>
      <c r="K212" s="46"/>
      <c r="L212" s="45"/>
      <c r="M212" s="46"/>
      <c r="N212" s="46"/>
      <c r="O212" s="46"/>
      <c r="P212" s="46"/>
      <c r="Q212" s="46"/>
      <c r="R212" s="46"/>
      <c r="S212" s="46"/>
      <c r="T212" s="46"/>
      <c r="U212" s="46"/>
      <c r="V212" s="46"/>
      <c r="W212" s="46"/>
      <c r="X212" s="46"/>
      <c r="Y212" s="46"/>
      <c r="Z212" s="46"/>
      <c r="AA212" s="46"/>
      <c r="AB212" s="46"/>
      <c r="AC212" s="46"/>
      <c r="AD212" s="46"/>
      <c r="AE212" s="46"/>
      <c r="AF212" s="46"/>
      <c r="AG212" s="46"/>
      <c r="AH212" s="46"/>
      <c r="AI212" s="46"/>
      <c r="AJ212" s="46"/>
      <c r="AK212" s="46"/>
      <c r="AL212" s="46"/>
      <c r="AM212" s="46"/>
      <c r="AN212" s="46"/>
      <c r="AO212" s="46"/>
      <c r="AP212" s="46"/>
      <c r="AQ212" s="46"/>
      <c r="AR212" s="46"/>
      <c r="AS212" s="46"/>
      <c r="AT212" s="46"/>
      <c r="AU212" s="46"/>
      <c r="AV212" s="46"/>
      <c r="AW212" s="46"/>
      <c r="AX212" s="46"/>
      <c r="AY212" s="46"/>
      <c r="AZ212" s="46"/>
      <c r="BA212" s="46"/>
      <c r="BB212" s="46"/>
      <c r="BC212" s="46"/>
      <c r="BD212" s="46"/>
      <c r="BE212" s="46"/>
      <c r="BF212" s="46"/>
      <c r="BG212" s="46"/>
      <c r="BH212" s="46"/>
      <c r="BI212" s="46"/>
      <c r="BJ212" s="46"/>
      <c r="BK212" s="46"/>
      <c r="BL212" s="46"/>
      <c r="BM212" s="46"/>
      <c r="BN212" s="46"/>
      <c r="BO212" s="46"/>
      <c r="BP212" s="46"/>
      <c r="BQ212" s="46"/>
      <c r="BR212" s="46"/>
      <c r="BS212" s="46"/>
      <c r="BT212" s="46"/>
      <c r="BU212" s="46"/>
      <c r="BV212" s="46"/>
      <c r="BW212" s="46"/>
      <c r="BX212" s="46"/>
      <c r="BY212" s="46"/>
      <c r="BZ212" s="46"/>
      <c r="CA212" s="46"/>
      <c r="CB212" s="46"/>
      <c r="CC212" s="46"/>
      <c r="CD212" s="46"/>
      <c r="CE212" s="46"/>
      <c r="CF212" s="46"/>
      <c r="CG212" s="46"/>
      <c r="CH212" s="46"/>
      <c r="CI212" s="46"/>
      <c r="CJ212" s="46"/>
      <c r="CK212" s="46"/>
      <c r="CL212" s="46"/>
      <c r="CM212" s="46"/>
      <c r="CN212" s="46"/>
      <c r="CO212" s="46"/>
      <c r="CP212" s="46"/>
      <c r="CQ212" s="46"/>
      <c r="CR212" s="46"/>
      <c r="CS212" s="46"/>
      <c r="CT212" s="46"/>
      <c r="CU212" s="46"/>
      <c r="CV212" s="46"/>
      <c r="CW212" s="46"/>
      <c r="CX212" s="46"/>
      <c r="CY212" s="46"/>
      <c r="CZ212" s="46"/>
      <c r="DA212" s="46"/>
      <c r="DB212" s="46"/>
      <c r="DC212" s="46"/>
      <c r="DD212" s="46"/>
      <c r="DE212" s="46"/>
      <c r="DF212" s="46"/>
      <c r="DG212" s="46"/>
      <c r="DH212" s="46"/>
      <c r="DI212" s="46"/>
      <c r="DJ212" s="46"/>
      <c r="DK212" s="46"/>
      <c r="DL212" s="46"/>
      <c r="DM212" s="46"/>
      <c r="DN212" s="46"/>
      <c r="DO212" s="46"/>
      <c r="DP212" s="46"/>
      <c r="DQ212" s="46"/>
      <c r="DR212" s="46"/>
      <c r="DS212" s="46"/>
      <c r="DT212" s="46"/>
      <c r="DU212" s="46"/>
      <c r="DV212" s="46"/>
      <c r="DW212" s="46"/>
      <c r="DX212" s="46"/>
      <c r="DY212" s="46"/>
      <c r="DZ212" s="46"/>
      <c r="EA212" s="46"/>
    </row>
    <row r="213" spans="2:131" ht="18" customHeight="1">
      <c r="B213" s="45"/>
      <c r="C213" s="45"/>
      <c r="D213" s="46"/>
      <c r="E213" s="46"/>
      <c r="F213" s="46"/>
      <c r="G213" s="46"/>
      <c r="H213" s="46"/>
      <c r="I213" s="46"/>
      <c r="J213" s="46"/>
      <c r="K213" s="46"/>
      <c r="L213" s="45"/>
      <c r="M213" s="46"/>
      <c r="N213" s="46"/>
      <c r="O213" s="46"/>
      <c r="P213" s="46"/>
      <c r="Q213" s="46"/>
      <c r="R213" s="46"/>
      <c r="S213" s="46"/>
      <c r="T213" s="46"/>
      <c r="U213" s="46"/>
      <c r="V213" s="46"/>
      <c r="W213" s="46"/>
      <c r="X213" s="46"/>
      <c r="Y213" s="46"/>
      <c r="Z213" s="46"/>
      <c r="AA213" s="46"/>
      <c r="AB213" s="46"/>
      <c r="AC213" s="46"/>
      <c r="AD213" s="46"/>
      <c r="AE213" s="46"/>
      <c r="AF213" s="46"/>
      <c r="AG213" s="46"/>
      <c r="AH213" s="46"/>
      <c r="AI213" s="46"/>
      <c r="AJ213" s="46"/>
      <c r="AK213" s="46"/>
      <c r="AL213" s="46"/>
      <c r="AM213" s="46"/>
      <c r="AN213" s="46"/>
      <c r="AO213" s="46"/>
      <c r="AP213" s="46"/>
      <c r="AQ213" s="46"/>
      <c r="AR213" s="46"/>
      <c r="AS213" s="46"/>
      <c r="AT213" s="46"/>
      <c r="AU213" s="46"/>
      <c r="AV213" s="46"/>
      <c r="AW213" s="46"/>
      <c r="AX213" s="46"/>
      <c r="AY213" s="46"/>
      <c r="AZ213" s="46"/>
      <c r="BA213" s="46"/>
      <c r="BB213" s="46"/>
      <c r="BC213" s="46"/>
      <c r="BD213" s="46"/>
      <c r="BE213" s="46"/>
      <c r="BF213" s="46"/>
      <c r="BG213" s="46"/>
      <c r="BH213" s="46"/>
      <c r="BI213" s="46"/>
      <c r="BJ213" s="46"/>
      <c r="BK213" s="46"/>
      <c r="BL213" s="46"/>
      <c r="BM213" s="46"/>
      <c r="BN213" s="46"/>
      <c r="BO213" s="46"/>
      <c r="BP213" s="46"/>
      <c r="BQ213" s="46"/>
      <c r="BR213" s="46"/>
      <c r="BS213" s="46"/>
      <c r="BT213" s="46"/>
      <c r="BU213" s="46"/>
      <c r="BV213" s="46"/>
      <c r="BW213" s="46"/>
      <c r="BX213" s="46"/>
      <c r="BY213" s="46"/>
      <c r="BZ213" s="46"/>
      <c r="CA213" s="46"/>
      <c r="CB213" s="46"/>
      <c r="CC213" s="46"/>
      <c r="CD213" s="46"/>
      <c r="CE213" s="46"/>
      <c r="CF213" s="46"/>
      <c r="CG213" s="46"/>
      <c r="CH213" s="46"/>
      <c r="CI213" s="46"/>
      <c r="CJ213" s="46"/>
      <c r="CK213" s="46"/>
      <c r="CL213" s="46"/>
      <c r="CM213" s="46"/>
      <c r="CN213" s="46"/>
      <c r="CO213" s="46"/>
      <c r="CP213" s="46"/>
      <c r="CQ213" s="46"/>
      <c r="CR213" s="46"/>
      <c r="CS213" s="46"/>
      <c r="CT213" s="46"/>
      <c r="CU213" s="46"/>
      <c r="CV213" s="46"/>
      <c r="CW213" s="46"/>
      <c r="CX213" s="46"/>
      <c r="CY213" s="46"/>
      <c r="CZ213" s="46"/>
      <c r="DA213" s="46"/>
      <c r="DB213" s="46"/>
      <c r="DC213" s="46"/>
      <c r="DD213" s="46"/>
      <c r="DE213" s="46"/>
      <c r="DF213" s="46"/>
      <c r="DG213" s="46"/>
      <c r="DH213" s="46"/>
      <c r="DI213" s="46"/>
      <c r="DJ213" s="46"/>
      <c r="DK213" s="46"/>
      <c r="DL213" s="46"/>
      <c r="DM213" s="46"/>
      <c r="DN213" s="46"/>
      <c r="DO213" s="46"/>
      <c r="DP213" s="46"/>
      <c r="DQ213" s="46"/>
      <c r="DR213" s="46"/>
      <c r="DS213" s="46"/>
      <c r="DT213" s="46"/>
      <c r="DU213" s="46"/>
      <c r="DV213" s="46"/>
      <c r="DW213" s="46"/>
      <c r="DX213" s="46"/>
      <c r="DY213" s="46"/>
      <c r="DZ213" s="46"/>
      <c r="EA213" s="46"/>
    </row>
    <row r="214" spans="2:131" ht="18" customHeight="1">
      <c r="B214" s="46"/>
      <c r="C214" s="46"/>
      <c r="D214" s="46"/>
      <c r="E214" s="46"/>
      <c r="F214" s="46"/>
      <c r="G214" s="46"/>
      <c r="H214" s="46"/>
      <c r="I214" s="46"/>
      <c r="J214" s="46"/>
      <c r="K214" s="46"/>
      <c r="L214" s="45"/>
      <c r="M214" s="46"/>
      <c r="N214" s="46"/>
      <c r="O214" s="46"/>
      <c r="P214" s="46"/>
      <c r="Q214" s="46"/>
      <c r="R214" s="46"/>
      <c r="S214" s="46"/>
      <c r="T214" s="46"/>
      <c r="U214" s="46"/>
      <c r="V214" s="46"/>
      <c r="W214" s="46"/>
      <c r="X214" s="46"/>
      <c r="Y214" s="46"/>
      <c r="Z214" s="46"/>
      <c r="AA214" s="46"/>
      <c r="AB214" s="46"/>
      <c r="AC214" s="46"/>
      <c r="AD214" s="46"/>
      <c r="AE214" s="46"/>
      <c r="AF214" s="46"/>
      <c r="AG214" s="46"/>
      <c r="AH214" s="46"/>
      <c r="AI214" s="46"/>
      <c r="AJ214" s="46"/>
      <c r="AK214" s="46"/>
      <c r="AL214" s="46"/>
      <c r="AM214" s="46"/>
      <c r="AN214" s="46"/>
      <c r="AO214" s="46"/>
      <c r="AP214" s="46"/>
      <c r="AQ214" s="46"/>
      <c r="AR214" s="46"/>
      <c r="AS214" s="46"/>
      <c r="AT214" s="46"/>
      <c r="AU214" s="46"/>
      <c r="AV214" s="46"/>
      <c r="AW214" s="46"/>
      <c r="AX214" s="46"/>
      <c r="AY214" s="46"/>
      <c r="AZ214" s="46"/>
      <c r="BA214" s="46"/>
      <c r="BB214" s="46"/>
      <c r="BC214" s="46"/>
      <c r="BD214" s="46"/>
      <c r="BE214" s="46"/>
      <c r="BF214" s="46"/>
      <c r="BG214" s="46"/>
      <c r="BH214" s="46"/>
      <c r="BI214" s="46"/>
      <c r="BJ214" s="46"/>
      <c r="BK214" s="46"/>
      <c r="BL214" s="46"/>
      <c r="BM214" s="46"/>
      <c r="BN214" s="46"/>
      <c r="BO214" s="46"/>
      <c r="BP214" s="46"/>
      <c r="BQ214" s="46"/>
      <c r="BR214" s="46"/>
      <c r="BS214" s="46"/>
      <c r="BT214" s="46"/>
      <c r="BU214" s="46"/>
      <c r="BV214" s="46"/>
      <c r="BW214" s="46"/>
      <c r="BX214" s="46"/>
      <c r="BY214" s="46"/>
      <c r="BZ214" s="46"/>
      <c r="CA214" s="46"/>
      <c r="CB214" s="46"/>
      <c r="CC214" s="46"/>
      <c r="CD214" s="46"/>
      <c r="CE214" s="46"/>
      <c r="CF214" s="46"/>
      <c r="CG214" s="46"/>
      <c r="CH214" s="46"/>
      <c r="CI214" s="46"/>
      <c r="CJ214" s="46"/>
      <c r="CK214" s="46"/>
      <c r="CL214" s="46"/>
      <c r="CM214" s="46"/>
      <c r="CN214" s="46"/>
      <c r="CO214" s="46"/>
      <c r="CP214" s="46"/>
      <c r="CQ214" s="46"/>
      <c r="CR214" s="46"/>
      <c r="CS214" s="46"/>
      <c r="CT214" s="46"/>
      <c r="CU214" s="46"/>
      <c r="CV214" s="46"/>
      <c r="CW214" s="46"/>
      <c r="CX214" s="46"/>
      <c r="CY214" s="46"/>
      <c r="CZ214" s="46"/>
      <c r="DA214" s="46"/>
      <c r="DB214" s="46"/>
      <c r="DC214" s="46"/>
      <c r="DD214" s="46"/>
      <c r="DE214" s="46"/>
      <c r="DF214" s="46"/>
      <c r="DG214" s="46"/>
      <c r="DH214" s="46"/>
      <c r="DI214" s="46"/>
      <c r="DJ214" s="46"/>
      <c r="DK214" s="46"/>
      <c r="DL214" s="46"/>
      <c r="DM214" s="46"/>
      <c r="DN214" s="46"/>
      <c r="DO214" s="46"/>
      <c r="DP214" s="46"/>
      <c r="DQ214" s="46"/>
      <c r="DR214" s="46"/>
      <c r="DS214" s="46"/>
      <c r="DT214" s="46"/>
      <c r="DU214" s="46"/>
      <c r="DV214" s="46"/>
      <c r="DW214" s="46"/>
      <c r="DX214" s="46"/>
      <c r="DY214" s="46"/>
      <c r="DZ214" s="46"/>
      <c r="EA214" s="46"/>
    </row>
    <row r="215" spans="2:131" ht="18" customHeight="1">
      <c r="B215" s="46"/>
      <c r="C215" s="46"/>
      <c r="D215" s="46"/>
      <c r="E215" s="46"/>
      <c r="F215" s="46"/>
      <c r="G215" s="46"/>
      <c r="H215" s="46"/>
      <c r="I215" s="46"/>
      <c r="J215" s="46"/>
      <c r="K215" s="46"/>
      <c r="L215" s="45"/>
      <c r="M215" s="46"/>
      <c r="N215" s="46"/>
      <c r="O215" s="46"/>
      <c r="P215" s="46"/>
      <c r="Q215" s="46"/>
      <c r="R215" s="46"/>
      <c r="S215" s="46"/>
      <c r="T215" s="46"/>
      <c r="U215" s="46"/>
      <c r="V215" s="46"/>
      <c r="W215" s="46"/>
      <c r="X215" s="46"/>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c r="BA215" s="46"/>
      <c r="BB215" s="46"/>
      <c r="BC215" s="46"/>
      <c r="BD215" s="46"/>
      <c r="BE215" s="46"/>
      <c r="BF215" s="46"/>
      <c r="BG215" s="46"/>
      <c r="BH215" s="46"/>
      <c r="BI215" s="46"/>
      <c r="BJ215" s="46"/>
      <c r="BK215" s="46"/>
      <c r="BL215" s="46"/>
      <c r="BM215" s="46"/>
      <c r="BN215" s="46"/>
      <c r="BO215" s="46"/>
      <c r="BP215" s="46"/>
      <c r="BQ215" s="46"/>
      <c r="BR215" s="46"/>
      <c r="BS215" s="46"/>
      <c r="BT215" s="46"/>
      <c r="BU215" s="46"/>
      <c r="BV215" s="46"/>
      <c r="BW215" s="46"/>
      <c r="BX215" s="46"/>
      <c r="BY215" s="46"/>
      <c r="BZ215" s="46"/>
      <c r="CA215" s="46"/>
      <c r="CB215" s="46"/>
      <c r="CC215" s="46"/>
      <c r="CD215" s="46"/>
      <c r="CE215" s="46"/>
      <c r="CF215" s="46"/>
      <c r="CG215" s="46"/>
      <c r="CH215" s="46"/>
      <c r="CI215" s="46"/>
      <c r="CJ215" s="46"/>
      <c r="CK215" s="46"/>
      <c r="CL215" s="46"/>
      <c r="CM215" s="46"/>
      <c r="CN215" s="46"/>
      <c r="CO215" s="46"/>
      <c r="CP215" s="46"/>
      <c r="CQ215" s="46"/>
      <c r="CR215" s="46"/>
      <c r="CS215" s="46"/>
      <c r="CT215" s="46"/>
      <c r="CU215" s="46"/>
      <c r="CV215" s="46"/>
      <c r="CW215" s="46"/>
      <c r="CX215" s="46"/>
      <c r="CY215" s="46"/>
      <c r="CZ215" s="46"/>
      <c r="DA215" s="46"/>
      <c r="DB215" s="46"/>
      <c r="DC215" s="46"/>
      <c r="DD215" s="46"/>
      <c r="DE215" s="46"/>
      <c r="DF215" s="46"/>
      <c r="DG215" s="46"/>
      <c r="DH215" s="46"/>
      <c r="DI215" s="46"/>
      <c r="DJ215" s="46"/>
      <c r="DK215" s="46"/>
      <c r="DL215" s="46"/>
      <c r="DM215" s="46"/>
      <c r="DN215" s="46"/>
      <c r="DO215" s="46"/>
      <c r="DP215" s="46"/>
      <c r="DQ215" s="46"/>
      <c r="DR215" s="46"/>
      <c r="DS215" s="46"/>
      <c r="DT215" s="46"/>
      <c r="DU215" s="46"/>
      <c r="DV215" s="46"/>
      <c r="DW215" s="46"/>
      <c r="DX215" s="46"/>
      <c r="DY215" s="46"/>
      <c r="DZ215" s="46"/>
      <c r="EA215" s="46"/>
    </row>
    <row r="216" spans="2:131" ht="18" customHeight="1">
      <c r="B216" s="46"/>
      <c r="C216" s="46"/>
      <c r="D216" s="46"/>
      <c r="E216" s="46"/>
      <c r="F216" s="46"/>
      <c r="G216" s="46"/>
      <c r="H216" s="46"/>
      <c r="I216" s="46"/>
      <c r="J216" s="46"/>
      <c r="K216" s="46"/>
      <c r="L216" s="45"/>
      <c r="M216" s="46"/>
      <c r="N216" s="46"/>
      <c r="O216" s="46"/>
      <c r="P216" s="46"/>
      <c r="Q216" s="46"/>
      <c r="R216" s="46"/>
      <c r="S216" s="46"/>
      <c r="T216" s="46"/>
      <c r="U216" s="46"/>
      <c r="V216" s="46"/>
      <c r="W216" s="46"/>
      <c r="X216" s="46"/>
      <c r="Y216" s="46"/>
      <c r="Z216" s="46"/>
      <c r="AA216" s="46"/>
      <c r="AB216" s="46"/>
      <c r="AC216" s="46"/>
      <c r="AD216" s="46"/>
      <c r="AE216" s="46"/>
      <c r="AF216" s="46"/>
      <c r="AG216" s="46"/>
      <c r="AH216" s="46"/>
      <c r="AI216" s="46"/>
      <c r="AJ216" s="46"/>
      <c r="AK216" s="46"/>
      <c r="AL216" s="46"/>
      <c r="AM216" s="46"/>
      <c r="AN216" s="46"/>
      <c r="AO216" s="46"/>
      <c r="AP216" s="46"/>
      <c r="AQ216" s="46"/>
      <c r="AR216" s="46"/>
      <c r="AS216" s="46"/>
      <c r="AT216" s="46"/>
      <c r="AU216" s="46"/>
      <c r="AV216" s="46"/>
      <c r="AW216" s="46"/>
      <c r="AX216" s="46"/>
      <c r="AY216" s="46"/>
      <c r="AZ216" s="46"/>
      <c r="BA216" s="46"/>
      <c r="BB216" s="46"/>
      <c r="BC216" s="46"/>
      <c r="BD216" s="46"/>
      <c r="BE216" s="46"/>
      <c r="BF216" s="46"/>
      <c r="BG216" s="46"/>
      <c r="BH216" s="46"/>
      <c r="BI216" s="46"/>
      <c r="BJ216" s="46"/>
      <c r="BK216" s="46"/>
      <c r="BL216" s="46"/>
      <c r="BM216" s="46"/>
      <c r="BN216" s="46"/>
      <c r="BO216" s="46"/>
      <c r="BP216" s="46"/>
      <c r="BQ216" s="46"/>
      <c r="BR216" s="46"/>
      <c r="BS216" s="46"/>
      <c r="BT216" s="46"/>
      <c r="BU216" s="46"/>
      <c r="BV216" s="46"/>
      <c r="BW216" s="46"/>
      <c r="BX216" s="46"/>
      <c r="BY216" s="46"/>
      <c r="BZ216" s="46"/>
      <c r="CA216" s="46"/>
      <c r="CB216" s="46"/>
      <c r="CC216" s="46"/>
      <c r="CD216" s="46"/>
      <c r="CE216" s="46"/>
      <c r="CF216" s="46"/>
      <c r="CG216" s="46"/>
      <c r="CH216" s="46"/>
      <c r="CI216" s="46"/>
      <c r="CJ216" s="46"/>
      <c r="CK216" s="46"/>
      <c r="CL216" s="46"/>
      <c r="CM216" s="46"/>
      <c r="CN216" s="46"/>
      <c r="CO216" s="46"/>
      <c r="CP216" s="46"/>
      <c r="CQ216" s="46"/>
      <c r="CR216" s="46"/>
      <c r="CS216" s="46"/>
      <c r="CT216" s="46"/>
      <c r="CU216" s="46"/>
      <c r="CV216" s="46"/>
      <c r="CW216" s="46"/>
      <c r="CX216" s="46"/>
      <c r="CY216" s="46"/>
      <c r="CZ216" s="46"/>
      <c r="DA216" s="46"/>
      <c r="DB216" s="46"/>
      <c r="DC216" s="46"/>
      <c r="DD216" s="46"/>
      <c r="DE216" s="46"/>
      <c r="DF216" s="46"/>
      <c r="DG216" s="46"/>
      <c r="DH216" s="46"/>
      <c r="DI216" s="46"/>
      <c r="DJ216" s="46"/>
      <c r="DK216" s="46"/>
      <c r="DL216" s="46"/>
      <c r="DM216" s="46"/>
      <c r="DN216" s="46"/>
      <c r="DO216" s="46"/>
      <c r="DP216" s="46"/>
      <c r="DQ216" s="46"/>
      <c r="DR216" s="46"/>
      <c r="DS216" s="46"/>
      <c r="DT216" s="46"/>
      <c r="DU216" s="46"/>
      <c r="DV216" s="46"/>
      <c r="DW216" s="46"/>
      <c r="DX216" s="46"/>
      <c r="DY216" s="46"/>
      <c r="DZ216" s="46"/>
      <c r="EA216" s="46"/>
    </row>
    <row r="217" spans="2:131" ht="18" customHeight="1">
      <c r="B217" s="46"/>
      <c r="C217" s="46"/>
      <c r="D217" s="46"/>
      <c r="E217" s="46"/>
      <c r="F217" s="46"/>
      <c r="G217" s="46"/>
      <c r="H217" s="46"/>
      <c r="I217" s="46"/>
      <c r="J217" s="46"/>
      <c r="K217" s="46"/>
      <c r="L217" s="45"/>
      <c r="M217" s="46"/>
      <c r="N217" s="46"/>
      <c r="O217" s="46"/>
      <c r="P217" s="46"/>
      <c r="Q217" s="46"/>
      <c r="R217" s="46"/>
      <c r="S217" s="46"/>
      <c r="T217" s="46"/>
      <c r="U217" s="46"/>
      <c r="V217" s="46"/>
      <c r="W217" s="46"/>
      <c r="X217" s="46"/>
      <c r="Y217" s="46"/>
      <c r="Z217" s="46"/>
      <c r="AA217" s="46"/>
      <c r="AB217" s="46"/>
      <c r="AC217" s="46"/>
      <c r="AD217" s="46"/>
      <c r="AE217" s="46"/>
      <c r="AF217" s="46"/>
      <c r="AG217" s="46"/>
      <c r="AH217" s="46"/>
      <c r="AI217" s="46"/>
      <c r="AJ217" s="46"/>
      <c r="AK217" s="46"/>
      <c r="AL217" s="46"/>
      <c r="AM217" s="46"/>
      <c r="AN217" s="46"/>
      <c r="AO217" s="46"/>
      <c r="AP217" s="46"/>
      <c r="AQ217" s="46"/>
      <c r="AR217" s="46"/>
      <c r="AS217" s="46"/>
      <c r="AT217" s="46"/>
      <c r="AU217" s="46"/>
      <c r="AV217" s="46"/>
      <c r="AW217" s="46"/>
      <c r="AX217" s="46"/>
      <c r="AY217" s="46"/>
      <c r="AZ217" s="46"/>
      <c r="BA217" s="46"/>
      <c r="BB217" s="46"/>
      <c r="BC217" s="46"/>
      <c r="BD217" s="46"/>
      <c r="BE217" s="46"/>
      <c r="BF217" s="46"/>
      <c r="BG217" s="46"/>
      <c r="BH217" s="46"/>
      <c r="BI217" s="46"/>
      <c r="BJ217" s="46"/>
      <c r="BK217" s="46"/>
      <c r="BL217" s="46"/>
      <c r="BM217" s="46"/>
      <c r="BN217" s="46"/>
      <c r="BO217" s="46"/>
      <c r="BP217" s="46"/>
      <c r="BQ217" s="46"/>
      <c r="BR217" s="46"/>
      <c r="BS217" s="46"/>
      <c r="BT217" s="46"/>
      <c r="BU217" s="46"/>
      <c r="BV217" s="46"/>
      <c r="BW217" s="46"/>
      <c r="BX217" s="46"/>
      <c r="BY217" s="46"/>
      <c r="BZ217" s="46"/>
      <c r="CA217" s="46"/>
      <c r="CB217" s="46"/>
      <c r="CC217" s="46"/>
      <c r="CD217" s="46"/>
      <c r="CE217" s="46"/>
      <c r="CF217" s="46"/>
      <c r="CG217" s="46"/>
      <c r="CH217" s="46"/>
      <c r="CI217" s="46"/>
      <c r="CJ217" s="46"/>
      <c r="CK217" s="46"/>
      <c r="CL217" s="46"/>
      <c r="CM217" s="46"/>
      <c r="CN217" s="46"/>
      <c r="CO217" s="46"/>
      <c r="CP217" s="46"/>
      <c r="CQ217" s="46"/>
      <c r="CR217" s="46"/>
      <c r="CS217" s="46"/>
      <c r="CT217" s="46"/>
      <c r="CU217" s="46"/>
      <c r="CV217" s="46"/>
      <c r="CW217" s="46"/>
      <c r="CX217" s="46"/>
      <c r="CY217" s="46"/>
      <c r="CZ217" s="46"/>
      <c r="DA217" s="46"/>
      <c r="DB217" s="46"/>
      <c r="DC217" s="46"/>
      <c r="DD217" s="46"/>
      <c r="DE217" s="46"/>
      <c r="DF217" s="46"/>
      <c r="DG217" s="46"/>
      <c r="DH217" s="46"/>
      <c r="DI217" s="46"/>
      <c r="DJ217" s="46"/>
      <c r="DK217" s="46"/>
      <c r="DL217" s="46"/>
      <c r="DM217" s="46"/>
      <c r="DN217" s="46"/>
      <c r="DO217" s="46"/>
      <c r="DP217" s="46"/>
      <c r="DQ217" s="46"/>
      <c r="DR217" s="46"/>
      <c r="DS217" s="46"/>
      <c r="DT217" s="46"/>
      <c r="DU217" s="46"/>
      <c r="DV217" s="46"/>
      <c r="DW217" s="46"/>
      <c r="DX217" s="46"/>
      <c r="DY217" s="46"/>
      <c r="DZ217" s="46"/>
      <c r="EA217" s="46"/>
    </row>
    <row r="218" spans="2:131" ht="18" customHeight="1">
      <c r="B218" s="46"/>
      <c r="C218" s="46"/>
      <c r="D218" s="46"/>
      <c r="E218" s="46"/>
      <c r="F218" s="46"/>
      <c r="G218" s="46"/>
      <c r="H218" s="46"/>
      <c r="I218" s="46"/>
      <c r="J218" s="46"/>
      <c r="K218" s="46"/>
      <c r="L218" s="45"/>
      <c r="M218" s="46"/>
      <c r="N218" s="46"/>
      <c r="O218" s="46"/>
      <c r="P218" s="46"/>
      <c r="Q218" s="46"/>
      <c r="R218" s="46"/>
      <c r="S218" s="46"/>
      <c r="T218" s="46"/>
      <c r="U218" s="46"/>
      <c r="V218" s="46"/>
      <c r="W218" s="46"/>
      <c r="X218" s="46"/>
      <c r="Y218" s="46"/>
      <c r="Z218" s="46"/>
      <c r="AA218" s="46"/>
      <c r="AB218" s="46"/>
      <c r="AC218" s="46"/>
      <c r="AD218" s="46"/>
      <c r="AE218" s="46"/>
      <c r="AF218" s="46"/>
      <c r="AG218" s="46"/>
      <c r="AH218" s="46"/>
      <c r="AI218" s="46"/>
      <c r="AJ218" s="46"/>
      <c r="AK218" s="46"/>
      <c r="AL218" s="46"/>
      <c r="AM218" s="46"/>
      <c r="AN218" s="46"/>
      <c r="AO218" s="46"/>
      <c r="AP218" s="46"/>
      <c r="AQ218" s="46"/>
      <c r="AR218" s="46"/>
      <c r="AS218" s="46"/>
      <c r="AT218" s="46"/>
      <c r="AU218" s="46"/>
      <c r="AV218" s="46"/>
      <c r="AW218" s="46"/>
      <c r="AX218" s="46"/>
      <c r="AY218" s="46"/>
      <c r="AZ218" s="46"/>
      <c r="BA218" s="46"/>
      <c r="BB218" s="46"/>
      <c r="BC218" s="46"/>
      <c r="BD218" s="46"/>
      <c r="BE218" s="46"/>
      <c r="BF218" s="46"/>
      <c r="BG218" s="46"/>
      <c r="BH218" s="46"/>
      <c r="BI218" s="46"/>
      <c r="BJ218" s="46"/>
      <c r="BK218" s="46"/>
      <c r="BL218" s="46"/>
      <c r="BM218" s="46"/>
      <c r="BN218" s="46"/>
      <c r="BO218" s="46"/>
      <c r="BP218" s="46"/>
      <c r="BQ218" s="46"/>
      <c r="BR218" s="46"/>
      <c r="BS218" s="46"/>
      <c r="BT218" s="46"/>
      <c r="BU218" s="46"/>
      <c r="BV218" s="46"/>
      <c r="BW218" s="46"/>
      <c r="BX218" s="46"/>
      <c r="BY218" s="46"/>
      <c r="BZ218" s="46"/>
      <c r="CA218" s="46"/>
      <c r="CB218" s="46"/>
      <c r="CC218" s="46"/>
      <c r="CD218" s="46"/>
      <c r="CE218" s="46"/>
      <c r="CF218" s="46"/>
      <c r="CG218" s="46"/>
      <c r="CH218" s="46"/>
      <c r="CI218" s="46"/>
      <c r="CJ218" s="46"/>
      <c r="CK218" s="46"/>
      <c r="CL218" s="46"/>
      <c r="CM218" s="46"/>
      <c r="CN218" s="46"/>
      <c r="CO218" s="46"/>
      <c r="CP218" s="46"/>
      <c r="CQ218" s="46"/>
      <c r="CR218" s="46"/>
      <c r="CS218" s="46"/>
      <c r="CT218" s="46"/>
      <c r="CU218" s="46"/>
      <c r="CV218" s="46"/>
      <c r="CW218" s="46"/>
      <c r="CX218" s="46"/>
      <c r="CY218" s="46"/>
      <c r="CZ218" s="46"/>
      <c r="DA218" s="46"/>
      <c r="DB218" s="46"/>
      <c r="DC218" s="46"/>
      <c r="DD218" s="46"/>
      <c r="DE218" s="46"/>
      <c r="DF218" s="46"/>
      <c r="DG218" s="46"/>
      <c r="DH218" s="46"/>
      <c r="DI218" s="46"/>
      <c r="DJ218" s="46"/>
      <c r="DK218" s="46"/>
      <c r="DL218" s="46"/>
      <c r="DM218" s="46"/>
      <c r="DN218" s="46"/>
      <c r="DO218" s="46"/>
      <c r="DP218" s="46"/>
      <c r="DQ218" s="46"/>
      <c r="DR218" s="46"/>
      <c r="DS218" s="46"/>
      <c r="DT218" s="46"/>
      <c r="DU218" s="46"/>
      <c r="DV218" s="46"/>
      <c r="DW218" s="46"/>
      <c r="DX218" s="46"/>
      <c r="DY218" s="46"/>
      <c r="DZ218" s="46"/>
      <c r="EA218" s="46"/>
    </row>
    <row r="219" spans="2:131" ht="18" customHeight="1">
      <c r="B219" s="45"/>
      <c r="C219" s="45"/>
      <c r="D219" s="46"/>
      <c r="E219" s="46"/>
      <c r="F219" s="46"/>
      <c r="G219" s="46"/>
      <c r="H219" s="46"/>
      <c r="I219" s="46"/>
      <c r="J219" s="46"/>
      <c r="K219" s="46"/>
      <c r="L219" s="45"/>
      <c r="M219" s="46"/>
      <c r="N219" s="46"/>
      <c r="O219" s="46"/>
      <c r="P219" s="46"/>
      <c r="Q219" s="46"/>
      <c r="R219" s="46"/>
      <c r="S219" s="46"/>
      <c r="T219" s="46"/>
      <c r="U219" s="46"/>
      <c r="V219" s="46"/>
      <c r="W219" s="46"/>
      <c r="X219" s="46"/>
      <c r="Y219" s="46"/>
      <c r="Z219" s="46"/>
      <c r="AA219" s="46"/>
      <c r="AB219" s="46"/>
      <c r="AC219" s="46"/>
      <c r="AD219" s="46"/>
      <c r="AE219" s="46"/>
      <c r="AF219" s="46"/>
      <c r="AG219" s="46"/>
      <c r="AH219" s="46"/>
      <c r="AI219" s="46"/>
      <c r="AJ219" s="46"/>
      <c r="AK219" s="46"/>
      <c r="AL219" s="46"/>
      <c r="AM219" s="46"/>
      <c r="AN219" s="46"/>
      <c r="AO219" s="46"/>
      <c r="AP219" s="46"/>
      <c r="AQ219" s="46"/>
      <c r="AR219" s="46"/>
      <c r="AS219" s="46"/>
      <c r="AT219" s="46"/>
      <c r="AU219" s="46"/>
      <c r="AV219" s="46"/>
      <c r="AW219" s="46"/>
      <c r="AX219" s="46"/>
      <c r="AY219" s="46"/>
      <c r="AZ219" s="46"/>
      <c r="BA219" s="46"/>
      <c r="BB219" s="46"/>
      <c r="BC219" s="46"/>
      <c r="BD219" s="46"/>
      <c r="BE219" s="46"/>
      <c r="BF219" s="46"/>
      <c r="BG219" s="46"/>
      <c r="BH219" s="46"/>
      <c r="BI219" s="46"/>
      <c r="BJ219" s="46"/>
      <c r="BK219" s="46"/>
      <c r="BL219" s="46"/>
      <c r="BM219" s="46"/>
      <c r="BN219" s="46"/>
      <c r="BO219" s="46"/>
      <c r="BP219" s="46"/>
      <c r="BQ219" s="46"/>
      <c r="BR219" s="46"/>
      <c r="BS219" s="46"/>
      <c r="BT219" s="46"/>
      <c r="BU219" s="46"/>
      <c r="BV219" s="46"/>
      <c r="BW219" s="46"/>
      <c r="BX219" s="46"/>
      <c r="BY219" s="46"/>
      <c r="BZ219" s="46"/>
      <c r="CA219" s="46"/>
      <c r="CB219" s="46"/>
      <c r="CC219" s="46"/>
      <c r="CD219" s="46"/>
      <c r="CE219" s="46"/>
      <c r="CF219" s="46"/>
      <c r="CG219" s="46"/>
      <c r="CH219" s="46"/>
      <c r="CI219" s="46"/>
      <c r="CJ219" s="46"/>
      <c r="CK219" s="46"/>
      <c r="CL219" s="46"/>
      <c r="CM219" s="46"/>
      <c r="CN219" s="46"/>
      <c r="CO219" s="46"/>
      <c r="CP219" s="46"/>
      <c r="CQ219" s="46"/>
      <c r="CR219" s="46"/>
      <c r="CS219" s="46"/>
      <c r="CT219" s="46"/>
      <c r="CU219" s="46"/>
      <c r="CV219" s="46"/>
      <c r="CW219" s="46"/>
      <c r="CX219" s="46"/>
      <c r="CY219" s="46"/>
      <c r="CZ219" s="46"/>
      <c r="DA219" s="46"/>
      <c r="DB219" s="46"/>
      <c r="DC219" s="46"/>
      <c r="DD219" s="46"/>
      <c r="DE219" s="46"/>
      <c r="DF219" s="46"/>
      <c r="DG219" s="46"/>
      <c r="DH219" s="46"/>
      <c r="DI219" s="46"/>
      <c r="DJ219" s="46"/>
      <c r="DK219" s="46"/>
      <c r="DL219" s="46"/>
      <c r="DM219" s="46"/>
      <c r="DN219" s="46"/>
      <c r="DO219" s="46"/>
      <c r="DP219" s="46"/>
      <c r="DQ219" s="46"/>
      <c r="DR219" s="46"/>
      <c r="DS219" s="46"/>
      <c r="DT219" s="46"/>
      <c r="DU219" s="46"/>
      <c r="DV219" s="46"/>
      <c r="DW219" s="46"/>
      <c r="DX219" s="46"/>
      <c r="DY219" s="46"/>
      <c r="DZ219" s="46"/>
      <c r="EA219" s="46"/>
    </row>
    <row r="220" spans="2:131" ht="18" customHeight="1">
      <c r="B220" s="46"/>
      <c r="C220" s="46"/>
      <c r="D220" s="46"/>
      <c r="E220" s="46"/>
      <c r="F220" s="46"/>
      <c r="G220" s="46"/>
      <c r="H220" s="46"/>
      <c r="I220" s="46"/>
      <c r="J220" s="46"/>
      <c r="K220" s="46"/>
      <c r="L220" s="45"/>
      <c r="M220" s="46"/>
      <c r="N220" s="46"/>
      <c r="O220" s="46"/>
      <c r="P220" s="46"/>
      <c r="Q220" s="46"/>
      <c r="R220" s="46"/>
      <c r="S220" s="46"/>
      <c r="T220" s="46"/>
      <c r="U220" s="46"/>
      <c r="V220" s="46"/>
      <c r="W220" s="46"/>
      <c r="X220" s="46"/>
      <c r="Y220" s="46"/>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c r="AV220" s="46"/>
      <c r="AW220" s="46"/>
      <c r="AX220" s="46"/>
      <c r="AY220" s="46"/>
      <c r="AZ220" s="46"/>
      <c r="BA220" s="46"/>
      <c r="BB220" s="46"/>
      <c r="BC220" s="46"/>
      <c r="BD220" s="46"/>
      <c r="BE220" s="46"/>
      <c r="BF220" s="46"/>
      <c r="BG220" s="46"/>
      <c r="BH220" s="46"/>
      <c r="BI220" s="46"/>
      <c r="BJ220" s="46"/>
      <c r="BK220" s="46"/>
      <c r="BL220" s="46"/>
      <c r="BM220" s="46"/>
      <c r="BN220" s="46"/>
      <c r="BO220" s="46"/>
      <c r="BP220" s="46"/>
      <c r="BQ220" s="46"/>
      <c r="BR220" s="46"/>
      <c r="BS220" s="46"/>
      <c r="BT220" s="46"/>
      <c r="BU220" s="46"/>
      <c r="BV220" s="46"/>
      <c r="BW220" s="46"/>
      <c r="BX220" s="46"/>
      <c r="BY220" s="46"/>
      <c r="BZ220" s="46"/>
      <c r="CA220" s="46"/>
      <c r="CB220" s="46"/>
      <c r="CC220" s="46"/>
      <c r="CD220" s="46"/>
      <c r="CE220" s="46"/>
      <c r="CF220" s="46"/>
      <c r="CG220" s="46"/>
      <c r="CH220" s="46"/>
      <c r="CI220" s="46"/>
      <c r="CJ220" s="46"/>
      <c r="CK220" s="46"/>
      <c r="CL220" s="46"/>
      <c r="CM220" s="46"/>
      <c r="CN220" s="46"/>
      <c r="CO220" s="46"/>
      <c r="CP220" s="46"/>
      <c r="CQ220" s="46"/>
      <c r="CR220" s="46"/>
      <c r="CS220" s="46"/>
      <c r="CT220" s="46"/>
      <c r="CU220" s="46"/>
      <c r="CV220" s="46"/>
      <c r="CW220" s="46"/>
      <c r="CX220" s="46"/>
      <c r="CY220" s="46"/>
      <c r="CZ220" s="46"/>
      <c r="DA220" s="46"/>
      <c r="DB220" s="46"/>
      <c r="DC220" s="46"/>
      <c r="DD220" s="46"/>
      <c r="DE220" s="46"/>
      <c r="DF220" s="46"/>
      <c r="DG220" s="46"/>
      <c r="DH220" s="46"/>
      <c r="DI220" s="46"/>
      <c r="DJ220" s="46"/>
      <c r="DK220" s="46"/>
      <c r="DL220" s="46"/>
      <c r="DM220" s="46"/>
      <c r="DN220" s="46"/>
      <c r="DO220" s="46"/>
      <c r="DP220" s="46"/>
      <c r="DQ220" s="46"/>
      <c r="DR220" s="46"/>
      <c r="DS220" s="46"/>
      <c r="DT220" s="46"/>
      <c r="DU220" s="46"/>
      <c r="DV220" s="46"/>
      <c r="DW220" s="46"/>
      <c r="DX220" s="46"/>
      <c r="DY220" s="46"/>
      <c r="DZ220" s="46"/>
      <c r="EA220" s="46"/>
    </row>
    <row r="221" spans="2:131" ht="18" customHeight="1">
      <c r="B221" s="46"/>
      <c r="C221" s="46"/>
      <c r="D221" s="46"/>
      <c r="E221" s="46"/>
      <c r="F221" s="46"/>
      <c r="G221" s="46"/>
      <c r="H221" s="46"/>
      <c r="I221" s="46"/>
      <c r="J221" s="46"/>
      <c r="K221" s="46"/>
      <c r="L221" s="45"/>
      <c r="M221" s="46"/>
      <c r="N221" s="46"/>
      <c r="O221" s="46"/>
      <c r="P221" s="46"/>
      <c r="Q221" s="46"/>
      <c r="R221" s="46"/>
      <c r="S221" s="46"/>
      <c r="T221" s="46"/>
      <c r="U221" s="46"/>
      <c r="V221" s="46"/>
      <c r="W221" s="46"/>
      <c r="X221" s="46"/>
      <c r="Y221" s="46"/>
      <c r="Z221" s="46"/>
      <c r="AA221" s="46"/>
      <c r="AB221" s="46"/>
      <c r="AC221" s="46"/>
      <c r="AD221" s="46"/>
      <c r="AE221" s="46"/>
      <c r="AF221" s="46"/>
      <c r="AG221" s="46"/>
      <c r="AH221" s="46"/>
      <c r="AI221" s="46"/>
      <c r="AJ221" s="46"/>
      <c r="AK221" s="46"/>
      <c r="AL221" s="46"/>
      <c r="AM221" s="46"/>
      <c r="AN221" s="46"/>
      <c r="AO221" s="46"/>
      <c r="AP221" s="46"/>
      <c r="AQ221" s="46"/>
      <c r="AR221" s="46"/>
      <c r="AS221" s="46"/>
      <c r="AT221" s="46"/>
      <c r="AU221" s="46"/>
      <c r="AV221" s="46"/>
      <c r="AW221" s="46"/>
      <c r="AX221" s="46"/>
      <c r="AY221" s="46"/>
      <c r="AZ221" s="46"/>
      <c r="BA221" s="46"/>
      <c r="BB221" s="46"/>
      <c r="BC221" s="46"/>
      <c r="BD221" s="46"/>
      <c r="BE221" s="46"/>
      <c r="BF221" s="46"/>
      <c r="BG221" s="46"/>
      <c r="BH221" s="46"/>
      <c r="BI221" s="46"/>
      <c r="BJ221" s="46"/>
      <c r="BK221" s="46"/>
      <c r="BL221" s="46"/>
      <c r="BM221" s="46"/>
      <c r="BN221" s="46"/>
      <c r="BO221" s="46"/>
      <c r="BP221" s="46"/>
      <c r="BQ221" s="46"/>
      <c r="BR221" s="46"/>
      <c r="BS221" s="46"/>
      <c r="BT221" s="46"/>
      <c r="BU221" s="46"/>
      <c r="BV221" s="46"/>
      <c r="BW221" s="46"/>
      <c r="BX221" s="46"/>
      <c r="BY221" s="46"/>
      <c r="BZ221" s="46"/>
      <c r="CA221" s="46"/>
      <c r="CB221" s="46"/>
      <c r="CC221" s="46"/>
      <c r="CD221" s="46"/>
      <c r="CE221" s="46"/>
      <c r="CF221" s="46"/>
      <c r="CG221" s="46"/>
      <c r="CH221" s="46"/>
      <c r="CI221" s="46"/>
      <c r="CJ221" s="46"/>
      <c r="CK221" s="46"/>
      <c r="CL221" s="46"/>
      <c r="CM221" s="46"/>
      <c r="CN221" s="46"/>
      <c r="CO221" s="46"/>
      <c r="CP221" s="46"/>
      <c r="CQ221" s="46"/>
      <c r="CR221" s="46"/>
      <c r="CS221" s="46"/>
      <c r="CT221" s="46"/>
      <c r="CU221" s="46"/>
      <c r="CV221" s="46"/>
      <c r="CW221" s="46"/>
      <c r="CX221" s="46"/>
      <c r="CY221" s="46"/>
      <c r="CZ221" s="46"/>
      <c r="DA221" s="46"/>
      <c r="DB221" s="46"/>
      <c r="DC221" s="46"/>
      <c r="DD221" s="46"/>
      <c r="DE221" s="46"/>
      <c r="DF221" s="46"/>
      <c r="DG221" s="46"/>
      <c r="DH221" s="46"/>
      <c r="DI221" s="46"/>
      <c r="DJ221" s="46"/>
      <c r="DK221" s="46"/>
      <c r="DL221" s="46"/>
      <c r="DM221" s="46"/>
      <c r="DN221" s="46"/>
      <c r="DO221" s="46"/>
      <c r="DP221" s="46"/>
      <c r="DQ221" s="46"/>
      <c r="DR221" s="46"/>
      <c r="DS221" s="46"/>
      <c r="DT221" s="46"/>
      <c r="DU221" s="46"/>
      <c r="DV221" s="46"/>
      <c r="DW221" s="46"/>
      <c r="DX221" s="46"/>
      <c r="DY221" s="46"/>
      <c r="DZ221" s="46"/>
      <c r="EA221" s="46"/>
    </row>
    <row r="222" spans="2:131" ht="18" customHeight="1">
      <c r="B222" s="46"/>
      <c r="C222" s="46"/>
      <c r="D222" s="46"/>
      <c r="E222" s="46"/>
      <c r="F222" s="46"/>
      <c r="G222" s="46"/>
      <c r="H222" s="46"/>
      <c r="I222" s="46"/>
      <c r="J222" s="46"/>
      <c r="K222" s="46"/>
      <c r="L222" s="45"/>
      <c r="M222" s="46"/>
      <c r="N222" s="46"/>
      <c r="O222" s="46"/>
      <c r="P222" s="46"/>
      <c r="Q222" s="46"/>
      <c r="R222" s="46"/>
      <c r="S222" s="46"/>
      <c r="T222" s="46"/>
      <c r="U222" s="46"/>
      <c r="V222" s="46"/>
      <c r="W222" s="46"/>
      <c r="X222" s="46"/>
      <c r="Y222" s="46"/>
      <c r="Z222" s="46"/>
      <c r="AA222" s="46"/>
      <c r="AB222" s="46"/>
      <c r="AC222" s="46"/>
      <c r="AD222" s="46"/>
      <c r="AE222" s="46"/>
      <c r="AF222" s="46"/>
      <c r="AG222" s="46"/>
      <c r="AH222" s="46"/>
      <c r="AI222" s="46"/>
      <c r="AJ222" s="46"/>
      <c r="AK222" s="46"/>
      <c r="AL222" s="46"/>
      <c r="AM222" s="46"/>
      <c r="AN222" s="46"/>
      <c r="AO222" s="46"/>
      <c r="AP222" s="46"/>
      <c r="AQ222" s="46"/>
      <c r="AR222" s="46"/>
      <c r="AS222" s="46"/>
      <c r="AT222" s="46"/>
      <c r="AU222" s="46"/>
      <c r="AV222" s="46"/>
      <c r="AW222" s="46"/>
      <c r="AX222" s="46"/>
      <c r="AY222" s="46"/>
      <c r="AZ222" s="46"/>
      <c r="BA222" s="46"/>
      <c r="BB222" s="46"/>
      <c r="BC222" s="46"/>
      <c r="BD222" s="46"/>
      <c r="BE222" s="46"/>
      <c r="BF222" s="46"/>
      <c r="BG222" s="46"/>
      <c r="BH222" s="46"/>
      <c r="BI222" s="46"/>
      <c r="BJ222" s="46"/>
      <c r="BK222" s="46"/>
      <c r="BL222" s="46"/>
      <c r="BM222" s="46"/>
      <c r="BN222" s="46"/>
      <c r="BO222" s="46"/>
      <c r="BP222" s="46"/>
      <c r="BQ222" s="46"/>
      <c r="BR222" s="46"/>
      <c r="BS222" s="46"/>
      <c r="BT222" s="46"/>
      <c r="BU222" s="46"/>
      <c r="BV222" s="46"/>
      <c r="BW222" s="46"/>
      <c r="BX222" s="46"/>
      <c r="BY222" s="46"/>
      <c r="BZ222" s="46"/>
      <c r="CA222" s="46"/>
      <c r="CB222" s="46"/>
      <c r="CC222" s="46"/>
      <c r="CD222" s="46"/>
      <c r="CE222" s="46"/>
      <c r="CF222" s="46"/>
      <c r="CG222" s="46"/>
      <c r="CH222" s="46"/>
      <c r="CI222" s="46"/>
      <c r="CJ222" s="46"/>
      <c r="CK222" s="46"/>
      <c r="CL222" s="46"/>
      <c r="CM222" s="46"/>
      <c r="CN222" s="46"/>
      <c r="CO222" s="46"/>
      <c r="CP222" s="46"/>
      <c r="CQ222" s="46"/>
      <c r="CR222" s="46"/>
      <c r="CS222" s="46"/>
      <c r="CT222" s="46"/>
      <c r="CU222" s="46"/>
      <c r="CV222" s="46"/>
      <c r="CW222" s="46"/>
      <c r="CX222" s="46"/>
      <c r="CY222" s="46"/>
      <c r="CZ222" s="46"/>
      <c r="DA222" s="46"/>
      <c r="DB222" s="46"/>
      <c r="DC222" s="46"/>
      <c r="DD222" s="46"/>
      <c r="DE222" s="46"/>
      <c r="DF222" s="46"/>
      <c r="DG222" s="46"/>
      <c r="DH222" s="46"/>
      <c r="DI222" s="46"/>
      <c r="DJ222" s="46"/>
      <c r="DK222" s="46"/>
      <c r="DL222" s="46"/>
      <c r="DM222" s="46"/>
      <c r="DN222" s="46"/>
      <c r="DO222" s="46"/>
      <c r="DP222" s="46"/>
      <c r="DQ222" s="46"/>
      <c r="DR222" s="46"/>
      <c r="DS222" s="46"/>
      <c r="DT222" s="46"/>
      <c r="DU222" s="46"/>
      <c r="DV222" s="46"/>
      <c r="DW222" s="46"/>
      <c r="DX222" s="46"/>
      <c r="DY222" s="46"/>
      <c r="DZ222" s="46"/>
      <c r="EA222" s="46"/>
    </row>
    <row r="223" spans="2:131" ht="18" customHeight="1">
      <c r="B223" s="46"/>
      <c r="C223" s="46"/>
      <c r="D223" s="46"/>
      <c r="E223" s="46"/>
      <c r="F223" s="46"/>
      <c r="G223" s="46"/>
      <c r="H223" s="46"/>
      <c r="I223" s="46"/>
      <c r="J223" s="46"/>
      <c r="K223" s="46"/>
      <c r="L223" s="45"/>
      <c r="M223" s="46"/>
      <c r="N223" s="46"/>
      <c r="O223" s="46"/>
      <c r="P223" s="46"/>
      <c r="Q223" s="46"/>
      <c r="R223" s="46"/>
      <c r="S223" s="46"/>
      <c r="T223" s="46"/>
      <c r="U223" s="46"/>
      <c r="V223" s="46"/>
      <c r="W223" s="46"/>
      <c r="X223" s="46"/>
      <c r="Y223" s="46"/>
      <c r="Z223" s="46"/>
      <c r="AA223" s="46"/>
      <c r="AB223" s="46"/>
      <c r="AC223" s="46"/>
      <c r="AD223" s="46"/>
      <c r="AE223" s="46"/>
      <c r="AF223" s="46"/>
      <c r="AG223" s="46"/>
      <c r="AH223" s="46"/>
      <c r="AI223" s="46"/>
      <c r="AJ223" s="46"/>
      <c r="AK223" s="46"/>
      <c r="AL223" s="46"/>
      <c r="AM223" s="46"/>
      <c r="AN223" s="46"/>
      <c r="AO223" s="46"/>
      <c r="AP223" s="46"/>
      <c r="AQ223" s="46"/>
      <c r="AR223" s="46"/>
      <c r="AS223" s="46"/>
      <c r="AT223" s="46"/>
      <c r="AU223" s="46"/>
      <c r="AV223" s="46"/>
      <c r="AW223" s="46"/>
      <c r="AX223" s="46"/>
      <c r="AY223" s="46"/>
      <c r="AZ223" s="46"/>
      <c r="BA223" s="46"/>
      <c r="BB223" s="46"/>
      <c r="BC223" s="46"/>
      <c r="BD223" s="46"/>
      <c r="BE223" s="46"/>
      <c r="BF223" s="46"/>
      <c r="BG223" s="46"/>
      <c r="BH223" s="46"/>
      <c r="BI223" s="46"/>
      <c r="BJ223" s="46"/>
      <c r="BK223" s="46"/>
      <c r="BL223" s="46"/>
      <c r="BM223" s="46"/>
      <c r="BN223" s="46"/>
      <c r="BO223" s="46"/>
      <c r="BP223" s="46"/>
      <c r="BQ223" s="46"/>
      <c r="BR223" s="46"/>
      <c r="BS223" s="46"/>
      <c r="BT223" s="46"/>
      <c r="BU223" s="46"/>
      <c r="BV223" s="46"/>
      <c r="BW223" s="46"/>
      <c r="BX223" s="46"/>
      <c r="BY223" s="46"/>
      <c r="BZ223" s="46"/>
      <c r="CA223" s="46"/>
      <c r="CB223" s="46"/>
      <c r="CC223" s="46"/>
      <c r="CD223" s="46"/>
      <c r="CE223" s="46"/>
      <c r="CF223" s="46"/>
      <c r="CG223" s="46"/>
      <c r="CH223" s="46"/>
      <c r="CI223" s="46"/>
      <c r="CJ223" s="46"/>
      <c r="CK223" s="46"/>
      <c r="CL223" s="46"/>
      <c r="CM223" s="46"/>
      <c r="CN223" s="46"/>
      <c r="CO223" s="46"/>
      <c r="CP223" s="46"/>
      <c r="CQ223" s="46"/>
      <c r="CR223" s="46"/>
      <c r="CS223" s="46"/>
      <c r="CT223" s="46"/>
      <c r="CU223" s="46"/>
      <c r="CV223" s="46"/>
      <c r="CW223" s="46"/>
      <c r="CX223" s="46"/>
      <c r="CY223" s="46"/>
      <c r="CZ223" s="46"/>
      <c r="DA223" s="46"/>
      <c r="DB223" s="46"/>
      <c r="DC223" s="46"/>
      <c r="DD223" s="46"/>
      <c r="DE223" s="46"/>
      <c r="DF223" s="46"/>
      <c r="DG223" s="46"/>
      <c r="DH223" s="46"/>
      <c r="DI223" s="46"/>
      <c r="DJ223" s="46"/>
      <c r="DK223" s="46"/>
      <c r="DL223" s="46"/>
      <c r="DM223" s="46"/>
      <c r="DN223" s="46"/>
      <c r="DO223" s="46"/>
      <c r="DP223" s="46"/>
      <c r="DQ223" s="46"/>
      <c r="DR223" s="46"/>
      <c r="DS223" s="46"/>
      <c r="DT223" s="46"/>
      <c r="DU223" s="46"/>
      <c r="DV223" s="46"/>
      <c r="DW223" s="46"/>
      <c r="DX223" s="46"/>
      <c r="DY223" s="46"/>
      <c r="DZ223" s="46"/>
      <c r="EA223" s="46"/>
    </row>
    <row r="224" spans="2:131" ht="18" customHeight="1">
      <c r="B224" s="46"/>
      <c r="C224" s="46"/>
      <c r="D224" s="46"/>
      <c r="E224" s="46"/>
      <c r="F224" s="46"/>
      <c r="G224" s="46"/>
      <c r="H224" s="46"/>
      <c r="I224" s="46"/>
      <c r="J224" s="46"/>
      <c r="K224" s="46"/>
      <c r="L224" s="45"/>
      <c r="M224" s="46"/>
      <c r="N224" s="46"/>
      <c r="O224" s="46"/>
      <c r="P224" s="46"/>
      <c r="Q224" s="46"/>
      <c r="R224" s="46"/>
      <c r="S224" s="46"/>
      <c r="T224" s="46"/>
      <c r="U224" s="46"/>
      <c r="V224" s="46"/>
      <c r="W224" s="46"/>
      <c r="X224" s="46"/>
      <c r="Y224" s="46"/>
      <c r="Z224" s="46"/>
      <c r="AA224" s="46"/>
      <c r="AB224" s="46"/>
      <c r="AC224" s="46"/>
      <c r="AD224" s="46"/>
      <c r="AE224" s="46"/>
      <c r="AF224" s="46"/>
      <c r="AG224" s="46"/>
      <c r="AH224" s="46"/>
      <c r="AI224" s="46"/>
      <c r="AJ224" s="46"/>
      <c r="AK224" s="46"/>
      <c r="AL224" s="46"/>
      <c r="AM224" s="46"/>
      <c r="AN224" s="46"/>
      <c r="AO224" s="46"/>
      <c r="AP224" s="46"/>
      <c r="AQ224" s="46"/>
      <c r="AR224" s="46"/>
      <c r="AS224" s="46"/>
      <c r="AT224" s="46"/>
      <c r="AU224" s="46"/>
      <c r="AV224" s="46"/>
      <c r="AW224" s="46"/>
      <c r="AX224" s="46"/>
      <c r="AY224" s="46"/>
      <c r="AZ224" s="46"/>
      <c r="BA224" s="46"/>
      <c r="BB224" s="46"/>
      <c r="BC224" s="46"/>
      <c r="BD224" s="46"/>
      <c r="BE224" s="46"/>
      <c r="BF224" s="46"/>
      <c r="BG224" s="46"/>
      <c r="BH224" s="46"/>
      <c r="BI224" s="46"/>
      <c r="BJ224" s="46"/>
      <c r="BK224" s="46"/>
      <c r="BL224" s="46"/>
      <c r="BM224" s="46"/>
      <c r="BN224" s="46"/>
      <c r="BO224" s="46"/>
      <c r="BP224" s="46"/>
      <c r="BQ224" s="46"/>
      <c r="BR224" s="46"/>
      <c r="BS224" s="46"/>
      <c r="BT224" s="46"/>
      <c r="BU224" s="46"/>
      <c r="BV224" s="46"/>
      <c r="BW224" s="46"/>
      <c r="BX224" s="46"/>
      <c r="BY224" s="46"/>
      <c r="BZ224" s="46"/>
      <c r="CA224" s="46"/>
      <c r="CB224" s="46"/>
      <c r="CC224" s="46"/>
      <c r="CD224" s="46"/>
      <c r="CE224" s="46"/>
      <c r="CF224" s="46"/>
      <c r="CG224" s="46"/>
      <c r="CH224" s="46"/>
      <c r="CI224" s="46"/>
      <c r="CJ224" s="46"/>
      <c r="CK224" s="46"/>
      <c r="CL224" s="46"/>
      <c r="CM224" s="46"/>
      <c r="CN224" s="46"/>
      <c r="CO224" s="46"/>
      <c r="CP224" s="46"/>
      <c r="CQ224" s="46"/>
      <c r="CR224" s="46"/>
      <c r="CS224" s="46"/>
      <c r="CT224" s="46"/>
      <c r="CU224" s="46"/>
      <c r="CV224" s="46"/>
      <c r="CW224" s="46"/>
      <c r="CX224" s="46"/>
      <c r="CY224" s="46"/>
      <c r="CZ224" s="46"/>
      <c r="DA224" s="46"/>
      <c r="DB224" s="46"/>
      <c r="DC224" s="46"/>
      <c r="DD224" s="46"/>
      <c r="DE224" s="46"/>
      <c r="DF224" s="46"/>
      <c r="DG224" s="46"/>
      <c r="DH224" s="46"/>
      <c r="DI224" s="46"/>
      <c r="DJ224" s="46"/>
      <c r="DK224" s="46"/>
      <c r="DL224" s="46"/>
      <c r="DM224" s="46"/>
      <c r="DN224" s="46"/>
      <c r="DO224" s="46"/>
      <c r="DP224" s="46"/>
      <c r="DQ224" s="46"/>
      <c r="DR224" s="46"/>
      <c r="DS224" s="46"/>
      <c r="DT224" s="46"/>
      <c r="DU224" s="46"/>
      <c r="DV224" s="46"/>
      <c r="DW224" s="46"/>
      <c r="DX224" s="46"/>
      <c r="DY224" s="46"/>
      <c r="DZ224" s="46"/>
      <c r="EA224" s="46"/>
    </row>
    <row r="225" spans="2:131" ht="18" customHeight="1">
      <c r="B225" s="45"/>
      <c r="C225" s="45"/>
      <c r="D225" s="46"/>
      <c r="E225" s="46"/>
      <c r="F225" s="46"/>
      <c r="G225" s="46"/>
      <c r="H225" s="46"/>
      <c r="I225" s="46"/>
      <c r="J225" s="46"/>
      <c r="K225" s="46"/>
      <c r="L225" s="45"/>
      <c r="M225" s="46"/>
      <c r="N225" s="46"/>
      <c r="O225" s="46"/>
      <c r="P225" s="46"/>
      <c r="Q225" s="46"/>
      <c r="R225" s="46"/>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c r="BC225" s="46"/>
      <c r="BD225" s="46"/>
      <c r="BE225" s="46"/>
      <c r="BF225" s="46"/>
      <c r="BG225" s="46"/>
      <c r="BH225" s="46"/>
      <c r="BI225" s="46"/>
      <c r="BJ225" s="46"/>
      <c r="BK225" s="46"/>
      <c r="BL225" s="46"/>
      <c r="BM225" s="46"/>
      <c r="BN225" s="46"/>
      <c r="BO225" s="46"/>
      <c r="BP225" s="46"/>
      <c r="BQ225" s="46"/>
      <c r="BR225" s="46"/>
      <c r="BS225" s="46"/>
      <c r="BT225" s="46"/>
      <c r="BU225" s="46"/>
      <c r="BV225" s="46"/>
      <c r="BW225" s="46"/>
      <c r="BX225" s="46"/>
      <c r="BY225" s="46"/>
      <c r="BZ225" s="46"/>
      <c r="CA225" s="46"/>
      <c r="CB225" s="46"/>
      <c r="CC225" s="46"/>
      <c r="CD225" s="46"/>
      <c r="CE225" s="46"/>
      <c r="CF225" s="46"/>
      <c r="CG225" s="46"/>
      <c r="CH225" s="46"/>
      <c r="CI225" s="46"/>
      <c r="CJ225" s="46"/>
      <c r="CK225" s="46"/>
      <c r="CL225" s="46"/>
      <c r="CM225" s="46"/>
      <c r="CN225" s="46"/>
      <c r="CO225" s="46"/>
      <c r="CP225" s="46"/>
      <c r="CQ225" s="46"/>
      <c r="CR225" s="46"/>
      <c r="CS225" s="46"/>
      <c r="CT225" s="46"/>
      <c r="CU225" s="46"/>
      <c r="CV225" s="46"/>
      <c r="CW225" s="46"/>
      <c r="CX225" s="46"/>
      <c r="CY225" s="46"/>
      <c r="CZ225" s="46"/>
      <c r="DA225" s="46"/>
      <c r="DB225" s="46"/>
      <c r="DC225" s="46"/>
      <c r="DD225" s="46"/>
      <c r="DE225" s="46"/>
      <c r="DF225" s="46"/>
      <c r="DG225" s="46"/>
      <c r="DH225" s="46"/>
      <c r="DI225" s="46"/>
      <c r="DJ225" s="46"/>
      <c r="DK225" s="46"/>
      <c r="DL225" s="46"/>
      <c r="DM225" s="46"/>
      <c r="DN225" s="46"/>
      <c r="DO225" s="46"/>
      <c r="DP225" s="46"/>
      <c r="DQ225" s="46"/>
      <c r="DR225" s="46"/>
      <c r="DS225" s="46"/>
      <c r="DT225" s="46"/>
      <c r="DU225" s="46"/>
      <c r="DV225" s="46"/>
      <c r="DW225" s="46"/>
      <c r="DX225" s="46"/>
      <c r="DY225" s="46"/>
      <c r="DZ225" s="46"/>
      <c r="EA225" s="46"/>
    </row>
    <row r="226" spans="2:131" ht="18" customHeight="1">
      <c r="B226" s="46"/>
      <c r="C226" s="46"/>
      <c r="D226" s="46"/>
      <c r="E226" s="46"/>
      <c r="F226" s="46"/>
      <c r="G226" s="46"/>
      <c r="H226" s="46"/>
      <c r="I226" s="46"/>
      <c r="J226" s="46"/>
      <c r="K226" s="46"/>
      <c r="L226" s="45"/>
      <c r="M226" s="46"/>
      <c r="N226" s="46"/>
      <c r="O226" s="46"/>
      <c r="P226" s="46"/>
      <c r="Q226" s="46"/>
      <c r="R226" s="46"/>
      <c r="S226" s="46"/>
      <c r="T226" s="46"/>
      <c r="U226" s="46"/>
      <c r="V226" s="46"/>
      <c r="W226" s="46"/>
      <c r="X226" s="46"/>
      <c r="Y226" s="46"/>
      <c r="Z226" s="46"/>
      <c r="AA226" s="46"/>
      <c r="AB226" s="46"/>
      <c r="AC226" s="46"/>
      <c r="AD226" s="46"/>
      <c r="AE226" s="46"/>
      <c r="AF226" s="46"/>
      <c r="AG226" s="46"/>
      <c r="AH226" s="46"/>
      <c r="AI226" s="46"/>
      <c r="AJ226" s="46"/>
      <c r="AK226" s="46"/>
      <c r="AL226" s="46"/>
      <c r="AM226" s="46"/>
      <c r="AN226" s="46"/>
      <c r="AO226" s="46"/>
      <c r="AP226" s="46"/>
      <c r="AQ226" s="46"/>
      <c r="AR226" s="46"/>
      <c r="AS226" s="46"/>
      <c r="AT226" s="46"/>
      <c r="AU226" s="46"/>
      <c r="AV226" s="46"/>
      <c r="AW226" s="46"/>
      <c r="AX226" s="46"/>
      <c r="AY226" s="46"/>
      <c r="AZ226" s="46"/>
      <c r="BA226" s="46"/>
      <c r="BB226" s="46"/>
      <c r="BC226" s="46"/>
      <c r="BD226" s="46"/>
      <c r="BE226" s="46"/>
      <c r="BF226" s="46"/>
      <c r="BG226" s="46"/>
      <c r="BH226" s="46"/>
      <c r="BI226" s="46"/>
      <c r="BJ226" s="46"/>
      <c r="BK226" s="46"/>
      <c r="BL226" s="46"/>
      <c r="BM226" s="46"/>
      <c r="BN226" s="46"/>
      <c r="BO226" s="46"/>
      <c r="BP226" s="46"/>
      <c r="BQ226" s="46"/>
      <c r="BR226" s="46"/>
      <c r="BS226" s="46"/>
      <c r="BT226" s="46"/>
      <c r="BU226" s="46"/>
      <c r="BV226" s="46"/>
      <c r="BW226" s="46"/>
      <c r="BX226" s="46"/>
      <c r="BY226" s="46"/>
      <c r="BZ226" s="46"/>
      <c r="CA226" s="46"/>
      <c r="CB226" s="46"/>
      <c r="CC226" s="46"/>
      <c r="CD226" s="46"/>
      <c r="CE226" s="46"/>
      <c r="CF226" s="46"/>
      <c r="CG226" s="46"/>
      <c r="CH226" s="46"/>
      <c r="CI226" s="46"/>
      <c r="CJ226" s="46"/>
      <c r="CK226" s="46"/>
      <c r="CL226" s="46"/>
      <c r="CM226" s="46"/>
      <c r="CN226" s="46"/>
      <c r="CO226" s="46"/>
      <c r="CP226" s="46"/>
      <c r="CQ226" s="46"/>
      <c r="CR226" s="46"/>
      <c r="CS226" s="46"/>
      <c r="CT226" s="46"/>
      <c r="CU226" s="46"/>
      <c r="CV226" s="46"/>
      <c r="CW226" s="46"/>
      <c r="CX226" s="46"/>
      <c r="CY226" s="46"/>
      <c r="CZ226" s="46"/>
      <c r="DA226" s="46"/>
      <c r="DB226" s="46"/>
      <c r="DC226" s="46"/>
      <c r="DD226" s="46"/>
      <c r="DE226" s="46"/>
      <c r="DF226" s="46"/>
      <c r="DG226" s="46"/>
      <c r="DH226" s="46"/>
      <c r="DI226" s="46"/>
      <c r="DJ226" s="46"/>
      <c r="DK226" s="46"/>
      <c r="DL226" s="46"/>
      <c r="DM226" s="46"/>
      <c r="DN226" s="46"/>
      <c r="DO226" s="46"/>
      <c r="DP226" s="46"/>
      <c r="DQ226" s="46"/>
      <c r="DR226" s="46"/>
      <c r="DS226" s="46"/>
      <c r="DT226" s="46"/>
      <c r="DU226" s="46"/>
      <c r="DV226" s="46"/>
      <c r="DW226" s="46"/>
      <c r="DX226" s="46"/>
      <c r="DY226" s="46"/>
      <c r="DZ226" s="46"/>
      <c r="EA226" s="46"/>
    </row>
    <row r="227" spans="2:131" ht="18" customHeight="1">
      <c r="B227" s="46"/>
      <c r="C227" s="46"/>
      <c r="D227" s="46"/>
      <c r="E227" s="46"/>
      <c r="F227" s="46"/>
      <c r="G227" s="46"/>
      <c r="H227" s="46"/>
      <c r="I227" s="46"/>
      <c r="J227" s="46"/>
      <c r="K227" s="46"/>
      <c r="L227" s="45"/>
      <c r="M227" s="46"/>
      <c r="N227" s="46"/>
      <c r="O227" s="46"/>
      <c r="P227" s="46"/>
      <c r="Q227" s="46"/>
      <c r="R227" s="46"/>
      <c r="S227" s="46"/>
      <c r="T227" s="46"/>
      <c r="U227" s="46"/>
      <c r="V227" s="46"/>
      <c r="W227" s="46"/>
      <c r="X227" s="46"/>
      <c r="Y227" s="46"/>
      <c r="Z227" s="46"/>
      <c r="AA227" s="46"/>
      <c r="AB227" s="46"/>
      <c r="AC227" s="46"/>
      <c r="AD227" s="46"/>
      <c r="AE227" s="46"/>
      <c r="AF227" s="46"/>
      <c r="AG227" s="46"/>
      <c r="AH227" s="46"/>
      <c r="AI227" s="46"/>
      <c r="AJ227" s="46"/>
      <c r="AK227" s="46"/>
      <c r="AL227" s="46"/>
      <c r="AM227" s="46"/>
      <c r="AN227" s="46"/>
      <c r="AO227" s="46"/>
      <c r="AP227" s="46"/>
      <c r="AQ227" s="46"/>
      <c r="AR227" s="46"/>
      <c r="AS227" s="46"/>
      <c r="AT227" s="46"/>
      <c r="AU227" s="46"/>
      <c r="AV227" s="46"/>
      <c r="AW227" s="46"/>
      <c r="AX227" s="46"/>
      <c r="AY227" s="46"/>
      <c r="AZ227" s="46"/>
      <c r="BA227" s="46"/>
      <c r="BB227" s="46"/>
      <c r="BC227" s="46"/>
      <c r="BD227" s="46"/>
      <c r="BE227" s="46"/>
      <c r="BF227" s="46"/>
      <c r="BG227" s="46"/>
      <c r="BH227" s="46"/>
      <c r="BI227" s="46"/>
      <c r="BJ227" s="46"/>
      <c r="BK227" s="46"/>
      <c r="BL227" s="46"/>
      <c r="BM227" s="46"/>
      <c r="BN227" s="46"/>
      <c r="BO227" s="46"/>
      <c r="BP227" s="46"/>
      <c r="BQ227" s="46"/>
      <c r="BR227" s="46"/>
      <c r="BS227" s="46"/>
      <c r="BT227" s="46"/>
      <c r="BU227" s="46"/>
      <c r="BV227" s="46"/>
      <c r="BW227" s="46"/>
      <c r="BX227" s="46"/>
      <c r="BY227" s="46"/>
      <c r="BZ227" s="46"/>
      <c r="CA227" s="46"/>
      <c r="CB227" s="46"/>
      <c r="CC227" s="46"/>
      <c r="CD227" s="46"/>
      <c r="CE227" s="46"/>
      <c r="CF227" s="46"/>
      <c r="CG227" s="46"/>
      <c r="CH227" s="46"/>
      <c r="CI227" s="46"/>
      <c r="CJ227" s="46"/>
      <c r="CK227" s="46"/>
      <c r="CL227" s="46"/>
      <c r="CM227" s="46"/>
      <c r="CN227" s="46"/>
      <c r="CO227" s="46"/>
      <c r="CP227" s="46"/>
      <c r="CQ227" s="46"/>
      <c r="CR227" s="46"/>
      <c r="CS227" s="46"/>
      <c r="CT227" s="46"/>
      <c r="CU227" s="46"/>
      <c r="CV227" s="46"/>
      <c r="CW227" s="46"/>
      <c r="CX227" s="46"/>
      <c r="CY227" s="46"/>
      <c r="CZ227" s="46"/>
      <c r="DA227" s="46"/>
      <c r="DB227" s="46"/>
      <c r="DC227" s="46"/>
      <c r="DD227" s="46"/>
      <c r="DE227" s="46"/>
      <c r="DF227" s="46"/>
      <c r="DG227" s="46"/>
      <c r="DH227" s="46"/>
      <c r="DI227" s="46"/>
      <c r="DJ227" s="46"/>
      <c r="DK227" s="46"/>
      <c r="DL227" s="46"/>
      <c r="DM227" s="46"/>
      <c r="DN227" s="46"/>
      <c r="DO227" s="46"/>
      <c r="DP227" s="46"/>
      <c r="DQ227" s="46"/>
      <c r="DR227" s="46"/>
      <c r="DS227" s="46"/>
      <c r="DT227" s="46"/>
      <c r="DU227" s="46"/>
      <c r="DV227" s="46"/>
      <c r="DW227" s="46"/>
      <c r="DX227" s="46"/>
      <c r="DY227" s="46"/>
      <c r="DZ227" s="46"/>
      <c r="EA227" s="46"/>
    </row>
    <row r="228" spans="2:131" ht="18" customHeight="1">
      <c r="B228" s="46"/>
      <c r="C228" s="46"/>
      <c r="D228" s="46"/>
      <c r="E228" s="46"/>
      <c r="F228" s="46"/>
      <c r="G228" s="46"/>
      <c r="H228" s="46"/>
      <c r="I228" s="46"/>
      <c r="J228" s="46"/>
      <c r="K228" s="46"/>
      <c r="L228" s="45"/>
      <c r="M228" s="46"/>
      <c r="N228" s="46"/>
      <c r="O228" s="46"/>
      <c r="P228" s="46"/>
      <c r="Q228" s="46"/>
      <c r="R228" s="46"/>
      <c r="S228" s="46"/>
      <c r="T228" s="46"/>
      <c r="U228" s="46"/>
      <c r="V228" s="46"/>
      <c r="W228" s="46"/>
      <c r="X228" s="46"/>
      <c r="Y228" s="46"/>
      <c r="Z228" s="46"/>
      <c r="AA228" s="46"/>
      <c r="AB228" s="46"/>
      <c r="AC228" s="46"/>
      <c r="AD228" s="46"/>
      <c r="AE228" s="46"/>
      <c r="AF228" s="46"/>
      <c r="AG228" s="46"/>
      <c r="AH228" s="46"/>
      <c r="AI228" s="46"/>
      <c r="AJ228" s="46"/>
      <c r="AK228" s="46"/>
      <c r="AL228" s="46"/>
      <c r="AM228" s="46"/>
      <c r="AN228" s="46"/>
      <c r="AO228" s="46"/>
      <c r="AP228" s="46"/>
      <c r="AQ228" s="46"/>
      <c r="AR228" s="46"/>
      <c r="AS228" s="46"/>
      <c r="AT228" s="46"/>
      <c r="AU228" s="46"/>
      <c r="AV228" s="46"/>
      <c r="AW228" s="46"/>
      <c r="AX228" s="46"/>
      <c r="AY228" s="46"/>
      <c r="AZ228" s="46"/>
      <c r="BA228" s="46"/>
      <c r="BB228" s="46"/>
      <c r="BC228" s="46"/>
      <c r="BD228" s="46"/>
      <c r="BE228" s="46"/>
      <c r="BF228" s="46"/>
      <c r="BG228" s="46"/>
      <c r="BH228" s="46"/>
      <c r="BI228" s="46"/>
      <c r="BJ228" s="46"/>
      <c r="BK228" s="46"/>
      <c r="BL228" s="46"/>
      <c r="BM228" s="46"/>
      <c r="BN228" s="46"/>
      <c r="BO228" s="46"/>
      <c r="BP228" s="46"/>
      <c r="BQ228" s="46"/>
      <c r="BR228" s="46"/>
      <c r="BS228" s="46"/>
      <c r="BT228" s="46"/>
      <c r="BU228" s="46"/>
      <c r="BV228" s="46"/>
      <c r="BW228" s="46"/>
      <c r="BX228" s="46"/>
      <c r="BY228" s="46"/>
      <c r="BZ228" s="46"/>
      <c r="CA228" s="46"/>
      <c r="CB228" s="46"/>
      <c r="CC228" s="46"/>
      <c r="CD228" s="46"/>
      <c r="CE228" s="46"/>
      <c r="CF228" s="46"/>
      <c r="CG228" s="46"/>
      <c r="CH228" s="46"/>
      <c r="CI228" s="46"/>
      <c r="CJ228" s="46"/>
      <c r="CK228" s="46"/>
      <c r="CL228" s="46"/>
      <c r="CM228" s="46"/>
      <c r="CN228" s="46"/>
      <c r="CO228" s="46"/>
      <c r="CP228" s="46"/>
      <c r="CQ228" s="46"/>
      <c r="CR228" s="46"/>
      <c r="CS228" s="46"/>
      <c r="CT228" s="46"/>
      <c r="CU228" s="46"/>
      <c r="CV228" s="46"/>
      <c r="CW228" s="46"/>
      <c r="CX228" s="46"/>
      <c r="CY228" s="46"/>
      <c r="CZ228" s="46"/>
      <c r="DA228" s="46"/>
      <c r="DB228" s="46"/>
      <c r="DC228" s="46"/>
      <c r="DD228" s="46"/>
      <c r="DE228" s="46"/>
      <c r="DF228" s="46"/>
      <c r="DG228" s="46"/>
      <c r="DH228" s="46"/>
      <c r="DI228" s="46"/>
      <c r="DJ228" s="46"/>
      <c r="DK228" s="46"/>
      <c r="DL228" s="46"/>
      <c r="DM228" s="46"/>
      <c r="DN228" s="46"/>
      <c r="DO228" s="46"/>
      <c r="DP228" s="46"/>
      <c r="DQ228" s="46"/>
      <c r="DR228" s="46"/>
      <c r="DS228" s="46"/>
      <c r="DT228" s="46"/>
      <c r="DU228" s="46"/>
      <c r="DV228" s="46"/>
      <c r="DW228" s="46"/>
      <c r="DX228" s="46"/>
      <c r="DY228" s="46"/>
      <c r="DZ228" s="46"/>
      <c r="EA228" s="46"/>
    </row>
    <row r="229" spans="2:131" ht="18" customHeight="1">
      <c r="B229" s="46"/>
      <c r="C229" s="46"/>
      <c r="D229" s="46"/>
      <c r="E229" s="46"/>
      <c r="F229" s="46"/>
      <c r="G229" s="46"/>
      <c r="H229" s="46"/>
      <c r="I229" s="46"/>
      <c r="J229" s="46"/>
      <c r="K229" s="46"/>
      <c r="L229" s="45"/>
      <c r="M229" s="46"/>
      <c r="N229" s="46"/>
      <c r="O229" s="46"/>
      <c r="P229" s="46"/>
      <c r="Q229" s="46"/>
      <c r="R229" s="46"/>
      <c r="S229" s="46"/>
      <c r="T229" s="46"/>
      <c r="U229" s="46"/>
      <c r="V229" s="46"/>
      <c r="W229" s="46"/>
      <c r="X229" s="46"/>
      <c r="Y229" s="46"/>
      <c r="Z229" s="46"/>
      <c r="AA229" s="46"/>
      <c r="AB229" s="46"/>
      <c r="AC229" s="46"/>
      <c r="AD229" s="46"/>
      <c r="AE229" s="46"/>
      <c r="AF229" s="46"/>
      <c r="AG229" s="46"/>
      <c r="AH229" s="46"/>
      <c r="AI229" s="46"/>
      <c r="AJ229" s="46"/>
      <c r="AK229" s="46"/>
      <c r="AL229" s="46"/>
      <c r="AM229" s="46"/>
      <c r="AN229" s="46"/>
      <c r="AO229" s="46"/>
      <c r="AP229" s="46"/>
      <c r="AQ229" s="46"/>
      <c r="AR229" s="46"/>
      <c r="AS229" s="46"/>
      <c r="AT229" s="46"/>
      <c r="AU229" s="46"/>
      <c r="AV229" s="46"/>
      <c r="AW229" s="46"/>
      <c r="AX229" s="46"/>
      <c r="AY229" s="46"/>
      <c r="AZ229" s="46"/>
      <c r="BA229" s="46"/>
      <c r="BB229" s="46"/>
      <c r="BC229" s="46"/>
      <c r="BD229" s="46"/>
      <c r="BE229" s="46"/>
      <c r="BF229" s="46"/>
      <c r="BG229" s="46"/>
      <c r="BH229" s="46"/>
      <c r="BI229" s="46"/>
      <c r="BJ229" s="46"/>
      <c r="BK229" s="46"/>
      <c r="BL229" s="46"/>
      <c r="BM229" s="46"/>
      <c r="BN229" s="46"/>
      <c r="BO229" s="46"/>
      <c r="BP229" s="46"/>
      <c r="BQ229" s="46"/>
      <c r="BR229" s="46"/>
      <c r="BS229" s="46"/>
      <c r="BT229" s="46"/>
      <c r="BU229" s="46"/>
      <c r="BV229" s="46"/>
      <c r="BW229" s="46"/>
      <c r="BX229" s="46"/>
      <c r="BY229" s="46"/>
      <c r="BZ229" s="46"/>
      <c r="CA229" s="46"/>
      <c r="CB229" s="46"/>
      <c r="CC229" s="46"/>
      <c r="CD229" s="46"/>
      <c r="CE229" s="46"/>
      <c r="CF229" s="46"/>
      <c r="CG229" s="46"/>
      <c r="CH229" s="46"/>
      <c r="CI229" s="46"/>
      <c r="CJ229" s="46"/>
      <c r="CK229" s="46"/>
      <c r="CL229" s="46"/>
      <c r="CM229" s="46"/>
      <c r="CN229" s="46"/>
      <c r="CO229" s="46"/>
      <c r="CP229" s="46"/>
      <c r="CQ229" s="46"/>
      <c r="CR229" s="46"/>
      <c r="CS229" s="46"/>
      <c r="CT229" s="46"/>
      <c r="CU229" s="46"/>
      <c r="CV229" s="46"/>
      <c r="CW229" s="46"/>
      <c r="CX229" s="46"/>
      <c r="CY229" s="46"/>
      <c r="CZ229" s="46"/>
      <c r="DA229" s="46"/>
      <c r="DB229" s="46"/>
      <c r="DC229" s="46"/>
      <c r="DD229" s="46"/>
      <c r="DE229" s="46"/>
      <c r="DF229" s="46"/>
      <c r="DG229" s="46"/>
      <c r="DH229" s="46"/>
      <c r="DI229" s="46"/>
      <c r="DJ229" s="46"/>
      <c r="DK229" s="46"/>
      <c r="DL229" s="46"/>
      <c r="DM229" s="46"/>
      <c r="DN229" s="46"/>
      <c r="DO229" s="46"/>
      <c r="DP229" s="46"/>
      <c r="DQ229" s="46"/>
      <c r="DR229" s="46"/>
      <c r="DS229" s="46"/>
      <c r="DT229" s="46"/>
      <c r="DU229" s="46"/>
      <c r="DV229" s="46"/>
      <c r="DW229" s="46"/>
      <c r="DX229" s="46"/>
      <c r="DY229" s="46"/>
      <c r="DZ229" s="46"/>
      <c r="EA229" s="46"/>
    </row>
    <row r="230" spans="2:131" ht="18" customHeight="1">
      <c r="B230" s="46"/>
      <c r="C230" s="46"/>
      <c r="D230" s="46"/>
      <c r="E230" s="46"/>
      <c r="F230" s="46"/>
      <c r="G230" s="46"/>
      <c r="H230" s="46"/>
      <c r="I230" s="46"/>
      <c r="J230" s="46"/>
      <c r="K230" s="46"/>
      <c r="L230" s="45"/>
      <c r="M230" s="46"/>
      <c r="N230" s="46"/>
      <c r="O230" s="46"/>
      <c r="P230" s="46"/>
      <c r="Q230" s="46"/>
      <c r="R230" s="46"/>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c r="BC230" s="46"/>
      <c r="BD230" s="46"/>
      <c r="BE230" s="46"/>
      <c r="BF230" s="46"/>
      <c r="BG230" s="46"/>
      <c r="BH230" s="46"/>
      <c r="BI230" s="46"/>
      <c r="BJ230" s="46"/>
      <c r="BK230" s="46"/>
      <c r="BL230" s="46"/>
      <c r="BM230" s="46"/>
      <c r="BN230" s="46"/>
      <c r="BO230" s="46"/>
      <c r="BP230" s="46"/>
      <c r="BQ230" s="46"/>
      <c r="BR230" s="46"/>
      <c r="BS230" s="46"/>
      <c r="BT230" s="46"/>
      <c r="BU230" s="46"/>
      <c r="BV230" s="46"/>
      <c r="BW230" s="46"/>
      <c r="BX230" s="46"/>
      <c r="BY230" s="46"/>
      <c r="BZ230" s="46"/>
      <c r="CA230" s="46"/>
      <c r="CB230" s="46"/>
      <c r="CC230" s="46"/>
      <c r="CD230" s="46"/>
      <c r="CE230" s="46"/>
      <c r="CF230" s="46"/>
      <c r="CG230" s="46"/>
      <c r="CH230" s="46"/>
      <c r="CI230" s="46"/>
      <c r="CJ230" s="46"/>
      <c r="CK230" s="46"/>
      <c r="CL230" s="46"/>
      <c r="CM230" s="46"/>
      <c r="CN230" s="46"/>
      <c r="CO230" s="46"/>
      <c r="CP230" s="46"/>
      <c r="CQ230" s="46"/>
      <c r="CR230" s="46"/>
      <c r="CS230" s="46"/>
      <c r="CT230" s="46"/>
      <c r="CU230" s="46"/>
      <c r="CV230" s="46"/>
      <c r="CW230" s="46"/>
      <c r="CX230" s="46"/>
      <c r="CY230" s="46"/>
      <c r="CZ230" s="46"/>
      <c r="DA230" s="46"/>
      <c r="DB230" s="46"/>
      <c r="DC230" s="46"/>
      <c r="DD230" s="46"/>
      <c r="DE230" s="46"/>
      <c r="DF230" s="46"/>
      <c r="DG230" s="46"/>
      <c r="DH230" s="46"/>
      <c r="DI230" s="46"/>
      <c r="DJ230" s="46"/>
      <c r="DK230" s="46"/>
      <c r="DL230" s="46"/>
      <c r="DM230" s="46"/>
      <c r="DN230" s="46"/>
      <c r="DO230" s="46"/>
      <c r="DP230" s="46"/>
      <c r="DQ230" s="46"/>
      <c r="DR230" s="46"/>
      <c r="DS230" s="46"/>
      <c r="DT230" s="46"/>
      <c r="DU230" s="46"/>
      <c r="DV230" s="46"/>
      <c r="DW230" s="46"/>
      <c r="DX230" s="46"/>
      <c r="DY230" s="46"/>
      <c r="DZ230" s="46"/>
      <c r="EA230" s="46"/>
    </row>
    <row r="231" spans="2:131" ht="18" customHeight="1">
      <c r="B231" s="45"/>
      <c r="C231" s="45"/>
      <c r="D231" s="46"/>
      <c r="E231" s="46"/>
      <c r="F231" s="46"/>
      <c r="G231" s="46"/>
      <c r="H231" s="46"/>
      <c r="I231" s="46"/>
      <c r="J231" s="46"/>
      <c r="K231" s="46"/>
      <c r="L231" s="45"/>
      <c r="M231" s="46"/>
      <c r="N231" s="46"/>
      <c r="O231" s="46"/>
      <c r="P231" s="46"/>
      <c r="Q231" s="46"/>
      <c r="R231" s="46"/>
      <c r="S231" s="46"/>
      <c r="T231" s="46"/>
      <c r="U231" s="46"/>
      <c r="V231" s="46"/>
      <c r="W231" s="46"/>
      <c r="X231" s="46"/>
      <c r="Y231" s="46"/>
      <c r="Z231" s="46"/>
      <c r="AA231" s="46"/>
      <c r="AB231" s="46"/>
      <c r="AC231" s="46"/>
      <c r="AD231" s="46"/>
      <c r="AE231" s="46"/>
      <c r="AF231" s="46"/>
      <c r="AG231" s="46"/>
      <c r="AH231" s="46"/>
      <c r="AI231" s="46"/>
      <c r="AJ231" s="46"/>
      <c r="AK231" s="46"/>
      <c r="AL231" s="46"/>
      <c r="AM231" s="46"/>
      <c r="AN231" s="46"/>
      <c r="AO231" s="46"/>
      <c r="AP231" s="46"/>
      <c r="AQ231" s="46"/>
      <c r="AR231" s="46"/>
      <c r="AS231" s="46"/>
      <c r="AT231" s="46"/>
      <c r="AU231" s="46"/>
      <c r="AV231" s="46"/>
      <c r="AW231" s="46"/>
      <c r="AX231" s="46"/>
      <c r="AY231" s="46"/>
      <c r="AZ231" s="46"/>
      <c r="BA231" s="46"/>
      <c r="BB231" s="46"/>
      <c r="BC231" s="46"/>
      <c r="BD231" s="46"/>
      <c r="BE231" s="46"/>
      <c r="BF231" s="46"/>
      <c r="BG231" s="46"/>
      <c r="BH231" s="46"/>
      <c r="BI231" s="46"/>
      <c r="BJ231" s="46"/>
      <c r="BK231" s="46"/>
      <c r="BL231" s="46"/>
      <c r="BM231" s="46"/>
      <c r="BN231" s="46"/>
      <c r="BO231" s="46"/>
      <c r="BP231" s="46"/>
      <c r="BQ231" s="46"/>
      <c r="BR231" s="46"/>
      <c r="BS231" s="46"/>
      <c r="BT231" s="46"/>
      <c r="BU231" s="46"/>
      <c r="BV231" s="46"/>
      <c r="BW231" s="46"/>
      <c r="BX231" s="46"/>
      <c r="BY231" s="46"/>
      <c r="BZ231" s="46"/>
      <c r="CA231" s="46"/>
      <c r="CB231" s="46"/>
      <c r="CC231" s="46"/>
      <c r="CD231" s="46"/>
      <c r="CE231" s="46"/>
      <c r="CF231" s="46"/>
      <c r="CG231" s="46"/>
      <c r="CH231" s="46"/>
      <c r="CI231" s="46"/>
      <c r="CJ231" s="46"/>
      <c r="CK231" s="46"/>
      <c r="CL231" s="46"/>
      <c r="CM231" s="46"/>
      <c r="CN231" s="46"/>
      <c r="CO231" s="46"/>
      <c r="CP231" s="46"/>
      <c r="CQ231" s="46"/>
      <c r="CR231" s="46"/>
      <c r="CS231" s="46"/>
      <c r="CT231" s="46"/>
      <c r="CU231" s="46"/>
      <c r="CV231" s="46"/>
      <c r="CW231" s="46"/>
      <c r="CX231" s="46"/>
      <c r="CY231" s="46"/>
      <c r="CZ231" s="46"/>
      <c r="DA231" s="46"/>
      <c r="DB231" s="46"/>
      <c r="DC231" s="46"/>
      <c r="DD231" s="46"/>
      <c r="DE231" s="46"/>
      <c r="DF231" s="46"/>
      <c r="DG231" s="46"/>
      <c r="DH231" s="46"/>
      <c r="DI231" s="46"/>
      <c r="DJ231" s="46"/>
      <c r="DK231" s="46"/>
      <c r="DL231" s="46"/>
      <c r="DM231" s="46"/>
      <c r="DN231" s="46"/>
      <c r="DO231" s="46"/>
      <c r="DP231" s="46"/>
      <c r="DQ231" s="46"/>
      <c r="DR231" s="46"/>
      <c r="DS231" s="46"/>
      <c r="DT231" s="46"/>
      <c r="DU231" s="46"/>
      <c r="DV231" s="46"/>
      <c r="DW231" s="46"/>
      <c r="DX231" s="46"/>
      <c r="DY231" s="46"/>
      <c r="DZ231" s="46"/>
      <c r="EA231" s="46"/>
    </row>
    <row r="232" spans="2:131" ht="18" customHeight="1">
      <c r="B232" s="46"/>
      <c r="C232" s="46"/>
      <c r="D232" s="46"/>
      <c r="E232" s="46"/>
      <c r="F232" s="46"/>
      <c r="G232" s="46"/>
      <c r="H232" s="46"/>
      <c r="I232" s="46"/>
      <c r="J232" s="46"/>
      <c r="K232" s="46"/>
      <c r="L232" s="45"/>
      <c r="M232" s="46"/>
      <c r="N232" s="46"/>
      <c r="O232" s="46"/>
      <c r="P232" s="46"/>
      <c r="Q232" s="46"/>
      <c r="R232" s="46"/>
      <c r="S232" s="46"/>
      <c r="T232" s="46"/>
      <c r="U232" s="46"/>
      <c r="V232" s="46"/>
      <c r="W232" s="46"/>
      <c r="X232" s="46"/>
      <c r="Y232" s="46"/>
      <c r="Z232" s="46"/>
      <c r="AA232" s="46"/>
      <c r="AB232" s="46"/>
      <c r="AC232" s="46"/>
      <c r="AD232" s="46"/>
      <c r="AE232" s="46"/>
      <c r="AF232" s="46"/>
      <c r="AG232" s="46"/>
      <c r="AH232" s="46"/>
      <c r="AI232" s="46"/>
      <c r="AJ232" s="46"/>
      <c r="AK232" s="46"/>
      <c r="AL232" s="46"/>
      <c r="AM232" s="46"/>
      <c r="AN232" s="46"/>
      <c r="AO232" s="46"/>
      <c r="AP232" s="46"/>
      <c r="AQ232" s="46"/>
      <c r="AR232" s="46"/>
      <c r="AS232" s="46"/>
      <c r="AT232" s="46"/>
      <c r="AU232" s="46"/>
      <c r="AV232" s="46"/>
      <c r="AW232" s="46"/>
      <c r="AX232" s="46"/>
      <c r="AY232" s="46"/>
      <c r="AZ232" s="46"/>
      <c r="BA232" s="46"/>
      <c r="BB232" s="46"/>
      <c r="BC232" s="46"/>
      <c r="BD232" s="46"/>
      <c r="BE232" s="46"/>
      <c r="BF232" s="46"/>
      <c r="BG232" s="46"/>
      <c r="BH232" s="46"/>
      <c r="BI232" s="46"/>
      <c r="BJ232" s="46"/>
      <c r="BK232" s="46"/>
      <c r="BL232" s="46"/>
      <c r="BM232" s="46"/>
      <c r="BN232" s="46"/>
      <c r="BO232" s="46"/>
      <c r="BP232" s="46"/>
      <c r="BQ232" s="46"/>
      <c r="BR232" s="46"/>
      <c r="BS232" s="46"/>
      <c r="BT232" s="46"/>
      <c r="BU232" s="46"/>
      <c r="BV232" s="46"/>
      <c r="BW232" s="46"/>
      <c r="BX232" s="46"/>
      <c r="BY232" s="46"/>
      <c r="BZ232" s="46"/>
      <c r="CA232" s="46"/>
      <c r="CB232" s="46"/>
      <c r="CC232" s="46"/>
      <c r="CD232" s="46"/>
      <c r="CE232" s="46"/>
      <c r="CF232" s="46"/>
      <c r="CG232" s="46"/>
      <c r="CH232" s="46"/>
      <c r="CI232" s="46"/>
      <c r="CJ232" s="46"/>
      <c r="CK232" s="46"/>
      <c r="CL232" s="46"/>
      <c r="CM232" s="46"/>
      <c r="CN232" s="46"/>
      <c r="CO232" s="46"/>
      <c r="CP232" s="46"/>
      <c r="CQ232" s="46"/>
      <c r="CR232" s="46"/>
      <c r="CS232" s="46"/>
      <c r="CT232" s="46"/>
      <c r="CU232" s="46"/>
      <c r="CV232" s="46"/>
      <c r="CW232" s="46"/>
      <c r="CX232" s="46"/>
      <c r="CY232" s="46"/>
      <c r="CZ232" s="46"/>
      <c r="DA232" s="46"/>
      <c r="DB232" s="46"/>
      <c r="DC232" s="46"/>
      <c r="DD232" s="46"/>
      <c r="DE232" s="46"/>
      <c r="DF232" s="46"/>
      <c r="DG232" s="46"/>
      <c r="DH232" s="46"/>
      <c r="DI232" s="46"/>
      <c r="DJ232" s="46"/>
      <c r="DK232" s="46"/>
      <c r="DL232" s="46"/>
      <c r="DM232" s="46"/>
      <c r="DN232" s="46"/>
      <c r="DO232" s="46"/>
      <c r="DP232" s="46"/>
      <c r="DQ232" s="46"/>
      <c r="DR232" s="46"/>
      <c r="DS232" s="46"/>
      <c r="DT232" s="46"/>
      <c r="DU232" s="46"/>
      <c r="DV232" s="46"/>
      <c r="DW232" s="46"/>
      <c r="DX232" s="46"/>
      <c r="DY232" s="46"/>
      <c r="DZ232" s="46"/>
      <c r="EA232" s="46"/>
    </row>
    <row r="233" spans="2:131" ht="18" customHeight="1">
      <c r="B233" s="46"/>
      <c r="C233" s="46"/>
      <c r="D233" s="46"/>
      <c r="E233" s="46"/>
      <c r="F233" s="46"/>
      <c r="G233" s="46"/>
      <c r="H233" s="46"/>
      <c r="I233" s="46"/>
      <c r="J233" s="46"/>
      <c r="K233" s="46"/>
      <c r="L233" s="45"/>
      <c r="M233" s="46"/>
      <c r="N233" s="46"/>
      <c r="O233" s="46"/>
      <c r="P233" s="46"/>
      <c r="Q233" s="46"/>
      <c r="R233" s="46"/>
      <c r="S233" s="46"/>
      <c r="T233" s="46"/>
      <c r="U233" s="46"/>
      <c r="V233" s="46"/>
      <c r="W233" s="46"/>
      <c r="X233" s="46"/>
      <c r="Y233" s="46"/>
      <c r="Z233" s="46"/>
      <c r="AA233" s="46"/>
      <c r="AB233" s="46"/>
      <c r="AC233" s="46"/>
      <c r="AD233" s="46"/>
      <c r="AE233" s="46"/>
      <c r="AF233" s="46"/>
      <c r="AG233" s="46"/>
      <c r="AH233" s="46"/>
      <c r="AI233" s="46"/>
      <c r="AJ233" s="46"/>
      <c r="AK233" s="46"/>
      <c r="AL233" s="46"/>
      <c r="AM233" s="46"/>
      <c r="AN233" s="46"/>
      <c r="AO233" s="46"/>
      <c r="AP233" s="46"/>
      <c r="AQ233" s="46"/>
      <c r="AR233" s="46"/>
      <c r="AS233" s="46"/>
      <c r="AT233" s="46"/>
      <c r="AU233" s="46"/>
      <c r="AV233" s="46"/>
      <c r="AW233" s="46"/>
      <c r="AX233" s="46"/>
      <c r="AY233" s="46"/>
      <c r="AZ233" s="46"/>
      <c r="BA233" s="46"/>
      <c r="BB233" s="46"/>
      <c r="BC233" s="46"/>
      <c r="BD233" s="46"/>
      <c r="BE233" s="46"/>
      <c r="BF233" s="46"/>
      <c r="BG233" s="46"/>
      <c r="BH233" s="46"/>
      <c r="BI233" s="46"/>
      <c r="BJ233" s="46"/>
      <c r="BK233" s="46"/>
      <c r="BL233" s="46"/>
      <c r="BM233" s="46"/>
      <c r="BN233" s="46"/>
      <c r="BO233" s="46"/>
      <c r="BP233" s="46"/>
      <c r="BQ233" s="46"/>
      <c r="BR233" s="46"/>
      <c r="BS233" s="46"/>
      <c r="BT233" s="46"/>
      <c r="BU233" s="46"/>
      <c r="BV233" s="46"/>
      <c r="BW233" s="46"/>
      <c r="BX233" s="46"/>
      <c r="BY233" s="46"/>
      <c r="BZ233" s="46"/>
      <c r="CA233" s="46"/>
      <c r="CB233" s="46"/>
      <c r="CC233" s="46"/>
      <c r="CD233" s="46"/>
      <c r="CE233" s="46"/>
      <c r="CF233" s="46"/>
      <c r="CG233" s="46"/>
      <c r="CH233" s="46"/>
      <c r="CI233" s="46"/>
      <c r="CJ233" s="46"/>
      <c r="CK233" s="46"/>
      <c r="CL233" s="46"/>
      <c r="CM233" s="46"/>
      <c r="CN233" s="46"/>
      <c r="CO233" s="46"/>
      <c r="CP233" s="46"/>
      <c r="CQ233" s="46"/>
      <c r="CR233" s="46"/>
      <c r="CS233" s="46"/>
      <c r="CT233" s="46"/>
      <c r="CU233" s="46"/>
      <c r="CV233" s="46"/>
      <c r="CW233" s="46"/>
      <c r="CX233" s="46"/>
      <c r="CY233" s="46"/>
      <c r="CZ233" s="46"/>
      <c r="DA233" s="46"/>
      <c r="DB233" s="46"/>
      <c r="DC233" s="46"/>
      <c r="DD233" s="46"/>
      <c r="DE233" s="46"/>
      <c r="DF233" s="46"/>
      <c r="DG233" s="46"/>
      <c r="DH233" s="46"/>
      <c r="DI233" s="46"/>
      <c r="DJ233" s="46"/>
      <c r="DK233" s="46"/>
      <c r="DL233" s="46"/>
      <c r="DM233" s="46"/>
      <c r="DN233" s="46"/>
      <c r="DO233" s="46"/>
      <c r="DP233" s="46"/>
      <c r="DQ233" s="46"/>
      <c r="DR233" s="46"/>
      <c r="DS233" s="46"/>
      <c r="DT233" s="46"/>
      <c r="DU233" s="46"/>
      <c r="DV233" s="46"/>
      <c r="DW233" s="46"/>
      <c r="DX233" s="46"/>
      <c r="DY233" s="46"/>
      <c r="DZ233" s="46"/>
      <c r="EA233" s="46"/>
    </row>
    <row r="234" spans="2:131" ht="18" customHeight="1">
      <c r="B234" s="46"/>
      <c r="C234" s="46"/>
      <c r="D234" s="46"/>
      <c r="E234" s="46"/>
      <c r="F234" s="46"/>
      <c r="G234" s="46"/>
      <c r="H234" s="46"/>
      <c r="I234" s="46"/>
      <c r="J234" s="46"/>
      <c r="K234" s="46"/>
      <c r="L234" s="45"/>
      <c r="M234" s="46"/>
      <c r="N234" s="46"/>
      <c r="O234" s="46"/>
      <c r="P234" s="46"/>
      <c r="Q234" s="46"/>
      <c r="R234" s="46"/>
      <c r="S234" s="46"/>
      <c r="T234" s="46"/>
      <c r="U234" s="46"/>
      <c r="V234" s="46"/>
      <c r="W234" s="46"/>
      <c r="X234" s="46"/>
      <c r="Y234" s="46"/>
      <c r="Z234" s="46"/>
      <c r="AA234" s="46"/>
      <c r="AB234" s="46"/>
      <c r="AC234" s="46"/>
      <c r="AD234" s="46"/>
      <c r="AE234" s="46"/>
      <c r="AF234" s="46"/>
      <c r="AG234" s="46"/>
      <c r="AH234" s="46"/>
      <c r="AI234" s="46"/>
      <c r="AJ234" s="46"/>
      <c r="AK234" s="46"/>
      <c r="AL234" s="46"/>
      <c r="AM234" s="46"/>
      <c r="AN234" s="46"/>
      <c r="AO234" s="46"/>
      <c r="AP234" s="46"/>
      <c r="AQ234" s="46"/>
      <c r="AR234" s="46"/>
      <c r="AS234" s="46"/>
      <c r="AT234" s="46"/>
      <c r="AU234" s="46"/>
      <c r="AV234" s="46"/>
      <c r="AW234" s="46"/>
      <c r="AX234" s="46"/>
      <c r="AY234" s="46"/>
      <c r="AZ234" s="46"/>
      <c r="BA234" s="46"/>
      <c r="BB234" s="46"/>
      <c r="BC234" s="46"/>
      <c r="BD234" s="46"/>
      <c r="BE234" s="46"/>
      <c r="BF234" s="46"/>
      <c r="BG234" s="46"/>
      <c r="BH234" s="46"/>
      <c r="BI234" s="46"/>
      <c r="BJ234" s="46"/>
      <c r="BK234" s="46"/>
      <c r="BL234" s="46"/>
      <c r="BM234" s="46"/>
      <c r="BN234" s="46"/>
      <c r="BO234" s="46"/>
      <c r="BP234" s="46"/>
      <c r="BQ234" s="46"/>
      <c r="BR234" s="46"/>
      <c r="BS234" s="46"/>
      <c r="BT234" s="46"/>
      <c r="BU234" s="46"/>
      <c r="BV234" s="46"/>
      <c r="BW234" s="46"/>
      <c r="BX234" s="46"/>
      <c r="BY234" s="46"/>
      <c r="BZ234" s="46"/>
      <c r="CA234" s="46"/>
      <c r="CB234" s="46"/>
      <c r="CC234" s="46"/>
      <c r="CD234" s="46"/>
      <c r="CE234" s="46"/>
      <c r="CF234" s="46"/>
      <c r="CG234" s="46"/>
      <c r="CH234" s="46"/>
      <c r="CI234" s="46"/>
      <c r="CJ234" s="46"/>
      <c r="CK234" s="46"/>
      <c r="CL234" s="46"/>
      <c r="CM234" s="46"/>
      <c r="CN234" s="46"/>
      <c r="CO234" s="46"/>
      <c r="CP234" s="46"/>
      <c r="CQ234" s="46"/>
      <c r="CR234" s="46"/>
      <c r="CS234" s="46"/>
      <c r="CT234" s="46"/>
      <c r="CU234" s="46"/>
      <c r="CV234" s="46"/>
      <c r="CW234" s="46"/>
      <c r="CX234" s="46"/>
      <c r="CY234" s="46"/>
      <c r="CZ234" s="46"/>
      <c r="DA234" s="46"/>
      <c r="DB234" s="46"/>
      <c r="DC234" s="46"/>
      <c r="DD234" s="46"/>
      <c r="DE234" s="46"/>
      <c r="DF234" s="46"/>
      <c r="DG234" s="46"/>
      <c r="DH234" s="46"/>
      <c r="DI234" s="46"/>
      <c r="DJ234" s="46"/>
      <c r="DK234" s="46"/>
      <c r="DL234" s="46"/>
      <c r="DM234" s="46"/>
      <c r="DN234" s="46"/>
      <c r="DO234" s="46"/>
      <c r="DP234" s="46"/>
      <c r="DQ234" s="46"/>
      <c r="DR234" s="46"/>
      <c r="DS234" s="46"/>
      <c r="DT234" s="46"/>
      <c r="DU234" s="46"/>
      <c r="DV234" s="46"/>
      <c r="DW234" s="46"/>
      <c r="DX234" s="46"/>
      <c r="DY234" s="46"/>
      <c r="DZ234" s="46"/>
      <c r="EA234" s="46"/>
    </row>
    <row r="235" spans="2:131" ht="18" customHeight="1">
      <c r="B235" s="46"/>
      <c r="C235" s="46"/>
      <c r="D235" s="46"/>
      <c r="E235" s="46"/>
      <c r="F235" s="46"/>
      <c r="G235" s="46"/>
      <c r="H235" s="46"/>
      <c r="I235" s="46"/>
      <c r="J235" s="46"/>
      <c r="K235" s="46"/>
      <c r="L235" s="45"/>
      <c r="M235" s="46"/>
      <c r="N235" s="46"/>
      <c r="O235" s="46"/>
      <c r="P235" s="46"/>
      <c r="Q235" s="46"/>
      <c r="R235" s="46"/>
      <c r="S235" s="46"/>
      <c r="T235" s="46"/>
      <c r="U235" s="46"/>
      <c r="V235" s="46"/>
      <c r="W235" s="46"/>
      <c r="X235" s="46"/>
      <c r="Y235" s="46"/>
      <c r="Z235" s="46"/>
      <c r="AA235" s="46"/>
      <c r="AB235" s="46"/>
      <c r="AC235" s="46"/>
      <c r="AD235" s="46"/>
      <c r="AE235" s="46"/>
      <c r="AF235" s="46"/>
      <c r="AG235" s="46"/>
      <c r="AH235" s="46"/>
      <c r="AI235" s="46"/>
      <c r="AJ235" s="46"/>
      <c r="AK235" s="46"/>
      <c r="AL235" s="46"/>
      <c r="AM235" s="46"/>
      <c r="AN235" s="46"/>
      <c r="AO235" s="46"/>
      <c r="AP235" s="46"/>
      <c r="AQ235" s="46"/>
      <c r="AR235" s="46"/>
      <c r="AS235" s="46"/>
      <c r="AT235" s="46"/>
      <c r="AU235" s="46"/>
      <c r="AV235" s="46"/>
      <c r="AW235" s="46"/>
      <c r="AX235" s="46"/>
      <c r="AY235" s="46"/>
      <c r="AZ235" s="46"/>
      <c r="BA235" s="46"/>
      <c r="BB235" s="46"/>
      <c r="BC235" s="46"/>
      <c r="BD235" s="46"/>
      <c r="BE235" s="46"/>
      <c r="BF235" s="46"/>
      <c r="BG235" s="46"/>
      <c r="BH235" s="46"/>
      <c r="BI235" s="46"/>
      <c r="BJ235" s="46"/>
      <c r="BK235" s="46"/>
      <c r="BL235" s="46"/>
      <c r="BM235" s="46"/>
      <c r="BN235" s="46"/>
      <c r="BO235" s="46"/>
      <c r="BP235" s="46"/>
      <c r="BQ235" s="46"/>
      <c r="BR235" s="46"/>
      <c r="BS235" s="46"/>
      <c r="BT235" s="46"/>
      <c r="BU235" s="46"/>
      <c r="BV235" s="46"/>
      <c r="BW235" s="46"/>
      <c r="BX235" s="46"/>
      <c r="BY235" s="46"/>
      <c r="BZ235" s="46"/>
      <c r="CA235" s="46"/>
      <c r="CB235" s="46"/>
      <c r="CC235" s="46"/>
      <c r="CD235" s="46"/>
      <c r="CE235" s="46"/>
      <c r="CF235" s="46"/>
      <c r="CG235" s="46"/>
      <c r="CH235" s="46"/>
      <c r="CI235" s="46"/>
      <c r="CJ235" s="46"/>
      <c r="CK235" s="46"/>
      <c r="CL235" s="46"/>
      <c r="CM235" s="46"/>
      <c r="CN235" s="46"/>
      <c r="CO235" s="46"/>
      <c r="CP235" s="46"/>
      <c r="CQ235" s="46"/>
      <c r="CR235" s="46"/>
      <c r="CS235" s="46"/>
      <c r="CT235" s="46"/>
      <c r="CU235" s="46"/>
      <c r="CV235" s="46"/>
      <c r="CW235" s="46"/>
      <c r="CX235" s="46"/>
      <c r="CY235" s="46"/>
      <c r="CZ235" s="46"/>
      <c r="DA235" s="46"/>
      <c r="DB235" s="46"/>
      <c r="DC235" s="46"/>
      <c r="DD235" s="46"/>
      <c r="DE235" s="46"/>
      <c r="DF235" s="46"/>
      <c r="DG235" s="46"/>
      <c r="DH235" s="46"/>
      <c r="DI235" s="46"/>
      <c r="DJ235" s="46"/>
      <c r="DK235" s="46"/>
      <c r="DL235" s="46"/>
      <c r="DM235" s="46"/>
      <c r="DN235" s="46"/>
      <c r="DO235" s="46"/>
      <c r="DP235" s="46"/>
      <c r="DQ235" s="46"/>
      <c r="DR235" s="46"/>
      <c r="DS235" s="46"/>
      <c r="DT235" s="46"/>
      <c r="DU235" s="46"/>
      <c r="DV235" s="46"/>
      <c r="DW235" s="46"/>
      <c r="DX235" s="46"/>
      <c r="DY235" s="46"/>
      <c r="DZ235" s="46"/>
      <c r="EA235" s="46"/>
    </row>
    <row r="236" spans="2:131" ht="18" customHeight="1">
      <c r="B236" s="46"/>
      <c r="C236" s="46"/>
      <c r="D236" s="46"/>
      <c r="E236" s="46"/>
      <c r="F236" s="46"/>
      <c r="G236" s="46"/>
      <c r="H236" s="46"/>
      <c r="I236" s="46"/>
      <c r="J236" s="46"/>
      <c r="K236" s="46"/>
      <c r="L236" s="45"/>
      <c r="M236" s="46"/>
      <c r="N236" s="46"/>
      <c r="O236" s="46"/>
      <c r="P236" s="46"/>
      <c r="Q236" s="46"/>
      <c r="R236" s="46"/>
      <c r="S236" s="46"/>
      <c r="T236" s="46"/>
      <c r="U236" s="46"/>
      <c r="V236" s="46"/>
      <c r="W236" s="46"/>
      <c r="X236" s="46"/>
      <c r="Y236" s="46"/>
      <c r="Z236" s="46"/>
      <c r="AA236" s="46"/>
      <c r="AB236" s="46"/>
      <c r="AC236" s="46"/>
      <c r="AD236" s="46"/>
      <c r="AE236" s="46"/>
      <c r="AF236" s="46"/>
      <c r="AG236" s="46"/>
      <c r="AH236" s="46"/>
      <c r="AI236" s="46"/>
      <c r="AJ236" s="46"/>
      <c r="AK236" s="46"/>
      <c r="AL236" s="46"/>
      <c r="AM236" s="46"/>
      <c r="AN236" s="46"/>
      <c r="AO236" s="46"/>
      <c r="AP236" s="46"/>
      <c r="AQ236" s="46"/>
      <c r="AR236" s="46"/>
      <c r="AS236" s="46"/>
      <c r="AT236" s="46"/>
      <c r="AU236" s="46"/>
      <c r="AV236" s="46"/>
      <c r="AW236" s="46"/>
      <c r="AX236" s="46"/>
      <c r="AY236" s="46"/>
      <c r="AZ236" s="46"/>
      <c r="BA236" s="46"/>
      <c r="BB236" s="46"/>
      <c r="BC236" s="46"/>
      <c r="BD236" s="46"/>
      <c r="BE236" s="46"/>
      <c r="BF236" s="46"/>
      <c r="BG236" s="46"/>
      <c r="BH236" s="46"/>
      <c r="BI236" s="46"/>
      <c r="BJ236" s="46"/>
      <c r="BK236" s="46"/>
      <c r="BL236" s="46"/>
      <c r="BM236" s="46"/>
      <c r="BN236" s="46"/>
      <c r="BO236" s="46"/>
      <c r="BP236" s="46"/>
      <c r="BQ236" s="46"/>
      <c r="BR236" s="46"/>
      <c r="BS236" s="46"/>
      <c r="BT236" s="46"/>
      <c r="BU236" s="46"/>
      <c r="BV236" s="46"/>
      <c r="BW236" s="46"/>
      <c r="BX236" s="46"/>
      <c r="BY236" s="46"/>
      <c r="BZ236" s="46"/>
      <c r="CA236" s="46"/>
      <c r="CB236" s="46"/>
      <c r="CC236" s="46"/>
      <c r="CD236" s="46"/>
      <c r="CE236" s="46"/>
      <c r="CF236" s="46"/>
      <c r="CG236" s="46"/>
      <c r="CH236" s="46"/>
      <c r="CI236" s="46"/>
      <c r="CJ236" s="46"/>
      <c r="CK236" s="46"/>
      <c r="CL236" s="46"/>
      <c r="CM236" s="46"/>
      <c r="CN236" s="46"/>
      <c r="CO236" s="46"/>
      <c r="CP236" s="46"/>
      <c r="CQ236" s="46"/>
      <c r="CR236" s="46"/>
      <c r="CS236" s="46"/>
      <c r="CT236" s="46"/>
      <c r="CU236" s="46"/>
      <c r="CV236" s="46"/>
      <c r="CW236" s="46"/>
      <c r="CX236" s="46"/>
      <c r="CY236" s="46"/>
      <c r="CZ236" s="46"/>
      <c r="DA236" s="46"/>
      <c r="DB236" s="46"/>
      <c r="DC236" s="46"/>
      <c r="DD236" s="46"/>
      <c r="DE236" s="46"/>
      <c r="DF236" s="46"/>
      <c r="DG236" s="46"/>
      <c r="DH236" s="46"/>
      <c r="DI236" s="46"/>
      <c r="DJ236" s="46"/>
      <c r="DK236" s="46"/>
      <c r="DL236" s="46"/>
      <c r="DM236" s="46"/>
      <c r="DN236" s="46"/>
      <c r="DO236" s="46"/>
      <c r="DP236" s="46"/>
      <c r="DQ236" s="46"/>
      <c r="DR236" s="46"/>
      <c r="DS236" s="46"/>
      <c r="DT236" s="46"/>
      <c r="DU236" s="46"/>
      <c r="DV236" s="46"/>
      <c r="DW236" s="46"/>
      <c r="DX236" s="46"/>
      <c r="DY236" s="46"/>
      <c r="DZ236" s="46"/>
      <c r="EA236" s="46"/>
    </row>
    <row r="237" spans="2:131" ht="18" customHeight="1">
      <c r="B237" s="45"/>
      <c r="C237" s="45"/>
      <c r="D237" s="46"/>
      <c r="E237" s="46"/>
      <c r="F237" s="46"/>
      <c r="G237" s="46"/>
      <c r="H237" s="46"/>
      <c r="I237" s="46"/>
      <c r="J237" s="46"/>
      <c r="K237" s="46"/>
      <c r="L237" s="45"/>
      <c r="M237" s="46"/>
      <c r="N237" s="46"/>
      <c r="O237" s="46"/>
      <c r="P237" s="46"/>
      <c r="Q237" s="46"/>
      <c r="R237" s="46"/>
      <c r="S237" s="46"/>
      <c r="T237" s="46"/>
      <c r="U237" s="46"/>
      <c r="V237" s="46"/>
      <c r="W237" s="46"/>
      <c r="X237" s="46"/>
      <c r="Y237" s="46"/>
      <c r="Z237" s="46"/>
      <c r="AA237" s="46"/>
      <c r="AB237" s="46"/>
      <c r="AC237" s="46"/>
      <c r="AD237" s="46"/>
      <c r="AE237" s="46"/>
      <c r="AF237" s="46"/>
      <c r="AG237" s="46"/>
      <c r="AH237" s="46"/>
      <c r="AI237" s="46"/>
      <c r="AJ237" s="46"/>
      <c r="AK237" s="46"/>
      <c r="AL237" s="46"/>
      <c r="AM237" s="46"/>
      <c r="AN237" s="46"/>
      <c r="AO237" s="46"/>
      <c r="AP237" s="46"/>
      <c r="AQ237" s="46"/>
      <c r="AR237" s="46"/>
      <c r="AS237" s="46"/>
      <c r="AT237" s="46"/>
      <c r="AU237" s="46"/>
      <c r="AV237" s="46"/>
      <c r="AW237" s="46"/>
      <c r="AX237" s="46"/>
      <c r="AY237" s="46"/>
      <c r="AZ237" s="46"/>
      <c r="BA237" s="46"/>
      <c r="BB237" s="46"/>
      <c r="BC237" s="46"/>
      <c r="BD237" s="46"/>
      <c r="BE237" s="46"/>
      <c r="BF237" s="46"/>
      <c r="BG237" s="46"/>
      <c r="BH237" s="46"/>
      <c r="BI237" s="46"/>
      <c r="BJ237" s="46"/>
      <c r="BK237" s="46"/>
      <c r="BL237" s="46"/>
      <c r="BM237" s="46"/>
      <c r="BN237" s="46"/>
      <c r="BO237" s="46"/>
      <c r="BP237" s="46"/>
      <c r="BQ237" s="46"/>
      <c r="BR237" s="46"/>
      <c r="BS237" s="46"/>
      <c r="BT237" s="46"/>
      <c r="BU237" s="46"/>
      <c r="BV237" s="46"/>
      <c r="BW237" s="46"/>
      <c r="BX237" s="46"/>
      <c r="BY237" s="46"/>
      <c r="BZ237" s="46"/>
      <c r="CA237" s="46"/>
      <c r="CB237" s="46"/>
      <c r="CC237" s="46"/>
      <c r="CD237" s="46"/>
      <c r="CE237" s="46"/>
      <c r="CF237" s="46"/>
      <c r="CG237" s="46"/>
      <c r="CH237" s="46"/>
      <c r="CI237" s="46"/>
      <c r="CJ237" s="46"/>
      <c r="CK237" s="46"/>
      <c r="CL237" s="46"/>
      <c r="CM237" s="46"/>
      <c r="CN237" s="46"/>
      <c r="CO237" s="46"/>
      <c r="CP237" s="46"/>
      <c r="CQ237" s="46"/>
      <c r="CR237" s="46"/>
      <c r="CS237" s="46"/>
      <c r="CT237" s="46"/>
      <c r="CU237" s="46"/>
      <c r="CV237" s="46"/>
      <c r="CW237" s="46"/>
      <c r="CX237" s="46"/>
      <c r="CY237" s="46"/>
      <c r="CZ237" s="46"/>
      <c r="DA237" s="46"/>
      <c r="DB237" s="46"/>
      <c r="DC237" s="46"/>
      <c r="DD237" s="46"/>
      <c r="DE237" s="46"/>
      <c r="DF237" s="46"/>
      <c r="DG237" s="46"/>
      <c r="DH237" s="46"/>
      <c r="DI237" s="46"/>
      <c r="DJ237" s="46"/>
      <c r="DK237" s="46"/>
      <c r="DL237" s="46"/>
      <c r="DM237" s="46"/>
      <c r="DN237" s="46"/>
      <c r="DO237" s="46"/>
      <c r="DP237" s="46"/>
      <c r="DQ237" s="46"/>
      <c r="DR237" s="46"/>
      <c r="DS237" s="46"/>
      <c r="DT237" s="46"/>
      <c r="DU237" s="46"/>
      <c r="DV237" s="46"/>
      <c r="DW237" s="46"/>
      <c r="DX237" s="46"/>
      <c r="DY237" s="46"/>
      <c r="DZ237" s="46"/>
      <c r="EA237" s="46"/>
    </row>
    <row r="238" spans="2:131" ht="18" customHeight="1">
      <c r="B238" s="46"/>
      <c r="C238" s="46"/>
      <c r="D238" s="46"/>
      <c r="E238" s="46"/>
      <c r="F238" s="46"/>
      <c r="G238" s="46"/>
      <c r="H238" s="46"/>
      <c r="I238" s="46"/>
      <c r="J238" s="46"/>
      <c r="K238" s="46"/>
      <c r="L238" s="45"/>
      <c r="M238" s="46"/>
      <c r="N238" s="46"/>
      <c r="O238" s="46"/>
      <c r="P238" s="46"/>
      <c r="Q238" s="46"/>
      <c r="R238" s="46"/>
      <c r="S238" s="46"/>
      <c r="T238" s="46"/>
      <c r="U238" s="46"/>
      <c r="V238" s="46"/>
      <c r="W238" s="46"/>
      <c r="X238" s="46"/>
      <c r="Y238" s="46"/>
      <c r="Z238" s="46"/>
      <c r="AA238" s="46"/>
      <c r="AB238" s="46"/>
      <c r="AC238" s="46"/>
      <c r="AD238" s="46"/>
      <c r="AE238" s="46"/>
      <c r="AF238" s="46"/>
      <c r="AG238" s="46"/>
      <c r="AH238" s="46"/>
      <c r="AI238" s="46"/>
      <c r="AJ238" s="46"/>
      <c r="AK238" s="46"/>
      <c r="AL238" s="46"/>
      <c r="AM238" s="46"/>
      <c r="AN238" s="46"/>
      <c r="AO238" s="46"/>
      <c r="AP238" s="46"/>
      <c r="AQ238" s="46"/>
      <c r="AR238" s="46"/>
      <c r="AS238" s="46"/>
      <c r="AT238" s="46"/>
      <c r="AU238" s="46"/>
      <c r="AV238" s="46"/>
      <c r="AW238" s="46"/>
      <c r="AX238" s="46"/>
      <c r="AY238" s="46"/>
      <c r="AZ238" s="46"/>
      <c r="BA238" s="46"/>
      <c r="BB238" s="46"/>
      <c r="BC238" s="46"/>
      <c r="BD238" s="46"/>
      <c r="BE238" s="46"/>
      <c r="BF238" s="46"/>
      <c r="BG238" s="46"/>
      <c r="BH238" s="46"/>
      <c r="BI238" s="46"/>
      <c r="BJ238" s="46"/>
      <c r="BK238" s="46"/>
      <c r="BL238" s="46"/>
      <c r="BM238" s="46"/>
      <c r="BN238" s="46"/>
      <c r="BO238" s="46"/>
      <c r="BP238" s="46"/>
      <c r="BQ238" s="46"/>
      <c r="BR238" s="46"/>
      <c r="BS238" s="46"/>
      <c r="BT238" s="46"/>
      <c r="BU238" s="46"/>
      <c r="BV238" s="46"/>
      <c r="BW238" s="46"/>
      <c r="BX238" s="46"/>
      <c r="BY238" s="46"/>
      <c r="BZ238" s="46"/>
      <c r="CA238" s="46"/>
      <c r="CB238" s="46"/>
      <c r="CC238" s="46"/>
      <c r="CD238" s="46"/>
      <c r="CE238" s="46"/>
      <c r="CF238" s="46"/>
      <c r="CG238" s="46"/>
      <c r="CH238" s="46"/>
      <c r="CI238" s="46"/>
      <c r="CJ238" s="46"/>
      <c r="CK238" s="46"/>
      <c r="CL238" s="46"/>
      <c r="CM238" s="46"/>
      <c r="CN238" s="46"/>
      <c r="CO238" s="46"/>
      <c r="CP238" s="46"/>
      <c r="CQ238" s="46"/>
      <c r="CR238" s="46"/>
      <c r="CS238" s="46"/>
      <c r="CT238" s="46"/>
      <c r="CU238" s="46"/>
      <c r="CV238" s="46"/>
      <c r="CW238" s="46"/>
      <c r="CX238" s="46"/>
      <c r="CY238" s="46"/>
      <c r="CZ238" s="46"/>
      <c r="DA238" s="46"/>
      <c r="DB238" s="46"/>
      <c r="DC238" s="46"/>
      <c r="DD238" s="46"/>
      <c r="DE238" s="46"/>
      <c r="DF238" s="46"/>
      <c r="DG238" s="46"/>
      <c r="DH238" s="46"/>
      <c r="DI238" s="46"/>
      <c r="DJ238" s="46"/>
      <c r="DK238" s="46"/>
      <c r="DL238" s="46"/>
      <c r="DM238" s="46"/>
      <c r="DN238" s="46"/>
      <c r="DO238" s="46"/>
      <c r="DP238" s="46"/>
      <c r="DQ238" s="46"/>
      <c r="DR238" s="46"/>
      <c r="DS238" s="46"/>
      <c r="DT238" s="46"/>
      <c r="DU238" s="46"/>
      <c r="DV238" s="46"/>
      <c r="DW238" s="46"/>
      <c r="DX238" s="46"/>
      <c r="DY238" s="46"/>
      <c r="DZ238" s="46"/>
      <c r="EA238" s="46"/>
    </row>
    <row r="239" spans="2:131" ht="18" customHeight="1">
      <c r="B239" s="46"/>
      <c r="C239" s="46"/>
      <c r="D239" s="46"/>
      <c r="E239" s="46"/>
      <c r="F239" s="46"/>
      <c r="G239" s="46"/>
      <c r="H239" s="46"/>
      <c r="I239" s="46"/>
      <c r="J239" s="46"/>
      <c r="K239" s="46"/>
      <c r="L239" s="45"/>
      <c r="M239" s="46"/>
      <c r="N239" s="46"/>
      <c r="O239" s="46"/>
      <c r="P239" s="46"/>
      <c r="Q239" s="46"/>
      <c r="R239" s="46"/>
      <c r="S239" s="46"/>
      <c r="T239" s="46"/>
      <c r="U239" s="46"/>
      <c r="V239" s="46"/>
      <c r="W239" s="46"/>
      <c r="X239" s="46"/>
      <c r="Y239" s="46"/>
      <c r="Z239" s="46"/>
      <c r="AA239" s="46"/>
      <c r="AB239" s="46"/>
      <c r="AC239" s="46"/>
      <c r="AD239" s="46"/>
      <c r="AE239" s="46"/>
      <c r="AF239" s="46"/>
      <c r="AG239" s="46"/>
      <c r="AH239" s="46"/>
      <c r="AI239" s="46"/>
      <c r="AJ239" s="46"/>
      <c r="AK239" s="46"/>
      <c r="AL239" s="46"/>
      <c r="AM239" s="46"/>
      <c r="AN239" s="46"/>
      <c r="AO239" s="46"/>
      <c r="AP239" s="46"/>
      <c r="AQ239" s="46"/>
      <c r="AR239" s="46"/>
      <c r="AS239" s="46"/>
      <c r="AT239" s="46"/>
      <c r="AU239" s="46"/>
      <c r="AV239" s="46"/>
      <c r="AW239" s="46"/>
      <c r="AX239" s="46"/>
      <c r="AY239" s="46"/>
      <c r="AZ239" s="46"/>
      <c r="BA239" s="46"/>
      <c r="BB239" s="46"/>
      <c r="BC239" s="46"/>
      <c r="BD239" s="46"/>
      <c r="BE239" s="46"/>
      <c r="BF239" s="46"/>
      <c r="BG239" s="46"/>
      <c r="BH239" s="46"/>
      <c r="BI239" s="46"/>
      <c r="BJ239" s="46"/>
      <c r="BK239" s="46"/>
      <c r="BL239" s="46"/>
      <c r="BM239" s="46"/>
      <c r="BN239" s="46"/>
      <c r="BO239" s="46"/>
      <c r="BP239" s="46"/>
      <c r="BQ239" s="46"/>
      <c r="BR239" s="46"/>
      <c r="BS239" s="46"/>
      <c r="BT239" s="46"/>
      <c r="BU239" s="46"/>
      <c r="BV239" s="46"/>
      <c r="BW239" s="46"/>
      <c r="BX239" s="46"/>
      <c r="BY239" s="46"/>
      <c r="BZ239" s="46"/>
      <c r="CA239" s="46"/>
      <c r="CB239" s="46"/>
      <c r="CC239" s="46"/>
      <c r="CD239" s="46"/>
      <c r="CE239" s="46"/>
      <c r="CF239" s="46"/>
      <c r="CG239" s="46"/>
      <c r="CH239" s="46"/>
      <c r="CI239" s="46"/>
      <c r="CJ239" s="46"/>
      <c r="CK239" s="46"/>
      <c r="CL239" s="46"/>
      <c r="CM239" s="46"/>
      <c r="CN239" s="46"/>
      <c r="CO239" s="46"/>
      <c r="CP239" s="46"/>
      <c r="CQ239" s="46"/>
      <c r="CR239" s="46"/>
      <c r="CS239" s="46"/>
      <c r="CT239" s="46"/>
      <c r="CU239" s="46"/>
      <c r="CV239" s="46"/>
      <c r="CW239" s="46"/>
      <c r="CX239" s="46"/>
      <c r="CY239" s="46"/>
      <c r="CZ239" s="46"/>
      <c r="DA239" s="46"/>
      <c r="DB239" s="46"/>
      <c r="DC239" s="46"/>
      <c r="DD239" s="46"/>
      <c r="DE239" s="46"/>
      <c r="DF239" s="46"/>
      <c r="DG239" s="46"/>
      <c r="DH239" s="46"/>
      <c r="DI239" s="46"/>
      <c r="DJ239" s="46"/>
      <c r="DK239" s="46"/>
      <c r="DL239" s="46"/>
      <c r="DM239" s="46"/>
      <c r="DN239" s="46"/>
      <c r="DO239" s="46"/>
      <c r="DP239" s="46"/>
      <c r="DQ239" s="46"/>
      <c r="DR239" s="46"/>
      <c r="DS239" s="46"/>
      <c r="DT239" s="46"/>
      <c r="DU239" s="46"/>
      <c r="DV239" s="46"/>
      <c r="DW239" s="46"/>
      <c r="DX239" s="46"/>
      <c r="DY239" s="46"/>
      <c r="DZ239" s="46"/>
      <c r="EA239" s="46"/>
    </row>
    <row r="240" spans="2:131" ht="18" customHeight="1">
      <c r="B240" s="46"/>
      <c r="C240" s="46"/>
      <c r="D240" s="46"/>
      <c r="E240" s="46"/>
      <c r="F240" s="46"/>
      <c r="G240" s="46"/>
      <c r="H240" s="46"/>
      <c r="I240" s="46"/>
      <c r="J240" s="46"/>
      <c r="K240" s="46"/>
      <c r="L240" s="45"/>
      <c r="M240" s="46"/>
      <c r="N240" s="46"/>
      <c r="O240" s="46"/>
      <c r="P240" s="46"/>
      <c r="Q240" s="46"/>
      <c r="R240" s="46"/>
      <c r="S240" s="46"/>
      <c r="T240" s="46"/>
      <c r="U240" s="46"/>
      <c r="V240" s="46"/>
      <c r="W240" s="46"/>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c r="CI240" s="46"/>
      <c r="CJ240" s="46"/>
      <c r="CK240" s="46"/>
      <c r="CL240" s="46"/>
      <c r="CM240" s="46"/>
      <c r="CN240" s="46"/>
      <c r="CO240" s="46"/>
      <c r="CP240" s="46"/>
      <c r="CQ240" s="46"/>
      <c r="CR240" s="46"/>
      <c r="CS240" s="46"/>
      <c r="CT240" s="46"/>
      <c r="CU240" s="46"/>
      <c r="CV240" s="46"/>
      <c r="CW240" s="46"/>
      <c r="CX240" s="46"/>
      <c r="CY240" s="46"/>
      <c r="CZ240" s="46"/>
      <c r="DA240" s="46"/>
      <c r="DB240" s="46"/>
      <c r="DC240" s="46"/>
      <c r="DD240" s="46"/>
      <c r="DE240" s="46"/>
      <c r="DF240" s="46"/>
      <c r="DG240" s="46"/>
      <c r="DH240" s="46"/>
      <c r="DI240" s="46"/>
      <c r="DJ240" s="46"/>
      <c r="DK240" s="46"/>
      <c r="DL240" s="46"/>
      <c r="DM240" s="46"/>
      <c r="DN240" s="46"/>
      <c r="DO240" s="46"/>
      <c r="DP240" s="46"/>
      <c r="DQ240" s="46"/>
      <c r="DR240" s="46"/>
      <c r="DS240" s="46"/>
      <c r="DT240" s="46"/>
      <c r="DU240" s="46"/>
      <c r="DV240" s="46"/>
      <c r="DW240" s="46"/>
      <c r="DX240" s="46"/>
      <c r="DY240" s="46"/>
      <c r="DZ240" s="46"/>
      <c r="EA240" s="46"/>
    </row>
    <row r="241" spans="2:131" ht="18" customHeight="1">
      <c r="B241" s="46"/>
      <c r="C241" s="46"/>
      <c r="D241" s="46"/>
      <c r="E241" s="46"/>
      <c r="F241" s="46"/>
      <c r="G241" s="46"/>
      <c r="H241" s="46"/>
      <c r="I241" s="46"/>
      <c r="J241" s="46"/>
      <c r="K241" s="46"/>
      <c r="L241" s="45"/>
      <c r="M241" s="46"/>
      <c r="N241" s="46"/>
      <c r="O241" s="46"/>
      <c r="P241" s="46"/>
      <c r="Q241" s="46"/>
      <c r="R241" s="46"/>
      <c r="S241" s="46"/>
      <c r="T241" s="46"/>
      <c r="U241" s="46"/>
      <c r="V241" s="46"/>
      <c r="W241" s="46"/>
      <c r="X241" s="46"/>
      <c r="Y241" s="46"/>
      <c r="Z241" s="46"/>
      <c r="AA241" s="46"/>
      <c r="AB241" s="46"/>
      <c r="AC241" s="46"/>
      <c r="AD241" s="46"/>
      <c r="AE241" s="46"/>
      <c r="AF241" s="46"/>
      <c r="AG241" s="46"/>
      <c r="AH241" s="46"/>
      <c r="AI241" s="46"/>
      <c r="AJ241" s="46"/>
      <c r="AK241" s="46"/>
      <c r="AL241" s="46"/>
      <c r="AM241" s="46"/>
      <c r="AN241" s="46"/>
      <c r="AO241" s="46"/>
      <c r="AP241" s="46"/>
      <c r="AQ241" s="46"/>
      <c r="AR241" s="46"/>
      <c r="AS241" s="46"/>
      <c r="AT241" s="46"/>
      <c r="AU241" s="46"/>
      <c r="AV241" s="46"/>
      <c r="AW241" s="46"/>
      <c r="AX241" s="46"/>
      <c r="AY241" s="46"/>
      <c r="AZ241" s="46"/>
      <c r="BA241" s="46"/>
      <c r="BB241" s="46"/>
      <c r="BC241" s="46"/>
      <c r="BD241" s="46"/>
      <c r="BE241" s="46"/>
      <c r="BF241" s="46"/>
      <c r="BG241" s="46"/>
      <c r="BH241" s="46"/>
      <c r="BI241" s="46"/>
      <c r="BJ241" s="46"/>
      <c r="BK241" s="46"/>
      <c r="BL241" s="46"/>
      <c r="BM241" s="46"/>
      <c r="BN241" s="46"/>
      <c r="BO241" s="46"/>
      <c r="BP241" s="46"/>
      <c r="BQ241" s="46"/>
      <c r="BR241" s="46"/>
      <c r="BS241" s="46"/>
      <c r="BT241" s="46"/>
      <c r="BU241" s="46"/>
      <c r="BV241" s="46"/>
      <c r="BW241" s="46"/>
      <c r="BX241" s="46"/>
      <c r="BY241" s="46"/>
      <c r="BZ241" s="46"/>
      <c r="CA241" s="46"/>
      <c r="CB241" s="46"/>
      <c r="CC241" s="46"/>
      <c r="CD241" s="46"/>
      <c r="CE241" s="46"/>
      <c r="CF241" s="46"/>
      <c r="CG241" s="46"/>
      <c r="CH241" s="46"/>
      <c r="CI241" s="46"/>
      <c r="CJ241" s="46"/>
      <c r="CK241" s="46"/>
      <c r="CL241" s="46"/>
      <c r="CM241" s="46"/>
      <c r="CN241" s="46"/>
      <c r="CO241" s="46"/>
      <c r="CP241" s="46"/>
      <c r="CQ241" s="46"/>
      <c r="CR241" s="46"/>
      <c r="CS241" s="46"/>
      <c r="CT241" s="46"/>
      <c r="CU241" s="46"/>
      <c r="CV241" s="46"/>
      <c r="CW241" s="46"/>
      <c r="CX241" s="46"/>
      <c r="CY241" s="46"/>
      <c r="CZ241" s="46"/>
      <c r="DA241" s="46"/>
      <c r="DB241" s="46"/>
      <c r="DC241" s="46"/>
      <c r="DD241" s="46"/>
      <c r="DE241" s="46"/>
      <c r="DF241" s="46"/>
      <c r="DG241" s="46"/>
      <c r="DH241" s="46"/>
      <c r="DI241" s="46"/>
      <c r="DJ241" s="46"/>
      <c r="DK241" s="46"/>
      <c r="DL241" s="46"/>
      <c r="DM241" s="46"/>
      <c r="DN241" s="46"/>
      <c r="DO241" s="46"/>
      <c r="DP241" s="46"/>
      <c r="DQ241" s="46"/>
      <c r="DR241" s="46"/>
      <c r="DS241" s="46"/>
      <c r="DT241" s="46"/>
      <c r="DU241" s="46"/>
      <c r="DV241" s="46"/>
      <c r="DW241" s="46"/>
      <c r="DX241" s="46"/>
      <c r="DY241" s="46"/>
      <c r="DZ241" s="46"/>
      <c r="EA241" s="46"/>
    </row>
    <row r="242" spans="2:131" ht="18" customHeight="1">
      <c r="B242" s="46"/>
      <c r="C242" s="46"/>
      <c r="D242" s="46"/>
      <c r="E242" s="46"/>
      <c r="F242" s="46"/>
      <c r="G242" s="46"/>
      <c r="H242" s="46"/>
      <c r="I242" s="46"/>
      <c r="J242" s="46"/>
      <c r="K242" s="46"/>
      <c r="L242" s="45"/>
      <c r="M242" s="46"/>
      <c r="N242" s="46"/>
      <c r="O242" s="46"/>
      <c r="P242" s="46"/>
      <c r="Q242" s="46"/>
      <c r="R242" s="46"/>
      <c r="S242" s="46"/>
      <c r="T242" s="46"/>
      <c r="U242" s="46"/>
      <c r="V242" s="46"/>
      <c r="W242" s="46"/>
      <c r="X242" s="46"/>
      <c r="Y242" s="46"/>
      <c r="Z242" s="46"/>
      <c r="AA242" s="46"/>
      <c r="AB242" s="46"/>
      <c r="AC242" s="46"/>
      <c r="AD242" s="46"/>
      <c r="AE242" s="46"/>
      <c r="AF242" s="46"/>
      <c r="AG242" s="46"/>
      <c r="AH242" s="46"/>
      <c r="AI242" s="46"/>
      <c r="AJ242" s="46"/>
      <c r="AK242" s="46"/>
      <c r="AL242" s="46"/>
      <c r="AM242" s="46"/>
      <c r="AN242" s="46"/>
      <c r="AO242" s="46"/>
      <c r="AP242" s="46"/>
      <c r="AQ242" s="46"/>
      <c r="AR242" s="46"/>
      <c r="AS242" s="46"/>
      <c r="AT242" s="46"/>
      <c r="AU242" s="46"/>
      <c r="AV242" s="46"/>
      <c r="AW242" s="46"/>
      <c r="AX242" s="46"/>
      <c r="AY242" s="46"/>
      <c r="AZ242" s="46"/>
      <c r="BA242" s="46"/>
      <c r="BB242" s="46"/>
      <c r="BC242" s="46"/>
      <c r="BD242" s="46"/>
      <c r="BE242" s="46"/>
      <c r="BF242" s="46"/>
      <c r="BG242" s="46"/>
      <c r="BH242" s="46"/>
      <c r="BI242" s="46"/>
      <c r="BJ242" s="46"/>
      <c r="BK242" s="46"/>
      <c r="BL242" s="46"/>
      <c r="BM242" s="46"/>
      <c r="BN242" s="46"/>
      <c r="BO242" s="46"/>
      <c r="BP242" s="46"/>
      <c r="BQ242" s="46"/>
      <c r="BR242" s="46"/>
      <c r="BS242" s="46"/>
      <c r="BT242" s="46"/>
      <c r="BU242" s="46"/>
      <c r="BV242" s="46"/>
      <c r="BW242" s="46"/>
      <c r="BX242" s="46"/>
      <c r="BY242" s="46"/>
      <c r="BZ242" s="46"/>
      <c r="CA242" s="46"/>
      <c r="CB242" s="46"/>
      <c r="CC242" s="46"/>
      <c r="CD242" s="46"/>
      <c r="CE242" s="46"/>
      <c r="CF242" s="46"/>
      <c r="CG242" s="46"/>
      <c r="CH242" s="46"/>
      <c r="CI242" s="46"/>
      <c r="CJ242" s="46"/>
      <c r="CK242" s="46"/>
      <c r="CL242" s="46"/>
      <c r="CM242" s="46"/>
      <c r="CN242" s="46"/>
      <c r="CO242" s="46"/>
      <c r="CP242" s="46"/>
      <c r="CQ242" s="46"/>
      <c r="CR242" s="46"/>
      <c r="CS242" s="46"/>
      <c r="CT242" s="46"/>
      <c r="CU242" s="46"/>
      <c r="CV242" s="46"/>
      <c r="CW242" s="46"/>
      <c r="CX242" s="46"/>
      <c r="CY242" s="46"/>
      <c r="CZ242" s="46"/>
      <c r="DA242" s="46"/>
      <c r="DB242" s="46"/>
      <c r="DC242" s="46"/>
      <c r="DD242" s="46"/>
      <c r="DE242" s="46"/>
      <c r="DF242" s="46"/>
      <c r="DG242" s="46"/>
      <c r="DH242" s="46"/>
      <c r="DI242" s="46"/>
      <c r="DJ242" s="46"/>
      <c r="DK242" s="46"/>
      <c r="DL242" s="46"/>
      <c r="DM242" s="46"/>
      <c r="DN242" s="46"/>
      <c r="DO242" s="46"/>
      <c r="DP242" s="46"/>
      <c r="DQ242" s="46"/>
      <c r="DR242" s="46"/>
      <c r="DS242" s="46"/>
      <c r="DT242" s="46"/>
      <c r="DU242" s="46"/>
      <c r="DV242" s="46"/>
      <c r="DW242" s="46"/>
      <c r="DX242" s="46"/>
      <c r="DY242" s="46"/>
      <c r="DZ242" s="46"/>
      <c r="EA242" s="46"/>
    </row>
    <row r="243" spans="2:131" ht="18" customHeight="1">
      <c r="B243" s="45"/>
      <c r="C243" s="45"/>
      <c r="D243" s="46"/>
      <c r="E243" s="46"/>
      <c r="F243" s="46"/>
      <c r="G243" s="46"/>
      <c r="H243" s="46"/>
      <c r="I243" s="46"/>
      <c r="J243" s="46"/>
      <c r="K243" s="46"/>
      <c r="L243" s="45"/>
      <c r="M243" s="46"/>
      <c r="N243" s="46"/>
      <c r="O243" s="46"/>
      <c r="P243" s="46"/>
      <c r="Q243" s="46"/>
      <c r="R243" s="46"/>
      <c r="S243" s="46"/>
      <c r="T243" s="46"/>
      <c r="U243" s="46"/>
      <c r="V243" s="46"/>
      <c r="W243" s="46"/>
      <c r="X243" s="46"/>
      <c r="Y243" s="46"/>
      <c r="Z243" s="46"/>
      <c r="AA243" s="46"/>
      <c r="AB243" s="46"/>
      <c r="AC243" s="46"/>
      <c r="AD243" s="46"/>
      <c r="AE243" s="46"/>
      <c r="AF243" s="46"/>
      <c r="AG243" s="46"/>
      <c r="AH243" s="46"/>
      <c r="AI243" s="46"/>
      <c r="AJ243" s="46"/>
      <c r="AK243" s="46"/>
      <c r="AL243" s="46"/>
      <c r="AM243" s="46"/>
      <c r="AN243" s="46"/>
      <c r="AO243" s="46"/>
      <c r="AP243" s="46"/>
      <c r="AQ243" s="46"/>
      <c r="AR243" s="46"/>
      <c r="AS243" s="46"/>
      <c r="AT243" s="46"/>
      <c r="AU243" s="46"/>
      <c r="AV243" s="46"/>
      <c r="AW243" s="46"/>
      <c r="AX243" s="46"/>
      <c r="AY243" s="46"/>
      <c r="AZ243" s="46"/>
      <c r="BA243" s="46"/>
      <c r="BB243" s="46"/>
      <c r="BC243" s="46"/>
      <c r="BD243" s="46"/>
      <c r="BE243" s="46"/>
      <c r="BF243" s="46"/>
      <c r="BG243" s="46"/>
      <c r="BH243" s="46"/>
      <c r="BI243" s="46"/>
      <c r="BJ243" s="46"/>
      <c r="BK243" s="46"/>
      <c r="BL243" s="46"/>
      <c r="BM243" s="46"/>
      <c r="BN243" s="46"/>
      <c r="BO243" s="46"/>
      <c r="BP243" s="46"/>
      <c r="BQ243" s="46"/>
      <c r="BR243" s="46"/>
      <c r="BS243" s="46"/>
      <c r="BT243" s="46"/>
      <c r="BU243" s="46"/>
      <c r="BV243" s="46"/>
      <c r="BW243" s="46"/>
      <c r="BX243" s="46"/>
      <c r="BY243" s="46"/>
      <c r="BZ243" s="46"/>
      <c r="CA243" s="46"/>
      <c r="CB243" s="46"/>
      <c r="CC243" s="46"/>
      <c r="CD243" s="46"/>
      <c r="CE243" s="46"/>
      <c r="CF243" s="46"/>
      <c r="CG243" s="46"/>
      <c r="CH243" s="46"/>
      <c r="CI243" s="46"/>
      <c r="CJ243" s="46"/>
      <c r="CK243" s="46"/>
      <c r="CL243" s="46"/>
      <c r="CM243" s="46"/>
      <c r="CN243" s="46"/>
      <c r="CO243" s="46"/>
      <c r="CP243" s="46"/>
      <c r="CQ243" s="46"/>
      <c r="CR243" s="46"/>
      <c r="CS243" s="46"/>
      <c r="CT243" s="46"/>
      <c r="CU243" s="46"/>
      <c r="CV243" s="46"/>
      <c r="CW243" s="46"/>
      <c r="CX243" s="46"/>
      <c r="CY243" s="46"/>
      <c r="CZ243" s="46"/>
      <c r="DA243" s="46"/>
      <c r="DB243" s="46"/>
      <c r="DC243" s="46"/>
      <c r="DD243" s="46"/>
      <c r="DE243" s="46"/>
      <c r="DF243" s="46"/>
      <c r="DG243" s="46"/>
      <c r="DH243" s="46"/>
      <c r="DI243" s="46"/>
      <c r="DJ243" s="46"/>
      <c r="DK243" s="46"/>
      <c r="DL243" s="46"/>
      <c r="DM243" s="46"/>
      <c r="DN243" s="46"/>
      <c r="DO243" s="46"/>
      <c r="DP243" s="46"/>
      <c r="DQ243" s="46"/>
      <c r="DR243" s="46"/>
      <c r="DS243" s="46"/>
      <c r="DT243" s="46"/>
      <c r="DU243" s="46"/>
      <c r="DV243" s="46"/>
      <c r="DW243" s="46"/>
      <c r="DX243" s="46"/>
      <c r="DY243" s="46"/>
      <c r="DZ243" s="46"/>
      <c r="EA243" s="46"/>
    </row>
    <row r="244" spans="2:131" ht="18" customHeight="1">
      <c r="B244" s="46"/>
      <c r="C244" s="46"/>
      <c r="D244" s="46"/>
      <c r="E244" s="46"/>
      <c r="F244" s="46"/>
      <c r="G244" s="46"/>
      <c r="H244" s="46"/>
      <c r="I244" s="46"/>
      <c r="J244" s="46"/>
      <c r="K244" s="46"/>
      <c r="L244" s="45"/>
      <c r="M244" s="46"/>
      <c r="N244" s="46"/>
      <c r="O244" s="46"/>
      <c r="P244" s="46"/>
      <c r="Q244" s="46"/>
      <c r="R244" s="46"/>
      <c r="S244" s="46"/>
      <c r="T244" s="46"/>
      <c r="U244" s="46"/>
      <c r="V244" s="46"/>
      <c r="W244" s="46"/>
      <c r="X244" s="46"/>
      <c r="Y244" s="46"/>
      <c r="Z244" s="46"/>
      <c r="AA244" s="46"/>
      <c r="AB244" s="46"/>
      <c r="AC244" s="46"/>
      <c r="AD244" s="46"/>
      <c r="AE244" s="46"/>
      <c r="AF244" s="46"/>
      <c r="AG244" s="46"/>
      <c r="AH244" s="46"/>
      <c r="AI244" s="46"/>
      <c r="AJ244" s="46"/>
      <c r="AK244" s="46"/>
      <c r="AL244" s="46"/>
      <c r="AM244" s="46"/>
      <c r="AN244" s="46"/>
      <c r="AO244" s="46"/>
      <c r="AP244" s="46"/>
      <c r="AQ244" s="46"/>
      <c r="AR244" s="46"/>
      <c r="AS244" s="46"/>
      <c r="AT244" s="46"/>
      <c r="AU244" s="46"/>
      <c r="AV244" s="46"/>
      <c r="AW244" s="46"/>
      <c r="AX244" s="46"/>
      <c r="AY244" s="46"/>
      <c r="AZ244" s="46"/>
      <c r="BA244" s="46"/>
      <c r="BB244" s="46"/>
      <c r="BC244" s="46"/>
      <c r="BD244" s="46"/>
      <c r="BE244" s="46"/>
      <c r="BF244" s="46"/>
      <c r="BG244" s="46"/>
      <c r="BH244" s="46"/>
      <c r="BI244" s="46"/>
      <c r="BJ244" s="46"/>
      <c r="BK244" s="46"/>
      <c r="BL244" s="46"/>
      <c r="BM244" s="46"/>
      <c r="BN244" s="46"/>
      <c r="BO244" s="46"/>
      <c r="BP244" s="46"/>
      <c r="BQ244" s="46"/>
      <c r="BR244" s="46"/>
      <c r="BS244" s="46"/>
      <c r="BT244" s="46"/>
      <c r="BU244" s="46"/>
      <c r="BV244" s="46"/>
      <c r="BW244" s="46"/>
      <c r="BX244" s="46"/>
      <c r="BY244" s="46"/>
      <c r="BZ244" s="46"/>
      <c r="CA244" s="46"/>
      <c r="CB244" s="46"/>
      <c r="CC244" s="46"/>
      <c r="CD244" s="46"/>
      <c r="CE244" s="46"/>
      <c r="CF244" s="46"/>
      <c r="CG244" s="46"/>
      <c r="CH244" s="46"/>
      <c r="CI244" s="46"/>
      <c r="CJ244" s="46"/>
      <c r="CK244" s="46"/>
      <c r="CL244" s="46"/>
      <c r="CM244" s="46"/>
      <c r="CN244" s="46"/>
      <c r="CO244" s="46"/>
      <c r="CP244" s="46"/>
      <c r="CQ244" s="46"/>
      <c r="CR244" s="46"/>
      <c r="CS244" s="46"/>
      <c r="CT244" s="46"/>
      <c r="CU244" s="46"/>
      <c r="CV244" s="46"/>
      <c r="CW244" s="46"/>
      <c r="CX244" s="46"/>
      <c r="CY244" s="46"/>
      <c r="CZ244" s="46"/>
      <c r="DA244" s="46"/>
      <c r="DB244" s="46"/>
      <c r="DC244" s="46"/>
      <c r="DD244" s="46"/>
      <c r="DE244" s="46"/>
      <c r="DF244" s="46"/>
      <c r="DG244" s="46"/>
      <c r="DH244" s="46"/>
      <c r="DI244" s="46"/>
      <c r="DJ244" s="46"/>
      <c r="DK244" s="46"/>
      <c r="DL244" s="46"/>
      <c r="DM244" s="46"/>
      <c r="DN244" s="46"/>
      <c r="DO244" s="46"/>
      <c r="DP244" s="46"/>
      <c r="DQ244" s="46"/>
      <c r="DR244" s="46"/>
      <c r="DS244" s="46"/>
      <c r="DT244" s="46"/>
      <c r="DU244" s="46"/>
      <c r="DV244" s="46"/>
      <c r="DW244" s="46"/>
      <c r="DX244" s="46"/>
      <c r="DY244" s="46"/>
      <c r="DZ244" s="46"/>
      <c r="EA244" s="46"/>
    </row>
    <row r="245" spans="2:131" ht="18" customHeight="1">
      <c r="B245" s="46"/>
      <c r="C245" s="46"/>
      <c r="D245" s="46"/>
      <c r="E245" s="46"/>
      <c r="F245" s="46"/>
      <c r="G245" s="46"/>
      <c r="H245" s="46"/>
      <c r="I245" s="46"/>
      <c r="J245" s="46"/>
      <c r="K245" s="46"/>
      <c r="L245" s="45"/>
      <c r="M245" s="46"/>
      <c r="N245" s="46"/>
      <c r="O245" s="46"/>
      <c r="P245" s="46"/>
      <c r="Q245" s="46"/>
      <c r="R245" s="46"/>
      <c r="S245" s="46"/>
      <c r="T245" s="46"/>
      <c r="U245" s="46"/>
      <c r="V245" s="46"/>
      <c r="W245" s="46"/>
      <c r="X245" s="46"/>
      <c r="Y245" s="46"/>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c r="CI245" s="46"/>
      <c r="CJ245" s="46"/>
      <c r="CK245" s="46"/>
      <c r="CL245" s="46"/>
      <c r="CM245" s="46"/>
      <c r="CN245" s="46"/>
      <c r="CO245" s="46"/>
      <c r="CP245" s="46"/>
      <c r="CQ245" s="46"/>
      <c r="CR245" s="46"/>
      <c r="CS245" s="46"/>
      <c r="CT245" s="46"/>
      <c r="CU245" s="46"/>
      <c r="CV245" s="46"/>
      <c r="CW245" s="46"/>
      <c r="CX245" s="46"/>
      <c r="CY245" s="46"/>
      <c r="CZ245" s="46"/>
      <c r="DA245" s="46"/>
      <c r="DB245" s="46"/>
      <c r="DC245" s="46"/>
      <c r="DD245" s="46"/>
      <c r="DE245" s="46"/>
      <c r="DF245" s="46"/>
      <c r="DG245" s="46"/>
      <c r="DH245" s="46"/>
      <c r="DI245" s="46"/>
      <c r="DJ245" s="46"/>
      <c r="DK245" s="46"/>
      <c r="DL245" s="46"/>
      <c r="DM245" s="46"/>
      <c r="DN245" s="46"/>
      <c r="DO245" s="46"/>
      <c r="DP245" s="46"/>
      <c r="DQ245" s="46"/>
      <c r="DR245" s="46"/>
      <c r="DS245" s="46"/>
      <c r="DT245" s="46"/>
      <c r="DU245" s="46"/>
      <c r="DV245" s="46"/>
      <c r="DW245" s="46"/>
      <c r="DX245" s="46"/>
      <c r="DY245" s="46"/>
      <c r="DZ245" s="46"/>
      <c r="EA245" s="46"/>
    </row>
    <row r="246" spans="2:131" ht="18" customHeight="1">
      <c r="B246" s="46"/>
      <c r="C246" s="46"/>
      <c r="D246" s="46"/>
      <c r="E246" s="46"/>
      <c r="F246" s="46"/>
      <c r="G246" s="46"/>
      <c r="H246" s="46"/>
      <c r="I246" s="46"/>
      <c r="J246" s="46"/>
      <c r="K246" s="46"/>
      <c r="L246" s="45"/>
      <c r="M246" s="46"/>
      <c r="N246" s="46"/>
      <c r="O246" s="46"/>
      <c r="P246" s="46"/>
      <c r="Q246" s="46"/>
      <c r="R246" s="46"/>
      <c r="S246" s="46"/>
      <c r="T246" s="46"/>
      <c r="U246" s="46"/>
      <c r="V246" s="46"/>
      <c r="W246" s="46"/>
      <c r="X246" s="46"/>
      <c r="Y246" s="46"/>
      <c r="Z246" s="46"/>
      <c r="AA246" s="46"/>
      <c r="AB246" s="46"/>
      <c r="AC246" s="46"/>
      <c r="AD246" s="46"/>
      <c r="AE246" s="46"/>
      <c r="AF246" s="46"/>
      <c r="AG246" s="46"/>
      <c r="AH246" s="46"/>
      <c r="AI246" s="46"/>
      <c r="AJ246" s="46"/>
      <c r="AK246" s="46"/>
      <c r="AL246" s="46"/>
      <c r="AM246" s="46"/>
      <c r="AN246" s="46"/>
      <c r="AO246" s="46"/>
      <c r="AP246" s="46"/>
      <c r="AQ246" s="46"/>
      <c r="AR246" s="46"/>
      <c r="AS246" s="46"/>
      <c r="AT246" s="46"/>
      <c r="AU246" s="46"/>
      <c r="AV246" s="46"/>
      <c r="AW246" s="46"/>
      <c r="AX246" s="46"/>
      <c r="AY246" s="46"/>
      <c r="AZ246" s="46"/>
      <c r="BA246" s="46"/>
      <c r="BB246" s="46"/>
      <c r="BC246" s="46"/>
      <c r="BD246" s="46"/>
      <c r="BE246" s="46"/>
      <c r="BF246" s="46"/>
      <c r="BG246" s="46"/>
      <c r="BH246" s="46"/>
      <c r="BI246" s="46"/>
      <c r="BJ246" s="46"/>
      <c r="BK246" s="46"/>
      <c r="BL246" s="46"/>
      <c r="BM246" s="46"/>
      <c r="BN246" s="46"/>
      <c r="BO246" s="46"/>
      <c r="BP246" s="46"/>
      <c r="BQ246" s="46"/>
      <c r="BR246" s="46"/>
      <c r="BS246" s="46"/>
      <c r="BT246" s="46"/>
      <c r="BU246" s="46"/>
      <c r="BV246" s="46"/>
      <c r="BW246" s="46"/>
      <c r="BX246" s="46"/>
      <c r="BY246" s="46"/>
      <c r="BZ246" s="46"/>
      <c r="CA246" s="46"/>
      <c r="CB246" s="46"/>
      <c r="CC246" s="46"/>
      <c r="CD246" s="46"/>
      <c r="CE246" s="46"/>
      <c r="CF246" s="46"/>
      <c r="CG246" s="46"/>
      <c r="CH246" s="46"/>
      <c r="CI246" s="46"/>
      <c r="CJ246" s="46"/>
      <c r="CK246" s="46"/>
      <c r="CL246" s="46"/>
      <c r="CM246" s="46"/>
      <c r="CN246" s="46"/>
      <c r="CO246" s="46"/>
      <c r="CP246" s="46"/>
      <c r="CQ246" s="46"/>
      <c r="CR246" s="46"/>
      <c r="CS246" s="46"/>
      <c r="CT246" s="46"/>
      <c r="CU246" s="46"/>
      <c r="CV246" s="46"/>
      <c r="CW246" s="46"/>
      <c r="CX246" s="46"/>
      <c r="CY246" s="46"/>
      <c r="CZ246" s="46"/>
      <c r="DA246" s="46"/>
      <c r="DB246" s="46"/>
      <c r="DC246" s="46"/>
      <c r="DD246" s="46"/>
      <c r="DE246" s="46"/>
      <c r="DF246" s="46"/>
      <c r="DG246" s="46"/>
      <c r="DH246" s="46"/>
      <c r="DI246" s="46"/>
      <c r="DJ246" s="46"/>
      <c r="DK246" s="46"/>
      <c r="DL246" s="46"/>
      <c r="DM246" s="46"/>
      <c r="DN246" s="46"/>
      <c r="DO246" s="46"/>
      <c r="DP246" s="46"/>
      <c r="DQ246" s="46"/>
      <c r="DR246" s="46"/>
      <c r="DS246" s="46"/>
      <c r="DT246" s="46"/>
      <c r="DU246" s="46"/>
      <c r="DV246" s="46"/>
      <c r="DW246" s="46"/>
      <c r="DX246" s="46"/>
      <c r="DY246" s="46"/>
      <c r="DZ246" s="46"/>
      <c r="EA246" s="46"/>
    </row>
    <row r="247" spans="2:131" ht="18" customHeight="1">
      <c r="B247" s="46"/>
      <c r="C247" s="46"/>
      <c r="D247" s="46"/>
      <c r="E247" s="46"/>
      <c r="F247" s="46"/>
      <c r="G247" s="46"/>
      <c r="H247" s="46"/>
      <c r="I247" s="46"/>
      <c r="J247" s="46"/>
      <c r="K247" s="46"/>
      <c r="L247" s="45"/>
      <c r="M247" s="46"/>
      <c r="N247" s="46"/>
      <c r="O247" s="46"/>
      <c r="P247" s="46"/>
      <c r="Q247" s="46"/>
      <c r="R247" s="46"/>
      <c r="S247" s="46"/>
      <c r="T247" s="46"/>
      <c r="U247" s="46"/>
      <c r="V247" s="46"/>
      <c r="W247" s="46"/>
      <c r="X247" s="46"/>
      <c r="Y247" s="46"/>
      <c r="Z247" s="46"/>
      <c r="AA247" s="46"/>
      <c r="AB247" s="46"/>
      <c r="AC247" s="46"/>
      <c r="AD247" s="46"/>
      <c r="AE247" s="46"/>
      <c r="AF247" s="46"/>
      <c r="AG247" s="46"/>
      <c r="AH247" s="46"/>
      <c r="AI247" s="46"/>
      <c r="AJ247" s="46"/>
      <c r="AK247" s="46"/>
      <c r="AL247" s="46"/>
      <c r="AM247" s="46"/>
      <c r="AN247" s="46"/>
      <c r="AO247" s="46"/>
      <c r="AP247" s="46"/>
      <c r="AQ247" s="46"/>
      <c r="AR247" s="46"/>
      <c r="AS247" s="46"/>
      <c r="AT247" s="46"/>
      <c r="AU247" s="46"/>
      <c r="AV247" s="46"/>
      <c r="AW247" s="46"/>
      <c r="AX247" s="46"/>
      <c r="AY247" s="46"/>
      <c r="AZ247" s="46"/>
      <c r="BA247" s="46"/>
      <c r="BB247" s="46"/>
      <c r="BC247" s="46"/>
      <c r="BD247" s="46"/>
      <c r="BE247" s="46"/>
      <c r="BF247" s="46"/>
      <c r="BG247" s="46"/>
      <c r="BH247" s="46"/>
      <c r="BI247" s="46"/>
      <c r="BJ247" s="46"/>
      <c r="BK247" s="46"/>
      <c r="BL247" s="46"/>
      <c r="BM247" s="46"/>
      <c r="BN247" s="46"/>
      <c r="BO247" s="46"/>
      <c r="BP247" s="46"/>
      <c r="BQ247" s="46"/>
      <c r="BR247" s="46"/>
      <c r="BS247" s="46"/>
      <c r="BT247" s="46"/>
      <c r="BU247" s="46"/>
      <c r="BV247" s="46"/>
      <c r="BW247" s="46"/>
      <c r="BX247" s="46"/>
      <c r="BY247" s="46"/>
      <c r="BZ247" s="46"/>
      <c r="CA247" s="46"/>
      <c r="CB247" s="46"/>
      <c r="CC247" s="46"/>
      <c r="CD247" s="46"/>
      <c r="CE247" s="46"/>
      <c r="CF247" s="46"/>
      <c r="CG247" s="46"/>
      <c r="CH247" s="46"/>
      <c r="CI247" s="46"/>
      <c r="CJ247" s="46"/>
      <c r="CK247" s="46"/>
      <c r="CL247" s="46"/>
      <c r="CM247" s="46"/>
      <c r="CN247" s="46"/>
      <c r="CO247" s="46"/>
      <c r="CP247" s="46"/>
      <c r="CQ247" s="46"/>
      <c r="CR247" s="46"/>
      <c r="CS247" s="46"/>
      <c r="CT247" s="46"/>
      <c r="CU247" s="46"/>
      <c r="CV247" s="46"/>
      <c r="CW247" s="46"/>
      <c r="CX247" s="46"/>
      <c r="CY247" s="46"/>
      <c r="CZ247" s="46"/>
      <c r="DA247" s="46"/>
      <c r="DB247" s="46"/>
      <c r="DC247" s="46"/>
      <c r="DD247" s="46"/>
      <c r="DE247" s="46"/>
      <c r="DF247" s="46"/>
      <c r="DG247" s="46"/>
      <c r="DH247" s="46"/>
      <c r="DI247" s="46"/>
      <c r="DJ247" s="46"/>
      <c r="DK247" s="46"/>
      <c r="DL247" s="46"/>
      <c r="DM247" s="46"/>
      <c r="DN247" s="46"/>
      <c r="DO247" s="46"/>
      <c r="DP247" s="46"/>
      <c r="DQ247" s="46"/>
      <c r="DR247" s="46"/>
      <c r="DS247" s="46"/>
      <c r="DT247" s="46"/>
      <c r="DU247" s="46"/>
      <c r="DV247" s="46"/>
      <c r="DW247" s="46"/>
      <c r="DX247" s="46"/>
      <c r="DY247" s="46"/>
      <c r="DZ247" s="46"/>
      <c r="EA247" s="46"/>
    </row>
    <row r="248" spans="2:131" ht="18" customHeight="1">
      <c r="B248" s="46"/>
      <c r="C248" s="46"/>
      <c r="D248" s="46"/>
      <c r="E248" s="46"/>
      <c r="F248" s="46"/>
      <c r="G248" s="46"/>
      <c r="H248" s="46"/>
      <c r="I248" s="46"/>
      <c r="J248" s="46"/>
      <c r="K248" s="46"/>
      <c r="L248" s="45"/>
      <c r="M248" s="46"/>
      <c r="N248" s="46"/>
      <c r="O248" s="46"/>
      <c r="P248" s="46"/>
      <c r="Q248" s="46"/>
      <c r="R248" s="46"/>
      <c r="S248" s="46"/>
      <c r="T248" s="46"/>
      <c r="U248" s="46"/>
      <c r="V248" s="46"/>
      <c r="W248" s="46"/>
      <c r="X248" s="46"/>
      <c r="Y248" s="46"/>
      <c r="Z248" s="46"/>
      <c r="AA248" s="46"/>
      <c r="AB248" s="46"/>
      <c r="AC248" s="46"/>
      <c r="AD248" s="46"/>
      <c r="AE248" s="46"/>
      <c r="AF248" s="46"/>
      <c r="AG248" s="46"/>
      <c r="AH248" s="46"/>
      <c r="AI248" s="46"/>
      <c r="AJ248" s="46"/>
      <c r="AK248" s="46"/>
      <c r="AL248" s="46"/>
      <c r="AM248" s="46"/>
      <c r="AN248" s="46"/>
      <c r="AO248" s="46"/>
      <c r="AP248" s="46"/>
      <c r="AQ248" s="46"/>
      <c r="AR248" s="46"/>
      <c r="AS248" s="46"/>
      <c r="AT248" s="46"/>
      <c r="AU248" s="46"/>
      <c r="AV248" s="46"/>
      <c r="AW248" s="46"/>
      <c r="AX248" s="46"/>
      <c r="AY248" s="46"/>
      <c r="AZ248" s="46"/>
      <c r="BA248" s="46"/>
      <c r="BB248" s="46"/>
      <c r="BC248" s="46"/>
      <c r="BD248" s="46"/>
      <c r="BE248" s="46"/>
      <c r="BF248" s="46"/>
      <c r="BG248" s="46"/>
      <c r="BH248" s="46"/>
      <c r="BI248" s="46"/>
      <c r="BJ248" s="46"/>
      <c r="BK248" s="46"/>
      <c r="BL248" s="46"/>
      <c r="BM248" s="46"/>
      <c r="BN248" s="46"/>
      <c r="BO248" s="46"/>
      <c r="BP248" s="46"/>
      <c r="BQ248" s="46"/>
      <c r="BR248" s="46"/>
      <c r="BS248" s="46"/>
      <c r="BT248" s="46"/>
      <c r="BU248" s="46"/>
      <c r="BV248" s="46"/>
      <c r="BW248" s="46"/>
      <c r="BX248" s="46"/>
      <c r="BY248" s="46"/>
      <c r="BZ248" s="46"/>
      <c r="CA248" s="46"/>
      <c r="CB248" s="46"/>
      <c r="CC248" s="46"/>
      <c r="CD248" s="46"/>
      <c r="CE248" s="46"/>
      <c r="CF248" s="46"/>
      <c r="CG248" s="46"/>
      <c r="CH248" s="46"/>
      <c r="CI248" s="46"/>
      <c r="CJ248" s="46"/>
      <c r="CK248" s="46"/>
      <c r="CL248" s="46"/>
      <c r="CM248" s="46"/>
      <c r="CN248" s="46"/>
      <c r="CO248" s="46"/>
      <c r="CP248" s="46"/>
      <c r="CQ248" s="46"/>
      <c r="CR248" s="46"/>
      <c r="CS248" s="46"/>
      <c r="CT248" s="46"/>
      <c r="CU248" s="46"/>
      <c r="CV248" s="46"/>
      <c r="CW248" s="46"/>
      <c r="CX248" s="46"/>
      <c r="CY248" s="46"/>
      <c r="CZ248" s="46"/>
      <c r="DA248" s="46"/>
      <c r="DB248" s="46"/>
      <c r="DC248" s="46"/>
      <c r="DD248" s="46"/>
      <c r="DE248" s="46"/>
      <c r="DF248" s="46"/>
      <c r="DG248" s="46"/>
      <c r="DH248" s="46"/>
      <c r="DI248" s="46"/>
      <c r="DJ248" s="46"/>
      <c r="DK248" s="46"/>
      <c r="DL248" s="46"/>
      <c r="DM248" s="46"/>
      <c r="DN248" s="46"/>
      <c r="DO248" s="46"/>
      <c r="DP248" s="46"/>
      <c r="DQ248" s="46"/>
      <c r="DR248" s="46"/>
      <c r="DS248" s="46"/>
      <c r="DT248" s="46"/>
      <c r="DU248" s="46"/>
      <c r="DV248" s="46"/>
      <c r="DW248" s="46"/>
      <c r="DX248" s="46"/>
      <c r="DY248" s="46"/>
      <c r="DZ248" s="46"/>
      <c r="EA248" s="46"/>
    </row>
    <row r="249" spans="2:131" ht="18" customHeight="1">
      <c r="B249" s="45"/>
      <c r="C249" s="45"/>
      <c r="D249" s="46"/>
      <c r="E249" s="46"/>
      <c r="F249" s="46"/>
      <c r="G249" s="46"/>
      <c r="H249" s="46"/>
      <c r="I249" s="46"/>
      <c r="J249" s="46"/>
      <c r="K249" s="46"/>
      <c r="L249" s="45"/>
      <c r="M249" s="46"/>
      <c r="N249" s="46"/>
      <c r="O249" s="46"/>
      <c r="P249" s="46"/>
      <c r="Q249" s="46"/>
      <c r="R249" s="46"/>
      <c r="S249" s="46"/>
      <c r="T249" s="46"/>
      <c r="U249" s="46"/>
      <c r="V249" s="46"/>
      <c r="W249" s="46"/>
      <c r="X249" s="46"/>
      <c r="Y249" s="46"/>
      <c r="Z249" s="46"/>
      <c r="AA249" s="46"/>
      <c r="AB249" s="46"/>
      <c r="AC249" s="46"/>
      <c r="AD249" s="46"/>
      <c r="AE249" s="46"/>
      <c r="AF249" s="46"/>
      <c r="AG249" s="46"/>
      <c r="AH249" s="46"/>
      <c r="AI249" s="46"/>
      <c r="AJ249" s="46"/>
      <c r="AK249" s="46"/>
      <c r="AL249" s="46"/>
      <c r="AM249" s="46"/>
      <c r="AN249" s="46"/>
      <c r="AO249" s="46"/>
      <c r="AP249" s="46"/>
      <c r="AQ249" s="46"/>
      <c r="AR249" s="46"/>
      <c r="AS249" s="46"/>
      <c r="AT249" s="46"/>
      <c r="AU249" s="46"/>
      <c r="AV249" s="46"/>
      <c r="AW249" s="46"/>
      <c r="AX249" s="46"/>
      <c r="AY249" s="46"/>
      <c r="AZ249" s="46"/>
      <c r="BA249" s="46"/>
      <c r="BB249" s="46"/>
      <c r="BC249" s="46"/>
      <c r="BD249" s="46"/>
      <c r="BE249" s="46"/>
      <c r="BF249" s="46"/>
      <c r="BG249" s="46"/>
      <c r="BH249" s="46"/>
      <c r="BI249" s="46"/>
      <c r="BJ249" s="46"/>
      <c r="BK249" s="46"/>
      <c r="BL249" s="46"/>
      <c r="BM249" s="46"/>
      <c r="BN249" s="46"/>
      <c r="BO249" s="46"/>
      <c r="BP249" s="46"/>
      <c r="BQ249" s="46"/>
      <c r="BR249" s="46"/>
      <c r="BS249" s="46"/>
      <c r="BT249" s="46"/>
      <c r="BU249" s="46"/>
      <c r="BV249" s="46"/>
      <c r="BW249" s="46"/>
      <c r="BX249" s="46"/>
      <c r="BY249" s="46"/>
      <c r="BZ249" s="46"/>
      <c r="CA249" s="46"/>
      <c r="CB249" s="46"/>
      <c r="CC249" s="46"/>
      <c r="CD249" s="46"/>
      <c r="CE249" s="46"/>
      <c r="CF249" s="46"/>
      <c r="CG249" s="46"/>
      <c r="CH249" s="46"/>
      <c r="CI249" s="46"/>
      <c r="CJ249" s="46"/>
      <c r="CK249" s="46"/>
      <c r="CL249" s="46"/>
      <c r="CM249" s="46"/>
      <c r="CN249" s="46"/>
      <c r="CO249" s="46"/>
      <c r="CP249" s="46"/>
      <c r="CQ249" s="46"/>
      <c r="CR249" s="46"/>
      <c r="CS249" s="46"/>
      <c r="CT249" s="46"/>
      <c r="CU249" s="46"/>
      <c r="CV249" s="46"/>
      <c r="CW249" s="46"/>
      <c r="CX249" s="46"/>
      <c r="CY249" s="46"/>
      <c r="CZ249" s="46"/>
      <c r="DA249" s="46"/>
      <c r="DB249" s="46"/>
      <c r="DC249" s="46"/>
      <c r="DD249" s="46"/>
      <c r="DE249" s="46"/>
      <c r="DF249" s="46"/>
      <c r="DG249" s="46"/>
      <c r="DH249" s="46"/>
      <c r="DI249" s="46"/>
      <c r="DJ249" s="46"/>
      <c r="DK249" s="46"/>
      <c r="DL249" s="46"/>
      <c r="DM249" s="46"/>
      <c r="DN249" s="46"/>
      <c r="DO249" s="46"/>
      <c r="DP249" s="46"/>
      <c r="DQ249" s="46"/>
      <c r="DR249" s="46"/>
      <c r="DS249" s="46"/>
      <c r="DT249" s="46"/>
      <c r="DU249" s="46"/>
      <c r="DV249" s="46"/>
      <c r="DW249" s="46"/>
      <c r="DX249" s="46"/>
      <c r="DY249" s="46"/>
      <c r="DZ249" s="46"/>
      <c r="EA249" s="46"/>
    </row>
    <row r="250" spans="2:131" ht="18" customHeight="1">
      <c r="B250" s="46"/>
      <c r="C250" s="46"/>
      <c r="D250" s="46"/>
      <c r="E250" s="46"/>
      <c r="F250" s="46"/>
      <c r="G250" s="46"/>
      <c r="H250" s="46"/>
      <c r="I250" s="46"/>
      <c r="J250" s="46"/>
      <c r="K250" s="46"/>
      <c r="L250" s="45"/>
      <c r="M250" s="46"/>
      <c r="N250" s="46"/>
      <c r="O250" s="46"/>
      <c r="P250" s="46"/>
      <c r="Q250" s="46"/>
      <c r="R250" s="46"/>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c r="BC250" s="46"/>
      <c r="BD250" s="46"/>
      <c r="BE250" s="46"/>
      <c r="BF250" s="46"/>
      <c r="BG250" s="46"/>
      <c r="BH250" s="46"/>
      <c r="BI250" s="46"/>
      <c r="BJ250" s="46"/>
      <c r="BK250" s="46"/>
      <c r="BL250" s="46"/>
      <c r="BM250" s="46"/>
      <c r="BN250" s="46"/>
      <c r="BO250" s="46"/>
      <c r="BP250" s="46"/>
      <c r="BQ250" s="46"/>
      <c r="BR250" s="46"/>
      <c r="BS250" s="46"/>
      <c r="BT250" s="46"/>
      <c r="BU250" s="46"/>
      <c r="BV250" s="46"/>
      <c r="BW250" s="46"/>
      <c r="BX250" s="46"/>
      <c r="BY250" s="46"/>
      <c r="BZ250" s="46"/>
      <c r="CA250" s="46"/>
      <c r="CB250" s="46"/>
      <c r="CC250" s="46"/>
      <c r="CD250" s="46"/>
      <c r="CE250" s="46"/>
      <c r="CF250" s="46"/>
      <c r="CG250" s="46"/>
      <c r="CH250" s="46"/>
      <c r="CI250" s="46"/>
      <c r="CJ250" s="46"/>
      <c r="CK250" s="46"/>
      <c r="CL250" s="46"/>
      <c r="CM250" s="46"/>
      <c r="CN250" s="46"/>
      <c r="CO250" s="46"/>
      <c r="CP250" s="46"/>
      <c r="CQ250" s="46"/>
      <c r="CR250" s="46"/>
      <c r="CS250" s="46"/>
      <c r="CT250" s="46"/>
      <c r="CU250" s="46"/>
      <c r="CV250" s="46"/>
      <c r="CW250" s="46"/>
      <c r="CX250" s="46"/>
      <c r="CY250" s="46"/>
      <c r="CZ250" s="46"/>
      <c r="DA250" s="46"/>
      <c r="DB250" s="46"/>
      <c r="DC250" s="46"/>
      <c r="DD250" s="46"/>
      <c r="DE250" s="46"/>
      <c r="DF250" s="46"/>
      <c r="DG250" s="46"/>
      <c r="DH250" s="46"/>
      <c r="DI250" s="46"/>
      <c r="DJ250" s="46"/>
      <c r="DK250" s="46"/>
      <c r="DL250" s="46"/>
      <c r="DM250" s="46"/>
      <c r="DN250" s="46"/>
      <c r="DO250" s="46"/>
      <c r="DP250" s="46"/>
      <c r="DQ250" s="46"/>
      <c r="DR250" s="46"/>
      <c r="DS250" s="46"/>
      <c r="DT250" s="46"/>
      <c r="DU250" s="46"/>
      <c r="DV250" s="46"/>
      <c r="DW250" s="46"/>
      <c r="DX250" s="46"/>
      <c r="DY250" s="46"/>
      <c r="DZ250" s="46"/>
      <c r="EA250" s="46"/>
    </row>
    <row r="251" spans="2:131" ht="18" customHeight="1">
      <c r="B251" s="46"/>
      <c r="C251" s="46"/>
      <c r="D251" s="46"/>
      <c r="E251" s="46"/>
      <c r="F251" s="46"/>
      <c r="G251" s="46"/>
      <c r="H251" s="46"/>
      <c r="I251" s="46"/>
      <c r="J251" s="46"/>
      <c r="K251" s="46"/>
      <c r="L251" s="45"/>
      <c r="M251" s="46"/>
      <c r="N251" s="46"/>
      <c r="O251" s="46"/>
      <c r="P251" s="46"/>
      <c r="Q251" s="46"/>
      <c r="R251" s="46"/>
      <c r="S251" s="46"/>
      <c r="T251" s="46"/>
      <c r="U251" s="46"/>
      <c r="V251" s="46"/>
      <c r="W251" s="46"/>
      <c r="X251" s="46"/>
      <c r="Y251" s="46"/>
      <c r="Z251" s="46"/>
      <c r="AA251" s="46"/>
      <c r="AB251" s="46"/>
      <c r="AC251" s="46"/>
      <c r="AD251" s="46"/>
      <c r="AE251" s="46"/>
      <c r="AF251" s="46"/>
      <c r="AG251" s="46"/>
      <c r="AH251" s="46"/>
      <c r="AI251" s="46"/>
      <c r="AJ251" s="46"/>
      <c r="AK251" s="46"/>
      <c r="AL251" s="46"/>
      <c r="AM251" s="46"/>
      <c r="AN251" s="46"/>
      <c r="AO251" s="46"/>
      <c r="AP251" s="46"/>
      <c r="AQ251" s="46"/>
      <c r="AR251" s="46"/>
      <c r="AS251" s="46"/>
      <c r="AT251" s="46"/>
      <c r="AU251" s="46"/>
      <c r="AV251" s="46"/>
      <c r="AW251" s="46"/>
      <c r="AX251" s="46"/>
      <c r="AY251" s="46"/>
      <c r="AZ251" s="46"/>
      <c r="BA251" s="46"/>
      <c r="BB251" s="46"/>
      <c r="BC251" s="46"/>
      <c r="BD251" s="46"/>
      <c r="BE251" s="46"/>
      <c r="BF251" s="46"/>
      <c r="BG251" s="46"/>
      <c r="BH251" s="46"/>
      <c r="BI251" s="46"/>
      <c r="BJ251" s="46"/>
      <c r="BK251" s="46"/>
      <c r="BL251" s="46"/>
      <c r="BM251" s="46"/>
      <c r="BN251" s="46"/>
      <c r="BO251" s="46"/>
      <c r="BP251" s="46"/>
      <c r="BQ251" s="46"/>
      <c r="BR251" s="46"/>
      <c r="BS251" s="46"/>
      <c r="BT251" s="46"/>
      <c r="BU251" s="46"/>
      <c r="BV251" s="46"/>
      <c r="BW251" s="46"/>
      <c r="BX251" s="46"/>
      <c r="BY251" s="46"/>
      <c r="BZ251" s="46"/>
      <c r="CA251" s="46"/>
      <c r="CB251" s="46"/>
      <c r="CC251" s="46"/>
      <c r="CD251" s="46"/>
      <c r="CE251" s="46"/>
      <c r="CF251" s="46"/>
      <c r="CG251" s="46"/>
      <c r="CH251" s="46"/>
      <c r="CI251" s="46"/>
      <c r="CJ251" s="46"/>
      <c r="CK251" s="46"/>
      <c r="CL251" s="46"/>
      <c r="CM251" s="46"/>
      <c r="CN251" s="46"/>
      <c r="CO251" s="46"/>
      <c r="CP251" s="46"/>
      <c r="CQ251" s="46"/>
      <c r="CR251" s="46"/>
      <c r="CS251" s="46"/>
      <c r="CT251" s="46"/>
      <c r="CU251" s="46"/>
      <c r="CV251" s="46"/>
      <c r="CW251" s="46"/>
      <c r="CX251" s="46"/>
      <c r="CY251" s="46"/>
      <c r="CZ251" s="46"/>
      <c r="DA251" s="46"/>
      <c r="DB251" s="46"/>
      <c r="DC251" s="46"/>
      <c r="DD251" s="46"/>
      <c r="DE251" s="46"/>
      <c r="DF251" s="46"/>
      <c r="DG251" s="46"/>
      <c r="DH251" s="46"/>
      <c r="DI251" s="46"/>
      <c r="DJ251" s="46"/>
      <c r="DK251" s="46"/>
      <c r="DL251" s="46"/>
      <c r="DM251" s="46"/>
      <c r="DN251" s="46"/>
      <c r="DO251" s="46"/>
      <c r="DP251" s="46"/>
      <c r="DQ251" s="46"/>
      <c r="DR251" s="46"/>
      <c r="DS251" s="46"/>
      <c r="DT251" s="46"/>
      <c r="DU251" s="46"/>
      <c r="DV251" s="46"/>
      <c r="DW251" s="46"/>
      <c r="DX251" s="46"/>
      <c r="DY251" s="46"/>
      <c r="DZ251" s="46"/>
      <c r="EA251" s="46"/>
    </row>
    <row r="252" spans="2:131" ht="18" customHeight="1">
      <c r="B252" s="46"/>
      <c r="C252" s="46"/>
      <c r="D252" s="46"/>
      <c r="E252" s="46"/>
      <c r="F252" s="46"/>
      <c r="G252" s="46"/>
      <c r="H252" s="46"/>
      <c r="I252" s="46"/>
      <c r="J252" s="46"/>
      <c r="K252" s="46"/>
      <c r="L252" s="45"/>
      <c r="M252" s="46"/>
      <c r="N252" s="46"/>
      <c r="O252" s="46"/>
      <c r="P252" s="46"/>
      <c r="Q252" s="46"/>
      <c r="R252" s="46"/>
      <c r="S252" s="46"/>
      <c r="T252" s="46"/>
      <c r="U252" s="46"/>
      <c r="V252" s="46"/>
      <c r="W252" s="46"/>
      <c r="X252" s="46"/>
      <c r="Y252" s="46"/>
      <c r="Z252" s="46"/>
      <c r="AA252" s="46"/>
      <c r="AB252" s="46"/>
      <c r="AC252" s="46"/>
      <c r="AD252" s="46"/>
      <c r="AE252" s="46"/>
      <c r="AF252" s="46"/>
      <c r="AG252" s="46"/>
      <c r="AH252" s="46"/>
      <c r="AI252" s="46"/>
      <c r="AJ252" s="46"/>
      <c r="AK252" s="46"/>
      <c r="AL252" s="46"/>
      <c r="AM252" s="46"/>
      <c r="AN252" s="46"/>
      <c r="AO252" s="46"/>
      <c r="AP252" s="46"/>
      <c r="AQ252" s="46"/>
      <c r="AR252" s="46"/>
      <c r="AS252" s="46"/>
      <c r="AT252" s="46"/>
      <c r="AU252" s="46"/>
      <c r="AV252" s="46"/>
      <c r="AW252" s="46"/>
      <c r="AX252" s="46"/>
      <c r="AY252" s="46"/>
      <c r="AZ252" s="46"/>
      <c r="BA252" s="46"/>
      <c r="BB252" s="46"/>
      <c r="BC252" s="46"/>
      <c r="BD252" s="46"/>
      <c r="BE252" s="46"/>
      <c r="BF252" s="46"/>
      <c r="BG252" s="46"/>
      <c r="BH252" s="46"/>
      <c r="BI252" s="46"/>
      <c r="BJ252" s="46"/>
      <c r="BK252" s="46"/>
      <c r="BL252" s="46"/>
      <c r="BM252" s="46"/>
      <c r="BN252" s="46"/>
      <c r="BO252" s="46"/>
      <c r="BP252" s="46"/>
      <c r="BQ252" s="46"/>
      <c r="BR252" s="46"/>
      <c r="BS252" s="46"/>
      <c r="BT252" s="46"/>
      <c r="BU252" s="46"/>
      <c r="BV252" s="46"/>
      <c r="BW252" s="46"/>
      <c r="BX252" s="46"/>
      <c r="BY252" s="46"/>
      <c r="BZ252" s="46"/>
      <c r="CA252" s="46"/>
      <c r="CB252" s="46"/>
      <c r="CC252" s="46"/>
      <c r="CD252" s="46"/>
      <c r="CE252" s="46"/>
      <c r="CF252" s="46"/>
      <c r="CG252" s="46"/>
      <c r="CH252" s="46"/>
      <c r="CI252" s="46"/>
      <c r="CJ252" s="46"/>
      <c r="CK252" s="46"/>
      <c r="CL252" s="46"/>
      <c r="CM252" s="46"/>
      <c r="CN252" s="46"/>
      <c r="CO252" s="46"/>
      <c r="CP252" s="46"/>
      <c r="CQ252" s="46"/>
      <c r="CR252" s="46"/>
      <c r="CS252" s="46"/>
      <c r="CT252" s="46"/>
      <c r="CU252" s="46"/>
      <c r="CV252" s="46"/>
      <c r="CW252" s="46"/>
      <c r="CX252" s="46"/>
      <c r="CY252" s="46"/>
      <c r="CZ252" s="46"/>
      <c r="DA252" s="46"/>
      <c r="DB252" s="46"/>
      <c r="DC252" s="46"/>
      <c r="DD252" s="46"/>
      <c r="DE252" s="46"/>
      <c r="DF252" s="46"/>
      <c r="DG252" s="46"/>
      <c r="DH252" s="46"/>
      <c r="DI252" s="46"/>
      <c r="DJ252" s="46"/>
      <c r="DK252" s="46"/>
      <c r="DL252" s="46"/>
      <c r="DM252" s="46"/>
      <c r="DN252" s="46"/>
      <c r="DO252" s="46"/>
      <c r="DP252" s="46"/>
      <c r="DQ252" s="46"/>
      <c r="DR252" s="46"/>
      <c r="DS252" s="46"/>
      <c r="DT252" s="46"/>
      <c r="DU252" s="46"/>
      <c r="DV252" s="46"/>
      <c r="DW252" s="46"/>
      <c r="DX252" s="46"/>
      <c r="DY252" s="46"/>
      <c r="DZ252" s="46"/>
      <c r="EA252" s="46"/>
    </row>
    <row r="253" spans="2:131" ht="18" customHeight="1">
      <c r="B253" s="46"/>
      <c r="C253" s="46"/>
      <c r="D253" s="46"/>
      <c r="E253" s="46"/>
      <c r="F253" s="46"/>
      <c r="G253" s="46"/>
      <c r="H253" s="46"/>
      <c r="I253" s="46"/>
      <c r="J253" s="46"/>
      <c r="K253" s="46"/>
      <c r="L253" s="45"/>
      <c r="M253" s="46"/>
      <c r="N253" s="46"/>
      <c r="O253" s="46"/>
      <c r="P253" s="46"/>
      <c r="Q253" s="46"/>
      <c r="R253" s="46"/>
      <c r="S253" s="46"/>
      <c r="T253" s="46"/>
      <c r="U253" s="46"/>
      <c r="V253" s="46"/>
      <c r="W253" s="46"/>
      <c r="X253" s="46"/>
      <c r="Y253" s="46"/>
      <c r="Z253" s="46"/>
      <c r="AA253" s="46"/>
      <c r="AB253" s="46"/>
      <c r="AC253" s="46"/>
      <c r="AD253" s="46"/>
      <c r="AE253" s="46"/>
      <c r="AF253" s="46"/>
      <c r="AG253" s="46"/>
      <c r="AH253" s="46"/>
      <c r="AI253" s="46"/>
      <c r="AJ253" s="46"/>
      <c r="AK253" s="46"/>
      <c r="AL253" s="46"/>
      <c r="AM253" s="46"/>
      <c r="AN253" s="46"/>
      <c r="AO253" s="46"/>
      <c r="AP253" s="46"/>
      <c r="AQ253" s="46"/>
      <c r="AR253" s="46"/>
      <c r="AS253" s="46"/>
      <c r="AT253" s="46"/>
      <c r="AU253" s="46"/>
      <c r="AV253" s="46"/>
      <c r="AW253" s="46"/>
      <c r="AX253" s="46"/>
      <c r="AY253" s="46"/>
      <c r="AZ253" s="46"/>
      <c r="BA253" s="46"/>
      <c r="BB253" s="46"/>
      <c r="BC253" s="46"/>
      <c r="BD253" s="46"/>
      <c r="BE253" s="46"/>
      <c r="BF253" s="46"/>
      <c r="BG253" s="46"/>
      <c r="BH253" s="46"/>
      <c r="BI253" s="46"/>
      <c r="BJ253" s="46"/>
      <c r="BK253" s="46"/>
      <c r="BL253" s="46"/>
      <c r="BM253" s="46"/>
      <c r="BN253" s="46"/>
      <c r="BO253" s="46"/>
      <c r="BP253" s="46"/>
      <c r="BQ253" s="46"/>
      <c r="BR253" s="46"/>
      <c r="BS253" s="46"/>
      <c r="BT253" s="46"/>
      <c r="BU253" s="46"/>
      <c r="BV253" s="46"/>
      <c r="BW253" s="46"/>
      <c r="BX253" s="46"/>
      <c r="BY253" s="46"/>
      <c r="BZ253" s="46"/>
      <c r="CA253" s="46"/>
      <c r="CB253" s="46"/>
      <c r="CC253" s="46"/>
      <c r="CD253" s="46"/>
      <c r="CE253" s="46"/>
      <c r="CF253" s="46"/>
      <c r="CG253" s="46"/>
      <c r="CH253" s="46"/>
      <c r="CI253" s="46"/>
      <c r="CJ253" s="46"/>
      <c r="CK253" s="46"/>
      <c r="CL253" s="46"/>
      <c r="CM253" s="46"/>
      <c r="CN253" s="46"/>
      <c r="CO253" s="46"/>
      <c r="CP253" s="46"/>
      <c r="CQ253" s="46"/>
      <c r="CR253" s="46"/>
      <c r="CS253" s="46"/>
      <c r="CT253" s="46"/>
      <c r="CU253" s="46"/>
      <c r="CV253" s="46"/>
      <c r="CW253" s="46"/>
      <c r="CX253" s="46"/>
      <c r="CY253" s="46"/>
      <c r="CZ253" s="46"/>
      <c r="DA253" s="46"/>
      <c r="DB253" s="46"/>
      <c r="DC253" s="46"/>
      <c r="DD253" s="46"/>
      <c r="DE253" s="46"/>
      <c r="DF253" s="46"/>
      <c r="DG253" s="46"/>
      <c r="DH253" s="46"/>
      <c r="DI253" s="46"/>
      <c r="DJ253" s="46"/>
      <c r="DK253" s="46"/>
      <c r="DL253" s="46"/>
      <c r="DM253" s="46"/>
      <c r="DN253" s="46"/>
      <c r="DO253" s="46"/>
      <c r="DP253" s="46"/>
      <c r="DQ253" s="46"/>
      <c r="DR253" s="46"/>
      <c r="DS253" s="46"/>
      <c r="DT253" s="46"/>
      <c r="DU253" s="46"/>
      <c r="DV253" s="46"/>
      <c r="DW253" s="46"/>
      <c r="DX253" s="46"/>
      <c r="DY253" s="46"/>
      <c r="DZ253" s="46"/>
      <c r="EA253" s="46"/>
    </row>
    <row r="254" spans="2:131" ht="18" customHeight="1">
      <c r="B254" s="46"/>
      <c r="C254" s="46"/>
      <c r="D254" s="46"/>
      <c r="E254" s="46"/>
      <c r="F254" s="46"/>
      <c r="G254" s="46"/>
      <c r="H254" s="46"/>
      <c r="I254" s="46"/>
      <c r="J254" s="46"/>
      <c r="K254" s="46"/>
      <c r="L254" s="45"/>
      <c r="M254" s="46"/>
      <c r="N254" s="46"/>
      <c r="O254" s="46"/>
      <c r="P254" s="46"/>
      <c r="Q254" s="46"/>
      <c r="R254" s="46"/>
      <c r="S254" s="46"/>
      <c r="T254" s="46"/>
      <c r="U254" s="46"/>
      <c r="V254" s="46"/>
      <c r="W254" s="46"/>
      <c r="X254" s="46"/>
      <c r="Y254" s="46"/>
      <c r="Z254" s="46"/>
      <c r="AA254" s="46"/>
      <c r="AB254" s="46"/>
      <c r="AC254" s="46"/>
      <c r="AD254" s="46"/>
      <c r="AE254" s="46"/>
      <c r="AF254" s="46"/>
      <c r="AG254" s="46"/>
      <c r="AH254" s="46"/>
      <c r="AI254" s="46"/>
      <c r="AJ254" s="46"/>
      <c r="AK254" s="46"/>
      <c r="AL254" s="46"/>
      <c r="AM254" s="46"/>
      <c r="AN254" s="46"/>
      <c r="AO254" s="46"/>
      <c r="AP254" s="46"/>
      <c r="AQ254" s="46"/>
      <c r="AR254" s="46"/>
      <c r="AS254" s="46"/>
      <c r="AT254" s="46"/>
      <c r="AU254" s="46"/>
      <c r="AV254" s="46"/>
      <c r="AW254" s="46"/>
      <c r="AX254" s="46"/>
      <c r="AY254" s="46"/>
      <c r="AZ254" s="46"/>
      <c r="BA254" s="46"/>
      <c r="BB254" s="46"/>
      <c r="BC254" s="46"/>
      <c r="BD254" s="46"/>
      <c r="BE254" s="46"/>
      <c r="BF254" s="46"/>
      <c r="BG254" s="46"/>
      <c r="BH254" s="46"/>
      <c r="BI254" s="46"/>
      <c r="BJ254" s="46"/>
      <c r="BK254" s="46"/>
      <c r="BL254" s="46"/>
      <c r="BM254" s="46"/>
      <c r="BN254" s="46"/>
      <c r="BO254" s="46"/>
      <c r="BP254" s="46"/>
      <c r="BQ254" s="46"/>
      <c r="BR254" s="46"/>
      <c r="BS254" s="46"/>
      <c r="BT254" s="46"/>
      <c r="BU254" s="46"/>
      <c r="BV254" s="46"/>
      <c r="BW254" s="46"/>
      <c r="BX254" s="46"/>
      <c r="BY254" s="46"/>
      <c r="BZ254" s="46"/>
      <c r="CA254" s="46"/>
      <c r="CB254" s="46"/>
      <c r="CC254" s="46"/>
      <c r="CD254" s="46"/>
      <c r="CE254" s="46"/>
      <c r="CF254" s="46"/>
      <c r="CG254" s="46"/>
      <c r="CH254" s="46"/>
      <c r="CI254" s="46"/>
      <c r="CJ254" s="46"/>
      <c r="CK254" s="46"/>
      <c r="CL254" s="46"/>
      <c r="CM254" s="46"/>
      <c r="CN254" s="46"/>
      <c r="CO254" s="46"/>
      <c r="CP254" s="46"/>
      <c r="CQ254" s="46"/>
      <c r="CR254" s="46"/>
      <c r="CS254" s="46"/>
      <c r="CT254" s="46"/>
      <c r="CU254" s="46"/>
      <c r="CV254" s="46"/>
      <c r="CW254" s="46"/>
      <c r="CX254" s="46"/>
      <c r="CY254" s="46"/>
      <c r="CZ254" s="46"/>
      <c r="DA254" s="46"/>
      <c r="DB254" s="46"/>
      <c r="DC254" s="46"/>
      <c r="DD254" s="46"/>
      <c r="DE254" s="46"/>
      <c r="DF254" s="46"/>
      <c r="DG254" s="46"/>
      <c r="DH254" s="46"/>
      <c r="DI254" s="46"/>
      <c r="DJ254" s="46"/>
      <c r="DK254" s="46"/>
      <c r="DL254" s="46"/>
      <c r="DM254" s="46"/>
      <c r="DN254" s="46"/>
      <c r="DO254" s="46"/>
      <c r="DP254" s="46"/>
      <c r="DQ254" s="46"/>
      <c r="DR254" s="46"/>
      <c r="DS254" s="46"/>
      <c r="DT254" s="46"/>
      <c r="DU254" s="46"/>
      <c r="DV254" s="46"/>
      <c r="DW254" s="46"/>
      <c r="DX254" s="46"/>
      <c r="DY254" s="46"/>
      <c r="DZ254" s="46"/>
      <c r="EA254" s="46"/>
    </row>
    <row r="255" spans="2:131" ht="18" customHeight="1">
      <c r="B255" s="45"/>
      <c r="C255" s="45"/>
      <c r="D255" s="46"/>
      <c r="E255" s="46"/>
      <c r="F255" s="46"/>
      <c r="G255" s="46"/>
      <c r="H255" s="46"/>
      <c r="I255" s="46"/>
      <c r="J255" s="46"/>
      <c r="K255" s="46"/>
      <c r="L255" s="45"/>
      <c r="M255" s="46"/>
      <c r="N255" s="46"/>
      <c r="O255" s="46"/>
      <c r="P255" s="46"/>
      <c r="Q255" s="46"/>
      <c r="R255" s="46"/>
      <c r="S255" s="46"/>
      <c r="T255" s="46"/>
      <c r="U255" s="46"/>
      <c r="V255" s="46"/>
      <c r="W255" s="46"/>
      <c r="X255" s="46"/>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c r="BC255" s="46"/>
      <c r="BD255" s="46"/>
      <c r="BE255" s="46"/>
      <c r="BF255" s="46"/>
      <c r="BG255" s="46"/>
      <c r="BH255" s="46"/>
      <c r="BI255" s="46"/>
      <c r="BJ255" s="46"/>
      <c r="BK255" s="46"/>
      <c r="BL255" s="46"/>
      <c r="BM255" s="46"/>
      <c r="BN255" s="46"/>
      <c r="BO255" s="46"/>
      <c r="BP255" s="46"/>
      <c r="BQ255" s="46"/>
      <c r="BR255" s="46"/>
      <c r="BS255" s="46"/>
      <c r="BT255" s="46"/>
      <c r="BU255" s="46"/>
      <c r="BV255" s="46"/>
      <c r="BW255" s="46"/>
      <c r="BX255" s="46"/>
      <c r="BY255" s="46"/>
      <c r="BZ255" s="46"/>
      <c r="CA255" s="46"/>
      <c r="CB255" s="46"/>
      <c r="CC255" s="46"/>
      <c r="CD255" s="46"/>
      <c r="CE255" s="46"/>
      <c r="CF255" s="46"/>
      <c r="CG255" s="46"/>
      <c r="CH255" s="46"/>
      <c r="CI255" s="46"/>
      <c r="CJ255" s="46"/>
      <c r="CK255" s="46"/>
      <c r="CL255" s="46"/>
      <c r="CM255" s="46"/>
      <c r="CN255" s="46"/>
      <c r="CO255" s="46"/>
      <c r="CP255" s="46"/>
      <c r="CQ255" s="46"/>
      <c r="CR255" s="46"/>
      <c r="CS255" s="46"/>
      <c r="CT255" s="46"/>
      <c r="CU255" s="46"/>
      <c r="CV255" s="46"/>
      <c r="CW255" s="46"/>
      <c r="CX255" s="46"/>
      <c r="CY255" s="46"/>
      <c r="CZ255" s="46"/>
      <c r="DA255" s="46"/>
      <c r="DB255" s="46"/>
      <c r="DC255" s="46"/>
      <c r="DD255" s="46"/>
      <c r="DE255" s="46"/>
      <c r="DF255" s="46"/>
      <c r="DG255" s="46"/>
      <c r="DH255" s="46"/>
      <c r="DI255" s="46"/>
      <c r="DJ255" s="46"/>
      <c r="DK255" s="46"/>
      <c r="DL255" s="46"/>
      <c r="DM255" s="46"/>
      <c r="DN255" s="46"/>
      <c r="DO255" s="46"/>
      <c r="DP255" s="46"/>
      <c r="DQ255" s="46"/>
      <c r="DR255" s="46"/>
      <c r="DS255" s="46"/>
      <c r="DT255" s="46"/>
      <c r="DU255" s="46"/>
      <c r="DV255" s="46"/>
      <c r="DW255" s="46"/>
      <c r="DX255" s="46"/>
      <c r="DY255" s="46"/>
      <c r="DZ255" s="46"/>
      <c r="EA255" s="46"/>
    </row>
    <row r="256" spans="2:131" ht="18" customHeight="1">
      <c r="B256" s="46"/>
      <c r="C256" s="46"/>
      <c r="D256" s="46"/>
      <c r="E256" s="46"/>
      <c r="F256" s="46"/>
      <c r="G256" s="46"/>
      <c r="H256" s="46"/>
      <c r="I256" s="46"/>
      <c r="J256" s="46"/>
      <c r="K256" s="46"/>
      <c r="L256" s="45"/>
      <c r="M256" s="46"/>
      <c r="N256" s="46"/>
      <c r="O256" s="46"/>
      <c r="P256" s="46"/>
      <c r="Q256" s="46"/>
      <c r="R256" s="46"/>
      <c r="S256" s="46"/>
      <c r="T256" s="46"/>
      <c r="U256" s="46"/>
      <c r="V256" s="46"/>
      <c r="W256" s="46"/>
      <c r="X256" s="46"/>
      <c r="Y256" s="46"/>
      <c r="Z256" s="46"/>
      <c r="AA256" s="46"/>
      <c r="AB256" s="46"/>
      <c r="AC256" s="46"/>
      <c r="AD256" s="46"/>
      <c r="AE256" s="46"/>
      <c r="AF256" s="46"/>
      <c r="AG256" s="46"/>
      <c r="AH256" s="46"/>
      <c r="AI256" s="46"/>
      <c r="AJ256" s="46"/>
      <c r="AK256" s="46"/>
      <c r="AL256" s="46"/>
      <c r="AM256" s="46"/>
      <c r="AN256" s="46"/>
      <c r="AO256" s="46"/>
      <c r="AP256" s="46"/>
      <c r="AQ256" s="46"/>
      <c r="AR256" s="46"/>
      <c r="AS256" s="46"/>
      <c r="AT256" s="46"/>
      <c r="AU256" s="46"/>
      <c r="AV256" s="46"/>
      <c r="AW256" s="46"/>
      <c r="AX256" s="46"/>
      <c r="AY256" s="46"/>
      <c r="AZ256" s="46"/>
      <c r="BA256" s="46"/>
      <c r="BB256" s="46"/>
      <c r="BC256" s="46"/>
      <c r="BD256" s="46"/>
      <c r="BE256" s="46"/>
      <c r="BF256" s="46"/>
      <c r="BG256" s="46"/>
      <c r="BH256" s="46"/>
      <c r="BI256" s="46"/>
      <c r="BJ256" s="46"/>
      <c r="BK256" s="46"/>
      <c r="BL256" s="46"/>
      <c r="BM256" s="46"/>
      <c r="BN256" s="46"/>
      <c r="BO256" s="46"/>
      <c r="BP256" s="46"/>
      <c r="BQ256" s="46"/>
      <c r="BR256" s="46"/>
      <c r="BS256" s="46"/>
      <c r="BT256" s="46"/>
      <c r="BU256" s="46"/>
      <c r="BV256" s="46"/>
      <c r="BW256" s="46"/>
      <c r="BX256" s="46"/>
      <c r="BY256" s="46"/>
      <c r="BZ256" s="46"/>
      <c r="CA256" s="46"/>
      <c r="CB256" s="46"/>
      <c r="CC256" s="46"/>
      <c r="CD256" s="46"/>
      <c r="CE256" s="46"/>
      <c r="CF256" s="46"/>
      <c r="CG256" s="46"/>
      <c r="CH256" s="46"/>
      <c r="CI256" s="46"/>
      <c r="CJ256" s="46"/>
      <c r="CK256" s="46"/>
      <c r="CL256" s="46"/>
      <c r="CM256" s="46"/>
      <c r="CN256" s="46"/>
      <c r="CO256" s="46"/>
      <c r="CP256" s="46"/>
      <c r="CQ256" s="46"/>
      <c r="CR256" s="46"/>
      <c r="CS256" s="46"/>
      <c r="CT256" s="46"/>
      <c r="CU256" s="46"/>
      <c r="CV256" s="46"/>
      <c r="CW256" s="46"/>
      <c r="CX256" s="46"/>
      <c r="CY256" s="46"/>
      <c r="CZ256" s="46"/>
      <c r="DA256" s="46"/>
      <c r="DB256" s="46"/>
      <c r="DC256" s="46"/>
      <c r="DD256" s="46"/>
      <c r="DE256" s="46"/>
      <c r="DF256" s="46"/>
      <c r="DG256" s="46"/>
      <c r="DH256" s="46"/>
      <c r="DI256" s="46"/>
      <c r="DJ256" s="46"/>
      <c r="DK256" s="46"/>
      <c r="DL256" s="46"/>
      <c r="DM256" s="46"/>
      <c r="DN256" s="46"/>
      <c r="DO256" s="46"/>
      <c r="DP256" s="46"/>
      <c r="DQ256" s="46"/>
      <c r="DR256" s="46"/>
      <c r="DS256" s="46"/>
      <c r="DT256" s="46"/>
      <c r="DU256" s="46"/>
      <c r="DV256" s="46"/>
      <c r="DW256" s="46"/>
      <c r="DX256" s="46"/>
      <c r="DY256" s="46"/>
      <c r="DZ256" s="46"/>
      <c r="EA256" s="46"/>
    </row>
    <row r="257" spans="2:131" ht="18" customHeight="1">
      <c r="B257" s="46"/>
      <c r="C257" s="46"/>
      <c r="D257" s="46"/>
      <c r="E257" s="46"/>
      <c r="F257" s="46"/>
      <c r="G257" s="46"/>
      <c r="H257" s="46"/>
      <c r="I257" s="46"/>
      <c r="J257" s="46"/>
      <c r="K257" s="46"/>
      <c r="L257" s="45"/>
      <c r="M257" s="46"/>
      <c r="N257" s="46"/>
      <c r="O257" s="46"/>
      <c r="P257" s="46"/>
      <c r="Q257" s="46"/>
      <c r="R257" s="46"/>
      <c r="S257" s="46"/>
      <c r="T257" s="46"/>
      <c r="U257" s="46"/>
      <c r="V257" s="46"/>
      <c r="W257" s="46"/>
      <c r="X257" s="46"/>
      <c r="Y257" s="46"/>
      <c r="Z257" s="46"/>
      <c r="AA257" s="46"/>
      <c r="AB257" s="46"/>
      <c r="AC257" s="46"/>
      <c r="AD257" s="46"/>
      <c r="AE257" s="46"/>
      <c r="AF257" s="46"/>
      <c r="AG257" s="46"/>
      <c r="AH257" s="46"/>
      <c r="AI257" s="46"/>
      <c r="AJ257" s="46"/>
      <c r="AK257" s="46"/>
      <c r="AL257" s="46"/>
      <c r="AM257" s="46"/>
      <c r="AN257" s="46"/>
      <c r="AO257" s="46"/>
      <c r="AP257" s="46"/>
      <c r="AQ257" s="46"/>
      <c r="AR257" s="46"/>
      <c r="AS257" s="46"/>
      <c r="AT257" s="46"/>
      <c r="AU257" s="46"/>
      <c r="AV257" s="46"/>
      <c r="AW257" s="46"/>
      <c r="AX257" s="46"/>
      <c r="AY257" s="46"/>
      <c r="AZ257" s="46"/>
      <c r="BA257" s="46"/>
      <c r="BB257" s="46"/>
      <c r="BC257" s="46"/>
      <c r="BD257" s="46"/>
      <c r="BE257" s="46"/>
      <c r="BF257" s="46"/>
      <c r="BG257" s="46"/>
      <c r="BH257" s="46"/>
      <c r="BI257" s="46"/>
      <c r="BJ257" s="46"/>
      <c r="BK257" s="46"/>
      <c r="BL257" s="46"/>
      <c r="BM257" s="46"/>
      <c r="BN257" s="46"/>
      <c r="BO257" s="46"/>
      <c r="BP257" s="46"/>
      <c r="BQ257" s="46"/>
      <c r="BR257" s="46"/>
      <c r="BS257" s="46"/>
      <c r="BT257" s="46"/>
      <c r="BU257" s="46"/>
      <c r="BV257" s="46"/>
      <c r="BW257" s="46"/>
      <c r="BX257" s="46"/>
      <c r="BY257" s="46"/>
      <c r="BZ257" s="46"/>
      <c r="CA257" s="46"/>
      <c r="CB257" s="46"/>
      <c r="CC257" s="46"/>
      <c r="CD257" s="46"/>
      <c r="CE257" s="46"/>
      <c r="CF257" s="46"/>
      <c r="CG257" s="46"/>
      <c r="CH257" s="46"/>
      <c r="CI257" s="46"/>
      <c r="CJ257" s="46"/>
      <c r="CK257" s="46"/>
      <c r="CL257" s="46"/>
      <c r="CM257" s="46"/>
      <c r="CN257" s="46"/>
      <c r="CO257" s="46"/>
      <c r="CP257" s="46"/>
      <c r="CQ257" s="46"/>
      <c r="CR257" s="46"/>
      <c r="CS257" s="46"/>
      <c r="CT257" s="46"/>
      <c r="CU257" s="46"/>
      <c r="CV257" s="46"/>
      <c r="CW257" s="46"/>
      <c r="CX257" s="46"/>
      <c r="CY257" s="46"/>
      <c r="CZ257" s="46"/>
      <c r="DA257" s="46"/>
      <c r="DB257" s="46"/>
      <c r="DC257" s="46"/>
      <c r="DD257" s="46"/>
      <c r="DE257" s="46"/>
      <c r="DF257" s="46"/>
      <c r="DG257" s="46"/>
      <c r="DH257" s="46"/>
      <c r="DI257" s="46"/>
      <c r="DJ257" s="46"/>
      <c r="DK257" s="46"/>
      <c r="DL257" s="46"/>
      <c r="DM257" s="46"/>
      <c r="DN257" s="46"/>
      <c r="DO257" s="46"/>
      <c r="DP257" s="46"/>
      <c r="DQ257" s="46"/>
      <c r="DR257" s="46"/>
      <c r="DS257" s="46"/>
      <c r="DT257" s="46"/>
      <c r="DU257" s="46"/>
      <c r="DV257" s="46"/>
      <c r="DW257" s="46"/>
      <c r="DX257" s="46"/>
      <c r="DY257" s="46"/>
      <c r="DZ257" s="46"/>
      <c r="EA257" s="46"/>
    </row>
    <row r="258" spans="2:131" ht="18" customHeight="1">
      <c r="B258" s="46"/>
      <c r="C258" s="46"/>
      <c r="D258" s="46"/>
      <c r="E258" s="46"/>
      <c r="F258" s="46"/>
      <c r="G258" s="46"/>
      <c r="H258" s="46"/>
      <c r="I258" s="46"/>
      <c r="J258" s="46"/>
      <c r="K258" s="46"/>
      <c r="L258" s="45"/>
      <c r="M258" s="46"/>
      <c r="N258" s="46"/>
      <c r="O258" s="46"/>
      <c r="P258" s="46"/>
      <c r="Q258" s="46"/>
      <c r="R258" s="46"/>
      <c r="S258" s="46"/>
      <c r="T258" s="46"/>
      <c r="U258" s="46"/>
      <c r="V258" s="46"/>
      <c r="W258" s="46"/>
      <c r="X258" s="46"/>
      <c r="Y258" s="46"/>
      <c r="Z258" s="46"/>
      <c r="AA258" s="46"/>
      <c r="AB258" s="46"/>
      <c r="AC258" s="46"/>
      <c r="AD258" s="46"/>
      <c r="AE258" s="46"/>
      <c r="AF258" s="46"/>
      <c r="AG258" s="46"/>
      <c r="AH258" s="46"/>
      <c r="AI258" s="46"/>
      <c r="AJ258" s="46"/>
      <c r="AK258" s="46"/>
      <c r="AL258" s="46"/>
      <c r="AM258" s="46"/>
      <c r="AN258" s="46"/>
      <c r="AO258" s="46"/>
      <c r="AP258" s="46"/>
      <c r="AQ258" s="46"/>
      <c r="AR258" s="46"/>
      <c r="AS258" s="46"/>
      <c r="AT258" s="46"/>
      <c r="AU258" s="46"/>
      <c r="AV258" s="46"/>
      <c r="AW258" s="46"/>
      <c r="AX258" s="46"/>
      <c r="AY258" s="46"/>
      <c r="AZ258" s="46"/>
      <c r="BA258" s="46"/>
      <c r="BB258" s="46"/>
      <c r="BC258" s="46"/>
      <c r="BD258" s="46"/>
      <c r="BE258" s="46"/>
      <c r="BF258" s="46"/>
      <c r="BG258" s="46"/>
      <c r="BH258" s="46"/>
      <c r="BI258" s="46"/>
      <c r="BJ258" s="46"/>
      <c r="BK258" s="46"/>
      <c r="BL258" s="46"/>
      <c r="BM258" s="46"/>
      <c r="BN258" s="46"/>
      <c r="BO258" s="46"/>
      <c r="BP258" s="46"/>
      <c r="BQ258" s="46"/>
      <c r="BR258" s="46"/>
      <c r="BS258" s="46"/>
      <c r="BT258" s="46"/>
      <c r="BU258" s="46"/>
      <c r="BV258" s="46"/>
      <c r="BW258" s="46"/>
      <c r="BX258" s="46"/>
      <c r="BY258" s="46"/>
      <c r="BZ258" s="46"/>
      <c r="CA258" s="46"/>
      <c r="CB258" s="46"/>
      <c r="CC258" s="46"/>
      <c r="CD258" s="46"/>
      <c r="CE258" s="46"/>
      <c r="CF258" s="46"/>
      <c r="CG258" s="46"/>
      <c r="CH258" s="46"/>
      <c r="CI258" s="46"/>
      <c r="CJ258" s="46"/>
      <c r="CK258" s="46"/>
      <c r="CL258" s="46"/>
      <c r="CM258" s="46"/>
      <c r="CN258" s="46"/>
      <c r="CO258" s="46"/>
      <c r="CP258" s="46"/>
      <c r="CQ258" s="46"/>
      <c r="CR258" s="46"/>
      <c r="CS258" s="46"/>
      <c r="CT258" s="46"/>
      <c r="CU258" s="46"/>
      <c r="CV258" s="46"/>
      <c r="CW258" s="46"/>
      <c r="CX258" s="46"/>
      <c r="CY258" s="46"/>
      <c r="CZ258" s="46"/>
      <c r="DA258" s="46"/>
      <c r="DB258" s="46"/>
      <c r="DC258" s="46"/>
      <c r="DD258" s="46"/>
      <c r="DE258" s="46"/>
      <c r="DF258" s="46"/>
      <c r="DG258" s="46"/>
      <c r="DH258" s="46"/>
      <c r="DI258" s="46"/>
      <c r="DJ258" s="46"/>
      <c r="DK258" s="46"/>
      <c r="DL258" s="46"/>
      <c r="DM258" s="46"/>
      <c r="DN258" s="46"/>
      <c r="DO258" s="46"/>
      <c r="DP258" s="46"/>
      <c r="DQ258" s="46"/>
      <c r="DR258" s="46"/>
      <c r="DS258" s="46"/>
      <c r="DT258" s="46"/>
      <c r="DU258" s="46"/>
      <c r="DV258" s="46"/>
      <c r="DW258" s="46"/>
      <c r="DX258" s="46"/>
      <c r="DY258" s="46"/>
      <c r="DZ258" s="46"/>
      <c r="EA258" s="46"/>
    </row>
    <row r="259" spans="2:131" ht="18" customHeight="1">
      <c r="B259" s="46"/>
      <c r="C259" s="46"/>
      <c r="D259" s="46"/>
      <c r="E259" s="46"/>
      <c r="F259" s="46"/>
      <c r="G259" s="46"/>
      <c r="H259" s="46"/>
      <c r="I259" s="46"/>
      <c r="J259" s="46"/>
      <c r="K259" s="46"/>
      <c r="L259" s="45"/>
      <c r="M259" s="46"/>
      <c r="N259" s="46"/>
      <c r="O259" s="46"/>
      <c r="P259" s="46"/>
      <c r="Q259" s="46"/>
      <c r="R259" s="46"/>
      <c r="S259" s="46"/>
      <c r="T259" s="46"/>
      <c r="U259" s="46"/>
      <c r="V259" s="46"/>
      <c r="W259" s="46"/>
      <c r="X259" s="46"/>
      <c r="Y259" s="46"/>
      <c r="Z259" s="46"/>
      <c r="AA259" s="46"/>
      <c r="AB259" s="46"/>
      <c r="AC259" s="46"/>
      <c r="AD259" s="46"/>
      <c r="AE259" s="46"/>
      <c r="AF259" s="46"/>
      <c r="AG259" s="46"/>
      <c r="AH259" s="46"/>
      <c r="AI259" s="46"/>
      <c r="AJ259" s="46"/>
      <c r="AK259" s="46"/>
      <c r="AL259" s="46"/>
      <c r="AM259" s="46"/>
      <c r="AN259" s="46"/>
      <c r="AO259" s="46"/>
      <c r="AP259" s="46"/>
      <c r="AQ259" s="46"/>
      <c r="AR259" s="46"/>
      <c r="AS259" s="46"/>
      <c r="AT259" s="46"/>
      <c r="AU259" s="46"/>
      <c r="AV259" s="46"/>
      <c r="AW259" s="46"/>
      <c r="AX259" s="46"/>
      <c r="AY259" s="46"/>
      <c r="AZ259" s="46"/>
      <c r="BA259" s="46"/>
      <c r="BB259" s="46"/>
      <c r="BC259" s="46"/>
      <c r="BD259" s="46"/>
      <c r="BE259" s="46"/>
      <c r="BF259" s="46"/>
      <c r="BG259" s="46"/>
      <c r="BH259" s="46"/>
      <c r="BI259" s="46"/>
      <c r="BJ259" s="46"/>
      <c r="BK259" s="46"/>
      <c r="BL259" s="46"/>
      <c r="BM259" s="46"/>
      <c r="BN259" s="46"/>
      <c r="BO259" s="46"/>
      <c r="BP259" s="46"/>
      <c r="BQ259" s="46"/>
      <c r="BR259" s="46"/>
      <c r="BS259" s="46"/>
      <c r="BT259" s="46"/>
      <c r="BU259" s="46"/>
      <c r="BV259" s="46"/>
      <c r="BW259" s="46"/>
      <c r="BX259" s="46"/>
      <c r="BY259" s="46"/>
      <c r="BZ259" s="46"/>
      <c r="CA259" s="46"/>
      <c r="CB259" s="46"/>
      <c r="CC259" s="46"/>
      <c r="CD259" s="46"/>
      <c r="CE259" s="46"/>
      <c r="CF259" s="46"/>
      <c r="CG259" s="46"/>
      <c r="CH259" s="46"/>
      <c r="CI259" s="46"/>
      <c r="CJ259" s="46"/>
      <c r="CK259" s="46"/>
      <c r="CL259" s="46"/>
      <c r="CM259" s="46"/>
      <c r="CN259" s="46"/>
      <c r="CO259" s="46"/>
      <c r="CP259" s="46"/>
      <c r="CQ259" s="46"/>
      <c r="CR259" s="46"/>
      <c r="CS259" s="46"/>
      <c r="CT259" s="46"/>
      <c r="CU259" s="46"/>
      <c r="CV259" s="46"/>
      <c r="CW259" s="46"/>
      <c r="CX259" s="46"/>
      <c r="CY259" s="46"/>
      <c r="CZ259" s="46"/>
      <c r="DA259" s="46"/>
      <c r="DB259" s="46"/>
      <c r="DC259" s="46"/>
      <c r="DD259" s="46"/>
      <c r="DE259" s="46"/>
      <c r="DF259" s="46"/>
      <c r="DG259" s="46"/>
      <c r="DH259" s="46"/>
      <c r="DI259" s="46"/>
      <c r="DJ259" s="46"/>
      <c r="DK259" s="46"/>
      <c r="DL259" s="46"/>
      <c r="DM259" s="46"/>
      <c r="DN259" s="46"/>
      <c r="DO259" s="46"/>
      <c r="DP259" s="46"/>
      <c r="DQ259" s="46"/>
      <c r="DR259" s="46"/>
      <c r="DS259" s="46"/>
      <c r="DT259" s="46"/>
      <c r="DU259" s="46"/>
      <c r="DV259" s="46"/>
      <c r="DW259" s="46"/>
      <c r="DX259" s="46"/>
      <c r="DY259" s="46"/>
      <c r="DZ259" s="46"/>
      <c r="EA259" s="46"/>
    </row>
    <row r="260" spans="2:131" ht="18" customHeight="1">
      <c r="B260" s="46"/>
      <c r="C260" s="46"/>
      <c r="D260" s="46"/>
      <c r="E260" s="46"/>
      <c r="F260" s="46"/>
      <c r="G260" s="46"/>
      <c r="H260" s="46"/>
      <c r="I260" s="46"/>
      <c r="J260" s="46"/>
      <c r="K260" s="46"/>
      <c r="L260" s="45"/>
      <c r="M260" s="46"/>
      <c r="N260" s="46"/>
      <c r="O260" s="46"/>
      <c r="P260" s="46"/>
      <c r="Q260" s="46"/>
      <c r="R260" s="46"/>
      <c r="S260" s="46"/>
      <c r="T260" s="46"/>
      <c r="U260" s="46"/>
      <c r="V260" s="46"/>
      <c r="W260" s="46"/>
      <c r="X260" s="46"/>
      <c r="Y260" s="46"/>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c r="BC260" s="46"/>
      <c r="BD260" s="46"/>
      <c r="BE260" s="46"/>
      <c r="BF260" s="46"/>
      <c r="BG260" s="46"/>
      <c r="BH260" s="46"/>
      <c r="BI260" s="46"/>
      <c r="BJ260" s="46"/>
      <c r="BK260" s="46"/>
      <c r="BL260" s="46"/>
      <c r="BM260" s="46"/>
      <c r="BN260" s="46"/>
      <c r="BO260" s="46"/>
      <c r="BP260" s="46"/>
      <c r="BQ260" s="46"/>
      <c r="BR260" s="46"/>
      <c r="BS260" s="46"/>
      <c r="BT260" s="46"/>
      <c r="BU260" s="46"/>
      <c r="BV260" s="46"/>
      <c r="BW260" s="46"/>
      <c r="BX260" s="46"/>
      <c r="BY260" s="46"/>
      <c r="BZ260" s="46"/>
      <c r="CA260" s="46"/>
      <c r="CB260" s="46"/>
      <c r="CC260" s="46"/>
      <c r="CD260" s="46"/>
      <c r="CE260" s="46"/>
      <c r="CF260" s="46"/>
      <c r="CG260" s="46"/>
      <c r="CH260" s="46"/>
      <c r="CI260" s="46"/>
      <c r="CJ260" s="46"/>
      <c r="CK260" s="46"/>
      <c r="CL260" s="46"/>
      <c r="CM260" s="46"/>
      <c r="CN260" s="46"/>
      <c r="CO260" s="46"/>
      <c r="CP260" s="46"/>
      <c r="CQ260" s="46"/>
      <c r="CR260" s="46"/>
      <c r="CS260" s="46"/>
      <c r="CT260" s="46"/>
      <c r="CU260" s="46"/>
      <c r="CV260" s="46"/>
      <c r="CW260" s="46"/>
      <c r="CX260" s="46"/>
      <c r="CY260" s="46"/>
      <c r="CZ260" s="46"/>
      <c r="DA260" s="46"/>
      <c r="DB260" s="46"/>
      <c r="DC260" s="46"/>
      <c r="DD260" s="46"/>
      <c r="DE260" s="46"/>
      <c r="DF260" s="46"/>
      <c r="DG260" s="46"/>
      <c r="DH260" s="46"/>
      <c r="DI260" s="46"/>
      <c r="DJ260" s="46"/>
      <c r="DK260" s="46"/>
      <c r="DL260" s="46"/>
      <c r="DM260" s="46"/>
      <c r="DN260" s="46"/>
      <c r="DO260" s="46"/>
      <c r="DP260" s="46"/>
      <c r="DQ260" s="46"/>
      <c r="DR260" s="46"/>
      <c r="DS260" s="46"/>
      <c r="DT260" s="46"/>
      <c r="DU260" s="46"/>
      <c r="DV260" s="46"/>
      <c r="DW260" s="46"/>
      <c r="DX260" s="46"/>
      <c r="DY260" s="46"/>
      <c r="DZ260" s="46"/>
      <c r="EA260" s="46"/>
    </row>
    <row r="261" spans="2:131" ht="18" customHeight="1">
      <c r="B261" s="45"/>
      <c r="C261" s="45"/>
      <c r="D261" s="46"/>
      <c r="E261" s="46"/>
      <c r="F261" s="46"/>
      <c r="G261" s="46"/>
      <c r="H261" s="46"/>
      <c r="I261" s="46"/>
      <c r="J261" s="46"/>
      <c r="K261" s="46"/>
      <c r="L261" s="45"/>
      <c r="M261" s="46"/>
      <c r="N261" s="46"/>
      <c r="O261" s="46"/>
      <c r="P261" s="46"/>
      <c r="Q261" s="46"/>
      <c r="R261" s="46"/>
      <c r="S261" s="46"/>
      <c r="T261" s="46"/>
      <c r="U261" s="46"/>
      <c r="V261" s="46"/>
      <c r="W261" s="46"/>
      <c r="X261" s="46"/>
      <c r="Y261" s="46"/>
      <c r="Z261" s="46"/>
      <c r="AA261" s="46"/>
      <c r="AB261" s="46"/>
      <c r="AC261" s="46"/>
      <c r="AD261" s="46"/>
      <c r="AE261" s="46"/>
      <c r="AF261" s="46"/>
      <c r="AG261" s="46"/>
      <c r="AH261" s="46"/>
      <c r="AI261" s="46"/>
      <c r="AJ261" s="46"/>
      <c r="AK261" s="46"/>
      <c r="AL261" s="46"/>
      <c r="AM261" s="46"/>
      <c r="AN261" s="46"/>
      <c r="AO261" s="46"/>
      <c r="AP261" s="46"/>
      <c r="AQ261" s="46"/>
      <c r="AR261" s="46"/>
      <c r="AS261" s="46"/>
      <c r="AT261" s="46"/>
      <c r="AU261" s="46"/>
      <c r="AV261" s="46"/>
      <c r="AW261" s="46"/>
      <c r="AX261" s="46"/>
      <c r="AY261" s="46"/>
      <c r="AZ261" s="46"/>
      <c r="BA261" s="46"/>
      <c r="BB261" s="46"/>
      <c r="BC261" s="46"/>
      <c r="BD261" s="46"/>
      <c r="BE261" s="46"/>
      <c r="BF261" s="46"/>
      <c r="BG261" s="46"/>
      <c r="BH261" s="46"/>
      <c r="BI261" s="46"/>
      <c r="BJ261" s="46"/>
      <c r="BK261" s="46"/>
      <c r="BL261" s="46"/>
      <c r="BM261" s="46"/>
      <c r="BN261" s="46"/>
      <c r="BO261" s="46"/>
      <c r="BP261" s="46"/>
      <c r="BQ261" s="46"/>
      <c r="BR261" s="46"/>
      <c r="BS261" s="46"/>
      <c r="BT261" s="46"/>
      <c r="BU261" s="46"/>
      <c r="BV261" s="46"/>
      <c r="BW261" s="46"/>
      <c r="BX261" s="46"/>
      <c r="BY261" s="46"/>
      <c r="BZ261" s="46"/>
      <c r="CA261" s="46"/>
      <c r="CB261" s="46"/>
      <c r="CC261" s="46"/>
      <c r="CD261" s="46"/>
      <c r="CE261" s="46"/>
      <c r="CF261" s="46"/>
      <c r="CG261" s="46"/>
      <c r="CH261" s="46"/>
      <c r="CI261" s="46"/>
      <c r="CJ261" s="46"/>
      <c r="CK261" s="46"/>
      <c r="CL261" s="46"/>
      <c r="CM261" s="46"/>
      <c r="CN261" s="46"/>
      <c r="CO261" s="46"/>
      <c r="CP261" s="46"/>
      <c r="CQ261" s="46"/>
      <c r="CR261" s="46"/>
      <c r="CS261" s="46"/>
      <c r="CT261" s="46"/>
      <c r="CU261" s="46"/>
      <c r="CV261" s="46"/>
      <c r="CW261" s="46"/>
      <c r="CX261" s="46"/>
      <c r="CY261" s="46"/>
      <c r="CZ261" s="46"/>
      <c r="DA261" s="46"/>
      <c r="DB261" s="46"/>
      <c r="DC261" s="46"/>
      <c r="DD261" s="46"/>
      <c r="DE261" s="46"/>
      <c r="DF261" s="46"/>
      <c r="DG261" s="46"/>
      <c r="DH261" s="46"/>
      <c r="DI261" s="46"/>
      <c r="DJ261" s="46"/>
      <c r="DK261" s="46"/>
      <c r="DL261" s="46"/>
      <c r="DM261" s="46"/>
      <c r="DN261" s="46"/>
      <c r="DO261" s="46"/>
      <c r="DP261" s="46"/>
      <c r="DQ261" s="46"/>
      <c r="DR261" s="46"/>
      <c r="DS261" s="46"/>
      <c r="DT261" s="46"/>
      <c r="DU261" s="46"/>
      <c r="DV261" s="46"/>
      <c r="DW261" s="46"/>
      <c r="DX261" s="46"/>
      <c r="DY261" s="46"/>
      <c r="DZ261" s="46"/>
      <c r="EA261" s="46"/>
    </row>
    <row r="262" spans="2:131" ht="18" customHeight="1">
      <c r="B262" s="46"/>
      <c r="C262" s="46"/>
      <c r="D262" s="46"/>
      <c r="E262" s="46"/>
      <c r="F262" s="46"/>
      <c r="G262" s="46"/>
      <c r="H262" s="46"/>
      <c r="I262" s="46"/>
      <c r="J262" s="46"/>
      <c r="K262" s="46"/>
      <c r="L262" s="45"/>
      <c r="M262" s="46"/>
      <c r="N262" s="46"/>
      <c r="O262" s="46"/>
      <c r="P262" s="46"/>
      <c r="Q262" s="46"/>
      <c r="R262" s="46"/>
      <c r="S262" s="46"/>
      <c r="T262" s="46"/>
      <c r="U262" s="46"/>
      <c r="V262" s="46"/>
      <c r="W262" s="46"/>
      <c r="X262" s="46"/>
      <c r="Y262" s="46"/>
      <c r="Z262" s="46"/>
      <c r="AA262" s="46"/>
      <c r="AB262" s="46"/>
      <c r="AC262" s="46"/>
      <c r="AD262" s="46"/>
      <c r="AE262" s="46"/>
      <c r="AF262" s="46"/>
      <c r="AG262" s="46"/>
      <c r="AH262" s="46"/>
      <c r="AI262" s="46"/>
      <c r="AJ262" s="46"/>
      <c r="AK262" s="46"/>
      <c r="AL262" s="46"/>
      <c r="AM262" s="46"/>
      <c r="AN262" s="46"/>
      <c r="AO262" s="46"/>
      <c r="AP262" s="46"/>
      <c r="AQ262" s="46"/>
      <c r="AR262" s="46"/>
      <c r="AS262" s="46"/>
      <c r="AT262" s="46"/>
      <c r="AU262" s="46"/>
      <c r="AV262" s="46"/>
      <c r="AW262" s="46"/>
      <c r="AX262" s="46"/>
      <c r="AY262" s="46"/>
      <c r="AZ262" s="46"/>
      <c r="BA262" s="46"/>
      <c r="BB262" s="46"/>
      <c r="BC262" s="46"/>
      <c r="BD262" s="46"/>
      <c r="BE262" s="46"/>
      <c r="BF262" s="46"/>
      <c r="BG262" s="46"/>
      <c r="BH262" s="46"/>
      <c r="BI262" s="46"/>
      <c r="BJ262" s="46"/>
      <c r="BK262" s="46"/>
      <c r="BL262" s="46"/>
      <c r="BM262" s="46"/>
      <c r="BN262" s="46"/>
      <c r="BO262" s="46"/>
      <c r="BP262" s="46"/>
      <c r="BQ262" s="46"/>
      <c r="BR262" s="46"/>
      <c r="BS262" s="46"/>
      <c r="BT262" s="46"/>
      <c r="BU262" s="46"/>
      <c r="BV262" s="46"/>
      <c r="BW262" s="46"/>
      <c r="BX262" s="46"/>
      <c r="BY262" s="46"/>
      <c r="BZ262" s="46"/>
      <c r="CA262" s="46"/>
      <c r="CB262" s="46"/>
      <c r="CC262" s="46"/>
      <c r="CD262" s="46"/>
      <c r="CE262" s="46"/>
      <c r="CF262" s="46"/>
      <c r="CG262" s="46"/>
      <c r="CH262" s="46"/>
      <c r="CI262" s="46"/>
      <c r="CJ262" s="46"/>
      <c r="CK262" s="46"/>
      <c r="CL262" s="46"/>
      <c r="CM262" s="46"/>
      <c r="CN262" s="46"/>
      <c r="CO262" s="46"/>
      <c r="CP262" s="46"/>
      <c r="CQ262" s="46"/>
      <c r="CR262" s="46"/>
      <c r="CS262" s="46"/>
      <c r="CT262" s="46"/>
      <c r="CU262" s="46"/>
      <c r="CV262" s="46"/>
      <c r="CW262" s="46"/>
      <c r="CX262" s="46"/>
      <c r="CY262" s="46"/>
      <c r="CZ262" s="46"/>
      <c r="DA262" s="46"/>
      <c r="DB262" s="46"/>
      <c r="DC262" s="46"/>
      <c r="DD262" s="46"/>
      <c r="DE262" s="46"/>
      <c r="DF262" s="46"/>
      <c r="DG262" s="46"/>
      <c r="DH262" s="46"/>
      <c r="DI262" s="46"/>
      <c r="DJ262" s="46"/>
      <c r="DK262" s="46"/>
      <c r="DL262" s="46"/>
      <c r="DM262" s="46"/>
      <c r="DN262" s="46"/>
      <c r="DO262" s="46"/>
      <c r="DP262" s="46"/>
      <c r="DQ262" s="46"/>
      <c r="DR262" s="46"/>
      <c r="DS262" s="46"/>
      <c r="DT262" s="46"/>
      <c r="DU262" s="46"/>
      <c r="DV262" s="46"/>
      <c r="DW262" s="46"/>
      <c r="DX262" s="46"/>
      <c r="DY262" s="46"/>
      <c r="DZ262" s="46"/>
      <c r="EA262" s="46"/>
    </row>
    <row r="263" spans="2:131" ht="18" customHeight="1">
      <c r="B263" s="46"/>
      <c r="C263" s="46"/>
      <c r="D263" s="46"/>
      <c r="E263" s="46"/>
      <c r="F263" s="46"/>
      <c r="G263" s="46"/>
      <c r="H263" s="46"/>
      <c r="I263" s="46"/>
      <c r="J263" s="46"/>
      <c r="K263" s="46"/>
      <c r="L263" s="45"/>
      <c r="M263" s="46"/>
      <c r="N263" s="46"/>
      <c r="O263" s="46"/>
      <c r="P263" s="46"/>
      <c r="Q263" s="46"/>
      <c r="R263" s="46"/>
      <c r="S263" s="46"/>
      <c r="T263" s="46"/>
      <c r="U263" s="46"/>
      <c r="V263" s="46"/>
      <c r="W263" s="46"/>
      <c r="X263" s="46"/>
      <c r="Y263" s="46"/>
      <c r="Z263" s="46"/>
      <c r="AA263" s="46"/>
      <c r="AB263" s="46"/>
      <c r="AC263" s="46"/>
      <c r="AD263" s="46"/>
      <c r="AE263" s="46"/>
      <c r="AF263" s="46"/>
      <c r="AG263" s="46"/>
      <c r="AH263" s="46"/>
      <c r="AI263" s="46"/>
      <c r="AJ263" s="46"/>
      <c r="AK263" s="46"/>
      <c r="AL263" s="46"/>
      <c r="AM263" s="46"/>
      <c r="AN263" s="46"/>
      <c r="AO263" s="46"/>
      <c r="AP263" s="46"/>
      <c r="AQ263" s="46"/>
      <c r="AR263" s="46"/>
      <c r="AS263" s="46"/>
      <c r="AT263" s="46"/>
      <c r="AU263" s="46"/>
      <c r="AV263" s="46"/>
      <c r="AW263" s="46"/>
      <c r="AX263" s="46"/>
      <c r="AY263" s="46"/>
      <c r="AZ263" s="46"/>
      <c r="BA263" s="46"/>
      <c r="BB263" s="46"/>
      <c r="BC263" s="46"/>
      <c r="BD263" s="46"/>
      <c r="BE263" s="46"/>
      <c r="BF263" s="46"/>
      <c r="BG263" s="46"/>
      <c r="BH263" s="46"/>
      <c r="BI263" s="46"/>
      <c r="BJ263" s="46"/>
      <c r="BK263" s="46"/>
      <c r="BL263" s="46"/>
      <c r="BM263" s="46"/>
      <c r="BN263" s="46"/>
      <c r="BO263" s="46"/>
      <c r="BP263" s="46"/>
      <c r="BQ263" s="46"/>
      <c r="BR263" s="46"/>
      <c r="BS263" s="46"/>
      <c r="BT263" s="46"/>
      <c r="BU263" s="46"/>
      <c r="BV263" s="46"/>
      <c r="BW263" s="46"/>
      <c r="BX263" s="46"/>
      <c r="BY263" s="46"/>
      <c r="BZ263" s="46"/>
      <c r="CA263" s="46"/>
      <c r="CB263" s="46"/>
      <c r="CC263" s="46"/>
      <c r="CD263" s="46"/>
      <c r="CE263" s="46"/>
      <c r="CF263" s="46"/>
      <c r="CG263" s="46"/>
      <c r="CH263" s="46"/>
      <c r="CI263" s="46"/>
      <c r="CJ263" s="46"/>
      <c r="CK263" s="46"/>
      <c r="CL263" s="46"/>
      <c r="CM263" s="46"/>
      <c r="CN263" s="46"/>
      <c r="CO263" s="46"/>
      <c r="CP263" s="46"/>
      <c r="CQ263" s="46"/>
      <c r="CR263" s="46"/>
      <c r="CS263" s="46"/>
      <c r="CT263" s="46"/>
      <c r="CU263" s="46"/>
      <c r="CV263" s="46"/>
      <c r="CW263" s="46"/>
      <c r="CX263" s="46"/>
      <c r="CY263" s="46"/>
      <c r="CZ263" s="46"/>
      <c r="DA263" s="46"/>
      <c r="DB263" s="46"/>
      <c r="DC263" s="46"/>
      <c r="DD263" s="46"/>
      <c r="DE263" s="46"/>
      <c r="DF263" s="46"/>
      <c r="DG263" s="46"/>
      <c r="DH263" s="46"/>
      <c r="DI263" s="46"/>
      <c r="DJ263" s="46"/>
      <c r="DK263" s="46"/>
      <c r="DL263" s="46"/>
      <c r="DM263" s="46"/>
      <c r="DN263" s="46"/>
      <c r="DO263" s="46"/>
      <c r="DP263" s="46"/>
      <c r="DQ263" s="46"/>
      <c r="DR263" s="46"/>
      <c r="DS263" s="46"/>
      <c r="DT263" s="46"/>
      <c r="DU263" s="46"/>
      <c r="DV263" s="46"/>
      <c r="DW263" s="46"/>
      <c r="DX263" s="46"/>
      <c r="DY263" s="46"/>
      <c r="DZ263" s="46"/>
      <c r="EA263" s="46"/>
    </row>
    <row r="264" spans="2:131" ht="18" customHeight="1">
      <c r="B264" s="46"/>
      <c r="C264" s="46"/>
      <c r="D264" s="46"/>
      <c r="E264" s="46"/>
      <c r="F264" s="46"/>
      <c r="G264" s="46"/>
      <c r="H264" s="46"/>
      <c r="I264" s="46"/>
      <c r="J264" s="46"/>
      <c r="K264" s="46"/>
      <c r="L264" s="45"/>
      <c r="M264" s="46"/>
      <c r="N264" s="46"/>
      <c r="O264" s="46"/>
      <c r="P264" s="46"/>
      <c r="Q264" s="46"/>
      <c r="R264" s="46"/>
      <c r="S264" s="46"/>
      <c r="T264" s="46"/>
      <c r="U264" s="46"/>
      <c r="V264" s="46"/>
      <c r="W264" s="46"/>
      <c r="X264" s="46"/>
      <c r="Y264" s="46"/>
      <c r="Z264" s="46"/>
      <c r="AA264" s="46"/>
      <c r="AB264" s="46"/>
      <c r="AC264" s="46"/>
      <c r="AD264" s="46"/>
      <c r="AE264" s="46"/>
      <c r="AF264" s="46"/>
      <c r="AG264" s="46"/>
      <c r="AH264" s="46"/>
      <c r="AI264" s="46"/>
      <c r="AJ264" s="46"/>
      <c r="AK264" s="46"/>
      <c r="AL264" s="46"/>
      <c r="AM264" s="46"/>
      <c r="AN264" s="46"/>
      <c r="AO264" s="46"/>
      <c r="AP264" s="46"/>
      <c r="AQ264" s="46"/>
      <c r="AR264" s="46"/>
      <c r="AS264" s="46"/>
      <c r="AT264" s="46"/>
      <c r="AU264" s="46"/>
      <c r="AV264" s="46"/>
      <c r="AW264" s="46"/>
      <c r="AX264" s="46"/>
      <c r="AY264" s="46"/>
      <c r="AZ264" s="46"/>
      <c r="BA264" s="46"/>
      <c r="BB264" s="46"/>
      <c r="BC264" s="46"/>
      <c r="BD264" s="46"/>
      <c r="BE264" s="46"/>
      <c r="BF264" s="46"/>
      <c r="BG264" s="46"/>
      <c r="BH264" s="46"/>
      <c r="BI264" s="46"/>
      <c r="BJ264" s="46"/>
      <c r="BK264" s="46"/>
      <c r="BL264" s="46"/>
      <c r="BM264" s="46"/>
      <c r="BN264" s="46"/>
      <c r="BO264" s="46"/>
      <c r="BP264" s="46"/>
      <c r="BQ264" s="46"/>
      <c r="BR264" s="46"/>
      <c r="BS264" s="46"/>
      <c r="BT264" s="46"/>
      <c r="BU264" s="46"/>
      <c r="BV264" s="46"/>
      <c r="BW264" s="46"/>
      <c r="BX264" s="46"/>
      <c r="BY264" s="46"/>
      <c r="BZ264" s="46"/>
      <c r="CA264" s="46"/>
      <c r="CB264" s="46"/>
      <c r="CC264" s="46"/>
      <c r="CD264" s="46"/>
      <c r="CE264" s="46"/>
      <c r="CF264" s="46"/>
      <c r="CG264" s="46"/>
      <c r="CH264" s="46"/>
      <c r="CI264" s="46"/>
      <c r="CJ264" s="46"/>
      <c r="CK264" s="46"/>
      <c r="CL264" s="46"/>
      <c r="CM264" s="46"/>
      <c r="CN264" s="46"/>
      <c r="CO264" s="46"/>
      <c r="CP264" s="46"/>
      <c r="CQ264" s="46"/>
      <c r="CR264" s="46"/>
      <c r="CS264" s="46"/>
      <c r="CT264" s="46"/>
      <c r="CU264" s="46"/>
      <c r="CV264" s="46"/>
      <c r="CW264" s="46"/>
      <c r="CX264" s="46"/>
      <c r="CY264" s="46"/>
      <c r="CZ264" s="46"/>
      <c r="DA264" s="46"/>
      <c r="DB264" s="46"/>
      <c r="DC264" s="46"/>
      <c r="DD264" s="46"/>
      <c r="DE264" s="46"/>
      <c r="DF264" s="46"/>
      <c r="DG264" s="46"/>
      <c r="DH264" s="46"/>
      <c r="DI264" s="46"/>
      <c r="DJ264" s="46"/>
      <c r="DK264" s="46"/>
      <c r="DL264" s="46"/>
      <c r="DM264" s="46"/>
      <c r="DN264" s="46"/>
      <c r="DO264" s="46"/>
      <c r="DP264" s="46"/>
      <c r="DQ264" s="46"/>
      <c r="DR264" s="46"/>
      <c r="DS264" s="46"/>
      <c r="DT264" s="46"/>
      <c r="DU264" s="46"/>
      <c r="DV264" s="46"/>
      <c r="DW264" s="46"/>
      <c r="DX264" s="46"/>
      <c r="DY264" s="46"/>
      <c r="DZ264" s="46"/>
      <c r="EA264" s="46"/>
    </row>
    <row r="265" spans="2:131" ht="18" customHeight="1">
      <c r="B265" s="46"/>
      <c r="C265" s="46"/>
      <c r="D265" s="46"/>
      <c r="E265" s="46"/>
      <c r="F265" s="46"/>
      <c r="G265" s="46"/>
      <c r="H265" s="46"/>
      <c r="I265" s="46"/>
      <c r="J265" s="46"/>
      <c r="K265" s="46"/>
      <c r="L265" s="45"/>
      <c r="M265" s="46"/>
      <c r="N265" s="46"/>
      <c r="O265" s="46"/>
      <c r="P265" s="46"/>
      <c r="Q265" s="46"/>
      <c r="R265" s="46"/>
      <c r="S265" s="46"/>
      <c r="T265" s="46"/>
      <c r="U265" s="46"/>
      <c r="V265" s="46"/>
      <c r="W265" s="46"/>
      <c r="X265" s="46"/>
      <c r="Y265" s="46"/>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c r="BC265" s="46"/>
      <c r="BD265" s="46"/>
      <c r="BE265" s="46"/>
      <c r="BF265" s="46"/>
      <c r="BG265" s="46"/>
      <c r="BH265" s="46"/>
      <c r="BI265" s="46"/>
      <c r="BJ265" s="46"/>
      <c r="BK265" s="46"/>
      <c r="BL265" s="46"/>
      <c r="BM265" s="46"/>
      <c r="BN265" s="46"/>
      <c r="BO265" s="46"/>
      <c r="BP265" s="46"/>
      <c r="BQ265" s="46"/>
      <c r="BR265" s="46"/>
      <c r="BS265" s="46"/>
      <c r="BT265" s="46"/>
      <c r="BU265" s="46"/>
      <c r="BV265" s="46"/>
      <c r="BW265" s="46"/>
      <c r="BX265" s="46"/>
      <c r="BY265" s="46"/>
      <c r="BZ265" s="46"/>
      <c r="CA265" s="46"/>
      <c r="CB265" s="46"/>
      <c r="CC265" s="46"/>
      <c r="CD265" s="46"/>
      <c r="CE265" s="46"/>
      <c r="CF265" s="46"/>
      <c r="CG265" s="46"/>
      <c r="CH265" s="46"/>
      <c r="CI265" s="46"/>
      <c r="CJ265" s="46"/>
      <c r="CK265" s="46"/>
      <c r="CL265" s="46"/>
      <c r="CM265" s="46"/>
      <c r="CN265" s="46"/>
      <c r="CO265" s="46"/>
      <c r="CP265" s="46"/>
      <c r="CQ265" s="46"/>
      <c r="CR265" s="46"/>
      <c r="CS265" s="46"/>
      <c r="CT265" s="46"/>
      <c r="CU265" s="46"/>
      <c r="CV265" s="46"/>
      <c r="CW265" s="46"/>
      <c r="CX265" s="46"/>
      <c r="CY265" s="46"/>
      <c r="CZ265" s="46"/>
      <c r="DA265" s="46"/>
      <c r="DB265" s="46"/>
      <c r="DC265" s="46"/>
      <c r="DD265" s="46"/>
      <c r="DE265" s="46"/>
      <c r="DF265" s="46"/>
      <c r="DG265" s="46"/>
      <c r="DH265" s="46"/>
      <c r="DI265" s="46"/>
      <c r="DJ265" s="46"/>
      <c r="DK265" s="46"/>
      <c r="DL265" s="46"/>
      <c r="DM265" s="46"/>
      <c r="DN265" s="46"/>
      <c r="DO265" s="46"/>
      <c r="DP265" s="46"/>
      <c r="DQ265" s="46"/>
      <c r="DR265" s="46"/>
      <c r="DS265" s="46"/>
      <c r="DT265" s="46"/>
      <c r="DU265" s="46"/>
      <c r="DV265" s="46"/>
      <c r="DW265" s="46"/>
      <c r="DX265" s="46"/>
      <c r="DY265" s="46"/>
      <c r="DZ265" s="46"/>
      <c r="EA265" s="46"/>
    </row>
    <row r="266" spans="2:131" ht="18" customHeight="1">
      <c r="B266" s="46"/>
      <c r="C266" s="46"/>
      <c r="D266" s="46"/>
      <c r="E266" s="46"/>
      <c r="F266" s="46"/>
      <c r="G266" s="46"/>
      <c r="H266" s="46"/>
      <c r="I266" s="46"/>
      <c r="J266" s="46"/>
      <c r="K266" s="46"/>
      <c r="L266" s="45"/>
      <c r="M266" s="46"/>
      <c r="N266" s="46"/>
      <c r="O266" s="46"/>
      <c r="P266" s="46"/>
      <c r="Q266" s="46"/>
      <c r="R266" s="46"/>
      <c r="S266" s="46"/>
      <c r="T266" s="46"/>
      <c r="U266" s="46"/>
      <c r="V266" s="46"/>
      <c r="W266" s="46"/>
      <c r="X266" s="46"/>
      <c r="Y266" s="46"/>
      <c r="Z266" s="46"/>
      <c r="AA266" s="46"/>
      <c r="AB266" s="46"/>
      <c r="AC266" s="46"/>
      <c r="AD266" s="46"/>
      <c r="AE266" s="46"/>
      <c r="AF266" s="46"/>
      <c r="AG266" s="46"/>
      <c r="AH266" s="46"/>
      <c r="AI266" s="46"/>
      <c r="AJ266" s="46"/>
      <c r="AK266" s="46"/>
      <c r="AL266" s="46"/>
      <c r="AM266" s="46"/>
      <c r="AN266" s="46"/>
      <c r="AO266" s="46"/>
      <c r="AP266" s="46"/>
      <c r="AQ266" s="46"/>
      <c r="AR266" s="46"/>
      <c r="AS266" s="46"/>
      <c r="AT266" s="46"/>
      <c r="AU266" s="46"/>
      <c r="AV266" s="46"/>
      <c r="AW266" s="46"/>
      <c r="AX266" s="46"/>
      <c r="AY266" s="46"/>
      <c r="AZ266" s="46"/>
      <c r="BA266" s="46"/>
      <c r="BB266" s="46"/>
      <c r="BC266" s="46"/>
      <c r="BD266" s="46"/>
      <c r="BE266" s="46"/>
      <c r="BF266" s="46"/>
      <c r="BG266" s="46"/>
      <c r="BH266" s="46"/>
      <c r="BI266" s="46"/>
      <c r="BJ266" s="46"/>
      <c r="BK266" s="46"/>
      <c r="BL266" s="46"/>
      <c r="BM266" s="46"/>
      <c r="BN266" s="46"/>
      <c r="BO266" s="46"/>
      <c r="BP266" s="46"/>
      <c r="BQ266" s="46"/>
      <c r="BR266" s="46"/>
      <c r="BS266" s="46"/>
      <c r="BT266" s="46"/>
      <c r="BU266" s="46"/>
      <c r="BV266" s="46"/>
      <c r="BW266" s="46"/>
      <c r="BX266" s="46"/>
      <c r="BY266" s="46"/>
      <c r="BZ266" s="46"/>
      <c r="CA266" s="46"/>
      <c r="CB266" s="46"/>
      <c r="CC266" s="46"/>
      <c r="CD266" s="46"/>
      <c r="CE266" s="46"/>
      <c r="CF266" s="46"/>
      <c r="CG266" s="46"/>
      <c r="CH266" s="46"/>
      <c r="CI266" s="46"/>
      <c r="CJ266" s="46"/>
      <c r="CK266" s="46"/>
      <c r="CL266" s="46"/>
      <c r="CM266" s="46"/>
      <c r="CN266" s="46"/>
      <c r="CO266" s="46"/>
      <c r="CP266" s="46"/>
      <c r="CQ266" s="46"/>
      <c r="CR266" s="46"/>
      <c r="CS266" s="46"/>
      <c r="CT266" s="46"/>
      <c r="CU266" s="46"/>
      <c r="CV266" s="46"/>
      <c r="CW266" s="46"/>
      <c r="CX266" s="46"/>
      <c r="CY266" s="46"/>
      <c r="CZ266" s="46"/>
      <c r="DA266" s="46"/>
      <c r="DB266" s="46"/>
      <c r="DC266" s="46"/>
      <c r="DD266" s="46"/>
      <c r="DE266" s="46"/>
      <c r="DF266" s="46"/>
      <c r="DG266" s="46"/>
      <c r="DH266" s="46"/>
      <c r="DI266" s="46"/>
      <c r="DJ266" s="46"/>
      <c r="DK266" s="46"/>
      <c r="DL266" s="46"/>
      <c r="DM266" s="46"/>
      <c r="DN266" s="46"/>
      <c r="DO266" s="46"/>
      <c r="DP266" s="46"/>
      <c r="DQ266" s="46"/>
      <c r="DR266" s="46"/>
      <c r="DS266" s="46"/>
      <c r="DT266" s="46"/>
      <c r="DU266" s="46"/>
      <c r="DV266" s="46"/>
      <c r="DW266" s="46"/>
      <c r="DX266" s="46"/>
      <c r="DY266" s="46"/>
      <c r="DZ266" s="46"/>
      <c r="EA266" s="46"/>
    </row>
    <row r="267" spans="2:131" ht="18" customHeight="1">
      <c r="B267" s="45"/>
      <c r="C267" s="45"/>
      <c r="D267" s="46"/>
      <c r="E267" s="46"/>
      <c r="F267" s="46"/>
      <c r="G267" s="46"/>
      <c r="H267" s="46"/>
      <c r="I267" s="46"/>
      <c r="J267" s="46"/>
      <c r="K267" s="46"/>
      <c r="L267" s="45"/>
      <c r="M267" s="46"/>
      <c r="N267" s="46"/>
      <c r="O267" s="46"/>
      <c r="P267" s="46"/>
      <c r="Q267" s="46"/>
      <c r="R267" s="46"/>
      <c r="S267" s="46"/>
      <c r="T267" s="46"/>
      <c r="U267" s="46"/>
      <c r="V267" s="46"/>
      <c r="W267" s="46"/>
      <c r="X267" s="46"/>
      <c r="Y267" s="46"/>
      <c r="Z267" s="46"/>
      <c r="AA267" s="46"/>
      <c r="AB267" s="46"/>
      <c r="AC267" s="46"/>
      <c r="AD267" s="46"/>
      <c r="AE267" s="46"/>
      <c r="AF267" s="46"/>
      <c r="AG267" s="46"/>
      <c r="AH267" s="46"/>
      <c r="AI267" s="46"/>
      <c r="AJ267" s="46"/>
      <c r="AK267" s="46"/>
      <c r="AL267" s="46"/>
      <c r="AM267" s="46"/>
      <c r="AN267" s="46"/>
      <c r="AO267" s="46"/>
      <c r="AP267" s="46"/>
      <c r="AQ267" s="46"/>
      <c r="AR267" s="46"/>
      <c r="AS267" s="46"/>
      <c r="AT267" s="46"/>
      <c r="AU267" s="46"/>
      <c r="AV267" s="46"/>
      <c r="AW267" s="46"/>
      <c r="AX267" s="46"/>
      <c r="AY267" s="46"/>
      <c r="AZ267" s="46"/>
      <c r="BA267" s="46"/>
      <c r="BB267" s="46"/>
      <c r="BC267" s="46"/>
      <c r="BD267" s="46"/>
      <c r="BE267" s="46"/>
      <c r="BF267" s="46"/>
      <c r="BG267" s="46"/>
      <c r="BH267" s="46"/>
      <c r="BI267" s="46"/>
      <c r="BJ267" s="46"/>
      <c r="BK267" s="46"/>
      <c r="BL267" s="46"/>
      <c r="BM267" s="46"/>
      <c r="BN267" s="46"/>
      <c r="BO267" s="46"/>
      <c r="BP267" s="46"/>
      <c r="BQ267" s="46"/>
      <c r="BR267" s="46"/>
      <c r="BS267" s="46"/>
      <c r="BT267" s="46"/>
      <c r="BU267" s="46"/>
      <c r="BV267" s="46"/>
      <c r="BW267" s="46"/>
      <c r="BX267" s="46"/>
      <c r="BY267" s="46"/>
      <c r="BZ267" s="46"/>
      <c r="CA267" s="46"/>
      <c r="CB267" s="46"/>
      <c r="CC267" s="46"/>
      <c r="CD267" s="46"/>
      <c r="CE267" s="46"/>
      <c r="CF267" s="46"/>
      <c r="CG267" s="46"/>
      <c r="CH267" s="46"/>
      <c r="CI267" s="46"/>
      <c r="CJ267" s="46"/>
      <c r="CK267" s="46"/>
      <c r="CL267" s="46"/>
      <c r="CM267" s="46"/>
      <c r="CN267" s="46"/>
      <c r="CO267" s="46"/>
      <c r="CP267" s="46"/>
      <c r="CQ267" s="46"/>
      <c r="CR267" s="46"/>
      <c r="CS267" s="46"/>
      <c r="CT267" s="46"/>
      <c r="CU267" s="46"/>
      <c r="CV267" s="46"/>
      <c r="CW267" s="46"/>
      <c r="CX267" s="46"/>
      <c r="CY267" s="46"/>
      <c r="CZ267" s="46"/>
      <c r="DA267" s="46"/>
      <c r="DB267" s="46"/>
      <c r="DC267" s="46"/>
      <c r="DD267" s="46"/>
      <c r="DE267" s="46"/>
      <c r="DF267" s="46"/>
      <c r="DG267" s="46"/>
      <c r="DH267" s="46"/>
      <c r="DI267" s="46"/>
      <c r="DJ267" s="46"/>
      <c r="DK267" s="46"/>
      <c r="DL267" s="46"/>
      <c r="DM267" s="46"/>
      <c r="DN267" s="46"/>
      <c r="DO267" s="46"/>
      <c r="DP267" s="46"/>
      <c r="DQ267" s="46"/>
      <c r="DR267" s="46"/>
      <c r="DS267" s="46"/>
      <c r="DT267" s="46"/>
      <c r="DU267" s="46"/>
      <c r="DV267" s="46"/>
      <c r="DW267" s="46"/>
      <c r="DX267" s="46"/>
      <c r="DY267" s="46"/>
      <c r="DZ267" s="46"/>
      <c r="EA267" s="46"/>
    </row>
    <row r="268" spans="2:131" ht="18" customHeight="1">
      <c r="B268" s="46"/>
      <c r="C268" s="46"/>
      <c r="D268" s="46"/>
      <c r="E268" s="46"/>
      <c r="F268" s="46"/>
      <c r="G268" s="46"/>
      <c r="H268" s="46"/>
      <c r="I268" s="46"/>
      <c r="J268" s="46"/>
      <c r="K268" s="46"/>
      <c r="L268" s="45"/>
      <c r="M268" s="46"/>
      <c r="N268" s="46"/>
      <c r="O268" s="46"/>
      <c r="P268" s="46"/>
      <c r="Q268" s="46"/>
      <c r="R268" s="46"/>
      <c r="S268" s="46"/>
      <c r="T268" s="46"/>
      <c r="U268" s="46"/>
      <c r="V268" s="46"/>
      <c r="W268" s="46"/>
      <c r="X268" s="46"/>
      <c r="Y268" s="46"/>
      <c r="Z268" s="46"/>
      <c r="AA268" s="46"/>
      <c r="AB268" s="46"/>
      <c r="AC268" s="46"/>
      <c r="AD268" s="46"/>
      <c r="AE268" s="46"/>
      <c r="AF268" s="46"/>
      <c r="AG268" s="46"/>
      <c r="AH268" s="46"/>
      <c r="AI268" s="46"/>
      <c r="AJ268" s="46"/>
      <c r="AK268" s="46"/>
      <c r="AL268" s="46"/>
      <c r="AM268" s="46"/>
      <c r="AN268" s="46"/>
      <c r="AO268" s="46"/>
      <c r="AP268" s="46"/>
      <c r="AQ268" s="46"/>
      <c r="AR268" s="46"/>
      <c r="AS268" s="46"/>
      <c r="AT268" s="46"/>
      <c r="AU268" s="46"/>
      <c r="AV268" s="46"/>
      <c r="AW268" s="46"/>
      <c r="AX268" s="46"/>
      <c r="AY268" s="46"/>
      <c r="AZ268" s="46"/>
      <c r="BA268" s="46"/>
      <c r="BB268" s="46"/>
      <c r="BC268" s="46"/>
      <c r="BD268" s="46"/>
      <c r="BE268" s="46"/>
      <c r="BF268" s="46"/>
      <c r="BG268" s="46"/>
      <c r="BH268" s="46"/>
      <c r="BI268" s="46"/>
      <c r="BJ268" s="46"/>
      <c r="BK268" s="46"/>
      <c r="BL268" s="46"/>
      <c r="BM268" s="46"/>
      <c r="BN268" s="46"/>
      <c r="BO268" s="46"/>
      <c r="BP268" s="46"/>
      <c r="BQ268" s="46"/>
      <c r="BR268" s="46"/>
      <c r="BS268" s="46"/>
      <c r="BT268" s="46"/>
      <c r="BU268" s="46"/>
      <c r="BV268" s="46"/>
      <c r="BW268" s="46"/>
      <c r="BX268" s="46"/>
      <c r="BY268" s="46"/>
      <c r="BZ268" s="46"/>
      <c r="CA268" s="46"/>
      <c r="CB268" s="46"/>
      <c r="CC268" s="46"/>
      <c r="CD268" s="46"/>
      <c r="CE268" s="46"/>
      <c r="CF268" s="46"/>
      <c r="CG268" s="46"/>
      <c r="CH268" s="46"/>
      <c r="CI268" s="46"/>
      <c r="CJ268" s="46"/>
      <c r="CK268" s="46"/>
      <c r="CL268" s="46"/>
      <c r="CM268" s="46"/>
      <c r="CN268" s="46"/>
      <c r="CO268" s="46"/>
      <c r="CP268" s="46"/>
      <c r="CQ268" s="46"/>
      <c r="CR268" s="46"/>
      <c r="CS268" s="46"/>
      <c r="CT268" s="46"/>
      <c r="CU268" s="46"/>
      <c r="CV268" s="46"/>
      <c r="CW268" s="46"/>
      <c r="CX268" s="46"/>
      <c r="CY268" s="46"/>
      <c r="CZ268" s="46"/>
      <c r="DA268" s="46"/>
      <c r="DB268" s="46"/>
      <c r="DC268" s="46"/>
      <c r="DD268" s="46"/>
      <c r="DE268" s="46"/>
      <c r="DF268" s="46"/>
      <c r="DG268" s="46"/>
      <c r="DH268" s="46"/>
      <c r="DI268" s="46"/>
      <c r="DJ268" s="46"/>
      <c r="DK268" s="46"/>
      <c r="DL268" s="46"/>
      <c r="DM268" s="46"/>
      <c r="DN268" s="46"/>
      <c r="DO268" s="46"/>
      <c r="DP268" s="46"/>
      <c r="DQ268" s="46"/>
      <c r="DR268" s="46"/>
      <c r="DS268" s="46"/>
      <c r="DT268" s="46"/>
      <c r="DU268" s="46"/>
      <c r="DV268" s="46"/>
      <c r="DW268" s="46"/>
      <c r="DX268" s="46"/>
      <c r="DY268" s="46"/>
      <c r="DZ268" s="46"/>
      <c r="EA268" s="46"/>
    </row>
    <row r="269" spans="2:131" ht="18" customHeight="1">
      <c r="B269" s="46"/>
      <c r="C269" s="46"/>
      <c r="D269" s="46"/>
      <c r="E269" s="46"/>
      <c r="F269" s="46"/>
      <c r="G269" s="46"/>
      <c r="H269" s="46"/>
      <c r="I269" s="46"/>
      <c r="J269" s="46"/>
      <c r="K269" s="46"/>
      <c r="L269" s="45"/>
      <c r="M269" s="46"/>
      <c r="N269" s="46"/>
      <c r="O269" s="46"/>
      <c r="P269" s="46"/>
      <c r="Q269" s="46"/>
      <c r="R269" s="46"/>
      <c r="S269" s="46"/>
      <c r="T269" s="46"/>
      <c r="U269" s="46"/>
      <c r="V269" s="46"/>
      <c r="W269" s="46"/>
      <c r="X269" s="46"/>
      <c r="Y269" s="46"/>
      <c r="Z269" s="46"/>
      <c r="AA269" s="46"/>
      <c r="AB269" s="46"/>
      <c r="AC269" s="46"/>
      <c r="AD269" s="46"/>
      <c r="AE269" s="46"/>
      <c r="AF269" s="46"/>
      <c r="AG269" s="46"/>
      <c r="AH269" s="46"/>
      <c r="AI269" s="46"/>
      <c r="AJ269" s="46"/>
      <c r="AK269" s="46"/>
      <c r="AL269" s="46"/>
      <c r="AM269" s="46"/>
      <c r="AN269" s="46"/>
      <c r="AO269" s="46"/>
      <c r="AP269" s="46"/>
      <c r="AQ269" s="46"/>
      <c r="AR269" s="46"/>
      <c r="AS269" s="46"/>
      <c r="AT269" s="46"/>
      <c r="AU269" s="46"/>
      <c r="AV269" s="46"/>
      <c r="AW269" s="46"/>
      <c r="AX269" s="46"/>
      <c r="AY269" s="46"/>
      <c r="AZ269" s="46"/>
      <c r="BA269" s="46"/>
      <c r="BB269" s="46"/>
      <c r="BC269" s="46"/>
      <c r="BD269" s="46"/>
      <c r="BE269" s="46"/>
      <c r="BF269" s="46"/>
      <c r="BG269" s="46"/>
      <c r="BH269" s="46"/>
      <c r="BI269" s="46"/>
      <c r="BJ269" s="46"/>
      <c r="BK269" s="46"/>
      <c r="BL269" s="46"/>
      <c r="BM269" s="46"/>
      <c r="BN269" s="46"/>
      <c r="BO269" s="46"/>
      <c r="BP269" s="46"/>
      <c r="BQ269" s="46"/>
      <c r="BR269" s="46"/>
      <c r="BS269" s="46"/>
      <c r="BT269" s="46"/>
      <c r="BU269" s="46"/>
      <c r="BV269" s="46"/>
      <c r="BW269" s="46"/>
      <c r="BX269" s="46"/>
      <c r="BY269" s="46"/>
      <c r="BZ269" s="46"/>
      <c r="CA269" s="46"/>
      <c r="CB269" s="46"/>
      <c r="CC269" s="46"/>
      <c r="CD269" s="46"/>
      <c r="CE269" s="46"/>
      <c r="CF269" s="46"/>
      <c r="CG269" s="46"/>
      <c r="CH269" s="46"/>
      <c r="CI269" s="46"/>
      <c r="CJ269" s="46"/>
      <c r="CK269" s="46"/>
      <c r="CL269" s="46"/>
      <c r="CM269" s="46"/>
      <c r="CN269" s="46"/>
      <c r="CO269" s="46"/>
      <c r="CP269" s="46"/>
      <c r="CQ269" s="46"/>
      <c r="CR269" s="46"/>
      <c r="CS269" s="46"/>
      <c r="CT269" s="46"/>
      <c r="CU269" s="46"/>
      <c r="CV269" s="46"/>
      <c r="CW269" s="46"/>
      <c r="CX269" s="46"/>
      <c r="CY269" s="46"/>
      <c r="CZ269" s="46"/>
      <c r="DA269" s="46"/>
      <c r="DB269" s="46"/>
      <c r="DC269" s="46"/>
      <c r="DD269" s="46"/>
      <c r="DE269" s="46"/>
      <c r="DF269" s="46"/>
      <c r="DG269" s="46"/>
      <c r="DH269" s="46"/>
      <c r="DI269" s="46"/>
      <c r="DJ269" s="46"/>
      <c r="DK269" s="46"/>
      <c r="DL269" s="46"/>
      <c r="DM269" s="46"/>
      <c r="DN269" s="46"/>
      <c r="DO269" s="46"/>
      <c r="DP269" s="46"/>
      <c r="DQ269" s="46"/>
      <c r="DR269" s="46"/>
      <c r="DS269" s="46"/>
      <c r="DT269" s="46"/>
      <c r="DU269" s="46"/>
      <c r="DV269" s="46"/>
      <c r="DW269" s="46"/>
      <c r="DX269" s="46"/>
      <c r="DY269" s="46"/>
      <c r="DZ269" s="46"/>
      <c r="EA269" s="46"/>
    </row>
    <row r="270" spans="2:131" ht="18" customHeight="1">
      <c r="B270" s="46"/>
      <c r="C270" s="46"/>
      <c r="D270" s="46"/>
      <c r="E270" s="46"/>
      <c r="F270" s="46"/>
      <c r="G270" s="46"/>
      <c r="H270" s="46"/>
      <c r="I270" s="46"/>
      <c r="J270" s="46"/>
      <c r="K270" s="46"/>
      <c r="L270" s="45"/>
      <c r="M270" s="46"/>
      <c r="N270" s="46"/>
      <c r="O270" s="46"/>
      <c r="P270" s="46"/>
      <c r="Q270" s="46"/>
      <c r="R270" s="46"/>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c r="BC270" s="46"/>
      <c r="BD270" s="46"/>
      <c r="BE270" s="46"/>
      <c r="BF270" s="46"/>
      <c r="BG270" s="46"/>
      <c r="BH270" s="46"/>
      <c r="BI270" s="46"/>
      <c r="BJ270" s="46"/>
      <c r="BK270" s="46"/>
      <c r="BL270" s="46"/>
      <c r="BM270" s="46"/>
      <c r="BN270" s="46"/>
      <c r="BO270" s="46"/>
      <c r="BP270" s="46"/>
      <c r="BQ270" s="46"/>
      <c r="BR270" s="46"/>
      <c r="BS270" s="46"/>
      <c r="BT270" s="46"/>
      <c r="BU270" s="46"/>
      <c r="BV270" s="46"/>
      <c r="BW270" s="46"/>
      <c r="BX270" s="46"/>
      <c r="BY270" s="46"/>
      <c r="BZ270" s="46"/>
      <c r="CA270" s="46"/>
      <c r="CB270" s="46"/>
      <c r="CC270" s="46"/>
      <c r="CD270" s="46"/>
      <c r="CE270" s="46"/>
      <c r="CF270" s="46"/>
      <c r="CG270" s="46"/>
      <c r="CH270" s="46"/>
      <c r="CI270" s="46"/>
      <c r="CJ270" s="46"/>
      <c r="CK270" s="46"/>
      <c r="CL270" s="46"/>
      <c r="CM270" s="46"/>
      <c r="CN270" s="46"/>
      <c r="CO270" s="46"/>
      <c r="CP270" s="46"/>
      <c r="CQ270" s="46"/>
      <c r="CR270" s="46"/>
      <c r="CS270" s="46"/>
      <c r="CT270" s="46"/>
      <c r="CU270" s="46"/>
      <c r="CV270" s="46"/>
      <c r="CW270" s="46"/>
      <c r="CX270" s="46"/>
      <c r="CY270" s="46"/>
      <c r="CZ270" s="46"/>
      <c r="DA270" s="46"/>
      <c r="DB270" s="46"/>
      <c r="DC270" s="46"/>
      <c r="DD270" s="46"/>
      <c r="DE270" s="46"/>
      <c r="DF270" s="46"/>
      <c r="DG270" s="46"/>
      <c r="DH270" s="46"/>
      <c r="DI270" s="46"/>
      <c r="DJ270" s="46"/>
      <c r="DK270" s="46"/>
      <c r="DL270" s="46"/>
      <c r="DM270" s="46"/>
      <c r="DN270" s="46"/>
      <c r="DO270" s="46"/>
      <c r="DP270" s="46"/>
      <c r="DQ270" s="46"/>
      <c r="DR270" s="46"/>
      <c r="DS270" s="46"/>
      <c r="DT270" s="46"/>
      <c r="DU270" s="46"/>
      <c r="DV270" s="46"/>
      <c r="DW270" s="46"/>
      <c r="DX270" s="46"/>
      <c r="DY270" s="46"/>
      <c r="DZ270" s="46"/>
      <c r="EA270" s="46"/>
    </row>
    <row r="271" spans="2:131" ht="18" customHeight="1">
      <c r="B271" s="46"/>
      <c r="C271" s="46"/>
      <c r="D271" s="46"/>
      <c r="E271" s="46"/>
      <c r="F271" s="46"/>
      <c r="G271" s="46"/>
      <c r="H271" s="46"/>
      <c r="I271" s="46"/>
      <c r="J271" s="46"/>
      <c r="K271" s="46"/>
      <c r="L271" s="45"/>
      <c r="M271" s="46"/>
      <c r="N271" s="46"/>
      <c r="O271" s="46"/>
      <c r="P271" s="46"/>
      <c r="Q271" s="46"/>
      <c r="R271" s="46"/>
      <c r="S271" s="46"/>
      <c r="T271" s="46"/>
      <c r="U271" s="46"/>
      <c r="V271" s="46"/>
      <c r="W271" s="46"/>
      <c r="X271" s="46"/>
      <c r="Y271" s="46"/>
      <c r="Z271" s="46"/>
      <c r="AA271" s="46"/>
      <c r="AB271" s="46"/>
      <c r="AC271" s="46"/>
      <c r="AD271" s="46"/>
      <c r="AE271" s="46"/>
      <c r="AF271" s="46"/>
      <c r="AG271" s="46"/>
      <c r="AH271" s="46"/>
      <c r="AI271" s="46"/>
      <c r="AJ271" s="46"/>
      <c r="AK271" s="46"/>
      <c r="AL271" s="46"/>
      <c r="AM271" s="46"/>
      <c r="AN271" s="46"/>
      <c r="AO271" s="46"/>
      <c r="AP271" s="46"/>
      <c r="AQ271" s="46"/>
      <c r="AR271" s="46"/>
      <c r="AS271" s="46"/>
      <c r="AT271" s="46"/>
      <c r="AU271" s="46"/>
      <c r="AV271" s="46"/>
      <c r="AW271" s="46"/>
      <c r="AX271" s="46"/>
      <c r="AY271" s="46"/>
      <c r="AZ271" s="46"/>
      <c r="BA271" s="46"/>
      <c r="BB271" s="46"/>
      <c r="BC271" s="46"/>
      <c r="BD271" s="46"/>
      <c r="BE271" s="46"/>
      <c r="BF271" s="46"/>
      <c r="BG271" s="46"/>
      <c r="BH271" s="46"/>
      <c r="BI271" s="46"/>
      <c r="BJ271" s="46"/>
      <c r="BK271" s="46"/>
      <c r="BL271" s="46"/>
      <c r="BM271" s="46"/>
      <c r="BN271" s="46"/>
      <c r="BO271" s="46"/>
      <c r="BP271" s="46"/>
      <c r="BQ271" s="46"/>
      <c r="BR271" s="46"/>
      <c r="BS271" s="46"/>
      <c r="BT271" s="46"/>
      <c r="BU271" s="46"/>
      <c r="BV271" s="46"/>
      <c r="BW271" s="46"/>
      <c r="BX271" s="46"/>
      <c r="BY271" s="46"/>
      <c r="BZ271" s="46"/>
      <c r="CA271" s="46"/>
      <c r="CB271" s="46"/>
      <c r="CC271" s="46"/>
      <c r="CD271" s="46"/>
      <c r="CE271" s="46"/>
      <c r="CF271" s="46"/>
      <c r="CG271" s="46"/>
      <c r="CH271" s="46"/>
      <c r="CI271" s="46"/>
      <c r="CJ271" s="46"/>
      <c r="CK271" s="46"/>
      <c r="CL271" s="46"/>
      <c r="CM271" s="46"/>
      <c r="CN271" s="46"/>
      <c r="CO271" s="46"/>
      <c r="CP271" s="46"/>
      <c r="CQ271" s="46"/>
      <c r="CR271" s="46"/>
      <c r="CS271" s="46"/>
      <c r="CT271" s="46"/>
      <c r="CU271" s="46"/>
      <c r="CV271" s="46"/>
      <c r="CW271" s="46"/>
      <c r="CX271" s="46"/>
      <c r="CY271" s="46"/>
      <c r="CZ271" s="46"/>
      <c r="DA271" s="46"/>
      <c r="DB271" s="46"/>
      <c r="DC271" s="46"/>
      <c r="DD271" s="46"/>
      <c r="DE271" s="46"/>
      <c r="DF271" s="46"/>
      <c r="DG271" s="46"/>
      <c r="DH271" s="46"/>
      <c r="DI271" s="46"/>
      <c r="DJ271" s="46"/>
      <c r="DK271" s="46"/>
      <c r="DL271" s="46"/>
      <c r="DM271" s="46"/>
      <c r="DN271" s="46"/>
      <c r="DO271" s="46"/>
      <c r="DP271" s="46"/>
      <c r="DQ271" s="46"/>
      <c r="DR271" s="46"/>
      <c r="DS271" s="46"/>
      <c r="DT271" s="46"/>
      <c r="DU271" s="46"/>
      <c r="DV271" s="46"/>
      <c r="DW271" s="46"/>
      <c r="DX271" s="46"/>
      <c r="DY271" s="46"/>
      <c r="DZ271" s="46"/>
      <c r="EA271" s="46"/>
    </row>
    <row r="272" spans="2:131" ht="18" customHeight="1">
      <c r="B272" s="46"/>
      <c r="C272" s="46"/>
      <c r="D272" s="46"/>
      <c r="E272" s="46"/>
      <c r="F272" s="46"/>
      <c r="G272" s="46"/>
      <c r="H272" s="46"/>
      <c r="I272" s="46"/>
      <c r="J272" s="46"/>
      <c r="K272" s="46"/>
      <c r="L272" s="45"/>
      <c r="M272" s="46"/>
      <c r="N272" s="46"/>
      <c r="O272" s="46"/>
      <c r="P272" s="46"/>
      <c r="Q272" s="46"/>
      <c r="R272" s="46"/>
      <c r="S272" s="46"/>
      <c r="T272" s="46"/>
      <c r="U272" s="46"/>
      <c r="V272" s="46"/>
      <c r="W272" s="46"/>
      <c r="X272" s="46"/>
      <c r="Y272" s="46"/>
      <c r="Z272" s="46"/>
      <c r="AA272" s="46"/>
      <c r="AB272" s="46"/>
      <c r="AC272" s="46"/>
      <c r="AD272" s="46"/>
      <c r="AE272" s="46"/>
      <c r="AF272" s="46"/>
      <c r="AG272" s="46"/>
      <c r="AH272" s="46"/>
      <c r="AI272" s="46"/>
      <c r="AJ272" s="46"/>
      <c r="AK272" s="46"/>
      <c r="AL272" s="46"/>
      <c r="AM272" s="46"/>
      <c r="AN272" s="46"/>
      <c r="AO272" s="46"/>
      <c r="AP272" s="46"/>
      <c r="AQ272" s="46"/>
      <c r="AR272" s="46"/>
      <c r="AS272" s="46"/>
      <c r="AT272" s="46"/>
      <c r="AU272" s="46"/>
      <c r="AV272" s="46"/>
      <c r="AW272" s="46"/>
      <c r="AX272" s="46"/>
      <c r="AY272" s="46"/>
      <c r="AZ272" s="46"/>
      <c r="BA272" s="46"/>
      <c r="BB272" s="46"/>
      <c r="BC272" s="46"/>
      <c r="BD272" s="46"/>
      <c r="BE272" s="46"/>
      <c r="BF272" s="46"/>
      <c r="BG272" s="46"/>
      <c r="BH272" s="46"/>
      <c r="BI272" s="46"/>
      <c r="BJ272" s="46"/>
      <c r="BK272" s="46"/>
      <c r="BL272" s="46"/>
      <c r="BM272" s="46"/>
      <c r="BN272" s="46"/>
      <c r="BO272" s="46"/>
      <c r="BP272" s="46"/>
      <c r="BQ272" s="46"/>
      <c r="BR272" s="46"/>
      <c r="BS272" s="46"/>
      <c r="BT272" s="46"/>
      <c r="BU272" s="46"/>
      <c r="BV272" s="46"/>
      <c r="BW272" s="46"/>
      <c r="BX272" s="46"/>
      <c r="BY272" s="46"/>
      <c r="BZ272" s="46"/>
      <c r="CA272" s="46"/>
      <c r="CB272" s="46"/>
      <c r="CC272" s="46"/>
      <c r="CD272" s="46"/>
      <c r="CE272" s="46"/>
      <c r="CF272" s="46"/>
      <c r="CG272" s="46"/>
      <c r="CH272" s="46"/>
      <c r="CI272" s="46"/>
      <c r="CJ272" s="46"/>
      <c r="CK272" s="46"/>
      <c r="CL272" s="46"/>
      <c r="CM272" s="46"/>
      <c r="CN272" s="46"/>
      <c r="CO272" s="46"/>
      <c r="CP272" s="46"/>
      <c r="CQ272" s="46"/>
      <c r="CR272" s="46"/>
      <c r="CS272" s="46"/>
      <c r="CT272" s="46"/>
      <c r="CU272" s="46"/>
      <c r="CV272" s="46"/>
      <c r="CW272" s="46"/>
      <c r="CX272" s="46"/>
      <c r="CY272" s="46"/>
      <c r="CZ272" s="46"/>
      <c r="DA272" s="46"/>
      <c r="DB272" s="46"/>
      <c r="DC272" s="46"/>
      <c r="DD272" s="46"/>
      <c r="DE272" s="46"/>
      <c r="DF272" s="46"/>
      <c r="DG272" s="46"/>
      <c r="DH272" s="46"/>
      <c r="DI272" s="46"/>
      <c r="DJ272" s="46"/>
      <c r="DK272" s="46"/>
      <c r="DL272" s="46"/>
      <c r="DM272" s="46"/>
      <c r="DN272" s="46"/>
      <c r="DO272" s="46"/>
      <c r="DP272" s="46"/>
      <c r="DQ272" s="46"/>
      <c r="DR272" s="46"/>
      <c r="DS272" s="46"/>
      <c r="DT272" s="46"/>
      <c r="DU272" s="46"/>
      <c r="DV272" s="46"/>
      <c r="DW272" s="46"/>
      <c r="DX272" s="46"/>
      <c r="DY272" s="46"/>
      <c r="DZ272" s="46"/>
      <c r="EA272" s="46"/>
    </row>
    <row r="273" spans="2:131" ht="18" customHeight="1">
      <c r="B273" s="45"/>
      <c r="C273" s="45"/>
      <c r="D273" s="46"/>
      <c r="E273" s="46"/>
      <c r="F273" s="46"/>
      <c r="G273" s="46"/>
      <c r="H273" s="46"/>
      <c r="I273" s="46"/>
      <c r="J273" s="46"/>
      <c r="K273" s="46"/>
      <c r="L273" s="45"/>
      <c r="M273" s="46"/>
      <c r="N273" s="46"/>
      <c r="O273" s="46"/>
      <c r="P273" s="46"/>
      <c r="Q273" s="46"/>
      <c r="R273" s="46"/>
      <c r="S273" s="46"/>
      <c r="T273" s="46"/>
      <c r="U273" s="46"/>
      <c r="V273" s="46"/>
      <c r="W273" s="46"/>
      <c r="X273" s="46"/>
      <c r="Y273" s="46"/>
      <c r="Z273" s="46"/>
      <c r="AA273" s="46"/>
      <c r="AB273" s="46"/>
      <c r="AC273" s="46"/>
      <c r="AD273" s="46"/>
      <c r="AE273" s="46"/>
      <c r="AF273" s="46"/>
      <c r="AG273" s="46"/>
      <c r="AH273" s="46"/>
      <c r="AI273" s="46"/>
      <c r="AJ273" s="46"/>
      <c r="AK273" s="46"/>
      <c r="AL273" s="46"/>
      <c r="AM273" s="46"/>
      <c r="AN273" s="46"/>
      <c r="AO273" s="46"/>
      <c r="AP273" s="46"/>
      <c r="AQ273" s="46"/>
      <c r="AR273" s="46"/>
      <c r="AS273" s="46"/>
      <c r="AT273" s="46"/>
      <c r="AU273" s="46"/>
      <c r="AV273" s="46"/>
      <c r="AW273" s="46"/>
      <c r="AX273" s="46"/>
      <c r="AY273" s="46"/>
      <c r="AZ273" s="46"/>
      <c r="BA273" s="46"/>
      <c r="BB273" s="46"/>
      <c r="BC273" s="46"/>
      <c r="BD273" s="46"/>
      <c r="BE273" s="46"/>
      <c r="BF273" s="46"/>
      <c r="BG273" s="46"/>
      <c r="BH273" s="46"/>
      <c r="BI273" s="46"/>
      <c r="BJ273" s="46"/>
      <c r="BK273" s="46"/>
      <c r="BL273" s="46"/>
      <c r="BM273" s="46"/>
      <c r="BN273" s="46"/>
      <c r="BO273" s="46"/>
      <c r="BP273" s="46"/>
      <c r="BQ273" s="46"/>
      <c r="BR273" s="46"/>
      <c r="BS273" s="46"/>
      <c r="BT273" s="46"/>
      <c r="BU273" s="46"/>
      <c r="BV273" s="46"/>
      <c r="BW273" s="46"/>
      <c r="BX273" s="46"/>
      <c r="BY273" s="46"/>
      <c r="BZ273" s="46"/>
      <c r="CA273" s="46"/>
      <c r="CB273" s="46"/>
      <c r="CC273" s="46"/>
      <c r="CD273" s="46"/>
      <c r="CE273" s="46"/>
      <c r="CF273" s="46"/>
      <c r="CG273" s="46"/>
      <c r="CH273" s="46"/>
      <c r="CI273" s="46"/>
      <c r="CJ273" s="46"/>
      <c r="CK273" s="46"/>
      <c r="CL273" s="46"/>
      <c r="CM273" s="46"/>
      <c r="CN273" s="46"/>
      <c r="CO273" s="46"/>
      <c r="CP273" s="46"/>
      <c r="CQ273" s="46"/>
      <c r="CR273" s="46"/>
      <c r="CS273" s="46"/>
      <c r="CT273" s="46"/>
      <c r="CU273" s="46"/>
      <c r="CV273" s="46"/>
      <c r="CW273" s="46"/>
      <c r="CX273" s="46"/>
      <c r="CY273" s="46"/>
      <c r="CZ273" s="46"/>
      <c r="DA273" s="46"/>
      <c r="DB273" s="46"/>
      <c r="DC273" s="46"/>
      <c r="DD273" s="46"/>
      <c r="DE273" s="46"/>
      <c r="DF273" s="46"/>
      <c r="DG273" s="46"/>
      <c r="DH273" s="46"/>
      <c r="DI273" s="46"/>
      <c r="DJ273" s="46"/>
      <c r="DK273" s="46"/>
      <c r="DL273" s="46"/>
      <c r="DM273" s="46"/>
      <c r="DN273" s="46"/>
      <c r="DO273" s="46"/>
      <c r="DP273" s="46"/>
      <c r="DQ273" s="46"/>
      <c r="DR273" s="46"/>
      <c r="DS273" s="46"/>
      <c r="DT273" s="46"/>
      <c r="DU273" s="46"/>
      <c r="DV273" s="46"/>
      <c r="DW273" s="46"/>
      <c r="DX273" s="46"/>
      <c r="DY273" s="46"/>
      <c r="DZ273" s="46"/>
      <c r="EA273" s="46"/>
    </row>
    <row r="274" spans="2:131" ht="18" customHeight="1">
      <c r="B274" s="46"/>
      <c r="C274" s="46"/>
      <c r="D274" s="46"/>
      <c r="E274" s="46"/>
      <c r="F274" s="46"/>
      <c r="G274" s="46"/>
      <c r="H274" s="46"/>
      <c r="I274" s="46"/>
      <c r="J274" s="46"/>
      <c r="K274" s="46"/>
      <c r="L274" s="45"/>
      <c r="M274" s="46"/>
      <c r="N274" s="46"/>
      <c r="O274" s="46"/>
      <c r="P274" s="46"/>
      <c r="Q274" s="46"/>
      <c r="R274" s="46"/>
      <c r="S274" s="46"/>
      <c r="T274" s="46"/>
      <c r="U274" s="46"/>
      <c r="V274" s="46"/>
      <c r="W274" s="46"/>
      <c r="X274" s="46"/>
      <c r="Y274" s="46"/>
      <c r="Z274" s="46"/>
      <c r="AA274" s="46"/>
      <c r="AB274" s="46"/>
      <c r="AC274" s="46"/>
      <c r="AD274" s="46"/>
      <c r="AE274" s="46"/>
      <c r="AF274" s="46"/>
      <c r="AG274" s="46"/>
      <c r="AH274" s="46"/>
      <c r="AI274" s="46"/>
      <c r="AJ274" s="46"/>
      <c r="AK274" s="46"/>
      <c r="AL274" s="46"/>
      <c r="AM274" s="46"/>
      <c r="AN274" s="46"/>
      <c r="AO274" s="46"/>
      <c r="AP274" s="46"/>
      <c r="AQ274" s="46"/>
      <c r="AR274" s="46"/>
      <c r="AS274" s="46"/>
      <c r="AT274" s="46"/>
      <c r="AU274" s="46"/>
      <c r="AV274" s="46"/>
      <c r="AW274" s="46"/>
      <c r="AX274" s="46"/>
      <c r="AY274" s="46"/>
      <c r="AZ274" s="46"/>
      <c r="BA274" s="46"/>
      <c r="BB274" s="46"/>
      <c r="BC274" s="46"/>
      <c r="BD274" s="46"/>
      <c r="BE274" s="46"/>
      <c r="BF274" s="46"/>
      <c r="BG274" s="46"/>
      <c r="BH274" s="46"/>
      <c r="BI274" s="46"/>
      <c r="BJ274" s="46"/>
      <c r="BK274" s="46"/>
      <c r="BL274" s="46"/>
      <c r="BM274" s="46"/>
      <c r="BN274" s="46"/>
      <c r="BO274" s="46"/>
      <c r="BP274" s="46"/>
      <c r="BQ274" s="46"/>
      <c r="BR274" s="46"/>
      <c r="BS274" s="46"/>
      <c r="BT274" s="46"/>
      <c r="BU274" s="46"/>
      <c r="BV274" s="46"/>
      <c r="BW274" s="46"/>
      <c r="BX274" s="46"/>
      <c r="BY274" s="46"/>
      <c r="BZ274" s="46"/>
      <c r="CA274" s="46"/>
      <c r="CB274" s="46"/>
      <c r="CC274" s="46"/>
      <c r="CD274" s="46"/>
      <c r="CE274" s="46"/>
      <c r="CF274" s="46"/>
      <c r="CG274" s="46"/>
      <c r="CH274" s="46"/>
      <c r="CI274" s="46"/>
      <c r="CJ274" s="46"/>
      <c r="CK274" s="46"/>
      <c r="CL274" s="46"/>
      <c r="CM274" s="46"/>
      <c r="CN274" s="46"/>
      <c r="CO274" s="46"/>
      <c r="CP274" s="46"/>
      <c r="CQ274" s="46"/>
      <c r="CR274" s="46"/>
      <c r="CS274" s="46"/>
      <c r="CT274" s="46"/>
      <c r="CU274" s="46"/>
      <c r="CV274" s="46"/>
      <c r="CW274" s="46"/>
      <c r="CX274" s="46"/>
      <c r="CY274" s="46"/>
      <c r="CZ274" s="46"/>
      <c r="DA274" s="46"/>
      <c r="DB274" s="46"/>
      <c r="DC274" s="46"/>
      <c r="DD274" s="46"/>
      <c r="DE274" s="46"/>
      <c r="DF274" s="46"/>
      <c r="DG274" s="46"/>
      <c r="DH274" s="46"/>
      <c r="DI274" s="46"/>
      <c r="DJ274" s="46"/>
      <c r="DK274" s="46"/>
      <c r="DL274" s="46"/>
      <c r="DM274" s="46"/>
      <c r="DN274" s="46"/>
      <c r="DO274" s="46"/>
      <c r="DP274" s="46"/>
      <c r="DQ274" s="46"/>
      <c r="DR274" s="46"/>
      <c r="DS274" s="46"/>
      <c r="DT274" s="46"/>
      <c r="DU274" s="46"/>
      <c r="DV274" s="46"/>
      <c r="DW274" s="46"/>
      <c r="DX274" s="46"/>
      <c r="DY274" s="46"/>
      <c r="DZ274" s="46"/>
      <c r="EA274" s="46"/>
    </row>
    <row r="275" spans="2:131" ht="18" customHeight="1">
      <c r="B275" s="46"/>
      <c r="C275" s="46"/>
      <c r="D275" s="46"/>
      <c r="E275" s="46"/>
      <c r="F275" s="46"/>
      <c r="G275" s="46"/>
      <c r="H275" s="46"/>
      <c r="I275" s="46"/>
      <c r="J275" s="46"/>
      <c r="K275" s="46"/>
      <c r="L275" s="45"/>
      <c r="M275" s="46"/>
      <c r="N275" s="46"/>
      <c r="O275" s="46"/>
      <c r="P275" s="46"/>
      <c r="Q275" s="46"/>
      <c r="R275" s="46"/>
      <c r="S275" s="46"/>
      <c r="T275" s="46"/>
      <c r="U275" s="46"/>
      <c r="V275" s="46"/>
      <c r="W275" s="46"/>
      <c r="X275" s="46"/>
      <c r="Y275" s="46"/>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c r="AV275" s="46"/>
      <c r="AW275" s="46"/>
      <c r="AX275" s="46"/>
      <c r="AY275" s="46"/>
      <c r="AZ275" s="46"/>
      <c r="BA275" s="46"/>
      <c r="BB275" s="46"/>
      <c r="BC275" s="46"/>
      <c r="BD275" s="46"/>
      <c r="BE275" s="46"/>
      <c r="BF275" s="46"/>
      <c r="BG275" s="46"/>
      <c r="BH275" s="46"/>
      <c r="BI275" s="46"/>
      <c r="BJ275" s="46"/>
      <c r="BK275" s="46"/>
      <c r="BL275" s="46"/>
      <c r="BM275" s="46"/>
      <c r="BN275" s="46"/>
      <c r="BO275" s="46"/>
      <c r="BP275" s="46"/>
      <c r="BQ275" s="46"/>
      <c r="BR275" s="46"/>
      <c r="BS275" s="46"/>
      <c r="BT275" s="46"/>
      <c r="BU275" s="46"/>
      <c r="BV275" s="46"/>
      <c r="BW275" s="46"/>
      <c r="BX275" s="46"/>
      <c r="BY275" s="46"/>
      <c r="BZ275" s="46"/>
      <c r="CA275" s="46"/>
      <c r="CB275" s="46"/>
      <c r="CC275" s="46"/>
      <c r="CD275" s="46"/>
      <c r="CE275" s="46"/>
      <c r="CF275" s="46"/>
      <c r="CG275" s="46"/>
      <c r="CH275" s="46"/>
      <c r="CI275" s="46"/>
      <c r="CJ275" s="46"/>
      <c r="CK275" s="46"/>
      <c r="CL275" s="46"/>
      <c r="CM275" s="46"/>
      <c r="CN275" s="46"/>
      <c r="CO275" s="46"/>
      <c r="CP275" s="46"/>
      <c r="CQ275" s="46"/>
      <c r="CR275" s="46"/>
      <c r="CS275" s="46"/>
      <c r="CT275" s="46"/>
      <c r="CU275" s="46"/>
      <c r="CV275" s="46"/>
      <c r="CW275" s="46"/>
      <c r="CX275" s="46"/>
      <c r="CY275" s="46"/>
      <c r="CZ275" s="46"/>
      <c r="DA275" s="46"/>
      <c r="DB275" s="46"/>
      <c r="DC275" s="46"/>
      <c r="DD275" s="46"/>
      <c r="DE275" s="46"/>
      <c r="DF275" s="46"/>
      <c r="DG275" s="46"/>
      <c r="DH275" s="46"/>
      <c r="DI275" s="46"/>
      <c r="DJ275" s="46"/>
      <c r="DK275" s="46"/>
      <c r="DL275" s="46"/>
      <c r="DM275" s="46"/>
      <c r="DN275" s="46"/>
      <c r="DO275" s="46"/>
      <c r="DP275" s="46"/>
      <c r="DQ275" s="46"/>
      <c r="DR275" s="46"/>
      <c r="DS275" s="46"/>
      <c r="DT275" s="46"/>
      <c r="DU275" s="46"/>
      <c r="DV275" s="46"/>
      <c r="DW275" s="46"/>
      <c r="DX275" s="46"/>
      <c r="DY275" s="46"/>
      <c r="DZ275" s="46"/>
      <c r="EA275" s="46"/>
    </row>
    <row r="276" spans="2:131" ht="18" customHeight="1">
      <c r="B276" s="46"/>
      <c r="C276" s="46"/>
      <c r="D276" s="46"/>
      <c r="E276" s="46"/>
      <c r="F276" s="46"/>
      <c r="G276" s="46"/>
      <c r="H276" s="46"/>
      <c r="I276" s="46"/>
      <c r="J276" s="46"/>
      <c r="K276" s="46"/>
      <c r="L276" s="45"/>
      <c r="M276" s="46"/>
      <c r="N276" s="46"/>
      <c r="O276" s="46"/>
      <c r="P276" s="46"/>
      <c r="Q276" s="46"/>
      <c r="R276" s="46"/>
      <c r="S276" s="46"/>
      <c r="T276" s="46"/>
      <c r="U276" s="46"/>
      <c r="V276" s="46"/>
      <c r="W276" s="46"/>
      <c r="X276" s="46"/>
      <c r="Y276" s="46"/>
      <c r="Z276" s="46"/>
      <c r="AA276" s="46"/>
      <c r="AB276" s="46"/>
      <c r="AC276" s="46"/>
      <c r="AD276" s="46"/>
      <c r="AE276" s="46"/>
      <c r="AF276" s="46"/>
      <c r="AG276" s="46"/>
      <c r="AH276" s="46"/>
      <c r="AI276" s="46"/>
      <c r="AJ276" s="46"/>
      <c r="AK276" s="46"/>
      <c r="AL276" s="46"/>
      <c r="AM276" s="46"/>
      <c r="AN276" s="46"/>
      <c r="AO276" s="46"/>
      <c r="AP276" s="46"/>
      <c r="AQ276" s="46"/>
      <c r="AR276" s="46"/>
      <c r="AS276" s="46"/>
      <c r="AT276" s="46"/>
      <c r="AU276" s="46"/>
      <c r="AV276" s="46"/>
      <c r="AW276" s="46"/>
      <c r="AX276" s="46"/>
      <c r="AY276" s="46"/>
      <c r="AZ276" s="46"/>
      <c r="BA276" s="46"/>
      <c r="BB276" s="46"/>
      <c r="BC276" s="46"/>
      <c r="BD276" s="46"/>
      <c r="BE276" s="46"/>
      <c r="BF276" s="46"/>
      <c r="BG276" s="46"/>
      <c r="BH276" s="46"/>
      <c r="BI276" s="46"/>
      <c r="BJ276" s="46"/>
      <c r="BK276" s="46"/>
      <c r="BL276" s="46"/>
      <c r="BM276" s="46"/>
      <c r="BN276" s="46"/>
      <c r="BO276" s="46"/>
      <c r="BP276" s="46"/>
      <c r="BQ276" s="46"/>
      <c r="BR276" s="46"/>
      <c r="BS276" s="46"/>
      <c r="BT276" s="46"/>
      <c r="BU276" s="46"/>
      <c r="BV276" s="46"/>
      <c r="BW276" s="46"/>
      <c r="BX276" s="46"/>
      <c r="BY276" s="46"/>
      <c r="BZ276" s="46"/>
      <c r="CA276" s="46"/>
      <c r="CB276" s="46"/>
      <c r="CC276" s="46"/>
      <c r="CD276" s="46"/>
      <c r="CE276" s="46"/>
      <c r="CF276" s="46"/>
      <c r="CG276" s="46"/>
      <c r="CH276" s="46"/>
      <c r="CI276" s="46"/>
      <c r="CJ276" s="46"/>
      <c r="CK276" s="46"/>
      <c r="CL276" s="46"/>
      <c r="CM276" s="46"/>
      <c r="CN276" s="46"/>
      <c r="CO276" s="46"/>
      <c r="CP276" s="46"/>
      <c r="CQ276" s="46"/>
      <c r="CR276" s="46"/>
      <c r="CS276" s="46"/>
      <c r="CT276" s="46"/>
      <c r="CU276" s="46"/>
      <c r="CV276" s="46"/>
      <c r="CW276" s="46"/>
      <c r="CX276" s="46"/>
      <c r="CY276" s="46"/>
      <c r="CZ276" s="46"/>
      <c r="DA276" s="46"/>
      <c r="DB276" s="46"/>
      <c r="DC276" s="46"/>
      <c r="DD276" s="46"/>
      <c r="DE276" s="46"/>
      <c r="DF276" s="46"/>
      <c r="DG276" s="46"/>
      <c r="DH276" s="46"/>
      <c r="DI276" s="46"/>
      <c r="DJ276" s="46"/>
      <c r="DK276" s="46"/>
      <c r="DL276" s="46"/>
      <c r="DM276" s="46"/>
      <c r="DN276" s="46"/>
      <c r="DO276" s="46"/>
      <c r="DP276" s="46"/>
      <c r="DQ276" s="46"/>
      <c r="DR276" s="46"/>
      <c r="DS276" s="46"/>
      <c r="DT276" s="46"/>
      <c r="DU276" s="46"/>
      <c r="DV276" s="46"/>
      <c r="DW276" s="46"/>
      <c r="DX276" s="46"/>
      <c r="DY276" s="46"/>
      <c r="DZ276" s="46"/>
      <c r="EA276" s="46"/>
    </row>
    <row r="277" spans="2:131" ht="18" customHeight="1">
      <c r="B277" s="46"/>
      <c r="C277" s="46"/>
      <c r="D277" s="46"/>
      <c r="E277" s="46"/>
      <c r="F277" s="46"/>
      <c r="G277" s="46"/>
      <c r="H277" s="46"/>
      <c r="I277" s="46"/>
      <c r="J277" s="46"/>
      <c r="K277" s="46"/>
      <c r="L277" s="45"/>
      <c r="M277" s="46"/>
      <c r="N277" s="46"/>
      <c r="O277" s="46"/>
      <c r="P277" s="46"/>
      <c r="Q277" s="46"/>
      <c r="R277" s="46"/>
      <c r="S277" s="46"/>
      <c r="T277" s="46"/>
      <c r="U277" s="46"/>
      <c r="V277" s="46"/>
      <c r="W277" s="46"/>
      <c r="X277" s="46"/>
      <c r="Y277" s="46"/>
      <c r="Z277" s="46"/>
      <c r="AA277" s="46"/>
      <c r="AB277" s="46"/>
      <c r="AC277" s="46"/>
      <c r="AD277" s="46"/>
      <c r="AE277" s="46"/>
      <c r="AF277" s="46"/>
      <c r="AG277" s="46"/>
      <c r="AH277" s="46"/>
      <c r="AI277" s="46"/>
      <c r="AJ277" s="46"/>
      <c r="AK277" s="46"/>
      <c r="AL277" s="46"/>
      <c r="AM277" s="46"/>
      <c r="AN277" s="46"/>
      <c r="AO277" s="46"/>
      <c r="AP277" s="46"/>
      <c r="AQ277" s="46"/>
      <c r="AR277" s="46"/>
      <c r="AS277" s="46"/>
      <c r="AT277" s="46"/>
      <c r="AU277" s="46"/>
      <c r="AV277" s="46"/>
      <c r="AW277" s="46"/>
      <c r="AX277" s="46"/>
      <c r="AY277" s="46"/>
      <c r="AZ277" s="46"/>
      <c r="BA277" s="46"/>
      <c r="BB277" s="46"/>
      <c r="BC277" s="46"/>
      <c r="BD277" s="46"/>
      <c r="BE277" s="46"/>
      <c r="BF277" s="46"/>
      <c r="BG277" s="46"/>
      <c r="BH277" s="46"/>
      <c r="BI277" s="46"/>
      <c r="BJ277" s="46"/>
      <c r="BK277" s="46"/>
      <c r="BL277" s="46"/>
      <c r="BM277" s="46"/>
      <c r="BN277" s="46"/>
      <c r="BO277" s="46"/>
      <c r="BP277" s="46"/>
      <c r="BQ277" s="46"/>
      <c r="BR277" s="46"/>
      <c r="BS277" s="46"/>
      <c r="BT277" s="46"/>
      <c r="BU277" s="46"/>
      <c r="BV277" s="46"/>
      <c r="BW277" s="46"/>
      <c r="BX277" s="46"/>
      <c r="BY277" s="46"/>
      <c r="BZ277" s="46"/>
      <c r="CA277" s="46"/>
      <c r="CB277" s="46"/>
      <c r="CC277" s="46"/>
      <c r="CD277" s="46"/>
      <c r="CE277" s="46"/>
      <c r="CF277" s="46"/>
      <c r="CG277" s="46"/>
      <c r="CH277" s="46"/>
      <c r="CI277" s="46"/>
      <c r="CJ277" s="46"/>
      <c r="CK277" s="46"/>
      <c r="CL277" s="46"/>
      <c r="CM277" s="46"/>
      <c r="CN277" s="46"/>
      <c r="CO277" s="46"/>
      <c r="CP277" s="46"/>
      <c r="CQ277" s="46"/>
      <c r="CR277" s="46"/>
      <c r="CS277" s="46"/>
      <c r="CT277" s="46"/>
      <c r="CU277" s="46"/>
      <c r="CV277" s="46"/>
      <c r="CW277" s="46"/>
      <c r="CX277" s="46"/>
      <c r="CY277" s="46"/>
      <c r="CZ277" s="46"/>
      <c r="DA277" s="46"/>
      <c r="DB277" s="46"/>
      <c r="DC277" s="46"/>
      <c r="DD277" s="46"/>
      <c r="DE277" s="46"/>
      <c r="DF277" s="46"/>
      <c r="DG277" s="46"/>
      <c r="DH277" s="46"/>
      <c r="DI277" s="46"/>
      <c r="DJ277" s="46"/>
      <c r="DK277" s="46"/>
      <c r="DL277" s="46"/>
      <c r="DM277" s="46"/>
      <c r="DN277" s="46"/>
      <c r="DO277" s="46"/>
      <c r="DP277" s="46"/>
      <c r="DQ277" s="46"/>
      <c r="DR277" s="46"/>
      <c r="DS277" s="46"/>
      <c r="DT277" s="46"/>
      <c r="DU277" s="46"/>
      <c r="DV277" s="46"/>
      <c r="DW277" s="46"/>
      <c r="DX277" s="46"/>
      <c r="DY277" s="46"/>
      <c r="DZ277" s="46"/>
      <c r="EA277" s="46"/>
    </row>
    <row r="278" spans="2:131" ht="18" customHeight="1">
      <c r="B278" s="46"/>
      <c r="C278" s="46"/>
      <c r="D278" s="46"/>
      <c r="E278" s="46"/>
      <c r="F278" s="46"/>
      <c r="G278" s="46"/>
      <c r="H278" s="46"/>
      <c r="I278" s="46"/>
      <c r="J278" s="46"/>
      <c r="K278" s="46"/>
      <c r="L278" s="45"/>
      <c r="M278" s="46"/>
      <c r="N278" s="46"/>
      <c r="O278" s="46"/>
      <c r="P278" s="46"/>
      <c r="Q278" s="46"/>
      <c r="R278" s="46"/>
      <c r="S278" s="46"/>
      <c r="T278" s="46"/>
      <c r="U278" s="46"/>
      <c r="V278" s="46"/>
      <c r="W278" s="46"/>
      <c r="X278" s="46"/>
      <c r="Y278" s="46"/>
      <c r="Z278" s="46"/>
      <c r="AA278" s="46"/>
      <c r="AB278" s="46"/>
      <c r="AC278" s="46"/>
      <c r="AD278" s="46"/>
      <c r="AE278" s="46"/>
      <c r="AF278" s="46"/>
      <c r="AG278" s="46"/>
      <c r="AH278" s="46"/>
      <c r="AI278" s="46"/>
      <c r="AJ278" s="46"/>
      <c r="AK278" s="46"/>
      <c r="AL278" s="46"/>
      <c r="AM278" s="46"/>
      <c r="AN278" s="46"/>
      <c r="AO278" s="46"/>
      <c r="AP278" s="46"/>
      <c r="AQ278" s="46"/>
      <c r="AR278" s="46"/>
      <c r="AS278" s="46"/>
      <c r="AT278" s="46"/>
      <c r="AU278" s="46"/>
      <c r="AV278" s="46"/>
      <c r="AW278" s="46"/>
      <c r="AX278" s="46"/>
      <c r="AY278" s="46"/>
      <c r="AZ278" s="46"/>
      <c r="BA278" s="46"/>
      <c r="BB278" s="46"/>
      <c r="BC278" s="46"/>
      <c r="BD278" s="46"/>
      <c r="BE278" s="46"/>
      <c r="BF278" s="46"/>
      <c r="BG278" s="46"/>
      <c r="BH278" s="46"/>
      <c r="BI278" s="46"/>
      <c r="BJ278" s="46"/>
      <c r="BK278" s="46"/>
      <c r="BL278" s="46"/>
      <c r="BM278" s="46"/>
      <c r="BN278" s="46"/>
      <c r="BO278" s="46"/>
      <c r="BP278" s="46"/>
      <c r="BQ278" s="46"/>
      <c r="BR278" s="46"/>
      <c r="BS278" s="46"/>
      <c r="BT278" s="46"/>
      <c r="BU278" s="46"/>
      <c r="BV278" s="46"/>
      <c r="BW278" s="46"/>
      <c r="BX278" s="46"/>
      <c r="BY278" s="46"/>
      <c r="BZ278" s="46"/>
      <c r="CA278" s="46"/>
      <c r="CB278" s="46"/>
      <c r="CC278" s="46"/>
      <c r="CD278" s="46"/>
      <c r="CE278" s="46"/>
      <c r="CF278" s="46"/>
      <c r="CG278" s="46"/>
      <c r="CH278" s="46"/>
      <c r="CI278" s="46"/>
      <c r="CJ278" s="46"/>
      <c r="CK278" s="46"/>
      <c r="CL278" s="46"/>
      <c r="CM278" s="46"/>
      <c r="CN278" s="46"/>
      <c r="CO278" s="46"/>
      <c r="CP278" s="46"/>
      <c r="CQ278" s="46"/>
      <c r="CR278" s="46"/>
      <c r="CS278" s="46"/>
      <c r="CT278" s="46"/>
      <c r="CU278" s="46"/>
      <c r="CV278" s="46"/>
      <c r="CW278" s="46"/>
      <c r="CX278" s="46"/>
      <c r="CY278" s="46"/>
      <c r="CZ278" s="46"/>
      <c r="DA278" s="46"/>
      <c r="DB278" s="46"/>
      <c r="DC278" s="46"/>
      <c r="DD278" s="46"/>
      <c r="DE278" s="46"/>
      <c r="DF278" s="46"/>
      <c r="DG278" s="46"/>
      <c r="DH278" s="46"/>
      <c r="DI278" s="46"/>
      <c r="DJ278" s="46"/>
      <c r="DK278" s="46"/>
      <c r="DL278" s="46"/>
      <c r="DM278" s="46"/>
      <c r="DN278" s="46"/>
      <c r="DO278" s="46"/>
      <c r="DP278" s="46"/>
      <c r="DQ278" s="46"/>
      <c r="DR278" s="46"/>
      <c r="DS278" s="46"/>
      <c r="DT278" s="46"/>
      <c r="DU278" s="46"/>
      <c r="DV278" s="46"/>
      <c r="DW278" s="46"/>
      <c r="DX278" s="46"/>
      <c r="DY278" s="46"/>
      <c r="DZ278" s="46"/>
      <c r="EA278" s="46"/>
    </row>
    <row r="279" spans="2:131" ht="18" customHeight="1">
      <c r="B279" s="45"/>
      <c r="C279" s="45"/>
      <c r="D279" s="46"/>
      <c r="E279" s="46"/>
      <c r="F279" s="46"/>
      <c r="G279" s="46"/>
      <c r="H279" s="46"/>
      <c r="I279" s="46"/>
      <c r="J279" s="46"/>
      <c r="K279" s="46"/>
      <c r="L279" s="45"/>
      <c r="M279" s="46"/>
      <c r="N279" s="46"/>
      <c r="O279" s="46"/>
      <c r="P279" s="46"/>
      <c r="Q279" s="46"/>
      <c r="R279" s="46"/>
      <c r="S279" s="46"/>
      <c r="T279" s="46"/>
      <c r="U279" s="46"/>
      <c r="V279" s="46"/>
      <c r="W279" s="46"/>
      <c r="X279" s="46"/>
      <c r="Y279" s="46"/>
      <c r="Z279" s="46"/>
      <c r="AA279" s="46"/>
      <c r="AB279" s="46"/>
      <c r="AC279" s="46"/>
      <c r="AD279" s="46"/>
      <c r="AE279" s="46"/>
      <c r="AF279" s="46"/>
      <c r="AG279" s="46"/>
      <c r="AH279" s="46"/>
      <c r="AI279" s="46"/>
      <c r="AJ279" s="46"/>
      <c r="AK279" s="46"/>
      <c r="AL279" s="46"/>
      <c r="AM279" s="46"/>
      <c r="AN279" s="46"/>
      <c r="AO279" s="46"/>
      <c r="AP279" s="46"/>
      <c r="AQ279" s="46"/>
      <c r="AR279" s="46"/>
      <c r="AS279" s="46"/>
      <c r="AT279" s="46"/>
      <c r="AU279" s="46"/>
      <c r="AV279" s="46"/>
      <c r="AW279" s="46"/>
      <c r="AX279" s="46"/>
      <c r="AY279" s="46"/>
      <c r="AZ279" s="46"/>
      <c r="BA279" s="46"/>
      <c r="BB279" s="46"/>
      <c r="BC279" s="46"/>
      <c r="BD279" s="46"/>
      <c r="BE279" s="46"/>
      <c r="BF279" s="46"/>
      <c r="BG279" s="46"/>
      <c r="BH279" s="46"/>
      <c r="BI279" s="46"/>
      <c r="BJ279" s="46"/>
      <c r="BK279" s="46"/>
      <c r="BL279" s="46"/>
      <c r="BM279" s="46"/>
      <c r="BN279" s="46"/>
      <c r="BO279" s="46"/>
      <c r="BP279" s="46"/>
      <c r="BQ279" s="46"/>
      <c r="BR279" s="46"/>
      <c r="BS279" s="46"/>
      <c r="BT279" s="46"/>
      <c r="BU279" s="46"/>
      <c r="BV279" s="46"/>
      <c r="BW279" s="46"/>
      <c r="BX279" s="46"/>
      <c r="BY279" s="46"/>
      <c r="BZ279" s="46"/>
      <c r="CA279" s="46"/>
      <c r="CB279" s="46"/>
      <c r="CC279" s="46"/>
      <c r="CD279" s="46"/>
      <c r="CE279" s="46"/>
      <c r="CF279" s="46"/>
      <c r="CG279" s="46"/>
      <c r="CH279" s="46"/>
      <c r="CI279" s="46"/>
      <c r="CJ279" s="46"/>
      <c r="CK279" s="46"/>
      <c r="CL279" s="46"/>
      <c r="CM279" s="46"/>
      <c r="CN279" s="46"/>
      <c r="CO279" s="46"/>
      <c r="CP279" s="46"/>
      <c r="CQ279" s="46"/>
      <c r="CR279" s="46"/>
      <c r="CS279" s="46"/>
      <c r="CT279" s="46"/>
      <c r="CU279" s="46"/>
      <c r="CV279" s="46"/>
      <c r="CW279" s="46"/>
      <c r="CX279" s="46"/>
      <c r="CY279" s="46"/>
      <c r="CZ279" s="46"/>
      <c r="DA279" s="46"/>
      <c r="DB279" s="46"/>
      <c r="DC279" s="46"/>
      <c r="DD279" s="46"/>
      <c r="DE279" s="46"/>
      <c r="DF279" s="46"/>
      <c r="DG279" s="46"/>
      <c r="DH279" s="46"/>
      <c r="DI279" s="46"/>
      <c r="DJ279" s="46"/>
      <c r="DK279" s="46"/>
      <c r="DL279" s="46"/>
      <c r="DM279" s="46"/>
      <c r="DN279" s="46"/>
      <c r="DO279" s="46"/>
      <c r="DP279" s="46"/>
      <c r="DQ279" s="46"/>
      <c r="DR279" s="46"/>
      <c r="DS279" s="46"/>
      <c r="DT279" s="46"/>
      <c r="DU279" s="46"/>
      <c r="DV279" s="46"/>
      <c r="DW279" s="46"/>
      <c r="DX279" s="46"/>
      <c r="DY279" s="46"/>
      <c r="DZ279" s="46"/>
      <c r="EA279" s="46"/>
    </row>
    <row r="280" spans="2:131" ht="18" customHeight="1">
      <c r="B280" s="46"/>
      <c r="C280" s="46"/>
      <c r="D280" s="46"/>
      <c r="E280" s="46"/>
      <c r="F280" s="46"/>
      <c r="G280" s="46"/>
      <c r="H280" s="46"/>
      <c r="I280" s="46"/>
      <c r="J280" s="46"/>
      <c r="K280" s="46"/>
      <c r="L280" s="45"/>
      <c r="M280" s="46"/>
      <c r="N280" s="46"/>
      <c r="O280" s="46"/>
      <c r="P280" s="46"/>
      <c r="Q280" s="46"/>
      <c r="R280" s="46"/>
      <c r="S280" s="46"/>
      <c r="T280" s="46"/>
      <c r="U280" s="46"/>
      <c r="V280" s="46"/>
      <c r="W280" s="46"/>
      <c r="X280" s="46"/>
      <c r="Y280" s="46"/>
      <c r="Z280" s="46"/>
      <c r="AA280" s="46"/>
      <c r="AB280" s="46"/>
      <c r="AC280" s="46"/>
      <c r="AD280" s="46"/>
      <c r="AE280" s="46"/>
      <c r="AF280" s="46"/>
      <c r="AG280" s="46"/>
      <c r="AH280" s="46"/>
      <c r="AI280" s="46"/>
      <c r="AJ280" s="46"/>
      <c r="AK280" s="46"/>
      <c r="AL280" s="46"/>
      <c r="AM280" s="46"/>
      <c r="AN280" s="46"/>
      <c r="AO280" s="46"/>
      <c r="AP280" s="46"/>
      <c r="AQ280" s="46"/>
      <c r="AR280" s="46"/>
      <c r="AS280" s="46"/>
      <c r="AT280" s="46"/>
      <c r="AU280" s="46"/>
      <c r="AV280" s="46"/>
      <c r="AW280" s="46"/>
      <c r="AX280" s="46"/>
      <c r="AY280" s="46"/>
      <c r="AZ280" s="46"/>
      <c r="BA280" s="46"/>
      <c r="BB280" s="46"/>
      <c r="BC280" s="46"/>
      <c r="BD280" s="46"/>
      <c r="BE280" s="46"/>
      <c r="BF280" s="46"/>
      <c r="BG280" s="46"/>
      <c r="BH280" s="46"/>
      <c r="BI280" s="46"/>
      <c r="BJ280" s="46"/>
      <c r="BK280" s="46"/>
      <c r="BL280" s="46"/>
      <c r="BM280" s="46"/>
      <c r="BN280" s="46"/>
      <c r="BO280" s="46"/>
      <c r="BP280" s="46"/>
      <c r="BQ280" s="46"/>
      <c r="BR280" s="46"/>
      <c r="BS280" s="46"/>
      <c r="BT280" s="46"/>
      <c r="BU280" s="46"/>
      <c r="BV280" s="46"/>
      <c r="BW280" s="46"/>
      <c r="BX280" s="46"/>
      <c r="BY280" s="46"/>
      <c r="BZ280" s="46"/>
      <c r="CA280" s="46"/>
      <c r="CB280" s="46"/>
      <c r="CC280" s="46"/>
      <c r="CD280" s="46"/>
      <c r="CE280" s="46"/>
      <c r="CF280" s="46"/>
      <c r="CG280" s="46"/>
      <c r="CH280" s="46"/>
      <c r="CI280" s="46"/>
      <c r="CJ280" s="46"/>
      <c r="CK280" s="46"/>
      <c r="CL280" s="46"/>
      <c r="CM280" s="46"/>
      <c r="CN280" s="46"/>
      <c r="CO280" s="46"/>
      <c r="CP280" s="46"/>
      <c r="CQ280" s="46"/>
      <c r="CR280" s="46"/>
      <c r="CS280" s="46"/>
      <c r="CT280" s="46"/>
      <c r="CU280" s="46"/>
      <c r="CV280" s="46"/>
      <c r="CW280" s="46"/>
      <c r="CX280" s="46"/>
      <c r="CY280" s="46"/>
      <c r="CZ280" s="46"/>
      <c r="DA280" s="46"/>
      <c r="DB280" s="46"/>
      <c r="DC280" s="46"/>
      <c r="DD280" s="46"/>
      <c r="DE280" s="46"/>
      <c r="DF280" s="46"/>
      <c r="DG280" s="46"/>
      <c r="DH280" s="46"/>
      <c r="DI280" s="46"/>
      <c r="DJ280" s="46"/>
      <c r="DK280" s="46"/>
      <c r="DL280" s="46"/>
      <c r="DM280" s="46"/>
      <c r="DN280" s="46"/>
      <c r="DO280" s="46"/>
      <c r="DP280" s="46"/>
      <c r="DQ280" s="46"/>
      <c r="DR280" s="46"/>
      <c r="DS280" s="46"/>
      <c r="DT280" s="46"/>
      <c r="DU280" s="46"/>
      <c r="DV280" s="46"/>
      <c r="DW280" s="46"/>
      <c r="DX280" s="46"/>
      <c r="DY280" s="46"/>
      <c r="DZ280" s="46"/>
      <c r="EA280" s="46"/>
    </row>
    <row r="281" spans="2:131" ht="18" customHeight="1">
      <c r="B281" s="46"/>
      <c r="C281" s="46"/>
      <c r="D281" s="46"/>
      <c r="E281" s="46"/>
      <c r="F281" s="46"/>
      <c r="G281" s="46"/>
      <c r="H281" s="46"/>
      <c r="I281" s="46"/>
      <c r="J281" s="46"/>
      <c r="K281" s="46"/>
      <c r="L281" s="45"/>
      <c r="M281" s="46"/>
      <c r="N281" s="46"/>
      <c r="O281" s="46"/>
      <c r="P281" s="46"/>
      <c r="Q281" s="46"/>
      <c r="R281" s="46"/>
      <c r="S281" s="46"/>
      <c r="T281" s="46"/>
      <c r="U281" s="46"/>
      <c r="V281" s="46"/>
      <c r="W281" s="46"/>
      <c r="X281" s="46"/>
      <c r="Y281" s="46"/>
      <c r="Z281" s="46"/>
      <c r="AA281" s="46"/>
      <c r="AB281" s="46"/>
      <c r="AC281" s="46"/>
      <c r="AD281" s="46"/>
      <c r="AE281" s="46"/>
      <c r="AF281" s="46"/>
      <c r="AG281" s="46"/>
      <c r="AH281" s="46"/>
      <c r="AI281" s="46"/>
      <c r="AJ281" s="46"/>
      <c r="AK281" s="46"/>
      <c r="AL281" s="46"/>
      <c r="AM281" s="46"/>
      <c r="AN281" s="46"/>
      <c r="AO281" s="46"/>
      <c r="AP281" s="46"/>
      <c r="AQ281" s="46"/>
      <c r="AR281" s="46"/>
      <c r="AS281" s="46"/>
      <c r="AT281" s="46"/>
      <c r="AU281" s="46"/>
      <c r="AV281" s="46"/>
      <c r="AW281" s="46"/>
      <c r="AX281" s="46"/>
      <c r="AY281" s="46"/>
      <c r="AZ281" s="46"/>
      <c r="BA281" s="46"/>
      <c r="BB281" s="46"/>
      <c r="BC281" s="46"/>
      <c r="BD281" s="46"/>
      <c r="BE281" s="46"/>
      <c r="BF281" s="46"/>
      <c r="BG281" s="46"/>
      <c r="BH281" s="46"/>
      <c r="BI281" s="46"/>
      <c r="BJ281" s="46"/>
      <c r="BK281" s="46"/>
      <c r="BL281" s="46"/>
      <c r="BM281" s="46"/>
      <c r="BN281" s="46"/>
      <c r="BO281" s="46"/>
      <c r="BP281" s="46"/>
      <c r="BQ281" s="46"/>
      <c r="BR281" s="46"/>
      <c r="BS281" s="46"/>
      <c r="BT281" s="46"/>
      <c r="BU281" s="46"/>
      <c r="BV281" s="46"/>
      <c r="BW281" s="46"/>
      <c r="BX281" s="46"/>
      <c r="BY281" s="46"/>
      <c r="BZ281" s="46"/>
      <c r="CA281" s="46"/>
      <c r="CB281" s="46"/>
      <c r="CC281" s="46"/>
      <c r="CD281" s="46"/>
      <c r="CE281" s="46"/>
      <c r="CF281" s="46"/>
      <c r="CG281" s="46"/>
      <c r="CH281" s="46"/>
      <c r="CI281" s="46"/>
      <c r="CJ281" s="46"/>
      <c r="CK281" s="46"/>
      <c r="CL281" s="46"/>
      <c r="CM281" s="46"/>
      <c r="CN281" s="46"/>
      <c r="CO281" s="46"/>
      <c r="CP281" s="46"/>
      <c r="CQ281" s="46"/>
      <c r="CR281" s="46"/>
      <c r="CS281" s="46"/>
      <c r="CT281" s="46"/>
      <c r="CU281" s="46"/>
      <c r="CV281" s="46"/>
      <c r="CW281" s="46"/>
      <c r="CX281" s="46"/>
      <c r="CY281" s="46"/>
      <c r="CZ281" s="46"/>
      <c r="DA281" s="46"/>
      <c r="DB281" s="46"/>
      <c r="DC281" s="46"/>
      <c r="DD281" s="46"/>
      <c r="DE281" s="46"/>
      <c r="DF281" s="46"/>
      <c r="DG281" s="46"/>
      <c r="DH281" s="46"/>
      <c r="DI281" s="46"/>
      <c r="DJ281" s="46"/>
      <c r="DK281" s="46"/>
      <c r="DL281" s="46"/>
      <c r="DM281" s="46"/>
      <c r="DN281" s="46"/>
      <c r="DO281" s="46"/>
      <c r="DP281" s="46"/>
      <c r="DQ281" s="46"/>
      <c r="DR281" s="46"/>
      <c r="DS281" s="46"/>
      <c r="DT281" s="46"/>
      <c r="DU281" s="46"/>
      <c r="DV281" s="46"/>
      <c r="DW281" s="46"/>
      <c r="DX281" s="46"/>
      <c r="DY281" s="46"/>
      <c r="DZ281" s="46"/>
      <c r="EA281" s="46"/>
    </row>
    <row r="282" spans="2:131" ht="18" customHeight="1">
      <c r="B282" s="46"/>
      <c r="C282" s="46"/>
      <c r="D282" s="46"/>
      <c r="E282" s="46"/>
      <c r="F282" s="46"/>
      <c r="G282" s="46"/>
      <c r="H282" s="46"/>
      <c r="I282" s="46"/>
      <c r="J282" s="46"/>
      <c r="K282" s="46"/>
      <c r="L282" s="45"/>
      <c r="M282" s="46"/>
      <c r="N282" s="46"/>
      <c r="O282" s="46"/>
      <c r="P282" s="46"/>
      <c r="Q282" s="46"/>
      <c r="R282" s="46"/>
      <c r="S282" s="46"/>
      <c r="T282" s="46"/>
      <c r="U282" s="46"/>
      <c r="V282" s="46"/>
      <c r="W282" s="46"/>
      <c r="X282" s="46"/>
      <c r="Y282" s="46"/>
      <c r="Z282" s="46"/>
      <c r="AA282" s="46"/>
      <c r="AB282" s="46"/>
      <c r="AC282" s="46"/>
      <c r="AD282" s="46"/>
      <c r="AE282" s="46"/>
      <c r="AF282" s="46"/>
      <c r="AG282" s="46"/>
      <c r="AH282" s="46"/>
      <c r="AI282" s="46"/>
      <c r="AJ282" s="46"/>
      <c r="AK282" s="46"/>
      <c r="AL282" s="46"/>
      <c r="AM282" s="46"/>
      <c r="AN282" s="46"/>
      <c r="AO282" s="46"/>
      <c r="AP282" s="46"/>
      <c r="AQ282" s="46"/>
      <c r="AR282" s="46"/>
      <c r="AS282" s="46"/>
      <c r="AT282" s="46"/>
      <c r="AU282" s="46"/>
      <c r="AV282" s="46"/>
      <c r="AW282" s="46"/>
      <c r="AX282" s="46"/>
      <c r="AY282" s="46"/>
      <c r="AZ282" s="46"/>
      <c r="BA282" s="46"/>
      <c r="BB282" s="46"/>
      <c r="BC282" s="46"/>
      <c r="BD282" s="46"/>
      <c r="BE282" s="46"/>
      <c r="BF282" s="46"/>
      <c r="BG282" s="46"/>
      <c r="BH282" s="46"/>
      <c r="BI282" s="46"/>
      <c r="BJ282" s="46"/>
      <c r="BK282" s="46"/>
      <c r="BL282" s="46"/>
      <c r="BM282" s="46"/>
      <c r="BN282" s="46"/>
      <c r="BO282" s="46"/>
      <c r="BP282" s="46"/>
      <c r="BQ282" s="46"/>
      <c r="BR282" s="46"/>
      <c r="BS282" s="46"/>
      <c r="BT282" s="46"/>
      <c r="BU282" s="46"/>
      <c r="BV282" s="46"/>
      <c r="BW282" s="46"/>
      <c r="BX282" s="46"/>
      <c r="BY282" s="46"/>
      <c r="BZ282" s="46"/>
      <c r="CA282" s="46"/>
      <c r="CB282" s="46"/>
      <c r="CC282" s="46"/>
      <c r="CD282" s="46"/>
      <c r="CE282" s="46"/>
      <c r="CF282" s="46"/>
      <c r="CG282" s="46"/>
      <c r="CH282" s="46"/>
      <c r="CI282" s="46"/>
      <c r="CJ282" s="46"/>
      <c r="CK282" s="46"/>
      <c r="CL282" s="46"/>
      <c r="CM282" s="46"/>
      <c r="CN282" s="46"/>
      <c r="CO282" s="46"/>
      <c r="CP282" s="46"/>
      <c r="CQ282" s="46"/>
      <c r="CR282" s="46"/>
      <c r="CS282" s="46"/>
      <c r="CT282" s="46"/>
      <c r="CU282" s="46"/>
      <c r="CV282" s="46"/>
      <c r="CW282" s="46"/>
      <c r="CX282" s="46"/>
      <c r="CY282" s="46"/>
      <c r="CZ282" s="46"/>
      <c r="DA282" s="46"/>
      <c r="DB282" s="46"/>
      <c r="DC282" s="46"/>
      <c r="DD282" s="46"/>
      <c r="DE282" s="46"/>
      <c r="DF282" s="46"/>
      <c r="DG282" s="46"/>
      <c r="DH282" s="46"/>
      <c r="DI282" s="46"/>
      <c r="DJ282" s="46"/>
      <c r="DK282" s="46"/>
      <c r="DL282" s="46"/>
      <c r="DM282" s="46"/>
      <c r="DN282" s="46"/>
      <c r="DO282" s="46"/>
      <c r="DP282" s="46"/>
      <c r="DQ282" s="46"/>
      <c r="DR282" s="46"/>
      <c r="DS282" s="46"/>
      <c r="DT282" s="46"/>
      <c r="DU282" s="46"/>
      <c r="DV282" s="46"/>
      <c r="DW282" s="46"/>
      <c r="DX282" s="46"/>
      <c r="DY282" s="46"/>
      <c r="DZ282" s="46"/>
      <c r="EA282" s="46"/>
    </row>
    <row r="283" spans="2:131" ht="18" customHeight="1">
      <c r="B283" s="46"/>
      <c r="C283" s="46"/>
      <c r="D283" s="46"/>
      <c r="E283" s="46"/>
      <c r="F283" s="46"/>
      <c r="G283" s="46"/>
      <c r="H283" s="46"/>
      <c r="I283" s="46"/>
      <c r="J283" s="46"/>
      <c r="K283" s="46"/>
      <c r="L283" s="45"/>
      <c r="M283" s="46"/>
      <c r="N283" s="46"/>
      <c r="O283" s="46"/>
      <c r="P283" s="46"/>
      <c r="Q283" s="46"/>
      <c r="R283" s="46"/>
      <c r="S283" s="46"/>
      <c r="T283" s="46"/>
      <c r="U283" s="46"/>
      <c r="V283" s="46"/>
      <c r="W283" s="46"/>
      <c r="X283" s="46"/>
      <c r="Y283" s="46"/>
      <c r="Z283" s="46"/>
      <c r="AA283" s="46"/>
      <c r="AB283" s="46"/>
      <c r="AC283" s="46"/>
      <c r="AD283" s="46"/>
      <c r="AE283" s="46"/>
      <c r="AF283" s="46"/>
      <c r="AG283" s="46"/>
      <c r="AH283" s="46"/>
      <c r="AI283" s="46"/>
      <c r="AJ283" s="46"/>
      <c r="AK283" s="46"/>
      <c r="AL283" s="46"/>
      <c r="AM283" s="46"/>
      <c r="AN283" s="46"/>
      <c r="AO283" s="46"/>
      <c r="AP283" s="46"/>
      <c r="AQ283" s="46"/>
      <c r="AR283" s="46"/>
      <c r="AS283" s="46"/>
      <c r="AT283" s="46"/>
      <c r="AU283" s="46"/>
      <c r="AV283" s="46"/>
      <c r="AW283" s="46"/>
      <c r="AX283" s="46"/>
      <c r="AY283" s="46"/>
      <c r="AZ283" s="46"/>
      <c r="BA283" s="46"/>
      <c r="BB283" s="46"/>
      <c r="BC283" s="46"/>
      <c r="BD283" s="46"/>
      <c r="BE283" s="46"/>
      <c r="BF283" s="46"/>
      <c r="BG283" s="46"/>
      <c r="BH283" s="46"/>
      <c r="BI283" s="46"/>
      <c r="BJ283" s="46"/>
      <c r="BK283" s="46"/>
      <c r="BL283" s="46"/>
      <c r="BM283" s="46"/>
      <c r="BN283" s="46"/>
      <c r="BO283" s="46"/>
      <c r="BP283" s="46"/>
      <c r="BQ283" s="46"/>
      <c r="BR283" s="46"/>
      <c r="BS283" s="46"/>
      <c r="BT283" s="46"/>
      <c r="BU283" s="46"/>
      <c r="BV283" s="46"/>
      <c r="BW283" s="46"/>
      <c r="BX283" s="46"/>
      <c r="BY283" s="46"/>
      <c r="BZ283" s="46"/>
      <c r="CA283" s="46"/>
      <c r="CB283" s="46"/>
      <c r="CC283" s="46"/>
      <c r="CD283" s="46"/>
      <c r="CE283" s="46"/>
      <c r="CF283" s="46"/>
      <c r="CG283" s="46"/>
      <c r="CH283" s="46"/>
      <c r="CI283" s="46"/>
      <c r="CJ283" s="46"/>
      <c r="CK283" s="46"/>
      <c r="CL283" s="46"/>
      <c r="CM283" s="46"/>
      <c r="CN283" s="46"/>
      <c r="CO283" s="46"/>
      <c r="CP283" s="46"/>
      <c r="CQ283" s="46"/>
      <c r="CR283" s="46"/>
      <c r="CS283" s="46"/>
      <c r="CT283" s="46"/>
      <c r="CU283" s="46"/>
      <c r="CV283" s="46"/>
      <c r="CW283" s="46"/>
      <c r="CX283" s="46"/>
      <c r="CY283" s="46"/>
      <c r="CZ283" s="46"/>
      <c r="DA283" s="46"/>
      <c r="DB283" s="46"/>
      <c r="DC283" s="46"/>
      <c r="DD283" s="46"/>
      <c r="DE283" s="46"/>
      <c r="DF283" s="46"/>
      <c r="DG283" s="46"/>
      <c r="DH283" s="46"/>
      <c r="DI283" s="46"/>
      <c r="DJ283" s="46"/>
      <c r="DK283" s="46"/>
      <c r="DL283" s="46"/>
      <c r="DM283" s="46"/>
      <c r="DN283" s="46"/>
      <c r="DO283" s="46"/>
      <c r="DP283" s="46"/>
      <c r="DQ283" s="46"/>
      <c r="DR283" s="46"/>
      <c r="DS283" s="46"/>
      <c r="DT283" s="46"/>
      <c r="DU283" s="46"/>
      <c r="DV283" s="46"/>
      <c r="DW283" s="46"/>
      <c r="DX283" s="46"/>
      <c r="DY283" s="46"/>
      <c r="DZ283" s="46"/>
      <c r="EA283" s="46"/>
    </row>
    <row r="284" spans="2:131" ht="18" customHeight="1">
      <c r="B284" s="46"/>
      <c r="C284" s="46"/>
      <c r="D284" s="46"/>
      <c r="E284" s="46"/>
      <c r="F284" s="46"/>
      <c r="G284" s="46"/>
      <c r="H284" s="46"/>
      <c r="I284" s="46"/>
      <c r="J284" s="46"/>
      <c r="K284" s="46"/>
      <c r="L284" s="45"/>
      <c r="M284" s="46"/>
      <c r="N284" s="46"/>
      <c r="O284" s="46"/>
      <c r="P284" s="46"/>
      <c r="Q284" s="46"/>
      <c r="R284" s="46"/>
      <c r="S284" s="46"/>
      <c r="T284" s="46"/>
      <c r="U284" s="46"/>
      <c r="V284" s="46"/>
      <c r="W284" s="46"/>
      <c r="X284" s="46"/>
      <c r="Y284" s="46"/>
      <c r="Z284" s="46"/>
      <c r="AA284" s="46"/>
      <c r="AB284" s="46"/>
      <c r="AC284" s="46"/>
      <c r="AD284" s="46"/>
      <c r="AE284" s="46"/>
      <c r="AF284" s="46"/>
      <c r="AG284" s="46"/>
      <c r="AH284" s="46"/>
      <c r="AI284" s="46"/>
      <c r="AJ284" s="46"/>
      <c r="AK284" s="46"/>
      <c r="AL284" s="46"/>
      <c r="AM284" s="46"/>
      <c r="AN284" s="46"/>
      <c r="AO284" s="46"/>
      <c r="AP284" s="46"/>
      <c r="AQ284" s="46"/>
      <c r="AR284" s="46"/>
      <c r="AS284" s="46"/>
      <c r="AT284" s="46"/>
      <c r="AU284" s="46"/>
      <c r="AV284" s="46"/>
      <c r="AW284" s="46"/>
      <c r="AX284" s="46"/>
      <c r="AY284" s="46"/>
      <c r="AZ284" s="46"/>
      <c r="BA284" s="46"/>
      <c r="BB284" s="46"/>
      <c r="BC284" s="46"/>
      <c r="BD284" s="46"/>
      <c r="BE284" s="46"/>
      <c r="BF284" s="46"/>
      <c r="BG284" s="46"/>
      <c r="BH284" s="46"/>
      <c r="BI284" s="46"/>
      <c r="BJ284" s="46"/>
      <c r="BK284" s="46"/>
      <c r="BL284" s="46"/>
      <c r="BM284" s="46"/>
      <c r="BN284" s="46"/>
      <c r="BO284" s="46"/>
      <c r="BP284" s="46"/>
      <c r="BQ284" s="46"/>
      <c r="BR284" s="46"/>
      <c r="BS284" s="46"/>
      <c r="BT284" s="46"/>
      <c r="BU284" s="46"/>
      <c r="BV284" s="46"/>
      <c r="BW284" s="46"/>
      <c r="BX284" s="46"/>
      <c r="BY284" s="46"/>
      <c r="BZ284" s="46"/>
      <c r="CA284" s="46"/>
      <c r="CB284" s="46"/>
      <c r="CC284" s="46"/>
      <c r="CD284" s="46"/>
      <c r="CE284" s="46"/>
      <c r="CF284" s="46"/>
      <c r="CG284" s="46"/>
      <c r="CH284" s="46"/>
      <c r="CI284" s="46"/>
      <c r="CJ284" s="46"/>
      <c r="CK284" s="46"/>
      <c r="CL284" s="46"/>
      <c r="CM284" s="46"/>
      <c r="CN284" s="46"/>
      <c r="CO284" s="46"/>
      <c r="CP284" s="46"/>
      <c r="CQ284" s="46"/>
      <c r="CR284" s="46"/>
      <c r="CS284" s="46"/>
      <c r="CT284" s="46"/>
      <c r="CU284" s="46"/>
      <c r="CV284" s="46"/>
      <c r="CW284" s="46"/>
      <c r="CX284" s="46"/>
      <c r="CY284" s="46"/>
      <c r="CZ284" s="46"/>
      <c r="DA284" s="46"/>
      <c r="DB284" s="46"/>
      <c r="DC284" s="46"/>
      <c r="DD284" s="46"/>
      <c r="DE284" s="46"/>
      <c r="DF284" s="46"/>
      <c r="DG284" s="46"/>
      <c r="DH284" s="46"/>
      <c r="DI284" s="46"/>
      <c r="DJ284" s="46"/>
      <c r="DK284" s="46"/>
      <c r="DL284" s="46"/>
      <c r="DM284" s="46"/>
      <c r="DN284" s="46"/>
      <c r="DO284" s="46"/>
      <c r="DP284" s="46"/>
      <c r="DQ284" s="46"/>
      <c r="DR284" s="46"/>
      <c r="DS284" s="46"/>
      <c r="DT284" s="46"/>
      <c r="DU284" s="46"/>
      <c r="DV284" s="46"/>
      <c r="DW284" s="46"/>
      <c r="DX284" s="46"/>
      <c r="DY284" s="46"/>
      <c r="DZ284" s="46"/>
      <c r="EA284" s="46"/>
    </row>
    <row r="285" spans="2:131" ht="18" customHeight="1">
      <c r="B285" s="45"/>
      <c r="C285" s="45"/>
      <c r="D285" s="46"/>
      <c r="E285" s="46"/>
      <c r="F285" s="46"/>
      <c r="G285" s="46"/>
      <c r="H285" s="46"/>
      <c r="I285" s="46"/>
      <c r="J285" s="46"/>
      <c r="K285" s="46"/>
      <c r="L285" s="45"/>
      <c r="M285" s="46"/>
      <c r="N285" s="46"/>
      <c r="O285" s="46"/>
      <c r="P285" s="46"/>
      <c r="Q285" s="46"/>
      <c r="R285" s="46"/>
      <c r="S285" s="46"/>
      <c r="T285" s="46"/>
      <c r="U285" s="46"/>
      <c r="V285" s="46"/>
      <c r="W285" s="46"/>
      <c r="X285" s="46"/>
      <c r="Y285" s="46"/>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c r="AV285" s="46"/>
      <c r="AW285" s="46"/>
      <c r="AX285" s="46"/>
      <c r="AY285" s="46"/>
      <c r="AZ285" s="46"/>
      <c r="BA285" s="46"/>
      <c r="BB285" s="46"/>
      <c r="BC285" s="46"/>
      <c r="BD285" s="46"/>
      <c r="BE285" s="46"/>
      <c r="BF285" s="46"/>
      <c r="BG285" s="46"/>
      <c r="BH285" s="46"/>
      <c r="BI285" s="46"/>
      <c r="BJ285" s="46"/>
      <c r="BK285" s="46"/>
      <c r="BL285" s="46"/>
      <c r="BM285" s="46"/>
      <c r="BN285" s="46"/>
      <c r="BO285" s="46"/>
      <c r="BP285" s="46"/>
      <c r="BQ285" s="46"/>
      <c r="BR285" s="46"/>
      <c r="BS285" s="46"/>
      <c r="BT285" s="46"/>
      <c r="BU285" s="46"/>
      <c r="BV285" s="46"/>
      <c r="BW285" s="46"/>
      <c r="BX285" s="46"/>
      <c r="BY285" s="46"/>
      <c r="BZ285" s="46"/>
      <c r="CA285" s="46"/>
      <c r="CB285" s="46"/>
      <c r="CC285" s="46"/>
      <c r="CD285" s="46"/>
      <c r="CE285" s="46"/>
      <c r="CF285" s="46"/>
      <c r="CG285" s="46"/>
      <c r="CH285" s="46"/>
      <c r="CI285" s="46"/>
      <c r="CJ285" s="46"/>
      <c r="CK285" s="46"/>
      <c r="CL285" s="46"/>
      <c r="CM285" s="46"/>
      <c r="CN285" s="46"/>
      <c r="CO285" s="46"/>
      <c r="CP285" s="46"/>
      <c r="CQ285" s="46"/>
      <c r="CR285" s="46"/>
      <c r="CS285" s="46"/>
      <c r="CT285" s="46"/>
      <c r="CU285" s="46"/>
      <c r="CV285" s="46"/>
      <c r="CW285" s="46"/>
      <c r="CX285" s="46"/>
      <c r="CY285" s="46"/>
      <c r="CZ285" s="46"/>
      <c r="DA285" s="46"/>
      <c r="DB285" s="46"/>
      <c r="DC285" s="46"/>
      <c r="DD285" s="46"/>
      <c r="DE285" s="46"/>
      <c r="DF285" s="46"/>
      <c r="DG285" s="46"/>
      <c r="DH285" s="46"/>
      <c r="DI285" s="46"/>
      <c r="DJ285" s="46"/>
      <c r="DK285" s="46"/>
      <c r="DL285" s="46"/>
      <c r="DM285" s="46"/>
      <c r="DN285" s="46"/>
      <c r="DO285" s="46"/>
      <c r="DP285" s="46"/>
      <c r="DQ285" s="46"/>
      <c r="DR285" s="46"/>
      <c r="DS285" s="46"/>
      <c r="DT285" s="46"/>
      <c r="DU285" s="46"/>
      <c r="DV285" s="46"/>
      <c r="DW285" s="46"/>
      <c r="DX285" s="46"/>
      <c r="DY285" s="46"/>
      <c r="DZ285" s="46"/>
      <c r="EA285" s="46"/>
    </row>
    <row r="286" spans="2:131" ht="18" customHeight="1">
      <c r="B286" s="46"/>
      <c r="C286" s="46"/>
      <c r="D286" s="46"/>
      <c r="E286" s="46"/>
      <c r="F286" s="46"/>
      <c r="G286" s="46"/>
      <c r="H286" s="46"/>
      <c r="I286" s="46"/>
      <c r="J286" s="46"/>
      <c r="K286" s="46"/>
      <c r="L286" s="45"/>
      <c r="M286" s="46"/>
      <c r="N286" s="46"/>
      <c r="O286" s="46"/>
      <c r="P286" s="46"/>
      <c r="Q286" s="46"/>
      <c r="R286" s="46"/>
      <c r="S286" s="46"/>
      <c r="T286" s="46"/>
      <c r="U286" s="46"/>
      <c r="V286" s="46"/>
      <c r="W286" s="46"/>
      <c r="X286" s="46"/>
      <c r="Y286" s="46"/>
      <c r="Z286" s="46"/>
      <c r="AA286" s="46"/>
      <c r="AB286" s="46"/>
      <c r="AC286" s="46"/>
      <c r="AD286" s="46"/>
      <c r="AE286" s="46"/>
      <c r="AF286" s="46"/>
      <c r="AG286" s="46"/>
      <c r="AH286" s="46"/>
      <c r="AI286" s="46"/>
      <c r="AJ286" s="46"/>
      <c r="AK286" s="46"/>
      <c r="AL286" s="46"/>
      <c r="AM286" s="46"/>
      <c r="AN286" s="46"/>
      <c r="AO286" s="46"/>
      <c r="AP286" s="46"/>
      <c r="AQ286" s="46"/>
      <c r="AR286" s="46"/>
      <c r="AS286" s="46"/>
      <c r="AT286" s="46"/>
      <c r="AU286" s="46"/>
      <c r="AV286" s="46"/>
      <c r="AW286" s="46"/>
      <c r="AX286" s="46"/>
      <c r="AY286" s="46"/>
      <c r="AZ286" s="46"/>
      <c r="BA286" s="46"/>
      <c r="BB286" s="46"/>
      <c r="BC286" s="46"/>
      <c r="BD286" s="46"/>
      <c r="BE286" s="46"/>
      <c r="BF286" s="46"/>
      <c r="BG286" s="46"/>
      <c r="BH286" s="46"/>
      <c r="BI286" s="46"/>
      <c r="BJ286" s="46"/>
      <c r="BK286" s="46"/>
      <c r="BL286" s="46"/>
      <c r="BM286" s="46"/>
      <c r="BN286" s="46"/>
      <c r="BO286" s="46"/>
      <c r="BP286" s="46"/>
      <c r="BQ286" s="46"/>
      <c r="BR286" s="46"/>
      <c r="BS286" s="46"/>
      <c r="BT286" s="46"/>
      <c r="BU286" s="46"/>
      <c r="BV286" s="46"/>
      <c r="BW286" s="46"/>
      <c r="BX286" s="46"/>
      <c r="BY286" s="46"/>
      <c r="BZ286" s="46"/>
      <c r="CA286" s="46"/>
      <c r="CB286" s="46"/>
      <c r="CC286" s="46"/>
      <c r="CD286" s="46"/>
      <c r="CE286" s="46"/>
      <c r="CF286" s="46"/>
      <c r="CG286" s="46"/>
      <c r="CH286" s="46"/>
      <c r="CI286" s="46"/>
      <c r="CJ286" s="46"/>
      <c r="CK286" s="46"/>
      <c r="CL286" s="46"/>
      <c r="CM286" s="46"/>
      <c r="CN286" s="46"/>
      <c r="CO286" s="46"/>
      <c r="CP286" s="46"/>
      <c r="CQ286" s="46"/>
      <c r="CR286" s="46"/>
      <c r="CS286" s="46"/>
      <c r="CT286" s="46"/>
      <c r="CU286" s="46"/>
      <c r="CV286" s="46"/>
      <c r="CW286" s="46"/>
      <c r="CX286" s="46"/>
      <c r="CY286" s="46"/>
      <c r="CZ286" s="46"/>
      <c r="DA286" s="46"/>
      <c r="DB286" s="46"/>
      <c r="DC286" s="46"/>
      <c r="DD286" s="46"/>
      <c r="DE286" s="46"/>
      <c r="DF286" s="46"/>
      <c r="DG286" s="46"/>
      <c r="DH286" s="46"/>
      <c r="DI286" s="46"/>
      <c r="DJ286" s="46"/>
      <c r="DK286" s="46"/>
      <c r="DL286" s="46"/>
      <c r="DM286" s="46"/>
      <c r="DN286" s="46"/>
      <c r="DO286" s="46"/>
      <c r="DP286" s="46"/>
      <c r="DQ286" s="46"/>
      <c r="DR286" s="46"/>
      <c r="DS286" s="46"/>
      <c r="DT286" s="46"/>
      <c r="DU286" s="46"/>
      <c r="DV286" s="46"/>
      <c r="DW286" s="46"/>
      <c r="DX286" s="46"/>
      <c r="DY286" s="46"/>
      <c r="DZ286" s="46"/>
      <c r="EA286" s="46"/>
    </row>
    <row r="287" spans="2:131" ht="18" customHeight="1">
      <c r="B287" s="46"/>
      <c r="C287" s="46"/>
      <c r="D287" s="46"/>
      <c r="E287" s="46"/>
      <c r="F287" s="46"/>
      <c r="G287" s="46"/>
      <c r="H287" s="46"/>
      <c r="I287" s="46"/>
      <c r="J287" s="46"/>
      <c r="K287" s="46"/>
      <c r="L287" s="45"/>
      <c r="M287" s="46"/>
      <c r="N287" s="46"/>
      <c r="O287" s="46"/>
      <c r="P287" s="46"/>
      <c r="Q287" s="46"/>
      <c r="R287" s="46"/>
      <c r="S287" s="46"/>
      <c r="T287" s="46"/>
      <c r="U287" s="46"/>
      <c r="V287" s="46"/>
      <c r="W287" s="46"/>
      <c r="X287" s="46"/>
      <c r="Y287" s="46"/>
      <c r="Z287" s="46"/>
      <c r="AA287" s="46"/>
      <c r="AB287" s="46"/>
      <c r="AC287" s="46"/>
      <c r="AD287" s="46"/>
      <c r="AE287" s="46"/>
      <c r="AF287" s="46"/>
      <c r="AG287" s="46"/>
      <c r="AH287" s="46"/>
      <c r="AI287" s="46"/>
      <c r="AJ287" s="46"/>
      <c r="AK287" s="46"/>
      <c r="AL287" s="46"/>
      <c r="AM287" s="46"/>
      <c r="AN287" s="46"/>
      <c r="AO287" s="46"/>
      <c r="AP287" s="46"/>
      <c r="AQ287" s="46"/>
      <c r="AR287" s="46"/>
      <c r="AS287" s="46"/>
      <c r="AT287" s="46"/>
      <c r="AU287" s="46"/>
      <c r="AV287" s="46"/>
      <c r="AW287" s="46"/>
      <c r="AX287" s="46"/>
      <c r="AY287" s="46"/>
      <c r="AZ287" s="46"/>
      <c r="BA287" s="46"/>
      <c r="BB287" s="46"/>
      <c r="BC287" s="46"/>
      <c r="BD287" s="46"/>
      <c r="BE287" s="46"/>
      <c r="BF287" s="46"/>
      <c r="BG287" s="46"/>
      <c r="BH287" s="46"/>
      <c r="BI287" s="46"/>
      <c r="BJ287" s="46"/>
      <c r="BK287" s="46"/>
      <c r="BL287" s="46"/>
      <c r="BM287" s="46"/>
      <c r="BN287" s="46"/>
      <c r="BO287" s="46"/>
      <c r="BP287" s="46"/>
      <c r="BQ287" s="46"/>
      <c r="BR287" s="46"/>
      <c r="BS287" s="46"/>
      <c r="BT287" s="46"/>
      <c r="BU287" s="46"/>
      <c r="BV287" s="46"/>
      <c r="BW287" s="46"/>
      <c r="BX287" s="46"/>
      <c r="BY287" s="46"/>
      <c r="BZ287" s="46"/>
      <c r="CA287" s="46"/>
      <c r="CB287" s="46"/>
      <c r="CC287" s="46"/>
      <c r="CD287" s="46"/>
      <c r="CE287" s="46"/>
      <c r="CF287" s="46"/>
      <c r="CG287" s="46"/>
      <c r="CH287" s="46"/>
      <c r="CI287" s="46"/>
      <c r="CJ287" s="46"/>
      <c r="CK287" s="46"/>
      <c r="CL287" s="46"/>
      <c r="CM287" s="46"/>
      <c r="CN287" s="46"/>
      <c r="CO287" s="46"/>
      <c r="CP287" s="46"/>
      <c r="CQ287" s="46"/>
      <c r="CR287" s="46"/>
      <c r="CS287" s="46"/>
      <c r="CT287" s="46"/>
      <c r="CU287" s="46"/>
      <c r="CV287" s="46"/>
      <c r="CW287" s="46"/>
      <c r="CX287" s="46"/>
      <c r="CY287" s="46"/>
      <c r="CZ287" s="46"/>
      <c r="DA287" s="46"/>
      <c r="DB287" s="46"/>
      <c r="DC287" s="46"/>
      <c r="DD287" s="46"/>
      <c r="DE287" s="46"/>
      <c r="DF287" s="46"/>
      <c r="DG287" s="46"/>
      <c r="DH287" s="46"/>
      <c r="DI287" s="46"/>
      <c r="DJ287" s="46"/>
      <c r="DK287" s="46"/>
      <c r="DL287" s="46"/>
      <c r="DM287" s="46"/>
      <c r="DN287" s="46"/>
      <c r="DO287" s="46"/>
      <c r="DP287" s="46"/>
      <c r="DQ287" s="46"/>
      <c r="DR287" s="46"/>
      <c r="DS287" s="46"/>
      <c r="DT287" s="46"/>
      <c r="DU287" s="46"/>
      <c r="DV287" s="46"/>
      <c r="DW287" s="46"/>
      <c r="DX287" s="46"/>
      <c r="DY287" s="46"/>
      <c r="DZ287" s="46"/>
      <c r="EA287" s="46"/>
    </row>
    <row r="288" spans="2:131" ht="18" customHeight="1">
      <c r="B288" s="46"/>
      <c r="C288" s="46"/>
      <c r="D288" s="46"/>
      <c r="E288" s="46"/>
      <c r="F288" s="46"/>
      <c r="G288" s="46"/>
      <c r="H288" s="46"/>
      <c r="I288" s="46"/>
      <c r="J288" s="46"/>
      <c r="K288" s="46"/>
      <c r="L288" s="45"/>
      <c r="M288" s="46"/>
      <c r="N288" s="46"/>
      <c r="O288" s="46"/>
      <c r="P288" s="46"/>
      <c r="Q288" s="46"/>
      <c r="R288" s="46"/>
      <c r="S288" s="46"/>
      <c r="T288" s="46"/>
      <c r="U288" s="46"/>
      <c r="V288" s="46"/>
      <c r="W288" s="46"/>
      <c r="X288" s="46"/>
      <c r="Y288" s="46"/>
      <c r="Z288" s="46"/>
      <c r="AA288" s="46"/>
      <c r="AB288" s="46"/>
      <c r="AC288" s="46"/>
      <c r="AD288" s="46"/>
      <c r="AE288" s="46"/>
      <c r="AF288" s="46"/>
      <c r="AG288" s="46"/>
      <c r="AH288" s="46"/>
      <c r="AI288" s="46"/>
      <c r="AJ288" s="46"/>
      <c r="AK288" s="46"/>
      <c r="AL288" s="46"/>
      <c r="AM288" s="46"/>
      <c r="AN288" s="46"/>
      <c r="AO288" s="46"/>
      <c r="AP288" s="46"/>
      <c r="AQ288" s="46"/>
      <c r="AR288" s="46"/>
      <c r="AS288" s="46"/>
      <c r="AT288" s="46"/>
      <c r="AU288" s="46"/>
      <c r="AV288" s="46"/>
      <c r="AW288" s="46"/>
      <c r="AX288" s="46"/>
      <c r="AY288" s="46"/>
      <c r="AZ288" s="46"/>
      <c r="BA288" s="46"/>
      <c r="BB288" s="46"/>
      <c r="BC288" s="46"/>
      <c r="BD288" s="46"/>
      <c r="BE288" s="46"/>
      <c r="BF288" s="46"/>
      <c r="BG288" s="46"/>
      <c r="BH288" s="46"/>
      <c r="BI288" s="46"/>
      <c r="BJ288" s="46"/>
      <c r="BK288" s="46"/>
      <c r="BL288" s="46"/>
      <c r="BM288" s="46"/>
      <c r="BN288" s="46"/>
      <c r="BO288" s="46"/>
      <c r="BP288" s="46"/>
      <c r="BQ288" s="46"/>
      <c r="BR288" s="46"/>
      <c r="BS288" s="46"/>
      <c r="BT288" s="46"/>
      <c r="BU288" s="46"/>
      <c r="BV288" s="46"/>
      <c r="BW288" s="46"/>
      <c r="BX288" s="46"/>
      <c r="BY288" s="46"/>
      <c r="BZ288" s="46"/>
      <c r="CA288" s="46"/>
      <c r="CB288" s="46"/>
      <c r="CC288" s="46"/>
      <c r="CD288" s="46"/>
      <c r="CE288" s="46"/>
      <c r="CF288" s="46"/>
      <c r="CG288" s="46"/>
      <c r="CH288" s="46"/>
      <c r="CI288" s="46"/>
      <c r="CJ288" s="46"/>
      <c r="CK288" s="46"/>
      <c r="CL288" s="46"/>
      <c r="CM288" s="46"/>
      <c r="CN288" s="46"/>
      <c r="CO288" s="46"/>
      <c r="CP288" s="46"/>
      <c r="CQ288" s="46"/>
      <c r="CR288" s="46"/>
      <c r="CS288" s="46"/>
      <c r="CT288" s="46"/>
      <c r="CU288" s="46"/>
      <c r="CV288" s="46"/>
      <c r="CW288" s="46"/>
      <c r="CX288" s="46"/>
      <c r="CY288" s="46"/>
      <c r="CZ288" s="46"/>
      <c r="DA288" s="46"/>
      <c r="DB288" s="46"/>
      <c r="DC288" s="46"/>
      <c r="DD288" s="46"/>
      <c r="DE288" s="46"/>
      <c r="DF288" s="46"/>
      <c r="DG288" s="46"/>
      <c r="DH288" s="46"/>
      <c r="DI288" s="46"/>
      <c r="DJ288" s="46"/>
      <c r="DK288" s="46"/>
      <c r="DL288" s="46"/>
      <c r="DM288" s="46"/>
      <c r="DN288" s="46"/>
      <c r="DO288" s="46"/>
      <c r="DP288" s="46"/>
      <c r="DQ288" s="46"/>
      <c r="DR288" s="46"/>
      <c r="DS288" s="46"/>
      <c r="DT288" s="46"/>
      <c r="DU288" s="46"/>
      <c r="DV288" s="46"/>
      <c r="DW288" s="46"/>
      <c r="DX288" s="46"/>
      <c r="DY288" s="46"/>
      <c r="DZ288" s="46"/>
      <c r="EA288" s="46"/>
    </row>
    <row r="289" spans="2:131" ht="18" customHeight="1">
      <c r="B289" s="46"/>
      <c r="C289" s="46"/>
      <c r="D289" s="46"/>
      <c r="E289" s="46"/>
      <c r="F289" s="46"/>
      <c r="G289" s="46"/>
      <c r="H289" s="46"/>
      <c r="I289" s="46"/>
      <c r="J289" s="46"/>
      <c r="K289" s="46"/>
      <c r="L289" s="45"/>
      <c r="M289" s="46"/>
      <c r="N289" s="46"/>
      <c r="O289" s="46"/>
      <c r="P289" s="46"/>
      <c r="Q289" s="46"/>
      <c r="R289" s="46"/>
      <c r="S289" s="46"/>
      <c r="T289" s="46"/>
      <c r="U289" s="46"/>
      <c r="V289" s="46"/>
      <c r="W289" s="46"/>
      <c r="X289" s="46"/>
      <c r="Y289" s="46"/>
      <c r="Z289" s="46"/>
      <c r="AA289" s="46"/>
      <c r="AB289" s="46"/>
      <c r="AC289" s="46"/>
      <c r="AD289" s="46"/>
      <c r="AE289" s="46"/>
      <c r="AF289" s="46"/>
      <c r="AG289" s="46"/>
      <c r="AH289" s="46"/>
      <c r="AI289" s="46"/>
      <c r="AJ289" s="46"/>
      <c r="AK289" s="46"/>
      <c r="AL289" s="46"/>
      <c r="AM289" s="46"/>
      <c r="AN289" s="46"/>
      <c r="AO289" s="46"/>
      <c r="AP289" s="46"/>
      <c r="AQ289" s="46"/>
      <c r="AR289" s="46"/>
      <c r="AS289" s="46"/>
      <c r="AT289" s="46"/>
      <c r="AU289" s="46"/>
      <c r="AV289" s="46"/>
      <c r="AW289" s="46"/>
      <c r="AX289" s="46"/>
      <c r="AY289" s="46"/>
      <c r="AZ289" s="46"/>
      <c r="BA289" s="46"/>
      <c r="BB289" s="46"/>
      <c r="BC289" s="46"/>
      <c r="BD289" s="46"/>
      <c r="BE289" s="46"/>
      <c r="BF289" s="46"/>
      <c r="BG289" s="46"/>
      <c r="BH289" s="46"/>
      <c r="BI289" s="46"/>
      <c r="BJ289" s="46"/>
      <c r="BK289" s="46"/>
      <c r="BL289" s="46"/>
      <c r="BM289" s="46"/>
      <c r="BN289" s="46"/>
      <c r="BO289" s="46"/>
      <c r="BP289" s="46"/>
      <c r="BQ289" s="46"/>
      <c r="BR289" s="46"/>
      <c r="BS289" s="46"/>
      <c r="BT289" s="46"/>
      <c r="BU289" s="46"/>
      <c r="BV289" s="46"/>
      <c r="BW289" s="46"/>
      <c r="BX289" s="46"/>
      <c r="BY289" s="46"/>
      <c r="BZ289" s="46"/>
      <c r="CA289" s="46"/>
      <c r="CB289" s="46"/>
      <c r="CC289" s="46"/>
      <c r="CD289" s="46"/>
      <c r="CE289" s="46"/>
      <c r="CF289" s="46"/>
      <c r="CG289" s="46"/>
      <c r="CH289" s="46"/>
      <c r="CI289" s="46"/>
      <c r="CJ289" s="46"/>
      <c r="CK289" s="46"/>
      <c r="CL289" s="46"/>
      <c r="CM289" s="46"/>
      <c r="CN289" s="46"/>
      <c r="CO289" s="46"/>
      <c r="CP289" s="46"/>
      <c r="CQ289" s="46"/>
      <c r="CR289" s="46"/>
      <c r="CS289" s="46"/>
      <c r="CT289" s="46"/>
      <c r="CU289" s="46"/>
      <c r="CV289" s="46"/>
      <c r="CW289" s="46"/>
      <c r="CX289" s="46"/>
      <c r="CY289" s="46"/>
      <c r="CZ289" s="46"/>
      <c r="DA289" s="46"/>
      <c r="DB289" s="46"/>
      <c r="DC289" s="46"/>
      <c r="DD289" s="46"/>
      <c r="DE289" s="46"/>
      <c r="DF289" s="46"/>
      <c r="DG289" s="46"/>
      <c r="DH289" s="46"/>
      <c r="DI289" s="46"/>
      <c r="DJ289" s="46"/>
      <c r="DK289" s="46"/>
      <c r="DL289" s="46"/>
      <c r="DM289" s="46"/>
      <c r="DN289" s="46"/>
      <c r="DO289" s="46"/>
      <c r="DP289" s="46"/>
      <c r="DQ289" s="46"/>
      <c r="DR289" s="46"/>
      <c r="DS289" s="46"/>
      <c r="DT289" s="46"/>
      <c r="DU289" s="46"/>
      <c r="DV289" s="46"/>
      <c r="DW289" s="46"/>
      <c r="DX289" s="46"/>
      <c r="DY289" s="46"/>
      <c r="DZ289" s="46"/>
      <c r="EA289" s="46"/>
    </row>
    <row r="290" spans="2:131" ht="18" customHeight="1">
      <c r="B290" s="46"/>
      <c r="C290" s="46"/>
      <c r="D290" s="46"/>
      <c r="E290" s="46"/>
      <c r="F290" s="46"/>
      <c r="G290" s="46"/>
      <c r="H290" s="46"/>
      <c r="I290" s="46"/>
      <c r="J290" s="46"/>
      <c r="K290" s="46"/>
      <c r="L290" s="45"/>
      <c r="M290" s="46"/>
      <c r="N290" s="46"/>
      <c r="O290" s="46"/>
      <c r="P290" s="46"/>
      <c r="Q290" s="46"/>
      <c r="R290" s="46"/>
      <c r="S290" s="46"/>
      <c r="T290" s="46"/>
      <c r="U290" s="46"/>
      <c r="V290" s="46"/>
      <c r="W290" s="46"/>
      <c r="X290" s="46"/>
      <c r="Y290" s="46"/>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c r="AV290" s="46"/>
      <c r="AW290" s="46"/>
      <c r="AX290" s="46"/>
      <c r="AY290" s="46"/>
      <c r="AZ290" s="46"/>
      <c r="BA290" s="46"/>
      <c r="BB290" s="46"/>
      <c r="BC290" s="46"/>
      <c r="BD290" s="46"/>
      <c r="BE290" s="46"/>
      <c r="BF290" s="46"/>
      <c r="BG290" s="46"/>
      <c r="BH290" s="46"/>
      <c r="BI290" s="46"/>
      <c r="BJ290" s="46"/>
      <c r="BK290" s="46"/>
      <c r="BL290" s="46"/>
      <c r="BM290" s="46"/>
      <c r="BN290" s="46"/>
      <c r="BO290" s="46"/>
      <c r="BP290" s="46"/>
      <c r="BQ290" s="46"/>
      <c r="BR290" s="46"/>
      <c r="BS290" s="46"/>
      <c r="BT290" s="46"/>
      <c r="BU290" s="46"/>
      <c r="BV290" s="46"/>
      <c r="BW290" s="46"/>
      <c r="BX290" s="46"/>
      <c r="BY290" s="46"/>
      <c r="BZ290" s="46"/>
      <c r="CA290" s="46"/>
      <c r="CB290" s="46"/>
      <c r="CC290" s="46"/>
      <c r="CD290" s="46"/>
      <c r="CE290" s="46"/>
      <c r="CF290" s="46"/>
      <c r="CG290" s="46"/>
      <c r="CH290" s="46"/>
      <c r="CI290" s="46"/>
      <c r="CJ290" s="46"/>
      <c r="CK290" s="46"/>
      <c r="CL290" s="46"/>
      <c r="CM290" s="46"/>
      <c r="CN290" s="46"/>
      <c r="CO290" s="46"/>
      <c r="CP290" s="46"/>
      <c r="CQ290" s="46"/>
      <c r="CR290" s="46"/>
      <c r="CS290" s="46"/>
      <c r="CT290" s="46"/>
      <c r="CU290" s="46"/>
      <c r="CV290" s="46"/>
      <c r="CW290" s="46"/>
      <c r="CX290" s="46"/>
      <c r="CY290" s="46"/>
      <c r="CZ290" s="46"/>
      <c r="DA290" s="46"/>
      <c r="DB290" s="46"/>
      <c r="DC290" s="46"/>
      <c r="DD290" s="46"/>
      <c r="DE290" s="46"/>
      <c r="DF290" s="46"/>
      <c r="DG290" s="46"/>
      <c r="DH290" s="46"/>
      <c r="DI290" s="46"/>
      <c r="DJ290" s="46"/>
      <c r="DK290" s="46"/>
      <c r="DL290" s="46"/>
      <c r="DM290" s="46"/>
      <c r="DN290" s="46"/>
      <c r="DO290" s="46"/>
      <c r="DP290" s="46"/>
      <c r="DQ290" s="46"/>
      <c r="DR290" s="46"/>
      <c r="DS290" s="46"/>
      <c r="DT290" s="46"/>
      <c r="DU290" s="46"/>
      <c r="DV290" s="46"/>
      <c r="DW290" s="46"/>
      <c r="DX290" s="46"/>
      <c r="DY290" s="46"/>
      <c r="DZ290" s="46"/>
      <c r="EA290" s="46"/>
    </row>
    <row r="291" spans="2:131" ht="18" customHeight="1">
      <c r="B291" s="45"/>
      <c r="C291" s="45"/>
      <c r="D291" s="46"/>
      <c r="E291" s="46"/>
      <c r="F291" s="46"/>
      <c r="G291" s="46"/>
      <c r="H291" s="46"/>
      <c r="I291" s="46"/>
      <c r="J291" s="46"/>
      <c r="K291" s="46"/>
      <c r="L291" s="45"/>
      <c r="M291" s="46"/>
      <c r="N291" s="46"/>
      <c r="O291" s="46"/>
      <c r="P291" s="46"/>
      <c r="Q291" s="46"/>
      <c r="R291" s="46"/>
      <c r="S291" s="46"/>
      <c r="T291" s="46"/>
      <c r="U291" s="46"/>
      <c r="V291" s="46"/>
      <c r="W291" s="46"/>
      <c r="X291" s="46"/>
      <c r="Y291" s="46"/>
      <c r="Z291" s="46"/>
      <c r="AA291" s="46"/>
      <c r="AB291" s="46"/>
      <c r="AC291" s="46"/>
      <c r="AD291" s="46"/>
      <c r="AE291" s="46"/>
      <c r="AF291" s="46"/>
      <c r="AG291" s="46"/>
      <c r="AH291" s="46"/>
      <c r="AI291" s="46"/>
      <c r="AJ291" s="46"/>
      <c r="AK291" s="46"/>
      <c r="AL291" s="46"/>
      <c r="AM291" s="46"/>
      <c r="AN291" s="46"/>
      <c r="AO291" s="46"/>
      <c r="AP291" s="46"/>
      <c r="AQ291" s="46"/>
      <c r="AR291" s="46"/>
      <c r="AS291" s="46"/>
      <c r="AT291" s="46"/>
      <c r="AU291" s="46"/>
      <c r="AV291" s="46"/>
      <c r="AW291" s="46"/>
      <c r="AX291" s="46"/>
      <c r="AY291" s="46"/>
      <c r="AZ291" s="46"/>
      <c r="BA291" s="46"/>
      <c r="BB291" s="46"/>
      <c r="BC291" s="46"/>
      <c r="BD291" s="46"/>
      <c r="BE291" s="46"/>
      <c r="BF291" s="46"/>
      <c r="BG291" s="46"/>
      <c r="BH291" s="46"/>
      <c r="BI291" s="46"/>
      <c r="BJ291" s="46"/>
      <c r="BK291" s="46"/>
      <c r="BL291" s="46"/>
      <c r="BM291" s="46"/>
      <c r="BN291" s="46"/>
      <c r="BO291" s="46"/>
      <c r="BP291" s="46"/>
      <c r="BQ291" s="46"/>
      <c r="BR291" s="46"/>
      <c r="BS291" s="46"/>
      <c r="BT291" s="46"/>
      <c r="BU291" s="46"/>
      <c r="BV291" s="46"/>
      <c r="BW291" s="46"/>
      <c r="BX291" s="46"/>
      <c r="BY291" s="46"/>
      <c r="BZ291" s="46"/>
      <c r="CA291" s="46"/>
      <c r="CB291" s="46"/>
      <c r="CC291" s="46"/>
      <c r="CD291" s="46"/>
      <c r="CE291" s="46"/>
      <c r="CF291" s="46"/>
      <c r="CG291" s="46"/>
      <c r="CH291" s="46"/>
      <c r="CI291" s="46"/>
      <c r="CJ291" s="46"/>
      <c r="CK291" s="46"/>
      <c r="CL291" s="46"/>
      <c r="CM291" s="46"/>
      <c r="CN291" s="46"/>
      <c r="CO291" s="46"/>
      <c r="CP291" s="46"/>
      <c r="CQ291" s="46"/>
      <c r="CR291" s="46"/>
      <c r="CS291" s="46"/>
      <c r="CT291" s="46"/>
      <c r="CU291" s="46"/>
      <c r="CV291" s="46"/>
      <c r="CW291" s="46"/>
      <c r="CX291" s="46"/>
      <c r="CY291" s="46"/>
      <c r="CZ291" s="46"/>
      <c r="DA291" s="46"/>
      <c r="DB291" s="46"/>
      <c r="DC291" s="46"/>
      <c r="DD291" s="46"/>
      <c r="DE291" s="46"/>
      <c r="DF291" s="46"/>
      <c r="DG291" s="46"/>
      <c r="DH291" s="46"/>
      <c r="DI291" s="46"/>
      <c r="DJ291" s="46"/>
      <c r="DK291" s="46"/>
      <c r="DL291" s="46"/>
      <c r="DM291" s="46"/>
      <c r="DN291" s="46"/>
      <c r="DO291" s="46"/>
      <c r="DP291" s="46"/>
      <c r="DQ291" s="46"/>
      <c r="DR291" s="46"/>
      <c r="DS291" s="46"/>
      <c r="DT291" s="46"/>
      <c r="DU291" s="46"/>
      <c r="DV291" s="46"/>
      <c r="DW291" s="46"/>
      <c r="DX291" s="46"/>
      <c r="DY291" s="46"/>
      <c r="DZ291" s="46"/>
      <c r="EA291" s="46"/>
    </row>
    <row r="292" spans="2:131" ht="18" customHeight="1">
      <c r="B292" s="46"/>
      <c r="C292" s="46"/>
      <c r="D292" s="46"/>
      <c r="E292" s="46"/>
      <c r="F292" s="46"/>
      <c r="G292" s="46"/>
      <c r="H292" s="46"/>
      <c r="I292" s="46"/>
      <c r="J292" s="46"/>
      <c r="K292" s="46"/>
      <c r="L292" s="45"/>
      <c r="M292" s="46"/>
      <c r="N292" s="46"/>
      <c r="O292" s="46"/>
      <c r="P292" s="46"/>
      <c r="Q292" s="46"/>
      <c r="R292" s="46"/>
      <c r="S292" s="46"/>
      <c r="T292" s="46"/>
      <c r="U292" s="46"/>
      <c r="V292" s="46"/>
      <c r="W292" s="46"/>
      <c r="X292" s="46"/>
      <c r="Y292" s="46"/>
      <c r="Z292" s="46"/>
      <c r="AA292" s="46"/>
      <c r="AB292" s="46"/>
      <c r="AC292" s="46"/>
      <c r="AD292" s="46"/>
      <c r="AE292" s="46"/>
      <c r="AF292" s="46"/>
      <c r="AG292" s="46"/>
      <c r="AH292" s="46"/>
      <c r="AI292" s="46"/>
      <c r="AJ292" s="46"/>
      <c r="AK292" s="46"/>
      <c r="AL292" s="46"/>
      <c r="AM292" s="46"/>
      <c r="AN292" s="46"/>
      <c r="AO292" s="46"/>
      <c r="AP292" s="46"/>
      <c r="AQ292" s="46"/>
      <c r="AR292" s="46"/>
      <c r="AS292" s="46"/>
      <c r="AT292" s="46"/>
      <c r="AU292" s="46"/>
      <c r="AV292" s="46"/>
      <c r="AW292" s="46"/>
      <c r="AX292" s="46"/>
      <c r="AY292" s="46"/>
      <c r="AZ292" s="46"/>
      <c r="BA292" s="46"/>
      <c r="BB292" s="46"/>
      <c r="BC292" s="46"/>
      <c r="BD292" s="46"/>
      <c r="BE292" s="46"/>
      <c r="BF292" s="46"/>
      <c r="BG292" s="46"/>
      <c r="BH292" s="46"/>
      <c r="BI292" s="46"/>
      <c r="BJ292" s="46"/>
      <c r="BK292" s="46"/>
      <c r="BL292" s="46"/>
      <c r="BM292" s="46"/>
      <c r="BN292" s="46"/>
      <c r="BO292" s="46"/>
      <c r="BP292" s="46"/>
      <c r="BQ292" s="46"/>
      <c r="BR292" s="46"/>
      <c r="BS292" s="46"/>
      <c r="BT292" s="46"/>
      <c r="BU292" s="46"/>
      <c r="BV292" s="46"/>
      <c r="BW292" s="46"/>
      <c r="BX292" s="46"/>
      <c r="BY292" s="46"/>
      <c r="BZ292" s="46"/>
      <c r="CA292" s="46"/>
      <c r="CB292" s="46"/>
      <c r="CC292" s="46"/>
      <c r="CD292" s="46"/>
      <c r="CE292" s="46"/>
      <c r="CF292" s="46"/>
      <c r="CG292" s="46"/>
      <c r="CH292" s="46"/>
      <c r="CI292" s="46"/>
      <c r="CJ292" s="46"/>
      <c r="CK292" s="46"/>
      <c r="CL292" s="46"/>
      <c r="CM292" s="46"/>
      <c r="CN292" s="46"/>
      <c r="CO292" s="46"/>
      <c r="CP292" s="46"/>
      <c r="CQ292" s="46"/>
      <c r="CR292" s="46"/>
      <c r="CS292" s="46"/>
      <c r="CT292" s="46"/>
      <c r="CU292" s="46"/>
      <c r="CV292" s="46"/>
      <c r="CW292" s="46"/>
      <c r="CX292" s="46"/>
      <c r="CY292" s="46"/>
      <c r="CZ292" s="46"/>
      <c r="DA292" s="46"/>
      <c r="DB292" s="46"/>
      <c r="DC292" s="46"/>
      <c r="DD292" s="46"/>
      <c r="DE292" s="46"/>
      <c r="DF292" s="46"/>
      <c r="DG292" s="46"/>
      <c r="DH292" s="46"/>
      <c r="DI292" s="46"/>
      <c r="DJ292" s="46"/>
      <c r="DK292" s="46"/>
      <c r="DL292" s="46"/>
      <c r="DM292" s="46"/>
      <c r="DN292" s="46"/>
      <c r="DO292" s="46"/>
      <c r="DP292" s="46"/>
      <c r="DQ292" s="46"/>
      <c r="DR292" s="46"/>
      <c r="DS292" s="46"/>
      <c r="DT292" s="46"/>
      <c r="DU292" s="46"/>
      <c r="DV292" s="46"/>
      <c r="DW292" s="46"/>
      <c r="DX292" s="46"/>
      <c r="DY292" s="46"/>
      <c r="DZ292" s="46"/>
      <c r="EA292" s="46"/>
    </row>
    <row r="293" spans="2:131" ht="18" customHeight="1">
      <c r="B293" s="46"/>
      <c r="C293" s="46"/>
      <c r="D293" s="46"/>
      <c r="E293" s="46"/>
      <c r="F293" s="46"/>
      <c r="G293" s="46"/>
      <c r="H293" s="46"/>
      <c r="I293" s="46"/>
      <c r="J293" s="46"/>
      <c r="K293" s="46"/>
      <c r="L293" s="45"/>
      <c r="M293" s="46"/>
      <c r="N293" s="46"/>
      <c r="O293" s="46"/>
      <c r="P293" s="46"/>
      <c r="Q293" s="46"/>
      <c r="R293" s="46"/>
      <c r="S293" s="46"/>
      <c r="T293" s="46"/>
      <c r="U293" s="46"/>
      <c r="V293" s="46"/>
      <c r="W293" s="46"/>
      <c r="X293" s="46"/>
      <c r="Y293" s="46"/>
      <c r="Z293" s="46"/>
      <c r="AA293" s="46"/>
      <c r="AB293" s="46"/>
      <c r="AC293" s="46"/>
      <c r="AD293" s="46"/>
      <c r="AE293" s="46"/>
      <c r="AF293" s="46"/>
      <c r="AG293" s="46"/>
      <c r="AH293" s="46"/>
      <c r="AI293" s="46"/>
      <c r="AJ293" s="46"/>
      <c r="AK293" s="46"/>
      <c r="AL293" s="46"/>
      <c r="AM293" s="46"/>
      <c r="AN293" s="46"/>
      <c r="AO293" s="46"/>
      <c r="AP293" s="46"/>
      <c r="AQ293" s="46"/>
      <c r="AR293" s="46"/>
      <c r="AS293" s="46"/>
      <c r="AT293" s="46"/>
      <c r="AU293" s="46"/>
      <c r="AV293" s="46"/>
      <c r="AW293" s="46"/>
      <c r="AX293" s="46"/>
      <c r="AY293" s="46"/>
      <c r="AZ293" s="46"/>
      <c r="BA293" s="46"/>
      <c r="BB293" s="46"/>
      <c r="BC293" s="46"/>
      <c r="BD293" s="46"/>
      <c r="BE293" s="46"/>
      <c r="BF293" s="46"/>
      <c r="BG293" s="46"/>
      <c r="BH293" s="46"/>
      <c r="BI293" s="46"/>
      <c r="BJ293" s="46"/>
      <c r="BK293" s="46"/>
      <c r="BL293" s="46"/>
      <c r="BM293" s="46"/>
      <c r="BN293" s="46"/>
      <c r="BO293" s="46"/>
      <c r="BP293" s="46"/>
      <c r="BQ293" s="46"/>
      <c r="BR293" s="46"/>
      <c r="BS293" s="46"/>
      <c r="BT293" s="46"/>
      <c r="BU293" s="46"/>
      <c r="BV293" s="46"/>
      <c r="BW293" s="46"/>
      <c r="BX293" s="46"/>
      <c r="BY293" s="46"/>
      <c r="BZ293" s="46"/>
      <c r="CA293" s="46"/>
      <c r="CB293" s="46"/>
      <c r="CC293" s="46"/>
      <c r="CD293" s="46"/>
      <c r="CE293" s="46"/>
      <c r="CF293" s="46"/>
      <c r="CG293" s="46"/>
      <c r="CH293" s="46"/>
      <c r="CI293" s="46"/>
      <c r="CJ293" s="46"/>
      <c r="CK293" s="46"/>
      <c r="CL293" s="46"/>
      <c r="CM293" s="46"/>
      <c r="CN293" s="46"/>
      <c r="CO293" s="46"/>
      <c r="CP293" s="46"/>
      <c r="CQ293" s="46"/>
      <c r="CR293" s="46"/>
      <c r="CS293" s="46"/>
      <c r="CT293" s="46"/>
      <c r="CU293" s="46"/>
      <c r="CV293" s="46"/>
      <c r="CW293" s="46"/>
      <c r="CX293" s="46"/>
      <c r="CY293" s="46"/>
      <c r="CZ293" s="46"/>
      <c r="DA293" s="46"/>
      <c r="DB293" s="46"/>
      <c r="DC293" s="46"/>
      <c r="DD293" s="46"/>
      <c r="DE293" s="46"/>
      <c r="DF293" s="46"/>
      <c r="DG293" s="46"/>
      <c r="DH293" s="46"/>
      <c r="DI293" s="46"/>
      <c r="DJ293" s="46"/>
      <c r="DK293" s="46"/>
      <c r="DL293" s="46"/>
      <c r="DM293" s="46"/>
      <c r="DN293" s="46"/>
      <c r="DO293" s="46"/>
      <c r="DP293" s="46"/>
      <c r="DQ293" s="46"/>
      <c r="DR293" s="46"/>
      <c r="DS293" s="46"/>
      <c r="DT293" s="46"/>
      <c r="DU293" s="46"/>
      <c r="DV293" s="46"/>
      <c r="DW293" s="46"/>
      <c r="DX293" s="46"/>
      <c r="DY293" s="46"/>
      <c r="DZ293" s="46"/>
      <c r="EA293" s="46"/>
    </row>
    <row r="294" spans="2:131" ht="18" customHeight="1">
      <c r="B294" s="46"/>
      <c r="C294" s="46"/>
      <c r="D294" s="46"/>
      <c r="E294" s="46"/>
      <c r="F294" s="46"/>
      <c r="G294" s="46"/>
      <c r="H294" s="46"/>
      <c r="I294" s="46"/>
      <c r="J294" s="46"/>
      <c r="K294" s="46"/>
      <c r="L294" s="45"/>
      <c r="M294" s="46"/>
      <c r="N294" s="46"/>
      <c r="O294" s="46"/>
      <c r="P294" s="46"/>
      <c r="Q294" s="46"/>
      <c r="R294" s="46"/>
      <c r="S294" s="46"/>
      <c r="T294" s="46"/>
      <c r="U294" s="46"/>
      <c r="V294" s="46"/>
      <c r="W294" s="46"/>
      <c r="X294" s="46"/>
      <c r="Y294" s="46"/>
      <c r="Z294" s="46"/>
      <c r="AA294" s="46"/>
      <c r="AB294" s="46"/>
      <c r="AC294" s="46"/>
      <c r="AD294" s="46"/>
      <c r="AE294" s="46"/>
      <c r="AF294" s="46"/>
      <c r="AG294" s="46"/>
      <c r="AH294" s="46"/>
      <c r="AI294" s="46"/>
      <c r="AJ294" s="46"/>
      <c r="AK294" s="46"/>
      <c r="AL294" s="46"/>
      <c r="AM294" s="46"/>
      <c r="AN294" s="46"/>
      <c r="AO294" s="46"/>
      <c r="AP294" s="46"/>
      <c r="AQ294" s="46"/>
      <c r="AR294" s="46"/>
      <c r="AS294" s="46"/>
      <c r="AT294" s="46"/>
      <c r="AU294" s="46"/>
      <c r="AV294" s="46"/>
      <c r="AW294" s="46"/>
      <c r="AX294" s="46"/>
      <c r="AY294" s="46"/>
      <c r="AZ294" s="46"/>
      <c r="BA294" s="46"/>
      <c r="BB294" s="46"/>
      <c r="BC294" s="46"/>
      <c r="BD294" s="46"/>
      <c r="BE294" s="46"/>
      <c r="BF294" s="46"/>
      <c r="BG294" s="46"/>
      <c r="BH294" s="46"/>
      <c r="BI294" s="46"/>
      <c r="BJ294" s="46"/>
      <c r="BK294" s="46"/>
      <c r="BL294" s="46"/>
      <c r="BM294" s="46"/>
      <c r="BN294" s="46"/>
      <c r="BO294" s="46"/>
      <c r="BP294" s="46"/>
      <c r="BQ294" s="46"/>
      <c r="BR294" s="46"/>
      <c r="BS294" s="46"/>
      <c r="BT294" s="46"/>
      <c r="BU294" s="46"/>
      <c r="BV294" s="46"/>
      <c r="BW294" s="46"/>
      <c r="BX294" s="46"/>
      <c r="BY294" s="46"/>
      <c r="BZ294" s="46"/>
      <c r="CA294" s="46"/>
      <c r="CB294" s="46"/>
      <c r="CC294" s="46"/>
      <c r="CD294" s="46"/>
      <c r="CE294" s="46"/>
      <c r="CF294" s="46"/>
      <c r="CG294" s="46"/>
      <c r="CH294" s="46"/>
      <c r="CI294" s="46"/>
      <c r="CJ294" s="46"/>
      <c r="CK294" s="46"/>
      <c r="CL294" s="46"/>
      <c r="CM294" s="46"/>
      <c r="CN294" s="46"/>
      <c r="CO294" s="46"/>
      <c r="CP294" s="46"/>
      <c r="CQ294" s="46"/>
      <c r="CR294" s="46"/>
      <c r="CS294" s="46"/>
      <c r="CT294" s="46"/>
      <c r="CU294" s="46"/>
      <c r="CV294" s="46"/>
      <c r="CW294" s="46"/>
      <c r="CX294" s="46"/>
      <c r="CY294" s="46"/>
      <c r="CZ294" s="46"/>
      <c r="DA294" s="46"/>
      <c r="DB294" s="46"/>
      <c r="DC294" s="46"/>
      <c r="DD294" s="46"/>
      <c r="DE294" s="46"/>
      <c r="DF294" s="46"/>
      <c r="DG294" s="46"/>
      <c r="DH294" s="46"/>
      <c r="DI294" s="46"/>
      <c r="DJ294" s="46"/>
      <c r="DK294" s="46"/>
      <c r="DL294" s="46"/>
      <c r="DM294" s="46"/>
      <c r="DN294" s="46"/>
      <c r="DO294" s="46"/>
      <c r="DP294" s="46"/>
      <c r="DQ294" s="46"/>
      <c r="DR294" s="46"/>
      <c r="DS294" s="46"/>
      <c r="DT294" s="46"/>
      <c r="DU294" s="46"/>
      <c r="DV294" s="46"/>
      <c r="DW294" s="46"/>
      <c r="DX294" s="46"/>
      <c r="DY294" s="46"/>
      <c r="DZ294" s="46"/>
      <c r="EA294" s="46"/>
    </row>
    <row r="295" spans="2:131" ht="18" customHeight="1">
      <c r="B295" s="46"/>
      <c r="C295" s="46"/>
      <c r="D295" s="46"/>
      <c r="E295" s="46"/>
      <c r="F295" s="46"/>
      <c r="G295" s="46"/>
      <c r="H295" s="46"/>
      <c r="I295" s="46"/>
      <c r="J295" s="46"/>
      <c r="K295" s="46"/>
      <c r="L295" s="45"/>
      <c r="M295" s="46"/>
      <c r="N295" s="46"/>
      <c r="O295" s="46"/>
      <c r="P295" s="46"/>
      <c r="Q295" s="46"/>
      <c r="R295" s="46"/>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c r="AV295" s="46"/>
      <c r="AW295" s="46"/>
      <c r="AX295" s="46"/>
      <c r="AY295" s="46"/>
      <c r="AZ295" s="46"/>
      <c r="BA295" s="46"/>
      <c r="BB295" s="46"/>
      <c r="BC295" s="46"/>
      <c r="BD295" s="46"/>
      <c r="BE295" s="46"/>
      <c r="BF295" s="46"/>
      <c r="BG295" s="46"/>
      <c r="BH295" s="46"/>
      <c r="BI295" s="46"/>
      <c r="BJ295" s="46"/>
      <c r="BK295" s="46"/>
      <c r="BL295" s="46"/>
      <c r="BM295" s="46"/>
      <c r="BN295" s="46"/>
      <c r="BO295" s="46"/>
      <c r="BP295" s="46"/>
      <c r="BQ295" s="46"/>
      <c r="BR295" s="46"/>
      <c r="BS295" s="46"/>
      <c r="BT295" s="46"/>
      <c r="BU295" s="46"/>
      <c r="BV295" s="46"/>
      <c r="BW295" s="46"/>
      <c r="BX295" s="46"/>
      <c r="BY295" s="46"/>
      <c r="BZ295" s="46"/>
      <c r="CA295" s="46"/>
      <c r="CB295" s="46"/>
      <c r="CC295" s="46"/>
      <c r="CD295" s="46"/>
      <c r="CE295" s="46"/>
      <c r="CF295" s="46"/>
      <c r="CG295" s="46"/>
      <c r="CH295" s="46"/>
      <c r="CI295" s="46"/>
      <c r="CJ295" s="46"/>
      <c r="CK295" s="46"/>
      <c r="CL295" s="46"/>
      <c r="CM295" s="46"/>
      <c r="CN295" s="46"/>
      <c r="CO295" s="46"/>
      <c r="CP295" s="46"/>
      <c r="CQ295" s="46"/>
      <c r="CR295" s="46"/>
      <c r="CS295" s="46"/>
      <c r="CT295" s="46"/>
      <c r="CU295" s="46"/>
      <c r="CV295" s="46"/>
      <c r="CW295" s="46"/>
      <c r="CX295" s="46"/>
      <c r="CY295" s="46"/>
      <c r="CZ295" s="46"/>
      <c r="DA295" s="46"/>
      <c r="DB295" s="46"/>
      <c r="DC295" s="46"/>
      <c r="DD295" s="46"/>
      <c r="DE295" s="46"/>
      <c r="DF295" s="46"/>
      <c r="DG295" s="46"/>
      <c r="DH295" s="46"/>
      <c r="DI295" s="46"/>
      <c r="DJ295" s="46"/>
      <c r="DK295" s="46"/>
      <c r="DL295" s="46"/>
      <c r="DM295" s="46"/>
      <c r="DN295" s="46"/>
      <c r="DO295" s="46"/>
      <c r="DP295" s="46"/>
      <c r="DQ295" s="46"/>
      <c r="DR295" s="46"/>
      <c r="DS295" s="46"/>
      <c r="DT295" s="46"/>
      <c r="DU295" s="46"/>
      <c r="DV295" s="46"/>
      <c r="DW295" s="46"/>
      <c r="DX295" s="46"/>
      <c r="DY295" s="46"/>
      <c r="DZ295" s="46"/>
      <c r="EA295" s="46"/>
    </row>
    <row r="296" spans="2:131" ht="18" customHeight="1">
      <c r="B296" s="46"/>
      <c r="C296" s="46"/>
      <c r="D296" s="46"/>
      <c r="E296" s="46"/>
      <c r="F296" s="46"/>
      <c r="G296" s="46"/>
      <c r="H296" s="46"/>
      <c r="I296" s="46"/>
      <c r="J296" s="46"/>
      <c r="K296" s="46"/>
      <c r="L296" s="45"/>
      <c r="M296" s="46"/>
      <c r="N296" s="46"/>
      <c r="O296" s="46"/>
      <c r="P296" s="46"/>
      <c r="Q296" s="46"/>
      <c r="R296" s="46"/>
      <c r="S296" s="46"/>
      <c r="T296" s="46"/>
      <c r="U296" s="46"/>
      <c r="V296" s="46"/>
      <c r="W296" s="46"/>
      <c r="X296" s="46"/>
      <c r="Y296" s="46"/>
      <c r="Z296" s="46"/>
      <c r="AA296" s="46"/>
      <c r="AB296" s="46"/>
      <c r="AC296" s="46"/>
      <c r="AD296" s="46"/>
      <c r="AE296" s="46"/>
      <c r="AF296" s="46"/>
      <c r="AG296" s="46"/>
      <c r="AH296" s="46"/>
      <c r="AI296" s="46"/>
      <c r="AJ296" s="46"/>
      <c r="AK296" s="46"/>
      <c r="AL296" s="46"/>
      <c r="AM296" s="46"/>
      <c r="AN296" s="46"/>
      <c r="AO296" s="46"/>
      <c r="AP296" s="46"/>
      <c r="AQ296" s="46"/>
      <c r="AR296" s="46"/>
      <c r="AS296" s="46"/>
      <c r="AT296" s="46"/>
      <c r="AU296" s="46"/>
      <c r="AV296" s="46"/>
      <c r="AW296" s="46"/>
      <c r="AX296" s="46"/>
      <c r="AY296" s="46"/>
      <c r="AZ296" s="46"/>
      <c r="BA296" s="46"/>
      <c r="BB296" s="46"/>
      <c r="BC296" s="46"/>
      <c r="BD296" s="46"/>
      <c r="BE296" s="46"/>
      <c r="BF296" s="46"/>
      <c r="BG296" s="46"/>
      <c r="BH296" s="46"/>
      <c r="BI296" s="46"/>
      <c r="BJ296" s="46"/>
      <c r="BK296" s="46"/>
      <c r="BL296" s="46"/>
      <c r="BM296" s="46"/>
      <c r="BN296" s="46"/>
      <c r="BO296" s="46"/>
      <c r="BP296" s="46"/>
      <c r="BQ296" s="46"/>
      <c r="BR296" s="46"/>
      <c r="BS296" s="46"/>
      <c r="BT296" s="46"/>
      <c r="BU296" s="46"/>
      <c r="BV296" s="46"/>
      <c r="BW296" s="46"/>
      <c r="BX296" s="46"/>
      <c r="BY296" s="46"/>
      <c r="BZ296" s="46"/>
      <c r="CA296" s="46"/>
      <c r="CB296" s="46"/>
      <c r="CC296" s="46"/>
      <c r="CD296" s="46"/>
      <c r="CE296" s="46"/>
      <c r="CF296" s="46"/>
      <c r="CG296" s="46"/>
      <c r="CH296" s="46"/>
      <c r="CI296" s="46"/>
      <c r="CJ296" s="46"/>
      <c r="CK296" s="46"/>
      <c r="CL296" s="46"/>
      <c r="CM296" s="46"/>
      <c r="CN296" s="46"/>
      <c r="CO296" s="46"/>
      <c r="CP296" s="46"/>
      <c r="CQ296" s="46"/>
      <c r="CR296" s="46"/>
      <c r="CS296" s="46"/>
      <c r="CT296" s="46"/>
      <c r="CU296" s="46"/>
      <c r="CV296" s="46"/>
      <c r="CW296" s="46"/>
      <c r="CX296" s="46"/>
      <c r="CY296" s="46"/>
      <c r="CZ296" s="46"/>
      <c r="DA296" s="46"/>
      <c r="DB296" s="46"/>
      <c r="DC296" s="46"/>
      <c r="DD296" s="46"/>
      <c r="DE296" s="46"/>
      <c r="DF296" s="46"/>
      <c r="DG296" s="46"/>
      <c r="DH296" s="46"/>
      <c r="DI296" s="46"/>
      <c r="DJ296" s="46"/>
      <c r="DK296" s="46"/>
      <c r="DL296" s="46"/>
      <c r="DM296" s="46"/>
      <c r="DN296" s="46"/>
      <c r="DO296" s="46"/>
      <c r="DP296" s="46"/>
      <c r="DQ296" s="46"/>
      <c r="DR296" s="46"/>
      <c r="DS296" s="46"/>
      <c r="DT296" s="46"/>
      <c r="DU296" s="46"/>
      <c r="DV296" s="46"/>
      <c r="DW296" s="46"/>
      <c r="DX296" s="46"/>
      <c r="DY296" s="46"/>
      <c r="DZ296" s="46"/>
      <c r="EA296" s="46"/>
    </row>
    <row r="297" spans="2:131" ht="18" customHeight="1">
      <c r="B297" s="45"/>
      <c r="C297" s="45"/>
      <c r="D297" s="46"/>
      <c r="E297" s="46"/>
      <c r="F297" s="46"/>
      <c r="G297" s="46"/>
      <c r="H297" s="46"/>
      <c r="I297" s="46"/>
      <c r="J297" s="46"/>
      <c r="K297" s="46"/>
      <c r="L297" s="45"/>
      <c r="M297" s="46"/>
      <c r="N297" s="46"/>
      <c r="O297" s="46"/>
      <c r="P297" s="46"/>
      <c r="Q297" s="46"/>
      <c r="R297" s="46"/>
      <c r="S297" s="46"/>
      <c r="T297" s="46"/>
      <c r="U297" s="46"/>
      <c r="V297" s="46"/>
      <c r="W297" s="46"/>
      <c r="X297" s="46"/>
      <c r="Y297" s="46"/>
      <c r="Z297" s="46"/>
      <c r="AA297" s="46"/>
      <c r="AB297" s="46"/>
      <c r="AC297" s="46"/>
      <c r="AD297" s="46"/>
      <c r="AE297" s="46"/>
      <c r="AF297" s="46"/>
      <c r="AG297" s="46"/>
      <c r="AH297" s="46"/>
      <c r="AI297" s="46"/>
      <c r="AJ297" s="46"/>
      <c r="AK297" s="46"/>
      <c r="AL297" s="46"/>
      <c r="AM297" s="46"/>
      <c r="AN297" s="46"/>
      <c r="AO297" s="46"/>
      <c r="AP297" s="46"/>
      <c r="AQ297" s="46"/>
      <c r="AR297" s="46"/>
      <c r="AS297" s="46"/>
      <c r="AT297" s="46"/>
      <c r="AU297" s="46"/>
      <c r="AV297" s="46"/>
      <c r="AW297" s="46"/>
      <c r="AX297" s="46"/>
      <c r="AY297" s="46"/>
      <c r="AZ297" s="46"/>
      <c r="BA297" s="46"/>
      <c r="BB297" s="46"/>
      <c r="BC297" s="46"/>
      <c r="BD297" s="46"/>
      <c r="BE297" s="46"/>
      <c r="BF297" s="46"/>
      <c r="BG297" s="46"/>
      <c r="BH297" s="46"/>
      <c r="BI297" s="46"/>
      <c r="BJ297" s="46"/>
      <c r="BK297" s="46"/>
      <c r="BL297" s="46"/>
      <c r="BM297" s="46"/>
      <c r="BN297" s="46"/>
      <c r="BO297" s="46"/>
      <c r="BP297" s="46"/>
      <c r="BQ297" s="46"/>
      <c r="BR297" s="46"/>
      <c r="BS297" s="46"/>
      <c r="BT297" s="46"/>
      <c r="BU297" s="46"/>
      <c r="BV297" s="46"/>
      <c r="BW297" s="46"/>
      <c r="BX297" s="46"/>
      <c r="BY297" s="46"/>
      <c r="BZ297" s="46"/>
      <c r="CA297" s="46"/>
      <c r="CB297" s="46"/>
      <c r="CC297" s="46"/>
      <c r="CD297" s="46"/>
      <c r="CE297" s="46"/>
      <c r="CF297" s="46"/>
      <c r="CG297" s="46"/>
      <c r="CH297" s="46"/>
      <c r="CI297" s="46"/>
      <c r="CJ297" s="46"/>
      <c r="CK297" s="46"/>
      <c r="CL297" s="46"/>
      <c r="CM297" s="46"/>
      <c r="CN297" s="46"/>
      <c r="CO297" s="46"/>
      <c r="CP297" s="46"/>
      <c r="CQ297" s="46"/>
      <c r="CR297" s="46"/>
      <c r="CS297" s="46"/>
      <c r="CT297" s="46"/>
      <c r="CU297" s="46"/>
      <c r="CV297" s="46"/>
      <c r="CW297" s="46"/>
      <c r="CX297" s="46"/>
      <c r="CY297" s="46"/>
      <c r="CZ297" s="46"/>
      <c r="DA297" s="46"/>
      <c r="DB297" s="46"/>
      <c r="DC297" s="46"/>
      <c r="DD297" s="46"/>
      <c r="DE297" s="46"/>
      <c r="DF297" s="46"/>
      <c r="DG297" s="46"/>
      <c r="DH297" s="46"/>
      <c r="DI297" s="46"/>
      <c r="DJ297" s="46"/>
      <c r="DK297" s="46"/>
      <c r="DL297" s="46"/>
      <c r="DM297" s="46"/>
      <c r="DN297" s="46"/>
      <c r="DO297" s="46"/>
      <c r="DP297" s="46"/>
      <c r="DQ297" s="46"/>
      <c r="DR297" s="46"/>
      <c r="DS297" s="46"/>
      <c r="DT297" s="46"/>
      <c r="DU297" s="46"/>
      <c r="DV297" s="46"/>
      <c r="DW297" s="46"/>
      <c r="DX297" s="46"/>
      <c r="DY297" s="46"/>
      <c r="DZ297" s="46"/>
      <c r="EA297" s="46"/>
    </row>
    <row r="298" spans="2:131" ht="18" customHeight="1">
      <c r="B298" s="46"/>
      <c r="C298" s="46"/>
      <c r="D298" s="46"/>
      <c r="E298" s="46"/>
      <c r="F298" s="46"/>
      <c r="G298" s="46"/>
      <c r="H298" s="46"/>
      <c r="I298" s="46"/>
      <c r="J298" s="46"/>
      <c r="K298" s="46"/>
      <c r="L298" s="45"/>
      <c r="M298" s="46"/>
      <c r="N298" s="46"/>
      <c r="O298" s="46"/>
      <c r="P298" s="46"/>
      <c r="Q298" s="46"/>
      <c r="R298" s="46"/>
      <c r="S298" s="46"/>
      <c r="T298" s="46"/>
      <c r="U298" s="46"/>
      <c r="V298" s="46"/>
      <c r="W298" s="46"/>
      <c r="X298" s="46"/>
      <c r="Y298" s="46"/>
      <c r="Z298" s="46"/>
      <c r="AA298" s="46"/>
      <c r="AB298" s="46"/>
      <c r="AC298" s="46"/>
      <c r="AD298" s="46"/>
      <c r="AE298" s="46"/>
      <c r="AF298" s="46"/>
      <c r="AG298" s="46"/>
      <c r="AH298" s="46"/>
      <c r="AI298" s="46"/>
      <c r="AJ298" s="46"/>
      <c r="AK298" s="46"/>
      <c r="AL298" s="46"/>
      <c r="AM298" s="46"/>
      <c r="AN298" s="46"/>
      <c r="AO298" s="46"/>
      <c r="AP298" s="46"/>
      <c r="AQ298" s="46"/>
      <c r="AR298" s="46"/>
      <c r="AS298" s="46"/>
      <c r="AT298" s="46"/>
      <c r="AU298" s="46"/>
      <c r="AV298" s="46"/>
      <c r="AW298" s="46"/>
      <c r="AX298" s="46"/>
      <c r="AY298" s="46"/>
      <c r="AZ298" s="46"/>
      <c r="BA298" s="46"/>
      <c r="BB298" s="46"/>
      <c r="BC298" s="46"/>
      <c r="BD298" s="46"/>
      <c r="BE298" s="46"/>
      <c r="BF298" s="46"/>
      <c r="BG298" s="46"/>
      <c r="BH298" s="46"/>
      <c r="BI298" s="46"/>
      <c r="BJ298" s="46"/>
      <c r="BK298" s="46"/>
      <c r="BL298" s="46"/>
      <c r="BM298" s="46"/>
      <c r="BN298" s="46"/>
      <c r="BO298" s="46"/>
      <c r="BP298" s="46"/>
      <c r="BQ298" s="46"/>
      <c r="BR298" s="46"/>
      <c r="BS298" s="46"/>
      <c r="BT298" s="46"/>
      <c r="BU298" s="46"/>
      <c r="BV298" s="46"/>
      <c r="BW298" s="46"/>
      <c r="BX298" s="46"/>
      <c r="BY298" s="46"/>
      <c r="BZ298" s="46"/>
      <c r="CA298" s="46"/>
      <c r="CB298" s="46"/>
      <c r="CC298" s="46"/>
      <c r="CD298" s="46"/>
      <c r="CE298" s="46"/>
      <c r="CF298" s="46"/>
      <c r="CG298" s="46"/>
      <c r="CH298" s="46"/>
      <c r="CI298" s="46"/>
      <c r="CJ298" s="46"/>
      <c r="CK298" s="46"/>
      <c r="CL298" s="46"/>
      <c r="CM298" s="46"/>
      <c r="CN298" s="46"/>
      <c r="CO298" s="46"/>
      <c r="CP298" s="46"/>
      <c r="CQ298" s="46"/>
      <c r="CR298" s="46"/>
      <c r="CS298" s="46"/>
      <c r="CT298" s="46"/>
      <c r="CU298" s="46"/>
      <c r="CV298" s="46"/>
      <c r="CW298" s="46"/>
      <c r="CX298" s="46"/>
      <c r="CY298" s="46"/>
      <c r="CZ298" s="46"/>
      <c r="DA298" s="46"/>
      <c r="DB298" s="46"/>
      <c r="DC298" s="46"/>
      <c r="DD298" s="46"/>
      <c r="DE298" s="46"/>
      <c r="DF298" s="46"/>
      <c r="DG298" s="46"/>
      <c r="DH298" s="46"/>
      <c r="DI298" s="46"/>
      <c r="DJ298" s="46"/>
      <c r="DK298" s="46"/>
      <c r="DL298" s="46"/>
      <c r="DM298" s="46"/>
      <c r="DN298" s="46"/>
      <c r="DO298" s="46"/>
      <c r="DP298" s="46"/>
      <c r="DQ298" s="46"/>
      <c r="DR298" s="46"/>
      <c r="DS298" s="46"/>
      <c r="DT298" s="46"/>
      <c r="DU298" s="46"/>
      <c r="DV298" s="46"/>
      <c r="DW298" s="46"/>
      <c r="DX298" s="46"/>
      <c r="DY298" s="46"/>
      <c r="DZ298" s="46"/>
      <c r="EA298" s="46"/>
    </row>
    <row r="299" spans="2:131" ht="18" customHeight="1">
      <c r="B299" s="46"/>
      <c r="C299" s="46"/>
      <c r="D299" s="46"/>
      <c r="E299" s="46"/>
      <c r="F299" s="46"/>
      <c r="G299" s="46"/>
      <c r="H299" s="46"/>
      <c r="I299" s="46"/>
      <c r="J299" s="46"/>
      <c r="K299" s="46"/>
      <c r="L299" s="45"/>
      <c r="M299" s="46"/>
      <c r="N299" s="46"/>
      <c r="O299" s="46"/>
      <c r="P299" s="46"/>
      <c r="Q299" s="46"/>
      <c r="R299" s="46"/>
      <c r="S299" s="46"/>
      <c r="T299" s="46"/>
      <c r="U299" s="46"/>
      <c r="V299" s="46"/>
      <c r="W299" s="46"/>
      <c r="X299" s="46"/>
      <c r="Y299" s="46"/>
      <c r="Z299" s="46"/>
      <c r="AA299" s="46"/>
      <c r="AB299" s="46"/>
      <c r="AC299" s="46"/>
      <c r="AD299" s="46"/>
      <c r="AE299" s="46"/>
      <c r="AF299" s="46"/>
      <c r="AG299" s="46"/>
      <c r="AH299" s="46"/>
      <c r="AI299" s="46"/>
      <c r="AJ299" s="46"/>
      <c r="AK299" s="46"/>
      <c r="AL299" s="46"/>
      <c r="AM299" s="46"/>
      <c r="AN299" s="46"/>
      <c r="AO299" s="46"/>
      <c r="AP299" s="46"/>
      <c r="AQ299" s="46"/>
      <c r="AR299" s="46"/>
      <c r="AS299" s="46"/>
      <c r="AT299" s="46"/>
      <c r="AU299" s="46"/>
      <c r="AV299" s="46"/>
      <c r="AW299" s="46"/>
      <c r="AX299" s="46"/>
      <c r="AY299" s="46"/>
      <c r="AZ299" s="46"/>
      <c r="BA299" s="46"/>
      <c r="BB299" s="46"/>
      <c r="BC299" s="46"/>
      <c r="BD299" s="46"/>
      <c r="BE299" s="46"/>
      <c r="BF299" s="46"/>
      <c r="BG299" s="46"/>
      <c r="BH299" s="46"/>
      <c r="BI299" s="46"/>
      <c r="BJ299" s="46"/>
      <c r="BK299" s="46"/>
      <c r="BL299" s="46"/>
      <c r="BM299" s="46"/>
      <c r="BN299" s="46"/>
      <c r="BO299" s="46"/>
      <c r="BP299" s="46"/>
      <c r="BQ299" s="46"/>
      <c r="BR299" s="46"/>
      <c r="BS299" s="46"/>
      <c r="BT299" s="46"/>
      <c r="BU299" s="46"/>
      <c r="BV299" s="46"/>
      <c r="BW299" s="46"/>
      <c r="BX299" s="46"/>
      <c r="BY299" s="46"/>
      <c r="BZ299" s="46"/>
      <c r="CA299" s="46"/>
      <c r="CB299" s="46"/>
      <c r="CC299" s="46"/>
      <c r="CD299" s="46"/>
      <c r="CE299" s="46"/>
      <c r="CF299" s="46"/>
      <c r="CG299" s="46"/>
      <c r="CH299" s="46"/>
      <c r="CI299" s="46"/>
      <c r="CJ299" s="46"/>
      <c r="CK299" s="46"/>
      <c r="CL299" s="46"/>
      <c r="CM299" s="46"/>
      <c r="CN299" s="46"/>
      <c r="CO299" s="46"/>
      <c r="CP299" s="46"/>
      <c r="CQ299" s="46"/>
      <c r="CR299" s="46"/>
      <c r="CS299" s="46"/>
      <c r="CT299" s="46"/>
      <c r="CU299" s="46"/>
      <c r="CV299" s="46"/>
      <c r="CW299" s="46"/>
      <c r="CX299" s="46"/>
      <c r="CY299" s="46"/>
      <c r="CZ299" s="46"/>
      <c r="DA299" s="46"/>
      <c r="DB299" s="46"/>
      <c r="DC299" s="46"/>
      <c r="DD299" s="46"/>
      <c r="DE299" s="46"/>
      <c r="DF299" s="46"/>
      <c r="DG299" s="46"/>
      <c r="DH299" s="46"/>
      <c r="DI299" s="46"/>
      <c r="DJ299" s="46"/>
      <c r="DK299" s="46"/>
      <c r="DL299" s="46"/>
      <c r="DM299" s="46"/>
      <c r="DN299" s="46"/>
      <c r="DO299" s="46"/>
      <c r="DP299" s="46"/>
      <c r="DQ299" s="46"/>
      <c r="DR299" s="46"/>
      <c r="DS299" s="46"/>
      <c r="DT299" s="46"/>
      <c r="DU299" s="46"/>
      <c r="DV299" s="46"/>
      <c r="DW299" s="46"/>
      <c r="DX299" s="46"/>
      <c r="DY299" s="46"/>
      <c r="DZ299" s="46"/>
      <c r="EA299" s="46"/>
    </row>
    <row r="300" spans="2:131" ht="18" customHeight="1">
      <c r="B300" s="46"/>
      <c r="C300" s="46"/>
      <c r="D300" s="46"/>
      <c r="E300" s="46"/>
      <c r="F300" s="46"/>
      <c r="G300" s="46"/>
      <c r="H300" s="46"/>
      <c r="I300" s="46"/>
      <c r="J300" s="46"/>
      <c r="K300" s="46"/>
      <c r="L300" s="45"/>
      <c r="M300" s="46"/>
      <c r="N300" s="46"/>
      <c r="O300" s="46"/>
      <c r="P300" s="46"/>
      <c r="Q300" s="46"/>
      <c r="R300" s="46"/>
      <c r="S300" s="46"/>
      <c r="T300" s="46"/>
      <c r="U300" s="46"/>
      <c r="V300" s="46"/>
      <c r="W300" s="46"/>
      <c r="X300" s="46"/>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c r="AV300" s="46"/>
      <c r="AW300" s="46"/>
      <c r="AX300" s="46"/>
      <c r="AY300" s="46"/>
      <c r="AZ300" s="46"/>
      <c r="BA300" s="46"/>
      <c r="BB300" s="46"/>
      <c r="BC300" s="46"/>
      <c r="BD300" s="46"/>
      <c r="BE300" s="46"/>
      <c r="BF300" s="46"/>
      <c r="BG300" s="46"/>
      <c r="BH300" s="46"/>
      <c r="BI300" s="46"/>
      <c r="BJ300" s="46"/>
      <c r="BK300" s="46"/>
      <c r="BL300" s="46"/>
      <c r="BM300" s="46"/>
      <c r="BN300" s="46"/>
      <c r="BO300" s="46"/>
      <c r="BP300" s="46"/>
      <c r="BQ300" s="46"/>
      <c r="BR300" s="46"/>
      <c r="BS300" s="46"/>
      <c r="BT300" s="46"/>
      <c r="BU300" s="46"/>
      <c r="BV300" s="46"/>
      <c r="BW300" s="46"/>
      <c r="BX300" s="46"/>
      <c r="BY300" s="46"/>
      <c r="BZ300" s="46"/>
      <c r="CA300" s="46"/>
      <c r="CB300" s="46"/>
      <c r="CC300" s="46"/>
      <c r="CD300" s="46"/>
      <c r="CE300" s="46"/>
      <c r="CF300" s="46"/>
      <c r="CG300" s="46"/>
      <c r="CH300" s="46"/>
      <c r="CI300" s="46"/>
      <c r="CJ300" s="46"/>
      <c r="CK300" s="46"/>
      <c r="CL300" s="46"/>
      <c r="CM300" s="46"/>
      <c r="CN300" s="46"/>
      <c r="CO300" s="46"/>
      <c r="CP300" s="46"/>
      <c r="CQ300" s="46"/>
      <c r="CR300" s="46"/>
      <c r="CS300" s="46"/>
      <c r="CT300" s="46"/>
      <c r="CU300" s="46"/>
      <c r="CV300" s="46"/>
      <c r="CW300" s="46"/>
      <c r="CX300" s="46"/>
      <c r="CY300" s="46"/>
      <c r="CZ300" s="46"/>
      <c r="DA300" s="46"/>
      <c r="DB300" s="46"/>
      <c r="DC300" s="46"/>
      <c r="DD300" s="46"/>
      <c r="DE300" s="46"/>
      <c r="DF300" s="46"/>
      <c r="DG300" s="46"/>
      <c r="DH300" s="46"/>
      <c r="DI300" s="46"/>
      <c r="DJ300" s="46"/>
      <c r="DK300" s="46"/>
      <c r="DL300" s="46"/>
      <c r="DM300" s="46"/>
      <c r="DN300" s="46"/>
      <c r="DO300" s="46"/>
      <c r="DP300" s="46"/>
      <c r="DQ300" s="46"/>
      <c r="DR300" s="46"/>
      <c r="DS300" s="46"/>
      <c r="DT300" s="46"/>
      <c r="DU300" s="46"/>
      <c r="DV300" s="46"/>
      <c r="DW300" s="46"/>
      <c r="DX300" s="46"/>
      <c r="DY300" s="46"/>
      <c r="DZ300" s="46"/>
      <c r="EA300" s="46"/>
    </row>
    <row r="301" spans="2:131" ht="18" customHeight="1">
      <c r="B301" s="46"/>
      <c r="C301" s="46"/>
      <c r="D301" s="46"/>
      <c r="E301" s="46"/>
      <c r="F301" s="46"/>
      <c r="G301" s="46"/>
      <c r="H301" s="46"/>
      <c r="I301" s="46"/>
      <c r="J301" s="46"/>
      <c r="K301" s="46"/>
      <c r="L301" s="45"/>
      <c r="M301" s="46"/>
      <c r="N301" s="46"/>
      <c r="O301" s="46"/>
      <c r="P301" s="46"/>
      <c r="Q301" s="46"/>
      <c r="R301" s="46"/>
      <c r="S301" s="46"/>
      <c r="T301" s="46"/>
      <c r="U301" s="46"/>
      <c r="V301" s="46"/>
      <c r="W301" s="46"/>
      <c r="X301" s="46"/>
      <c r="Y301" s="46"/>
      <c r="Z301" s="46"/>
      <c r="AA301" s="46"/>
      <c r="AB301" s="46"/>
      <c r="AC301" s="46"/>
      <c r="AD301" s="46"/>
      <c r="AE301" s="46"/>
      <c r="AF301" s="46"/>
      <c r="AG301" s="46"/>
      <c r="AH301" s="46"/>
      <c r="AI301" s="46"/>
      <c r="AJ301" s="46"/>
      <c r="AK301" s="46"/>
      <c r="AL301" s="46"/>
      <c r="AM301" s="46"/>
      <c r="AN301" s="46"/>
      <c r="AO301" s="46"/>
      <c r="AP301" s="46"/>
      <c r="AQ301" s="46"/>
      <c r="AR301" s="46"/>
      <c r="AS301" s="46"/>
      <c r="AT301" s="46"/>
      <c r="AU301" s="46"/>
      <c r="AV301" s="46"/>
      <c r="AW301" s="46"/>
      <c r="AX301" s="46"/>
      <c r="AY301" s="46"/>
      <c r="AZ301" s="46"/>
      <c r="BA301" s="46"/>
      <c r="BB301" s="46"/>
      <c r="BC301" s="46"/>
      <c r="BD301" s="46"/>
      <c r="BE301" s="46"/>
      <c r="BF301" s="46"/>
      <c r="BG301" s="46"/>
      <c r="BH301" s="46"/>
      <c r="BI301" s="46"/>
      <c r="BJ301" s="46"/>
      <c r="BK301" s="46"/>
      <c r="BL301" s="46"/>
      <c r="BM301" s="46"/>
      <c r="BN301" s="46"/>
      <c r="BO301" s="46"/>
      <c r="BP301" s="46"/>
      <c r="BQ301" s="46"/>
      <c r="BR301" s="46"/>
      <c r="BS301" s="46"/>
      <c r="BT301" s="46"/>
      <c r="BU301" s="46"/>
      <c r="BV301" s="46"/>
      <c r="BW301" s="46"/>
      <c r="BX301" s="46"/>
      <c r="BY301" s="46"/>
      <c r="BZ301" s="46"/>
      <c r="CA301" s="46"/>
      <c r="CB301" s="46"/>
      <c r="CC301" s="46"/>
      <c r="CD301" s="46"/>
      <c r="CE301" s="46"/>
      <c r="CF301" s="46"/>
      <c r="CG301" s="46"/>
      <c r="CH301" s="46"/>
      <c r="CI301" s="46"/>
      <c r="CJ301" s="46"/>
      <c r="CK301" s="46"/>
      <c r="CL301" s="46"/>
      <c r="CM301" s="46"/>
      <c r="CN301" s="46"/>
      <c r="CO301" s="46"/>
      <c r="CP301" s="46"/>
      <c r="CQ301" s="46"/>
      <c r="CR301" s="46"/>
      <c r="CS301" s="46"/>
      <c r="CT301" s="46"/>
      <c r="CU301" s="46"/>
      <c r="CV301" s="46"/>
      <c r="CW301" s="46"/>
      <c r="CX301" s="46"/>
      <c r="CY301" s="46"/>
      <c r="CZ301" s="46"/>
      <c r="DA301" s="46"/>
      <c r="DB301" s="46"/>
      <c r="DC301" s="46"/>
      <c r="DD301" s="46"/>
      <c r="DE301" s="46"/>
      <c r="DF301" s="46"/>
      <c r="DG301" s="46"/>
      <c r="DH301" s="46"/>
      <c r="DI301" s="46"/>
      <c r="DJ301" s="46"/>
      <c r="DK301" s="46"/>
      <c r="DL301" s="46"/>
      <c r="DM301" s="46"/>
      <c r="DN301" s="46"/>
      <c r="DO301" s="46"/>
      <c r="DP301" s="46"/>
      <c r="DQ301" s="46"/>
      <c r="DR301" s="46"/>
      <c r="DS301" s="46"/>
      <c r="DT301" s="46"/>
      <c r="DU301" s="46"/>
      <c r="DV301" s="46"/>
      <c r="DW301" s="46"/>
      <c r="DX301" s="46"/>
      <c r="DY301" s="46"/>
      <c r="DZ301" s="46"/>
      <c r="EA301" s="46"/>
    </row>
  </sheetData>
  <mergeCells count="2702">
    <mergeCell ref="CC56:CE56"/>
    <mergeCell ref="CF56:CH56"/>
    <mergeCell ref="CI56:CK56"/>
    <mergeCell ref="CL56:CN56"/>
    <mergeCell ref="CO56:CQ56"/>
    <mergeCell ref="CR56:CT56"/>
    <mergeCell ref="CU56:CW56"/>
    <mergeCell ref="CX56:CZ56"/>
    <mergeCell ref="DA56:DC56"/>
    <mergeCell ref="DD56:DF56"/>
    <mergeCell ref="DG56:DI56"/>
    <mergeCell ref="DJ56:DL56"/>
    <mergeCell ref="DM56:DO56"/>
    <mergeCell ref="DP56:DR56"/>
    <mergeCell ref="DS56:DU56"/>
    <mergeCell ref="DV56:DX56"/>
    <mergeCell ref="DY56:EA56"/>
    <mergeCell ref="DA55:DC55"/>
    <mergeCell ref="DD55:DF55"/>
    <mergeCell ref="DG55:DI55"/>
    <mergeCell ref="DJ55:DL55"/>
    <mergeCell ref="DM55:DO55"/>
    <mergeCell ref="DP55:DR55"/>
    <mergeCell ref="DS55:DU55"/>
    <mergeCell ref="DV55:DX55"/>
    <mergeCell ref="DY55:EA55"/>
    <mergeCell ref="L56:N56"/>
    <mergeCell ref="O56:Q56"/>
    <mergeCell ref="R56:T56"/>
    <mergeCell ref="U56:W56"/>
    <mergeCell ref="X56:Z56"/>
    <mergeCell ref="AA56:AC56"/>
    <mergeCell ref="AD56:AF56"/>
    <mergeCell ref="AG56:AI56"/>
    <mergeCell ref="AJ56:AL56"/>
    <mergeCell ref="AM56:AO56"/>
    <mergeCell ref="AP56:AR56"/>
    <mergeCell ref="AS56:AU56"/>
    <mergeCell ref="AV56:AX56"/>
    <mergeCell ref="AY56:BA56"/>
    <mergeCell ref="BB56:BD56"/>
    <mergeCell ref="BE56:BG56"/>
    <mergeCell ref="BH56:BJ56"/>
    <mergeCell ref="BK56:BM56"/>
    <mergeCell ref="BN56:BP56"/>
    <mergeCell ref="BQ56:BS56"/>
    <mergeCell ref="BT56:BV56"/>
    <mergeCell ref="BW56:BY56"/>
    <mergeCell ref="BZ56:CB56"/>
    <mergeCell ref="CI54:CK54"/>
    <mergeCell ref="CL54:CN54"/>
    <mergeCell ref="CO54:CQ54"/>
    <mergeCell ref="CR54:CT54"/>
    <mergeCell ref="CU54:CW54"/>
    <mergeCell ref="CX54:CZ54"/>
    <mergeCell ref="DA54:DC54"/>
    <mergeCell ref="DD54:DF54"/>
    <mergeCell ref="DG54:DI54"/>
    <mergeCell ref="DJ54:DL54"/>
    <mergeCell ref="DM54:DO54"/>
    <mergeCell ref="DP54:DR54"/>
    <mergeCell ref="DS54:DU54"/>
    <mergeCell ref="DV54:DX54"/>
    <mergeCell ref="DY54:EA54"/>
    <mergeCell ref="BB55:BD55"/>
    <mergeCell ref="BE55:BG55"/>
    <mergeCell ref="BH55:BJ55"/>
    <mergeCell ref="BK55:BM55"/>
    <mergeCell ref="BN55:BP55"/>
    <mergeCell ref="BQ55:BS55"/>
    <mergeCell ref="BT55:BV55"/>
    <mergeCell ref="BW55:BY55"/>
    <mergeCell ref="BZ55:CB55"/>
    <mergeCell ref="CC55:CE55"/>
    <mergeCell ref="CF55:CH55"/>
    <mergeCell ref="CI55:CK55"/>
    <mergeCell ref="CL55:CN55"/>
    <mergeCell ref="CO55:CQ55"/>
    <mergeCell ref="CR55:CT55"/>
    <mergeCell ref="CU55:CW55"/>
    <mergeCell ref="CX55:CZ55"/>
    <mergeCell ref="DG53:DI53"/>
    <mergeCell ref="DJ53:DL53"/>
    <mergeCell ref="DM53:DO53"/>
    <mergeCell ref="DP53:DR53"/>
    <mergeCell ref="DS53:DU53"/>
    <mergeCell ref="DV53:DX53"/>
    <mergeCell ref="DY53:EA53"/>
    <mergeCell ref="L54:N54"/>
    <mergeCell ref="O54:Q54"/>
    <mergeCell ref="R54:T54"/>
    <mergeCell ref="U54:W54"/>
    <mergeCell ref="X54:Z54"/>
    <mergeCell ref="AA54:AC54"/>
    <mergeCell ref="AD54:AF54"/>
    <mergeCell ref="AG54:AI54"/>
    <mergeCell ref="AJ54:AL54"/>
    <mergeCell ref="AM54:AO54"/>
    <mergeCell ref="AP54:AR54"/>
    <mergeCell ref="AS54:AU54"/>
    <mergeCell ref="AV54:AX54"/>
    <mergeCell ref="AY54:BA54"/>
    <mergeCell ref="BB54:BD54"/>
    <mergeCell ref="BE54:BG54"/>
    <mergeCell ref="BH54:BJ54"/>
    <mergeCell ref="BK54:BM54"/>
    <mergeCell ref="BN54:BP54"/>
    <mergeCell ref="BQ54:BS54"/>
    <mergeCell ref="BT54:BV54"/>
    <mergeCell ref="BW54:BY54"/>
    <mergeCell ref="BZ54:CB54"/>
    <mergeCell ref="CC54:CE54"/>
    <mergeCell ref="CF54:CH54"/>
    <mergeCell ref="BH53:BJ53"/>
    <mergeCell ref="BK53:BM53"/>
    <mergeCell ref="BN53:BP53"/>
    <mergeCell ref="BQ53:BS53"/>
    <mergeCell ref="BT53:BV53"/>
    <mergeCell ref="BW53:BY53"/>
    <mergeCell ref="BZ53:CB53"/>
    <mergeCell ref="CC53:CE53"/>
    <mergeCell ref="CF53:CH53"/>
    <mergeCell ref="CI53:CK53"/>
    <mergeCell ref="CL53:CN53"/>
    <mergeCell ref="CO53:CQ53"/>
    <mergeCell ref="CR53:CT53"/>
    <mergeCell ref="CU53:CW53"/>
    <mergeCell ref="CX53:CZ53"/>
    <mergeCell ref="DA53:DC53"/>
    <mergeCell ref="DD53:DF53"/>
    <mergeCell ref="B55:K55"/>
    <mergeCell ref="L53:N53"/>
    <mergeCell ref="O53:Q53"/>
    <mergeCell ref="R53:T53"/>
    <mergeCell ref="U53:W53"/>
    <mergeCell ref="X53:Z53"/>
    <mergeCell ref="AA53:AC53"/>
    <mergeCell ref="AD53:AF53"/>
    <mergeCell ref="AG53:AI53"/>
    <mergeCell ref="AJ53:AL53"/>
    <mergeCell ref="AM53:AO53"/>
    <mergeCell ref="AP53:AR53"/>
    <mergeCell ref="AS53:AU53"/>
    <mergeCell ref="AV53:AX53"/>
    <mergeCell ref="AY53:BA53"/>
    <mergeCell ref="L55:N55"/>
    <mergeCell ref="O55:Q55"/>
    <mergeCell ref="R55:T55"/>
    <mergeCell ref="U55:W55"/>
    <mergeCell ref="X55:Z55"/>
    <mergeCell ref="AA55:AC55"/>
    <mergeCell ref="AD55:AF55"/>
    <mergeCell ref="AG55:AI55"/>
    <mergeCell ref="AJ55:AL55"/>
    <mergeCell ref="AM55:AO55"/>
    <mergeCell ref="AP55:AR55"/>
    <mergeCell ref="AS55:AU55"/>
    <mergeCell ref="AV55:AX55"/>
    <mergeCell ref="AY55:BA55"/>
    <mergeCell ref="B43:K43"/>
    <mergeCell ref="DY75:EA75"/>
    <mergeCell ref="DJ75:DL75"/>
    <mergeCell ref="DM75:DO75"/>
    <mergeCell ref="DP75:DR75"/>
    <mergeCell ref="DS75:DU75"/>
    <mergeCell ref="DV75:DX75"/>
    <mergeCell ref="CU75:CW75"/>
    <mergeCell ref="CX75:CZ75"/>
    <mergeCell ref="DA75:DC75"/>
    <mergeCell ref="DD75:DF75"/>
    <mergeCell ref="DG75:DI75"/>
    <mergeCell ref="CF75:CH75"/>
    <mergeCell ref="CI75:CK75"/>
    <mergeCell ref="CL75:CN75"/>
    <mergeCell ref="CO75:CQ75"/>
    <mergeCell ref="CR75:CT75"/>
    <mergeCell ref="BQ75:BS75"/>
    <mergeCell ref="BT75:BV75"/>
    <mergeCell ref="BW75:BY75"/>
    <mergeCell ref="BZ75:CB75"/>
    <mergeCell ref="CC75:CE75"/>
    <mergeCell ref="BB75:BD75"/>
    <mergeCell ref="BE75:BG75"/>
    <mergeCell ref="BH75:BJ75"/>
    <mergeCell ref="BK75:BM75"/>
    <mergeCell ref="BN75:BP75"/>
    <mergeCell ref="DS74:DU74"/>
    <mergeCell ref="DV74:DX74"/>
    <mergeCell ref="B53:K53"/>
    <mergeCell ref="B54:K54"/>
    <mergeCell ref="B56:K56"/>
    <mergeCell ref="DY74:EA74"/>
    <mergeCell ref="O75:Q75"/>
    <mergeCell ref="R75:T75"/>
    <mergeCell ref="U75:W75"/>
    <mergeCell ref="X75:Z75"/>
    <mergeCell ref="AA75:AC75"/>
    <mergeCell ref="AD75:AF75"/>
    <mergeCell ref="AG75:AI75"/>
    <mergeCell ref="AJ75:AL75"/>
    <mergeCell ref="AM75:AO75"/>
    <mergeCell ref="AP75:AR75"/>
    <mergeCell ref="AS75:AU75"/>
    <mergeCell ref="AV75:AX75"/>
    <mergeCell ref="AY75:BA75"/>
    <mergeCell ref="DD74:DF74"/>
    <mergeCell ref="DG74:DI74"/>
    <mergeCell ref="DJ74:DL74"/>
    <mergeCell ref="DM74:DO74"/>
    <mergeCell ref="DP74:DR74"/>
    <mergeCell ref="CO74:CQ74"/>
    <mergeCell ref="CR74:CT74"/>
    <mergeCell ref="CU74:CW74"/>
    <mergeCell ref="CX74:CZ74"/>
    <mergeCell ref="DA74:DC74"/>
    <mergeCell ref="BZ74:CB74"/>
    <mergeCell ref="CC74:CE74"/>
    <mergeCell ref="CF74:CH74"/>
    <mergeCell ref="CI74:CK74"/>
    <mergeCell ref="CL74:CN74"/>
    <mergeCell ref="BK74:BM74"/>
    <mergeCell ref="BN74:BP74"/>
    <mergeCell ref="BQ74:BS74"/>
    <mergeCell ref="BT74:BV74"/>
    <mergeCell ref="BW74:BY74"/>
    <mergeCell ref="AV74:AX74"/>
    <mergeCell ref="AY74:BA74"/>
    <mergeCell ref="BB74:BD74"/>
    <mergeCell ref="BE74:BG74"/>
    <mergeCell ref="BH74:BJ74"/>
    <mergeCell ref="DS73:DU73"/>
    <mergeCell ref="DV73:DX73"/>
    <mergeCell ref="DY73:EA73"/>
    <mergeCell ref="L74:N74"/>
    <mergeCell ref="L75:N75"/>
    <mergeCell ref="O74:Q74"/>
    <mergeCell ref="R74:T74"/>
    <mergeCell ref="U74:W74"/>
    <mergeCell ref="X74:Z74"/>
    <mergeCell ref="AA74:AC74"/>
    <mergeCell ref="AD74:AF74"/>
    <mergeCell ref="AG74:AI74"/>
    <mergeCell ref="AJ74:AL74"/>
    <mergeCell ref="AM74:AO74"/>
    <mergeCell ref="AP74:AR74"/>
    <mergeCell ref="AS74:AU74"/>
    <mergeCell ref="DD73:DF73"/>
    <mergeCell ref="DG73:DI73"/>
    <mergeCell ref="DJ73:DL73"/>
    <mergeCell ref="DM73:DO73"/>
    <mergeCell ref="DP73:DR73"/>
    <mergeCell ref="CO73:CQ73"/>
    <mergeCell ref="CR73:CT73"/>
    <mergeCell ref="CU73:CW73"/>
    <mergeCell ref="CX73:CZ73"/>
    <mergeCell ref="DA73:DC73"/>
    <mergeCell ref="BZ73:CB73"/>
    <mergeCell ref="CC73:CE73"/>
    <mergeCell ref="CF73:CH73"/>
    <mergeCell ref="CI73:CK73"/>
    <mergeCell ref="CL73:CN73"/>
    <mergeCell ref="BK73:BM73"/>
    <mergeCell ref="BN73:BP73"/>
    <mergeCell ref="BQ73:BS73"/>
    <mergeCell ref="BT73:BV73"/>
    <mergeCell ref="BW73:BY73"/>
    <mergeCell ref="AV73:AX73"/>
    <mergeCell ref="AY73:BA73"/>
    <mergeCell ref="BB73:BD73"/>
    <mergeCell ref="BE73:BG73"/>
    <mergeCell ref="BH73:BJ73"/>
    <mergeCell ref="AG73:AI73"/>
    <mergeCell ref="AJ73:AL73"/>
    <mergeCell ref="AM73:AO73"/>
    <mergeCell ref="AP73:AR73"/>
    <mergeCell ref="AS73:AU73"/>
    <mergeCell ref="DS72:DU72"/>
    <mergeCell ref="DV72:DX72"/>
    <mergeCell ref="DY72:EA72"/>
    <mergeCell ref="CX72:CZ72"/>
    <mergeCell ref="DA72:DC72"/>
    <mergeCell ref="DD72:DF72"/>
    <mergeCell ref="DG72:DI72"/>
    <mergeCell ref="DJ72:DL72"/>
    <mergeCell ref="CI72:CK72"/>
    <mergeCell ref="CL72:CN72"/>
    <mergeCell ref="CO72:CQ72"/>
    <mergeCell ref="CR72:CT72"/>
    <mergeCell ref="CU72:CW72"/>
    <mergeCell ref="BT72:BV72"/>
    <mergeCell ref="BW72:BY72"/>
    <mergeCell ref="BZ72:CB72"/>
    <mergeCell ref="CC72:CE72"/>
    <mergeCell ref="CF72:CH72"/>
    <mergeCell ref="DS71:DU71"/>
    <mergeCell ref="DV71:DX71"/>
    <mergeCell ref="DY71:EA71"/>
    <mergeCell ref="R72:T72"/>
    <mergeCell ref="U72:W72"/>
    <mergeCell ref="X72:Z72"/>
    <mergeCell ref="AA72:AC72"/>
    <mergeCell ref="AD72:AF72"/>
    <mergeCell ref="AG72:AI72"/>
    <mergeCell ref="AJ72:AL72"/>
    <mergeCell ref="AM72:AO72"/>
    <mergeCell ref="AP72:AR72"/>
    <mergeCell ref="AS72:AU72"/>
    <mergeCell ref="AV72:AX72"/>
    <mergeCell ref="AY72:BA72"/>
    <mergeCell ref="BB72:BD72"/>
    <mergeCell ref="DD71:DF71"/>
    <mergeCell ref="DG71:DI71"/>
    <mergeCell ref="DJ71:DL71"/>
    <mergeCell ref="DM71:DO71"/>
    <mergeCell ref="DP71:DR71"/>
    <mergeCell ref="CO71:CQ71"/>
    <mergeCell ref="CR71:CT71"/>
    <mergeCell ref="CU71:CW71"/>
    <mergeCell ref="CX71:CZ71"/>
    <mergeCell ref="DA71:DC71"/>
    <mergeCell ref="BZ71:CB71"/>
    <mergeCell ref="CC71:CE71"/>
    <mergeCell ref="CF71:CH71"/>
    <mergeCell ref="BN71:BP71"/>
    <mergeCell ref="DM72:DO72"/>
    <mergeCell ref="DP72:DR72"/>
    <mergeCell ref="BQ71:BS71"/>
    <mergeCell ref="BT71:BV71"/>
    <mergeCell ref="BW71:BY71"/>
    <mergeCell ref="AV71:AX71"/>
    <mergeCell ref="AY71:BA71"/>
    <mergeCell ref="BB71:BD71"/>
    <mergeCell ref="BE71:BG71"/>
    <mergeCell ref="BH71:BJ71"/>
    <mergeCell ref="AG71:AI71"/>
    <mergeCell ref="AJ71:AL71"/>
    <mergeCell ref="AM71:AO71"/>
    <mergeCell ref="AP71:AR71"/>
    <mergeCell ref="AS71:AU71"/>
    <mergeCell ref="BK72:BM72"/>
    <mergeCell ref="BN72:BP72"/>
    <mergeCell ref="BQ72:BS72"/>
    <mergeCell ref="U71:W71"/>
    <mergeCell ref="X71:Z71"/>
    <mergeCell ref="AA71:AC71"/>
    <mergeCell ref="AD71:AF71"/>
    <mergeCell ref="BE72:BG72"/>
    <mergeCell ref="BH72:BJ72"/>
    <mergeCell ref="DM70:DO70"/>
    <mergeCell ref="DP70:DR70"/>
    <mergeCell ref="DS70:DU70"/>
    <mergeCell ref="DV70:DX70"/>
    <mergeCell ref="DY70:EA70"/>
    <mergeCell ref="CX70:CZ70"/>
    <mergeCell ref="DA70:DC70"/>
    <mergeCell ref="DD70:DF70"/>
    <mergeCell ref="DG70:DI70"/>
    <mergeCell ref="DJ70:DL70"/>
    <mergeCell ref="CI70:CK70"/>
    <mergeCell ref="CL70:CN70"/>
    <mergeCell ref="CO70:CQ70"/>
    <mergeCell ref="CR70:CT70"/>
    <mergeCell ref="CU70:CW70"/>
    <mergeCell ref="BT70:BV70"/>
    <mergeCell ref="BW70:BY70"/>
    <mergeCell ref="BZ70:CB70"/>
    <mergeCell ref="CC70:CE70"/>
    <mergeCell ref="CF70:CH70"/>
    <mergeCell ref="BE70:BG70"/>
    <mergeCell ref="BH70:BJ70"/>
    <mergeCell ref="BK70:BM70"/>
    <mergeCell ref="BN70:BP70"/>
    <mergeCell ref="BQ70:BS70"/>
    <mergeCell ref="CI71:CK71"/>
    <mergeCell ref="CL71:CN71"/>
    <mergeCell ref="BK71:BM71"/>
    <mergeCell ref="DS69:DU69"/>
    <mergeCell ref="DV69:DX69"/>
    <mergeCell ref="DY69:EA69"/>
    <mergeCell ref="R70:T70"/>
    <mergeCell ref="U70:W70"/>
    <mergeCell ref="X70:Z70"/>
    <mergeCell ref="AA70:AC70"/>
    <mergeCell ref="AD70:AF70"/>
    <mergeCell ref="AG70:AI70"/>
    <mergeCell ref="AJ70:AL70"/>
    <mergeCell ref="AM70:AO70"/>
    <mergeCell ref="AP70:AR70"/>
    <mergeCell ref="AS70:AU70"/>
    <mergeCell ref="AV70:AX70"/>
    <mergeCell ref="AY70:BA70"/>
    <mergeCell ref="BB70:BD70"/>
    <mergeCell ref="DD69:DF69"/>
    <mergeCell ref="DG69:DI69"/>
    <mergeCell ref="DJ69:DL69"/>
    <mergeCell ref="DM69:DO69"/>
    <mergeCell ref="DP69:DR69"/>
    <mergeCell ref="CO69:CQ69"/>
    <mergeCell ref="CR69:CT69"/>
    <mergeCell ref="CU69:CW69"/>
    <mergeCell ref="CX69:CZ69"/>
    <mergeCell ref="DA69:DC69"/>
    <mergeCell ref="BZ69:CB69"/>
    <mergeCell ref="CC69:CE69"/>
    <mergeCell ref="CF69:CH69"/>
    <mergeCell ref="CI69:CK69"/>
    <mergeCell ref="CL69:CN69"/>
    <mergeCell ref="BK69:BM69"/>
    <mergeCell ref="BN69:BP69"/>
    <mergeCell ref="BQ69:BS69"/>
    <mergeCell ref="BT69:BV69"/>
    <mergeCell ref="BW69:BY69"/>
    <mergeCell ref="DY68:EA68"/>
    <mergeCell ref="R69:T69"/>
    <mergeCell ref="U69:W69"/>
    <mergeCell ref="X69:Z69"/>
    <mergeCell ref="AA69:AC69"/>
    <mergeCell ref="AD69:AF69"/>
    <mergeCell ref="AG69:AI69"/>
    <mergeCell ref="AJ69:AL69"/>
    <mergeCell ref="AM69:AO69"/>
    <mergeCell ref="AP69:AR69"/>
    <mergeCell ref="AS69:AU69"/>
    <mergeCell ref="AV69:AX69"/>
    <mergeCell ref="AY69:BA69"/>
    <mergeCell ref="BB69:BD69"/>
    <mergeCell ref="BE69:BG69"/>
    <mergeCell ref="BH69:BJ69"/>
    <mergeCell ref="DJ68:DL68"/>
    <mergeCell ref="DM68:DO68"/>
    <mergeCell ref="DP68:DR68"/>
    <mergeCell ref="DS68:DU68"/>
    <mergeCell ref="DV68:DX68"/>
    <mergeCell ref="CU68:CW68"/>
    <mergeCell ref="CX68:CZ68"/>
    <mergeCell ref="DA68:DC68"/>
    <mergeCell ref="DD68:DF68"/>
    <mergeCell ref="DG68:DI68"/>
    <mergeCell ref="CF68:CH68"/>
    <mergeCell ref="CI68:CK68"/>
    <mergeCell ref="CL68:CN68"/>
    <mergeCell ref="CO68:CQ68"/>
    <mergeCell ref="CR68:CT68"/>
    <mergeCell ref="BQ68:BS68"/>
    <mergeCell ref="BT68:BV68"/>
    <mergeCell ref="BW68:BY68"/>
    <mergeCell ref="BZ68:CB68"/>
    <mergeCell ref="CC68:CE68"/>
    <mergeCell ref="BB68:BD68"/>
    <mergeCell ref="BE68:BG68"/>
    <mergeCell ref="BH68:BJ68"/>
    <mergeCell ref="BK68:BM68"/>
    <mergeCell ref="BN68:BP68"/>
    <mergeCell ref="AM68:AO68"/>
    <mergeCell ref="AP68:AR68"/>
    <mergeCell ref="AS68:AU68"/>
    <mergeCell ref="AV68:AX68"/>
    <mergeCell ref="AY68:BA68"/>
    <mergeCell ref="X68:Z68"/>
    <mergeCell ref="AA68:AC68"/>
    <mergeCell ref="AD68:AF68"/>
    <mergeCell ref="AG68:AI68"/>
    <mergeCell ref="AJ68:AL68"/>
    <mergeCell ref="O69:Q69"/>
    <mergeCell ref="O70:Q70"/>
    <mergeCell ref="O71:Q71"/>
    <mergeCell ref="O72:Q72"/>
    <mergeCell ref="O73:Q73"/>
    <mergeCell ref="J74:K74"/>
    <mergeCell ref="B74:I74"/>
    <mergeCell ref="R71:T71"/>
    <mergeCell ref="R73:T73"/>
    <mergeCell ref="U73:W73"/>
    <mergeCell ref="X73:Z73"/>
    <mergeCell ref="AA73:AC73"/>
    <mergeCell ref="AD73:AF73"/>
    <mergeCell ref="B75:K75"/>
    <mergeCell ref="L68:N68"/>
    <mergeCell ref="L69:N69"/>
    <mergeCell ref="L70:N70"/>
    <mergeCell ref="L71:N71"/>
    <mergeCell ref="L72:N72"/>
    <mergeCell ref="L73:N73"/>
    <mergeCell ref="J73:K73"/>
    <mergeCell ref="B68:I68"/>
    <mergeCell ref="B69:I69"/>
    <mergeCell ref="B70:I70"/>
    <mergeCell ref="B71:I71"/>
    <mergeCell ref="B72:I72"/>
    <mergeCell ref="B73:I73"/>
    <mergeCell ref="J68:K68"/>
    <mergeCell ref="J69:K69"/>
    <mergeCell ref="J70:K70"/>
    <mergeCell ref="J71:K71"/>
    <mergeCell ref="J72:K72"/>
    <mergeCell ref="DM66:DO66"/>
    <mergeCell ref="DP66:DR66"/>
    <mergeCell ref="DS66:DU66"/>
    <mergeCell ref="DV66:DX66"/>
    <mergeCell ref="DY66:EA66"/>
    <mergeCell ref="CX66:CZ66"/>
    <mergeCell ref="DA66:DC66"/>
    <mergeCell ref="DD66:DF66"/>
    <mergeCell ref="DG66:DI66"/>
    <mergeCell ref="DJ66:DL66"/>
    <mergeCell ref="CI66:CK66"/>
    <mergeCell ref="CL66:CN66"/>
    <mergeCell ref="CO66:CQ66"/>
    <mergeCell ref="CR66:CT66"/>
    <mergeCell ref="CU66:CW66"/>
    <mergeCell ref="BT66:BV66"/>
    <mergeCell ref="BW66:BY66"/>
    <mergeCell ref="BZ66:CB66"/>
    <mergeCell ref="CC66:CE66"/>
    <mergeCell ref="CF66:CH66"/>
    <mergeCell ref="BE66:BG66"/>
    <mergeCell ref="BH66:BJ66"/>
    <mergeCell ref="BK66:BM66"/>
    <mergeCell ref="BN66:BP66"/>
    <mergeCell ref="BQ66:BS66"/>
    <mergeCell ref="DP67:DR67"/>
    <mergeCell ref="DS67:DU67"/>
    <mergeCell ref="DV67:DX67"/>
    <mergeCell ref="DY67:EA67"/>
    <mergeCell ref="U66:W66"/>
    <mergeCell ref="X66:Z66"/>
    <mergeCell ref="AA66:AC66"/>
    <mergeCell ref="AD66:AF66"/>
    <mergeCell ref="AG66:AI66"/>
    <mergeCell ref="AJ66:AL66"/>
    <mergeCell ref="AM66:AO66"/>
    <mergeCell ref="AP66:AR66"/>
    <mergeCell ref="AS66:AU66"/>
    <mergeCell ref="AV66:AX66"/>
    <mergeCell ref="AY66:BA66"/>
    <mergeCell ref="BB66:BD66"/>
    <mergeCell ref="DA67:DC67"/>
    <mergeCell ref="DD67:DF67"/>
    <mergeCell ref="DG67:DI67"/>
    <mergeCell ref="DJ67:DL67"/>
    <mergeCell ref="DM67:DO67"/>
    <mergeCell ref="CL67:CN67"/>
    <mergeCell ref="CO67:CQ67"/>
    <mergeCell ref="CR67:CT67"/>
    <mergeCell ref="CU67:CW67"/>
    <mergeCell ref="CX67:CZ67"/>
    <mergeCell ref="BW67:BY67"/>
    <mergeCell ref="BZ67:CB67"/>
    <mergeCell ref="CC67:CE67"/>
    <mergeCell ref="CF67:CH67"/>
    <mergeCell ref="CI67:CK67"/>
    <mergeCell ref="BH67:BJ67"/>
    <mergeCell ref="BK67:BM67"/>
    <mergeCell ref="BN67:BP67"/>
    <mergeCell ref="BQ67:BS67"/>
    <mergeCell ref="BT67:BV67"/>
    <mergeCell ref="AS67:AU67"/>
    <mergeCell ref="AV67:AX67"/>
    <mergeCell ref="AY67:BA67"/>
    <mergeCell ref="BB67:BD67"/>
    <mergeCell ref="BE67:BG67"/>
    <mergeCell ref="DY65:EA65"/>
    <mergeCell ref="L66:N66"/>
    <mergeCell ref="O66:Q66"/>
    <mergeCell ref="R66:T66"/>
    <mergeCell ref="BB65:BD65"/>
    <mergeCell ref="BE65:BG65"/>
    <mergeCell ref="BH65:BJ65"/>
    <mergeCell ref="BK65:BM65"/>
    <mergeCell ref="BN65:BP65"/>
    <mergeCell ref="AM65:AO65"/>
    <mergeCell ref="AP65:AR65"/>
    <mergeCell ref="AS65:AU65"/>
    <mergeCell ref="AV65:AX65"/>
    <mergeCell ref="AY65:BA65"/>
    <mergeCell ref="X65:Z65"/>
    <mergeCell ref="AA65:AC65"/>
    <mergeCell ref="AD65:AF65"/>
    <mergeCell ref="AG65:AI65"/>
    <mergeCell ref="B67:K67"/>
    <mergeCell ref="L67:N67"/>
    <mergeCell ref="O67:Q67"/>
    <mergeCell ref="R67:T67"/>
    <mergeCell ref="U67:W67"/>
    <mergeCell ref="X67:Z67"/>
    <mergeCell ref="AA67:AC67"/>
    <mergeCell ref="AD67:AF67"/>
    <mergeCell ref="AG67:AI67"/>
    <mergeCell ref="AJ67:AL67"/>
    <mergeCell ref="AM67:AO67"/>
    <mergeCell ref="AP67:AR67"/>
    <mergeCell ref="DJ65:DL65"/>
    <mergeCell ref="DM65:DO65"/>
    <mergeCell ref="DP65:DR65"/>
    <mergeCell ref="DS65:DU65"/>
    <mergeCell ref="DV65:DX65"/>
    <mergeCell ref="CU65:CW65"/>
    <mergeCell ref="CX65:CZ65"/>
    <mergeCell ref="DA65:DC65"/>
    <mergeCell ref="DD65:DF65"/>
    <mergeCell ref="DG65:DI65"/>
    <mergeCell ref="CF65:CH65"/>
    <mergeCell ref="CI65:CK65"/>
    <mergeCell ref="CL65:CN65"/>
    <mergeCell ref="CO65:CQ65"/>
    <mergeCell ref="CR65:CT65"/>
    <mergeCell ref="BQ65:BS65"/>
    <mergeCell ref="BT65:BV65"/>
    <mergeCell ref="BW65:BY65"/>
    <mergeCell ref="BZ65:CB65"/>
    <mergeCell ref="CC65:CE65"/>
    <mergeCell ref="AJ65:AL65"/>
    <mergeCell ref="B66:K66"/>
    <mergeCell ref="O65:Q65"/>
    <mergeCell ref="R65:T65"/>
    <mergeCell ref="U65:W65"/>
    <mergeCell ref="O68:Q68"/>
    <mergeCell ref="R68:T68"/>
    <mergeCell ref="U68:W68"/>
    <mergeCell ref="DM64:DO64"/>
    <mergeCell ref="DP64:DR64"/>
    <mergeCell ref="DS64:DU64"/>
    <mergeCell ref="DV64:DX64"/>
    <mergeCell ref="DY64:EA64"/>
    <mergeCell ref="CX64:CZ64"/>
    <mergeCell ref="DA64:DC64"/>
    <mergeCell ref="DD64:DF64"/>
    <mergeCell ref="DG64:DI64"/>
    <mergeCell ref="DJ64:DL64"/>
    <mergeCell ref="CI64:CK64"/>
    <mergeCell ref="CL64:CN64"/>
    <mergeCell ref="CO64:CQ64"/>
    <mergeCell ref="CR64:CT64"/>
    <mergeCell ref="CU64:CW64"/>
    <mergeCell ref="BT64:BV64"/>
    <mergeCell ref="BW64:BY64"/>
    <mergeCell ref="BZ64:CB64"/>
    <mergeCell ref="CC64:CE64"/>
    <mergeCell ref="CF64:CH64"/>
    <mergeCell ref="BE64:BG64"/>
    <mergeCell ref="BH64:BJ64"/>
    <mergeCell ref="BK64:BM64"/>
    <mergeCell ref="BN64:BP64"/>
    <mergeCell ref="BQ64:BS64"/>
    <mergeCell ref="B65:K65"/>
    <mergeCell ref="L64:N64"/>
    <mergeCell ref="O64:Q64"/>
    <mergeCell ref="R64:T64"/>
    <mergeCell ref="U64:W64"/>
    <mergeCell ref="L65:N65"/>
    <mergeCell ref="DP62:DR62"/>
    <mergeCell ref="DS62:DU62"/>
    <mergeCell ref="DV62:DX62"/>
    <mergeCell ref="DY62:EA62"/>
    <mergeCell ref="B64:K64"/>
    <mergeCell ref="X64:Z64"/>
    <mergeCell ref="AA64:AC64"/>
    <mergeCell ref="AD64:AF64"/>
    <mergeCell ref="AG64:AI64"/>
    <mergeCell ref="AJ64:AL64"/>
    <mergeCell ref="AM64:AO64"/>
    <mergeCell ref="AP64:AR64"/>
    <mergeCell ref="AS64:AU64"/>
    <mergeCell ref="AV64:AX64"/>
    <mergeCell ref="AY64:BA64"/>
    <mergeCell ref="BB64:BD64"/>
    <mergeCell ref="DA62:DC62"/>
    <mergeCell ref="DD62:DF62"/>
    <mergeCell ref="DG62:DI62"/>
    <mergeCell ref="DJ62:DL62"/>
    <mergeCell ref="DM62:DO62"/>
    <mergeCell ref="CL62:CN62"/>
    <mergeCell ref="CO62:CQ62"/>
    <mergeCell ref="CR62:CT62"/>
    <mergeCell ref="CU62:CW62"/>
    <mergeCell ref="BW62:BY62"/>
    <mergeCell ref="BZ62:CB62"/>
    <mergeCell ref="CC62:CE62"/>
    <mergeCell ref="CF62:CH62"/>
    <mergeCell ref="CI62:CK62"/>
    <mergeCell ref="BH62:BJ62"/>
    <mergeCell ref="BK62:BM62"/>
    <mergeCell ref="BN62:BP62"/>
    <mergeCell ref="BQ62:BS62"/>
    <mergeCell ref="BT62:BV62"/>
    <mergeCell ref="AS62:AU62"/>
    <mergeCell ref="AV62:AX62"/>
    <mergeCell ref="AY62:BA62"/>
    <mergeCell ref="BB62:BD62"/>
    <mergeCell ref="BE62:BG62"/>
    <mergeCell ref="DV60:DX60"/>
    <mergeCell ref="BT60:BV60"/>
    <mergeCell ref="BW60:BY60"/>
    <mergeCell ref="BZ60:CB60"/>
    <mergeCell ref="AY60:BA60"/>
    <mergeCell ref="BB60:BD60"/>
    <mergeCell ref="BE60:BG60"/>
    <mergeCell ref="BH60:BJ60"/>
    <mergeCell ref="BK60:BM60"/>
    <mergeCell ref="DY60:EA60"/>
    <mergeCell ref="B59:K60"/>
    <mergeCell ref="B62:K62"/>
    <mergeCell ref="L62:N62"/>
    <mergeCell ref="O62:Q62"/>
    <mergeCell ref="R62:T62"/>
    <mergeCell ref="U62:W62"/>
    <mergeCell ref="X62:Z62"/>
    <mergeCell ref="AA62:AC62"/>
    <mergeCell ref="AD62:AF62"/>
    <mergeCell ref="AG62:AI62"/>
    <mergeCell ref="AJ62:AL62"/>
    <mergeCell ref="AM62:AO62"/>
    <mergeCell ref="AP62:AR62"/>
    <mergeCell ref="DG60:DI60"/>
    <mergeCell ref="DJ60:DL60"/>
    <mergeCell ref="DM60:DO60"/>
    <mergeCell ref="DP60:DR60"/>
    <mergeCell ref="DS60:DU60"/>
    <mergeCell ref="CR60:CT60"/>
    <mergeCell ref="CU60:CW60"/>
    <mergeCell ref="CX60:CZ60"/>
    <mergeCell ref="DA60:DC60"/>
    <mergeCell ref="DD60:DF60"/>
    <mergeCell ref="CC60:CE60"/>
    <mergeCell ref="CF60:CH60"/>
    <mergeCell ref="CI60:CK60"/>
    <mergeCell ref="CL60:CN60"/>
    <mergeCell ref="CO60:CQ60"/>
    <mergeCell ref="BN60:BP60"/>
    <mergeCell ref="BQ60:BS60"/>
    <mergeCell ref="CX62:CZ62"/>
    <mergeCell ref="DS59:DU59"/>
    <mergeCell ref="DV59:DX59"/>
    <mergeCell ref="DY59:EA59"/>
    <mergeCell ref="O60:Q60"/>
    <mergeCell ref="R60:T60"/>
    <mergeCell ref="U60:W60"/>
    <mergeCell ref="X60:Z60"/>
    <mergeCell ref="AA60:AC60"/>
    <mergeCell ref="AD60:AF60"/>
    <mergeCell ref="AG60:AI60"/>
    <mergeCell ref="AJ60:AL60"/>
    <mergeCell ref="AM60:AO60"/>
    <mergeCell ref="AP60:AR60"/>
    <mergeCell ref="AS60:AU60"/>
    <mergeCell ref="AV60:AX60"/>
    <mergeCell ref="DD59:DF59"/>
    <mergeCell ref="DG59:DI59"/>
    <mergeCell ref="DJ59:DL59"/>
    <mergeCell ref="DM59:DO59"/>
    <mergeCell ref="DP59:DR59"/>
    <mergeCell ref="CO59:CQ59"/>
    <mergeCell ref="CR59:CT59"/>
    <mergeCell ref="CU59:CW59"/>
    <mergeCell ref="CX59:CZ59"/>
    <mergeCell ref="DA59:DC59"/>
    <mergeCell ref="BZ59:CB59"/>
    <mergeCell ref="CC59:CE59"/>
    <mergeCell ref="CF59:CH59"/>
    <mergeCell ref="CI59:CK59"/>
    <mergeCell ref="CL59:CN59"/>
    <mergeCell ref="BK59:BM59"/>
    <mergeCell ref="BN59:BP59"/>
    <mergeCell ref="BQ59:BS59"/>
    <mergeCell ref="BT59:BV59"/>
    <mergeCell ref="BW59:BY59"/>
    <mergeCell ref="AV59:AX59"/>
    <mergeCell ref="AY59:BA59"/>
    <mergeCell ref="BB59:BD59"/>
    <mergeCell ref="BE59:BG59"/>
    <mergeCell ref="BH59:BJ59"/>
    <mergeCell ref="AG59:AI59"/>
    <mergeCell ref="AJ59:AL59"/>
    <mergeCell ref="AM59:AO59"/>
    <mergeCell ref="AP59:AR59"/>
    <mergeCell ref="AS59:AU59"/>
    <mergeCell ref="R59:T59"/>
    <mergeCell ref="U59:W59"/>
    <mergeCell ref="X59:Z59"/>
    <mergeCell ref="AA59:AC59"/>
    <mergeCell ref="AD59:AF59"/>
    <mergeCell ref="B45:K45"/>
    <mergeCell ref="L60:N60"/>
    <mergeCell ref="L59:N59"/>
    <mergeCell ref="O59:Q59"/>
    <mergeCell ref="DV57:DX57"/>
    <mergeCell ref="DY57:EA57"/>
    <mergeCell ref="B57:K57"/>
    <mergeCell ref="B47:K47"/>
    <mergeCell ref="B46:K46"/>
    <mergeCell ref="DG57:DI57"/>
    <mergeCell ref="DJ57:DL57"/>
    <mergeCell ref="DM57:DO57"/>
    <mergeCell ref="DP57:DR57"/>
    <mergeCell ref="DS57:DU57"/>
    <mergeCell ref="CR57:CT57"/>
    <mergeCell ref="CU57:CW57"/>
    <mergeCell ref="CX57:CZ57"/>
    <mergeCell ref="DA57:DC57"/>
    <mergeCell ref="DD57:DF57"/>
    <mergeCell ref="CC57:CE57"/>
    <mergeCell ref="CF57:CH57"/>
    <mergeCell ref="CI57:CK57"/>
    <mergeCell ref="CL57:CN57"/>
    <mergeCell ref="CO57:CQ57"/>
    <mergeCell ref="BN57:BP57"/>
    <mergeCell ref="BQ57:BS57"/>
    <mergeCell ref="BT57:BV57"/>
    <mergeCell ref="BW57:BY57"/>
    <mergeCell ref="BZ57:CB57"/>
    <mergeCell ref="DY47:EA47"/>
    <mergeCell ref="U57:W57"/>
    <mergeCell ref="X57:Z57"/>
    <mergeCell ref="AG57:AI57"/>
    <mergeCell ref="AJ57:AL57"/>
    <mergeCell ref="AM57:AO57"/>
    <mergeCell ref="AP57:AR57"/>
    <mergeCell ref="AS57:AU57"/>
    <mergeCell ref="AV57:AX57"/>
    <mergeCell ref="AY57:BA57"/>
    <mergeCell ref="BB57:BD57"/>
    <mergeCell ref="BE57:BG57"/>
    <mergeCell ref="BH57:BJ57"/>
    <mergeCell ref="BK57:BM57"/>
    <mergeCell ref="DJ47:DL47"/>
    <mergeCell ref="DM47:DO47"/>
    <mergeCell ref="DP47:DR47"/>
    <mergeCell ref="DS47:DU47"/>
    <mergeCell ref="AM47:AO47"/>
    <mergeCell ref="AP47:AR47"/>
    <mergeCell ref="AS47:AU47"/>
    <mergeCell ref="AV47:AX47"/>
    <mergeCell ref="AY47:BA47"/>
    <mergeCell ref="CX47:CZ47"/>
    <mergeCell ref="DA47:DC47"/>
    <mergeCell ref="DD47:DF47"/>
    <mergeCell ref="DG47:DI47"/>
    <mergeCell ref="CF47:CH47"/>
    <mergeCell ref="CI47:CK47"/>
    <mergeCell ref="CL47:CN47"/>
    <mergeCell ref="CO47:CQ47"/>
    <mergeCell ref="CR47:CT47"/>
    <mergeCell ref="BQ47:BS47"/>
    <mergeCell ref="BB53:BD53"/>
    <mergeCell ref="BE53:BG53"/>
    <mergeCell ref="BT47:BV47"/>
    <mergeCell ref="BW47:BY47"/>
    <mergeCell ref="BZ47:CB47"/>
    <mergeCell ref="CC47:CE47"/>
    <mergeCell ref="BB47:BD47"/>
    <mergeCell ref="BE47:BG47"/>
    <mergeCell ref="BH47:BJ47"/>
    <mergeCell ref="BK47:BM47"/>
    <mergeCell ref="BN47:BP47"/>
    <mergeCell ref="X47:Z47"/>
    <mergeCell ref="AA47:AC47"/>
    <mergeCell ref="AD47:AF47"/>
    <mergeCell ref="AG47:AI47"/>
    <mergeCell ref="AJ47:AL47"/>
    <mergeCell ref="DM46:DO46"/>
    <mergeCell ref="DP46:DR46"/>
    <mergeCell ref="DS46:DU46"/>
    <mergeCell ref="BE46:BG46"/>
    <mergeCell ref="BH46:BJ46"/>
    <mergeCell ref="BK46:BM46"/>
    <mergeCell ref="BN46:BP46"/>
    <mergeCell ref="BQ46:BS46"/>
    <mergeCell ref="DV46:DX46"/>
    <mergeCell ref="DY46:EA46"/>
    <mergeCell ref="CX46:CZ46"/>
    <mergeCell ref="DA46:DC46"/>
    <mergeCell ref="DD46:DF46"/>
    <mergeCell ref="DG46:DI46"/>
    <mergeCell ref="DJ46:DL46"/>
    <mergeCell ref="CI46:CK46"/>
    <mergeCell ref="CL46:CN46"/>
    <mergeCell ref="CO46:CQ46"/>
    <mergeCell ref="CR46:CT46"/>
    <mergeCell ref="CU46:CW46"/>
    <mergeCell ref="BT46:BV46"/>
    <mergeCell ref="BW46:BY46"/>
    <mergeCell ref="BZ46:CB46"/>
    <mergeCell ref="CC46:CE46"/>
    <mergeCell ref="CF46:CH46"/>
    <mergeCell ref="DV47:DX47"/>
    <mergeCell ref="CU47:CW47"/>
    <mergeCell ref="DP45:DR45"/>
    <mergeCell ref="DS45:DU45"/>
    <mergeCell ref="DV45:DX45"/>
    <mergeCell ref="DY45:EA45"/>
    <mergeCell ref="U46:W46"/>
    <mergeCell ref="X46:Z46"/>
    <mergeCell ref="AA46:AC46"/>
    <mergeCell ref="AD46:AF46"/>
    <mergeCell ref="AG46:AI46"/>
    <mergeCell ref="AJ46:AL46"/>
    <mergeCell ref="AM46:AO46"/>
    <mergeCell ref="AP46:AR46"/>
    <mergeCell ref="AS46:AU46"/>
    <mergeCell ref="AV46:AX46"/>
    <mergeCell ref="AY46:BA46"/>
    <mergeCell ref="BB46:BD46"/>
    <mergeCell ref="DA45:DC45"/>
    <mergeCell ref="DD45:DF45"/>
    <mergeCell ref="DG45:DI45"/>
    <mergeCell ref="DJ45:DL45"/>
    <mergeCell ref="DM45:DO45"/>
    <mergeCell ref="CL45:CN45"/>
    <mergeCell ref="CO45:CQ45"/>
    <mergeCell ref="CR45:CT45"/>
    <mergeCell ref="CU45:CW45"/>
    <mergeCell ref="CX45:CZ45"/>
    <mergeCell ref="BW45:BY45"/>
    <mergeCell ref="BZ45:CB45"/>
    <mergeCell ref="CC45:CE45"/>
    <mergeCell ref="CF45:CH45"/>
    <mergeCell ref="CI45:CK45"/>
    <mergeCell ref="BH45:BJ45"/>
    <mergeCell ref="BK45:BM45"/>
    <mergeCell ref="BN45:BP45"/>
    <mergeCell ref="BQ45:BS45"/>
    <mergeCell ref="BT45:BV45"/>
    <mergeCell ref="DS44:DU44"/>
    <mergeCell ref="DV44:DX44"/>
    <mergeCell ref="DY44:EA44"/>
    <mergeCell ref="U45:W45"/>
    <mergeCell ref="X45:Z45"/>
    <mergeCell ref="AA45:AC45"/>
    <mergeCell ref="AD45:AF45"/>
    <mergeCell ref="AG45:AI45"/>
    <mergeCell ref="AJ45:AL45"/>
    <mergeCell ref="AM45:AO45"/>
    <mergeCell ref="AP45:AR45"/>
    <mergeCell ref="AS45:AU45"/>
    <mergeCell ref="AV45:AX45"/>
    <mergeCell ref="AY45:BA45"/>
    <mergeCell ref="BB45:BD45"/>
    <mergeCell ref="BE45:BG45"/>
    <mergeCell ref="DD44:DF44"/>
    <mergeCell ref="DG44:DI44"/>
    <mergeCell ref="DJ44:DL44"/>
    <mergeCell ref="DM44:DO44"/>
    <mergeCell ref="DP44:DR44"/>
    <mergeCell ref="CO44:CQ44"/>
    <mergeCell ref="CR44:CT44"/>
    <mergeCell ref="CU44:CW44"/>
    <mergeCell ref="CX44:CZ44"/>
    <mergeCell ref="DA44:DC44"/>
    <mergeCell ref="BZ44:CB44"/>
    <mergeCell ref="CC44:CE44"/>
    <mergeCell ref="CF44:CH44"/>
    <mergeCell ref="CI44:CK44"/>
    <mergeCell ref="CL44:CN44"/>
    <mergeCell ref="BK44:BM44"/>
    <mergeCell ref="BN44:BP44"/>
    <mergeCell ref="BQ44:BS44"/>
    <mergeCell ref="BT44:BV44"/>
    <mergeCell ref="BW44:BY44"/>
    <mergeCell ref="DV43:DX43"/>
    <mergeCell ref="DY43:EA43"/>
    <mergeCell ref="U44:W44"/>
    <mergeCell ref="X44:Z44"/>
    <mergeCell ref="AA44:AC44"/>
    <mergeCell ref="AD44:AF44"/>
    <mergeCell ref="AG44:AI44"/>
    <mergeCell ref="AJ44:AL44"/>
    <mergeCell ref="AM44:AO44"/>
    <mergeCell ref="AP44:AR44"/>
    <mergeCell ref="AS44:AU44"/>
    <mergeCell ref="AV44:AX44"/>
    <mergeCell ref="AY44:BA44"/>
    <mergeCell ref="BB44:BD44"/>
    <mergeCell ref="BE44:BG44"/>
    <mergeCell ref="BH44:BJ44"/>
    <mergeCell ref="DG43:DI43"/>
    <mergeCell ref="DJ43:DL43"/>
    <mergeCell ref="DM43:DO43"/>
    <mergeCell ref="DP43:DR43"/>
    <mergeCell ref="DS43:DU43"/>
    <mergeCell ref="CR43:CT43"/>
    <mergeCell ref="CU43:CW43"/>
    <mergeCell ref="CX43:CZ43"/>
    <mergeCell ref="DA43:DC43"/>
    <mergeCell ref="DD43:DF43"/>
    <mergeCell ref="CC43:CE43"/>
    <mergeCell ref="CF43:CH43"/>
    <mergeCell ref="CI43:CK43"/>
    <mergeCell ref="CL43:CN43"/>
    <mergeCell ref="CO43:CQ43"/>
    <mergeCell ref="BN43:BP43"/>
    <mergeCell ref="BQ43:BS43"/>
    <mergeCell ref="BT43:BV43"/>
    <mergeCell ref="BW43:BY43"/>
    <mergeCell ref="BZ43:CB43"/>
    <mergeCell ref="AY43:BA43"/>
    <mergeCell ref="BB43:BD43"/>
    <mergeCell ref="BE43:BG43"/>
    <mergeCell ref="BH43:BJ43"/>
    <mergeCell ref="BK43:BM43"/>
    <mergeCell ref="R45:T45"/>
    <mergeCell ref="R46:T46"/>
    <mergeCell ref="R47:T47"/>
    <mergeCell ref="R57:T57"/>
    <mergeCell ref="U43:W43"/>
    <mergeCell ref="U47:W47"/>
    <mergeCell ref="L45:N45"/>
    <mergeCell ref="L46:N46"/>
    <mergeCell ref="L47:N47"/>
    <mergeCell ref="L57:N57"/>
    <mergeCell ref="O43:Q43"/>
    <mergeCell ref="O44:Q44"/>
    <mergeCell ref="O45:Q45"/>
    <mergeCell ref="O46:Q46"/>
    <mergeCell ref="O47:Q47"/>
    <mergeCell ref="O57:Q57"/>
    <mergeCell ref="DY42:EA42"/>
    <mergeCell ref="DS42:DU42"/>
    <mergeCell ref="DV42:DX42"/>
    <mergeCell ref="BB42:BD42"/>
    <mergeCell ref="BE42:BG42"/>
    <mergeCell ref="BH42:BJ42"/>
    <mergeCell ref="BK42:BM42"/>
    <mergeCell ref="BN42:BP42"/>
    <mergeCell ref="AM42:AO42"/>
    <mergeCell ref="AP42:AR42"/>
    <mergeCell ref="AS42:AU42"/>
    <mergeCell ref="AV42:AX42"/>
    <mergeCell ref="AY42:BA42"/>
    <mergeCell ref="X42:Z42"/>
    <mergeCell ref="AA42:AC42"/>
    <mergeCell ref="AD42:AF42"/>
    <mergeCell ref="B44:K44"/>
    <mergeCell ref="L43:N43"/>
    <mergeCell ref="L44:N44"/>
    <mergeCell ref="R43:T43"/>
    <mergeCell ref="R44:T44"/>
    <mergeCell ref="X43:Z43"/>
    <mergeCell ref="AA43:AC43"/>
    <mergeCell ref="AD43:AF43"/>
    <mergeCell ref="AG43:AI43"/>
    <mergeCell ref="AJ43:AL43"/>
    <mergeCell ref="AM43:AO43"/>
    <mergeCell ref="AP43:AR43"/>
    <mergeCell ref="AS43:AU43"/>
    <mergeCell ref="AV43:AX43"/>
    <mergeCell ref="DJ42:DL42"/>
    <mergeCell ref="DM42:DO42"/>
    <mergeCell ref="DP42:DR42"/>
    <mergeCell ref="CU42:CW42"/>
    <mergeCell ref="CX42:CZ42"/>
    <mergeCell ref="DA42:DC42"/>
    <mergeCell ref="DD42:DF42"/>
    <mergeCell ref="DG42:DI42"/>
    <mergeCell ref="CF42:CH42"/>
    <mergeCell ref="CI42:CK42"/>
    <mergeCell ref="CL42:CN42"/>
    <mergeCell ref="CO42:CQ42"/>
    <mergeCell ref="CR42:CT42"/>
    <mergeCell ref="BQ42:BS42"/>
    <mergeCell ref="BT42:BV42"/>
    <mergeCell ref="BW42:BY42"/>
    <mergeCell ref="BZ42:CB42"/>
    <mergeCell ref="CC42:CE42"/>
    <mergeCell ref="AG42:AI42"/>
    <mergeCell ref="AJ42:AL42"/>
    <mergeCell ref="B42:K42"/>
    <mergeCell ref="L42:N42"/>
    <mergeCell ref="O42:Q42"/>
    <mergeCell ref="R42:T42"/>
    <mergeCell ref="U42:W42"/>
    <mergeCell ref="DM40:DO40"/>
    <mergeCell ref="DP40:DR40"/>
    <mergeCell ref="DS40:DU40"/>
    <mergeCell ref="DV40:DX40"/>
    <mergeCell ref="DY40:EA40"/>
    <mergeCell ref="CX40:CZ40"/>
    <mergeCell ref="DA40:DC40"/>
    <mergeCell ref="DD40:DF40"/>
    <mergeCell ref="DG40:DI40"/>
    <mergeCell ref="DJ40:DL40"/>
    <mergeCell ref="CI40:CK40"/>
    <mergeCell ref="CL40:CN40"/>
    <mergeCell ref="CO40:CQ40"/>
    <mergeCell ref="CR40:CT40"/>
    <mergeCell ref="CU40:CW40"/>
    <mergeCell ref="BT40:BV40"/>
    <mergeCell ref="BW40:BY40"/>
    <mergeCell ref="BZ40:CB40"/>
    <mergeCell ref="CC40:CE40"/>
    <mergeCell ref="CF40:CH40"/>
    <mergeCell ref="BE40:BG40"/>
    <mergeCell ref="BH40:BJ40"/>
    <mergeCell ref="BK40:BM40"/>
    <mergeCell ref="BN40:BP40"/>
    <mergeCell ref="BQ40:BS40"/>
    <mergeCell ref="DV39:DX39"/>
    <mergeCell ref="DY39:EA39"/>
    <mergeCell ref="U40:W40"/>
    <mergeCell ref="X40:Z40"/>
    <mergeCell ref="AA40:AC40"/>
    <mergeCell ref="AD40:AF40"/>
    <mergeCell ref="AG40:AI40"/>
    <mergeCell ref="AJ40:AL40"/>
    <mergeCell ref="AM40:AO40"/>
    <mergeCell ref="AP40:AR40"/>
    <mergeCell ref="AS40:AU40"/>
    <mergeCell ref="AV40:AX40"/>
    <mergeCell ref="AY40:BA40"/>
    <mergeCell ref="BB40:BD40"/>
    <mergeCell ref="DA39:DC39"/>
    <mergeCell ref="DD39:DF39"/>
    <mergeCell ref="DG39:DI39"/>
    <mergeCell ref="DJ39:DL39"/>
    <mergeCell ref="DM39:DO39"/>
    <mergeCell ref="CL39:CN39"/>
    <mergeCell ref="CO39:CQ39"/>
    <mergeCell ref="CR39:CT39"/>
    <mergeCell ref="CU39:CW39"/>
    <mergeCell ref="CX39:CZ39"/>
    <mergeCell ref="BW39:BY39"/>
    <mergeCell ref="BZ39:CB39"/>
    <mergeCell ref="CC39:CE39"/>
    <mergeCell ref="CF39:CH39"/>
    <mergeCell ref="CI39:CK39"/>
    <mergeCell ref="BH39:BJ39"/>
    <mergeCell ref="AS39:AU39"/>
    <mergeCell ref="AV39:AX39"/>
    <mergeCell ref="BB39:BD39"/>
    <mergeCell ref="BE39:BG39"/>
    <mergeCell ref="AD39:AF39"/>
    <mergeCell ref="AG39:AI39"/>
    <mergeCell ref="AJ39:AL39"/>
    <mergeCell ref="AM39:AO39"/>
    <mergeCell ref="AP39:AR39"/>
    <mergeCell ref="DM38:DO38"/>
    <mergeCell ref="DP38:DR38"/>
    <mergeCell ref="DS38:DU38"/>
    <mergeCell ref="BE38:BG38"/>
    <mergeCell ref="BH38:BJ38"/>
    <mergeCell ref="BK38:BM38"/>
    <mergeCell ref="BN38:BP38"/>
    <mergeCell ref="BQ38:BS38"/>
    <mergeCell ref="DP39:DR39"/>
    <mergeCell ref="DS39:DU39"/>
    <mergeCell ref="CX38:CZ38"/>
    <mergeCell ref="DA38:DC38"/>
    <mergeCell ref="DD38:DF38"/>
    <mergeCell ref="DG38:DI38"/>
    <mergeCell ref="DJ38:DL38"/>
    <mergeCell ref="CI38:CK38"/>
    <mergeCell ref="CL38:CN38"/>
    <mergeCell ref="CO38:CQ38"/>
    <mergeCell ref="CR38:CT38"/>
    <mergeCell ref="CU38:CW38"/>
    <mergeCell ref="BT38:BV38"/>
    <mergeCell ref="BW38:BY38"/>
    <mergeCell ref="BZ38:CB38"/>
    <mergeCell ref="CC38:CE38"/>
    <mergeCell ref="BK39:BM39"/>
    <mergeCell ref="BN39:BP39"/>
    <mergeCell ref="BQ39:BS39"/>
    <mergeCell ref="BT39:BV39"/>
    <mergeCell ref="DV37:DX37"/>
    <mergeCell ref="DY37:EA37"/>
    <mergeCell ref="U38:W38"/>
    <mergeCell ref="X38:Z38"/>
    <mergeCell ref="AA38:AC38"/>
    <mergeCell ref="AD38:AF38"/>
    <mergeCell ref="AG38:AI38"/>
    <mergeCell ref="AJ38:AL38"/>
    <mergeCell ref="AM38:AO38"/>
    <mergeCell ref="AP38:AR38"/>
    <mergeCell ref="AS38:AU38"/>
    <mergeCell ref="AV38:AX38"/>
    <mergeCell ref="AY38:BA38"/>
    <mergeCell ref="BB38:BD38"/>
    <mergeCell ref="DA37:DC37"/>
    <mergeCell ref="DD37:DF37"/>
    <mergeCell ref="DG37:DI37"/>
    <mergeCell ref="DJ37:DL37"/>
    <mergeCell ref="DM37:DO37"/>
    <mergeCell ref="CL37:CN37"/>
    <mergeCell ref="CO37:CQ37"/>
    <mergeCell ref="CR37:CT37"/>
    <mergeCell ref="CU37:CW37"/>
    <mergeCell ref="CX37:CZ37"/>
    <mergeCell ref="BW37:BY37"/>
    <mergeCell ref="BZ37:CB37"/>
    <mergeCell ref="CC37:CE37"/>
    <mergeCell ref="AY39:BA39"/>
    <mergeCell ref="DV38:DX38"/>
    <mergeCell ref="DY38:EA38"/>
    <mergeCell ref="BK37:BM37"/>
    <mergeCell ref="BN37:BP37"/>
    <mergeCell ref="BQ37:BS37"/>
    <mergeCell ref="BT37:BV37"/>
    <mergeCell ref="AS37:AU37"/>
    <mergeCell ref="AV37:AX37"/>
    <mergeCell ref="AY37:BA37"/>
    <mergeCell ref="BB37:BD37"/>
    <mergeCell ref="BE37:BG37"/>
    <mergeCell ref="AD37:AF37"/>
    <mergeCell ref="AG37:AI37"/>
    <mergeCell ref="AJ37:AL37"/>
    <mergeCell ref="AM37:AO37"/>
    <mergeCell ref="AP37:AR37"/>
    <mergeCell ref="CF38:CH38"/>
    <mergeCell ref="DM36:DO36"/>
    <mergeCell ref="DP36:DR36"/>
    <mergeCell ref="DS36:DU36"/>
    <mergeCell ref="BE36:BG36"/>
    <mergeCell ref="BH36:BJ36"/>
    <mergeCell ref="BK36:BM36"/>
    <mergeCell ref="BN36:BP36"/>
    <mergeCell ref="BQ36:BS36"/>
    <mergeCell ref="DP37:DR37"/>
    <mergeCell ref="DS37:DU37"/>
    <mergeCell ref="DV36:DX36"/>
    <mergeCell ref="DY36:EA36"/>
    <mergeCell ref="CX36:CZ36"/>
    <mergeCell ref="DA36:DC36"/>
    <mergeCell ref="DD36:DF36"/>
    <mergeCell ref="DG36:DI36"/>
    <mergeCell ref="DJ36:DL36"/>
    <mergeCell ref="CI36:CK36"/>
    <mergeCell ref="CL36:CN36"/>
    <mergeCell ref="CO36:CQ36"/>
    <mergeCell ref="CR36:CT36"/>
    <mergeCell ref="CU36:CW36"/>
    <mergeCell ref="BT36:BV36"/>
    <mergeCell ref="BW36:BY36"/>
    <mergeCell ref="BZ36:CB36"/>
    <mergeCell ref="CC36:CE36"/>
    <mergeCell ref="CF36:CH36"/>
    <mergeCell ref="CF37:CH37"/>
    <mergeCell ref="CI37:CK37"/>
    <mergeCell ref="BH37:BJ37"/>
    <mergeCell ref="DP35:DR35"/>
    <mergeCell ref="DS35:DU35"/>
    <mergeCell ref="DV35:DX35"/>
    <mergeCell ref="BT35:BV35"/>
    <mergeCell ref="DY35:EA35"/>
    <mergeCell ref="U36:W36"/>
    <mergeCell ref="X36:Z36"/>
    <mergeCell ref="AA36:AC36"/>
    <mergeCell ref="AD36:AF36"/>
    <mergeCell ref="AG36:AI36"/>
    <mergeCell ref="AJ36:AL36"/>
    <mergeCell ref="AM36:AO36"/>
    <mergeCell ref="AP36:AR36"/>
    <mergeCell ref="AS36:AU36"/>
    <mergeCell ref="AV36:AX36"/>
    <mergeCell ref="AY36:BA36"/>
    <mergeCell ref="BB36:BD36"/>
    <mergeCell ref="DA35:DC35"/>
    <mergeCell ref="DD35:DF35"/>
    <mergeCell ref="DG35:DI35"/>
    <mergeCell ref="DJ35:DL35"/>
    <mergeCell ref="DM35:DO35"/>
    <mergeCell ref="CL35:CN35"/>
    <mergeCell ref="CO35:CQ35"/>
    <mergeCell ref="CR35:CT35"/>
    <mergeCell ref="CU35:CW35"/>
    <mergeCell ref="CX35:CZ35"/>
    <mergeCell ref="BW35:BY35"/>
    <mergeCell ref="BZ35:CB35"/>
    <mergeCell ref="CC35:CE35"/>
    <mergeCell ref="CF35:CH35"/>
    <mergeCell ref="CI35:CK35"/>
    <mergeCell ref="BH35:BJ35"/>
    <mergeCell ref="BK35:BM35"/>
    <mergeCell ref="BN35:BP35"/>
    <mergeCell ref="BQ35:BS35"/>
    <mergeCell ref="DS34:DU34"/>
    <mergeCell ref="DV34:DX34"/>
    <mergeCell ref="DY34:EA34"/>
    <mergeCell ref="U35:W35"/>
    <mergeCell ref="X35:Z35"/>
    <mergeCell ref="AA35:AC35"/>
    <mergeCell ref="AD35:AF35"/>
    <mergeCell ref="AG35:AI35"/>
    <mergeCell ref="AJ35:AL35"/>
    <mergeCell ref="AM35:AO35"/>
    <mergeCell ref="AP35:AR35"/>
    <mergeCell ref="AS35:AU35"/>
    <mergeCell ref="AV35:AX35"/>
    <mergeCell ref="AY35:BA35"/>
    <mergeCell ref="BB35:BD35"/>
    <mergeCell ref="BE35:BG35"/>
    <mergeCell ref="DD34:DF34"/>
    <mergeCell ref="DG34:DI34"/>
    <mergeCell ref="DJ34:DL34"/>
    <mergeCell ref="DM34:DO34"/>
    <mergeCell ref="DP34:DR34"/>
    <mergeCell ref="CO34:CQ34"/>
    <mergeCell ref="CR34:CT34"/>
    <mergeCell ref="CU34:CW34"/>
    <mergeCell ref="CX34:CZ34"/>
    <mergeCell ref="DA34:DC34"/>
    <mergeCell ref="BZ34:CB34"/>
    <mergeCell ref="CC34:CE34"/>
    <mergeCell ref="CF34:CH34"/>
    <mergeCell ref="CI34:CK34"/>
    <mergeCell ref="CL34:CN34"/>
    <mergeCell ref="BK34:BM34"/>
    <mergeCell ref="BN34:BP34"/>
    <mergeCell ref="BQ34:BS34"/>
    <mergeCell ref="BT34:BV34"/>
    <mergeCell ref="BW34:BY34"/>
    <mergeCell ref="DV33:DX33"/>
    <mergeCell ref="DY33:EA33"/>
    <mergeCell ref="U34:W34"/>
    <mergeCell ref="X34:Z34"/>
    <mergeCell ref="AA34:AC34"/>
    <mergeCell ref="AD34:AF34"/>
    <mergeCell ref="AG34:AI34"/>
    <mergeCell ref="AJ34:AL34"/>
    <mergeCell ref="AM34:AO34"/>
    <mergeCell ref="AP34:AR34"/>
    <mergeCell ref="AS34:AU34"/>
    <mergeCell ref="AV34:AX34"/>
    <mergeCell ref="AY34:BA34"/>
    <mergeCell ref="BB34:BD34"/>
    <mergeCell ref="BE34:BG34"/>
    <mergeCell ref="BH34:BJ34"/>
    <mergeCell ref="DG33:DI33"/>
    <mergeCell ref="DJ33:DL33"/>
    <mergeCell ref="DM33:DO33"/>
    <mergeCell ref="DP33:DR33"/>
    <mergeCell ref="DS33:DU33"/>
    <mergeCell ref="CR33:CT33"/>
    <mergeCell ref="CU33:CW33"/>
    <mergeCell ref="CX33:CZ33"/>
    <mergeCell ref="DA33:DC33"/>
    <mergeCell ref="DD33:DF33"/>
    <mergeCell ref="CC33:CE33"/>
    <mergeCell ref="CF33:CH33"/>
    <mergeCell ref="CI33:CK33"/>
    <mergeCell ref="CL33:CN33"/>
    <mergeCell ref="CO33:CQ33"/>
    <mergeCell ref="BN33:BP33"/>
    <mergeCell ref="BQ33:BS33"/>
    <mergeCell ref="BT33:BV33"/>
    <mergeCell ref="BW33:BY33"/>
    <mergeCell ref="BZ33:CB33"/>
    <mergeCell ref="DY32:EA32"/>
    <mergeCell ref="U33:W33"/>
    <mergeCell ref="X33:Z33"/>
    <mergeCell ref="AA33:AC33"/>
    <mergeCell ref="AD33:AF33"/>
    <mergeCell ref="AG33:AI33"/>
    <mergeCell ref="AJ33:AL33"/>
    <mergeCell ref="AM33:AO33"/>
    <mergeCell ref="AP33:AR33"/>
    <mergeCell ref="AS33:AU33"/>
    <mergeCell ref="AV33:AX33"/>
    <mergeCell ref="AY33:BA33"/>
    <mergeCell ref="BB33:BD33"/>
    <mergeCell ref="BE33:BG33"/>
    <mergeCell ref="BH33:BJ33"/>
    <mergeCell ref="BK33:BM33"/>
    <mergeCell ref="DJ32:DL32"/>
    <mergeCell ref="DM32:DO32"/>
    <mergeCell ref="DP32:DR32"/>
    <mergeCell ref="DS32:DU32"/>
    <mergeCell ref="DV32:DX32"/>
    <mergeCell ref="CU32:CW32"/>
    <mergeCell ref="CX32:CZ32"/>
    <mergeCell ref="DA32:DC32"/>
    <mergeCell ref="DD32:DF32"/>
    <mergeCell ref="DG32:DI32"/>
    <mergeCell ref="CF32:CH32"/>
    <mergeCell ref="CI32:CK32"/>
    <mergeCell ref="CL32:CN32"/>
    <mergeCell ref="CO32:CQ32"/>
    <mergeCell ref="CR32:CT32"/>
    <mergeCell ref="BQ32:BS32"/>
    <mergeCell ref="BT32:BV32"/>
    <mergeCell ref="BW32:BY32"/>
    <mergeCell ref="BZ32:CB32"/>
    <mergeCell ref="CC32:CE32"/>
    <mergeCell ref="BB32:BD32"/>
    <mergeCell ref="BE32:BG32"/>
    <mergeCell ref="BH32:BJ32"/>
    <mergeCell ref="BK32:BM32"/>
    <mergeCell ref="BN32:BP32"/>
    <mergeCell ref="R40:T40"/>
    <mergeCell ref="B40:K40"/>
    <mergeCell ref="U32:W32"/>
    <mergeCell ref="X32:Z32"/>
    <mergeCell ref="AA32:AC32"/>
    <mergeCell ref="U37:W37"/>
    <mergeCell ref="X37:Z37"/>
    <mergeCell ref="AA37:AC37"/>
    <mergeCell ref="U39:W39"/>
    <mergeCell ref="X39:Z39"/>
    <mergeCell ref="AA39:AC39"/>
    <mergeCell ref="L40:N40"/>
    <mergeCell ref="O32:Q32"/>
    <mergeCell ref="O33:Q33"/>
    <mergeCell ref="O34:Q34"/>
    <mergeCell ref="O35:Q35"/>
    <mergeCell ref="O36:Q36"/>
    <mergeCell ref="O37:Q37"/>
    <mergeCell ref="O38:Q38"/>
    <mergeCell ref="O39:Q39"/>
    <mergeCell ref="O40:Q40"/>
    <mergeCell ref="B39:K39"/>
    <mergeCell ref="DV31:DX31"/>
    <mergeCell ref="DY31:EA31"/>
    <mergeCell ref="L32:N32"/>
    <mergeCell ref="L33:N33"/>
    <mergeCell ref="L34:N34"/>
    <mergeCell ref="R32:T32"/>
    <mergeCell ref="R33:T33"/>
    <mergeCell ref="R34:T34"/>
    <mergeCell ref="AD32:AF32"/>
    <mergeCell ref="AG32:AI32"/>
    <mergeCell ref="AJ32:AL32"/>
    <mergeCell ref="AM32:AO32"/>
    <mergeCell ref="AP32:AR32"/>
    <mergeCell ref="AS32:AU32"/>
    <mergeCell ref="AV32:AX32"/>
    <mergeCell ref="AY32:BA32"/>
    <mergeCell ref="DG31:DI31"/>
    <mergeCell ref="DJ31:DL31"/>
    <mergeCell ref="DM31:DO31"/>
    <mergeCell ref="DP31:DR31"/>
    <mergeCell ref="DS31:DU31"/>
    <mergeCell ref="CR31:CT31"/>
    <mergeCell ref="CU31:CW31"/>
    <mergeCell ref="CX31:CZ31"/>
    <mergeCell ref="DA31:DC31"/>
    <mergeCell ref="DD31:DF31"/>
    <mergeCell ref="CC31:CE31"/>
    <mergeCell ref="CF31:CH31"/>
    <mergeCell ref="CI31:CK31"/>
    <mergeCell ref="CL31:CN31"/>
    <mergeCell ref="CO31:CQ31"/>
    <mergeCell ref="BN31:BP31"/>
    <mergeCell ref="BQ31:BS31"/>
    <mergeCell ref="BT31:BV31"/>
    <mergeCell ref="BW31:BY31"/>
    <mergeCell ref="BZ31:CB31"/>
    <mergeCell ref="AY31:BA31"/>
    <mergeCell ref="BB31:BD31"/>
    <mergeCell ref="BE31:BG31"/>
    <mergeCell ref="BH31:BJ31"/>
    <mergeCell ref="BK31:BM31"/>
    <mergeCell ref="AJ31:AL31"/>
    <mergeCell ref="AM31:AO31"/>
    <mergeCell ref="AP31:AR31"/>
    <mergeCell ref="AS31:AU31"/>
    <mergeCell ref="AV31:AX31"/>
    <mergeCell ref="U31:W31"/>
    <mergeCell ref="X31:Z31"/>
    <mergeCell ref="AA31:AC31"/>
    <mergeCell ref="AD31:AF31"/>
    <mergeCell ref="AG31:AI31"/>
    <mergeCell ref="B31:K31"/>
    <mergeCell ref="L31:N31"/>
    <mergeCell ref="O31:Q31"/>
    <mergeCell ref="R31:T31"/>
    <mergeCell ref="L35:N35"/>
    <mergeCell ref="L36:N36"/>
    <mergeCell ref="L37:N37"/>
    <mergeCell ref="L38:N38"/>
    <mergeCell ref="L39:N39"/>
    <mergeCell ref="R35:T35"/>
    <mergeCell ref="R36:T36"/>
    <mergeCell ref="R37:T37"/>
    <mergeCell ref="R38:T38"/>
    <mergeCell ref="R39:T39"/>
    <mergeCell ref="J37:K37"/>
    <mergeCell ref="J38:K38"/>
    <mergeCell ref="B32:I32"/>
    <mergeCell ref="B33:I33"/>
    <mergeCell ref="B34:I34"/>
    <mergeCell ref="B35:I35"/>
    <mergeCell ref="B36:I36"/>
    <mergeCell ref="B37:I37"/>
    <mergeCell ref="B38:I38"/>
    <mergeCell ref="J32:K32"/>
    <mergeCell ref="J33:K33"/>
    <mergeCell ref="J34:K34"/>
    <mergeCell ref="J35:K35"/>
    <mergeCell ref="J36:K36"/>
    <mergeCell ref="BE28:BG28"/>
    <mergeCell ref="BH28:BJ28"/>
    <mergeCell ref="BK28:BM28"/>
    <mergeCell ref="BN28:BP28"/>
    <mergeCell ref="BQ28:BS28"/>
    <mergeCell ref="DM29:DO29"/>
    <mergeCell ref="DP29:DR29"/>
    <mergeCell ref="CX29:CZ29"/>
    <mergeCell ref="DA29:DC29"/>
    <mergeCell ref="DD29:DF29"/>
    <mergeCell ref="DG29:DI29"/>
    <mergeCell ref="DJ29:DL29"/>
    <mergeCell ref="CI29:CK29"/>
    <mergeCell ref="CL29:CN29"/>
    <mergeCell ref="CO29:CQ29"/>
    <mergeCell ref="CR29:CT29"/>
    <mergeCell ref="CU29:CW29"/>
    <mergeCell ref="BT29:BV29"/>
    <mergeCell ref="BW29:BY29"/>
    <mergeCell ref="BZ29:CB29"/>
    <mergeCell ref="BE29:BG29"/>
    <mergeCell ref="BH29:BJ29"/>
    <mergeCell ref="BK29:BM29"/>
    <mergeCell ref="BN29:BP29"/>
    <mergeCell ref="BQ29:BS29"/>
    <mergeCell ref="CC28:CE28"/>
    <mergeCell ref="CF28:CH28"/>
    <mergeCell ref="DM28:DO28"/>
    <mergeCell ref="DP28:DR28"/>
    <mergeCell ref="DS29:DU29"/>
    <mergeCell ref="DV29:DX29"/>
    <mergeCell ref="DY29:EA29"/>
    <mergeCell ref="CC29:CE29"/>
    <mergeCell ref="CF29:CH29"/>
    <mergeCell ref="AP29:AR29"/>
    <mergeCell ref="AS29:AU29"/>
    <mergeCell ref="AV29:AX29"/>
    <mergeCell ref="AY29:BA29"/>
    <mergeCell ref="BB29:BD29"/>
    <mergeCell ref="AA29:AC29"/>
    <mergeCell ref="AD29:AF29"/>
    <mergeCell ref="AG29:AI29"/>
    <mergeCell ref="AJ29:AL29"/>
    <mergeCell ref="AM29:AO29"/>
    <mergeCell ref="BH27:BJ27"/>
    <mergeCell ref="DS28:DU28"/>
    <mergeCell ref="DV28:DX28"/>
    <mergeCell ref="DY28:EA28"/>
    <mergeCell ref="CX28:CZ28"/>
    <mergeCell ref="DA28:DC28"/>
    <mergeCell ref="DD28:DF28"/>
    <mergeCell ref="DG28:DI28"/>
    <mergeCell ref="DJ28:DL28"/>
    <mergeCell ref="CI28:CK28"/>
    <mergeCell ref="CL28:CN28"/>
    <mergeCell ref="CO28:CQ28"/>
    <mergeCell ref="CR28:CT28"/>
    <mergeCell ref="CU28:CW28"/>
    <mergeCell ref="BT28:BV28"/>
    <mergeCell ref="BW28:BY28"/>
    <mergeCell ref="BZ28:CB28"/>
    <mergeCell ref="BK27:BM27"/>
    <mergeCell ref="BN27:BP27"/>
    <mergeCell ref="BQ27:BS27"/>
    <mergeCell ref="DV27:DX27"/>
    <mergeCell ref="DY27:EA27"/>
    <mergeCell ref="U28:W28"/>
    <mergeCell ref="X28:Z28"/>
    <mergeCell ref="AA28:AC28"/>
    <mergeCell ref="AD28:AF28"/>
    <mergeCell ref="AG28:AI28"/>
    <mergeCell ref="AJ28:AL28"/>
    <mergeCell ref="AM28:AO28"/>
    <mergeCell ref="AP28:AR28"/>
    <mergeCell ref="AS28:AU28"/>
    <mergeCell ref="AV28:AX28"/>
    <mergeCell ref="AY28:BA28"/>
    <mergeCell ref="BB28:BD28"/>
    <mergeCell ref="DA27:DC27"/>
    <mergeCell ref="DD27:DF27"/>
    <mergeCell ref="DG27:DI27"/>
    <mergeCell ref="DJ27:DL27"/>
    <mergeCell ref="DM27:DO27"/>
    <mergeCell ref="CL27:CN27"/>
    <mergeCell ref="CO27:CQ27"/>
    <mergeCell ref="CR27:CT27"/>
    <mergeCell ref="CU27:CW27"/>
    <mergeCell ref="CX27:CZ27"/>
    <mergeCell ref="BW27:BY27"/>
    <mergeCell ref="BZ27:CB27"/>
    <mergeCell ref="CC27:CE27"/>
    <mergeCell ref="CF27:CH27"/>
    <mergeCell ref="CI27:CK27"/>
    <mergeCell ref="CI25:CK25"/>
    <mergeCell ref="BH25:BJ25"/>
    <mergeCell ref="DV26:DX26"/>
    <mergeCell ref="BB27:BD27"/>
    <mergeCell ref="BE27:BG27"/>
    <mergeCell ref="AD27:AF27"/>
    <mergeCell ref="AG27:AI27"/>
    <mergeCell ref="AJ27:AL27"/>
    <mergeCell ref="AM27:AO27"/>
    <mergeCell ref="AP27:AR27"/>
    <mergeCell ref="DM26:DO26"/>
    <mergeCell ref="DP26:DR26"/>
    <mergeCell ref="DS26:DU26"/>
    <mergeCell ref="BE26:BG26"/>
    <mergeCell ref="BH26:BJ26"/>
    <mergeCell ref="BK26:BM26"/>
    <mergeCell ref="BN26:BP26"/>
    <mergeCell ref="BQ26:BS26"/>
    <mergeCell ref="DP27:DR27"/>
    <mergeCell ref="DS27:DU27"/>
    <mergeCell ref="CX26:CZ26"/>
    <mergeCell ref="DA26:DC26"/>
    <mergeCell ref="DD26:DF26"/>
    <mergeCell ref="DG26:DI26"/>
    <mergeCell ref="DJ26:DL26"/>
    <mergeCell ref="CI26:CK26"/>
    <mergeCell ref="CL26:CN26"/>
    <mergeCell ref="CO26:CQ26"/>
    <mergeCell ref="CR26:CT26"/>
    <mergeCell ref="CU26:CW26"/>
    <mergeCell ref="BT26:BV26"/>
    <mergeCell ref="BW26:BY26"/>
    <mergeCell ref="CI24:CK24"/>
    <mergeCell ref="CL24:CN24"/>
    <mergeCell ref="CO24:CQ24"/>
    <mergeCell ref="BT27:BV27"/>
    <mergeCell ref="DV25:DX25"/>
    <mergeCell ref="DY25:EA25"/>
    <mergeCell ref="U26:W26"/>
    <mergeCell ref="X26:Z26"/>
    <mergeCell ref="AA26:AC26"/>
    <mergeCell ref="AD26:AF26"/>
    <mergeCell ref="AG26:AI26"/>
    <mergeCell ref="AJ26:AL26"/>
    <mergeCell ref="AM26:AO26"/>
    <mergeCell ref="AP26:AR26"/>
    <mergeCell ref="AS26:AU26"/>
    <mergeCell ref="AV26:AX26"/>
    <mergeCell ref="AY26:BA26"/>
    <mergeCell ref="BB26:BD26"/>
    <mergeCell ref="DA25:DC25"/>
    <mergeCell ref="DD25:DF25"/>
    <mergeCell ref="DG25:DI25"/>
    <mergeCell ref="DJ25:DL25"/>
    <mergeCell ref="DM25:DO25"/>
    <mergeCell ref="CL25:CN25"/>
    <mergeCell ref="CO25:CQ25"/>
    <mergeCell ref="CR25:CT25"/>
    <mergeCell ref="CU25:CW25"/>
    <mergeCell ref="CX25:CZ25"/>
    <mergeCell ref="BW25:BY25"/>
    <mergeCell ref="AS27:AU27"/>
    <mergeCell ref="AV27:AX27"/>
    <mergeCell ref="AY27:BA27"/>
    <mergeCell ref="AD24:AF24"/>
    <mergeCell ref="AG24:AI24"/>
    <mergeCell ref="AJ24:AL24"/>
    <mergeCell ref="AM24:AO24"/>
    <mergeCell ref="AP24:AR24"/>
    <mergeCell ref="AS24:AU24"/>
    <mergeCell ref="AV24:AX24"/>
    <mergeCell ref="AY24:BA24"/>
    <mergeCell ref="BB24:BD24"/>
    <mergeCell ref="DA23:DC23"/>
    <mergeCell ref="DD23:DF23"/>
    <mergeCell ref="DG23:DI23"/>
    <mergeCell ref="DJ23:DL23"/>
    <mergeCell ref="DY26:EA26"/>
    <mergeCell ref="AS25:AU25"/>
    <mergeCell ref="AV25:AX25"/>
    <mergeCell ref="AY25:BA25"/>
    <mergeCell ref="BB25:BD25"/>
    <mergeCell ref="BE25:BG25"/>
    <mergeCell ref="AD25:AF25"/>
    <mergeCell ref="AG25:AI25"/>
    <mergeCell ref="AJ25:AL25"/>
    <mergeCell ref="AM25:AO25"/>
    <mergeCell ref="AP25:AR25"/>
    <mergeCell ref="BZ26:CB26"/>
    <mergeCell ref="CC26:CE26"/>
    <mergeCell ref="CF26:CH26"/>
    <mergeCell ref="DM24:DO24"/>
    <mergeCell ref="DP24:DR24"/>
    <mergeCell ref="DS24:DU24"/>
    <mergeCell ref="BE24:BG24"/>
    <mergeCell ref="BH24:BJ24"/>
    <mergeCell ref="DV24:DX24"/>
    <mergeCell ref="DY24:EA24"/>
    <mergeCell ref="BK23:BM23"/>
    <mergeCell ref="BN23:BP23"/>
    <mergeCell ref="BQ23:BS23"/>
    <mergeCell ref="BT23:BV23"/>
    <mergeCell ref="CR24:CT24"/>
    <mergeCell ref="CU24:CW24"/>
    <mergeCell ref="BT24:BV24"/>
    <mergeCell ref="BW24:BY24"/>
    <mergeCell ref="BZ24:CB24"/>
    <mergeCell ref="CC24:CE24"/>
    <mergeCell ref="CF24:CH24"/>
    <mergeCell ref="BK25:BM25"/>
    <mergeCell ref="BN25:BP25"/>
    <mergeCell ref="BQ25:BS25"/>
    <mergeCell ref="BT25:BV25"/>
    <mergeCell ref="BZ25:CB25"/>
    <mergeCell ref="CC25:CE25"/>
    <mergeCell ref="CF25:CH25"/>
    <mergeCell ref="DV23:DX23"/>
    <mergeCell ref="DY23:EA23"/>
    <mergeCell ref="BK24:BM24"/>
    <mergeCell ref="BN24:BP24"/>
    <mergeCell ref="BQ24:BS24"/>
    <mergeCell ref="DP25:DR25"/>
    <mergeCell ref="DS25:DU25"/>
    <mergeCell ref="CX24:CZ24"/>
    <mergeCell ref="DA24:DC24"/>
    <mergeCell ref="DD24:DF24"/>
    <mergeCell ref="DG24:DI24"/>
    <mergeCell ref="DJ24:DL24"/>
    <mergeCell ref="AS23:AU23"/>
    <mergeCell ref="AV23:AX23"/>
    <mergeCell ref="AY23:BA23"/>
    <mergeCell ref="BB23:BD23"/>
    <mergeCell ref="BE23:BG23"/>
    <mergeCell ref="AD23:AF23"/>
    <mergeCell ref="AG23:AI23"/>
    <mergeCell ref="AJ23:AL23"/>
    <mergeCell ref="AM23:AO23"/>
    <mergeCell ref="AP23:AR23"/>
    <mergeCell ref="DM22:DO22"/>
    <mergeCell ref="DP22:DR22"/>
    <mergeCell ref="DS22:DU22"/>
    <mergeCell ref="BE22:BG22"/>
    <mergeCell ref="BH22:BJ22"/>
    <mergeCell ref="BK22:BM22"/>
    <mergeCell ref="BN22:BP22"/>
    <mergeCell ref="BQ22:BS22"/>
    <mergeCell ref="DP23:DR23"/>
    <mergeCell ref="DS23:DU23"/>
    <mergeCell ref="DM23:DO23"/>
    <mergeCell ref="CL23:CN23"/>
    <mergeCell ref="CO23:CQ23"/>
    <mergeCell ref="CR23:CT23"/>
    <mergeCell ref="CU23:CW23"/>
    <mergeCell ref="CX23:CZ23"/>
    <mergeCell ref="BW23:BY23"/>
    <mergeCell ref="BZ23:CB23"/>
    <mergeCell ref="CC23:CE23"/>
    <mergeCell ref="CF23:CH23"/>
    <mergeCell ref="CI23:CK23"/>
    <mergeCell ref="BH23:BJ23"/>
    <mergeCell ref="DV22:DX22"/>
    <mergeCell ref="DY22:EA22"/>
    <mergeCell ref="CX22:CZ22"/>
    <mergeCell ref="DA22:DC22"/>
    <mergeCell ref="DD22:DF22"/>
    <mergeCell ref="DG22:DI22"/>
    <mergeCell ref="DJ22:DL22"/>
    <mergeCell ref="CI22:CK22"/>
    <mergeCell ref="CL22:CN22"/>
    <mergeCell ref="CO22:CQ22"/>
    <mergeCell ref="CR22:CT22"/>
    <mergeCell ref="CU22:CW22"/>
    <mergeCell ref="BT22:BV22"/>
    <mergeCell ref="BW22:BY22"/>
    <mergeCell ref="BZ22:CB22"/>
    <mergeCell ref="CC22:CE22"/>
    <mergeCell ref="CF22:CH22"/>
    <mergeCell ref="U22:W22"/>
    <mergeCell ref="X22:Z22"/>
    <mergeCell ref="AA22:AC22"/>
    <mergeCell ref="U23:W23"/>
    <mergeCell ref="X23:Z23"/>
    <mergeCell ref="AA23:AC23"/>
    <mergeCell ref="U25:W25"/>
    <mergeCell ref="X25:Z25"/>
    <mergeCell ref="AA25:AC25"/>
    <mergeCell ref="U27:W27"/>
    <mergeCell ref="X27:Z27"/>
    <mergeCell ref="AA27:AC27"/>
    <mergeCell ref="U29:W29"/>
    <mergeCell ref="X29:Z29"/>
    <mergeCell ref="R23:T23"/>
    <mergeCell ref="R24:T24"/>
    <mergeCell ref="R25:T25"/>
    <mergeCell ref="R26:T26"/>
    <mergeCell ref="R27:T27"/>
    <mergeCell ref="U24:W24"/>
    <mergeCell ref="X24:Z24"/>
    <mergeCell ref="AA24:AC24"/>
    <mergeCell ref="L28:N28"/>
    <mergeCell ref="O29:Q29"/>
    <mergeCell ref="O28:Q28"/>
    <mergeCell ref="J26:K26"/>
    <mergeCell ref="J27:K27"/>
    <mergeCell ref="L26:N26"/>
    <mergeCell ref="L27:N27"/>
    <mergeCell ref="B28:K28"/>
    <mergeCell ref="B27:I27"/>
    <mergeCell ref="L23:N23"/>
    <mergeCell ref="L24:N24"/>
    <mergeCell ref="L25:N25"/>
    <mergeCell ref="J22:K22"/>
    <mergeCell ref="J23:K23"/>
    <mergeCell ref="J24:K24"/>
    <mergeCell ref="J25:K25"/>
    <mergeCell ref="R28:T28"/>
    <mergeCell ref="R29:T29"/>
    <mergeCell ref="DP21:DR21"/>
    <mergeCell ref="DS21:DU21"/>
    <mergeCell ref="DV21:DX21"/>
    <mergeCell ref="DY21:EA21"/>
    <mergeCell ref="L22:N22"/>
    <mergeCell ref="O22:Q22"/>
    <mergeCell ref="R22:T22"/>
    <mergeCell ref="AD22:AF22"/>
    <mergeCell ref="AG22:AI22"/>
    <mergeCell ref="AJ22:AL22"/>
    <mergeCell ref="AM22:AO22"/>
    <mergeCell ref="AP22:AR22"/>
    <mergeCell ref="AS22:AU22"/>
    <mergeCell ref="AV22:AX22"/>
    <mergeCell ref="AY22:BA22"/>
    <mergeCell ref="BB22:BD22"/>
    <mergeCell ref="DA21:DC21"/>
    <mergeCell ref="DD21:DF21"/>
    <mergeCell ref="DG21:DI21"/>
    <mergeCell ref="DJ21:DL21"/>
    <mergeCell ref="DM21:DO21"/>
    <mergeCell ref="CL21:CN21"/>
    <mergeCell ref="CO21:CQ21"/>
    <mergeCell ref="CR21:CT21"/>
    <mergeCell ref="CU21:CW21"/>
    <mergeCell ref="CX21:CZ21"/>
    <mergeCell ref="BW21:BY21"/>
    <mergeCell ref="BZ21:CB21"/>
    <mergeCell ref="CC21:CE21"/>
    <mergeCell ref="CF21:CH21"/>
    <mergeCell ref="CI21:CK21"/>
    <mergeCell ref="BH21:BJ21"/>
    <mergeCell ref="BK21:BM21"/>
    <mergeCell ref="BN21:BP21"/>
    <mergeCell ref="BQ21:BS21"/>
    <mergeCell ref="BT21:BV21"/>
    <mergeCell ref="AS21:AU21"/>
    <mergeCell ref="AV21:AX21"/>
    <mergeCell ref="AY21:BA21"/>
    <mergeCell ref="BB21:BD21"/>
    <mergeCell ref="BE21:BG21"/>
    <mergeCell ref="AD21:AF21"/>
    <mergeCell ref="AG21:AI21"/>
    <mergeCell ref="AJ21:AL21"/>
    <mergeCell ref="AM21:AO21"/>
    <mergeCell ref="AP21:AR21"/>
    <mergeCell ref="T3:X3"/>
    <mergeCell ref="B3:S3"/>
    <mergeCell ref="B21:K21"/>
    <mergeCell ref="L21:N21"/>
    <mergeCell ref="O21:Q21"/>
    <mergeCell ref="R21:T21"/>
    <mergeCell ref="U21:W21"/>
    <mergeCell ref="X21:Z21"/>
    <mergeCell ref="AA21:AC21"/>
    <mergeCell ref="BH19:BJ19"/>
    <mergeCell ref="BK19:BM19"/>
    <mergeCell ref="BN19:BP19"/>
    <mergeCell ref="BQ19:BS19"/>
    <mergeCell ref="BT19:BV19"/>
    <mergeCell ref="BN18:BP18"/>
    <mergeCell ref="BQ18:BS18"/>
    <mergeCell ref="BT18:BV18"/>
    <mergeCell ref="BN17:BP17"/>
    <mergeCell ref="DP19:DR19"/>
    <mergeCell ref="DS19:DU19"/>
    <mergeCell ref="DV19:DX19"/>
    <mergeCell ref="DY19:EA19"/>
    <mergeCell ref="DA19:DC19"/>
    <mergeCell ref="DD19:DF19"/>
    <mergeCell ref="DG19:DI19"/>
    <mergeCell ref="DJ19:DL19"/>
    <mergeCell ref="DM19:DO19"/>
    <mergeCell ref="CL19:CN19"/>
    <mergeCell ref="CO19:CQ19"/>
    <mergeCell ref="CR19:CT19"/>
    <mergeCell ref="CU19:CW19"/>
    <mergeCell ref="CX19:CZ19"/>
    <mergeCell ref="BW19:BY19"/>
    <mergeCell ref="BZ19:CB19"/>
    <mergeCell ref="CC19:CE19"/>
    <mergeCell ref="CF19:CH19"/>
    <mergeCell ref="CI19:CK19"/>
    <mergeCell ref="DS18:DU18"/>
    <mergeCell ref="DV18:DX18"/>
    <mergeCell ref="DY18:EA18"/>
    <mergeCell ref="U19:W19"/>
    <mergeCell ref="X19:Z19"/>
    <mergeCell ref="AA19:AC19"/>
    <mergeCell ref="AD19:AF19"/>
    <mergeCell ref="AG19:AI19"/>
    <mergeCell ref="AJ19:AL19"/>
    <mergeCell ref="AM19:AO19"/>
    <mergeCell ref="AP19:AR19"/>
    <mergeCell ref="AS19:AU19"/>
    <mergeCell ref="AV19:AX19"/>
    <mergeCell ref="AY19:BA19"/>
    <mergeCell ref="BB19:BD19"/>
    <mergeCell ref="BE19:BG19"/>
    <mergeCell ref="DD18:DF18"/>
    <mergeCell ref="DG18:DI18"/>
    <mergeCell ref="DJ18:DL18"/>
    <mergeCell ref="DM18:DO18"/>
    <mergeCell ref="DP18:DR18"/>
    <mergeCell ref="CO18:CQ18"/>
    <mergeCell ref="CR18:CT18"/>
    <mergeCell ref="CU18:CW18"/>
    <mergeCell ref="CX18:CZ18"/>
    <mergeCell ref="DA18:DC18"/>
    <mergeCell ref="BZ18:CB18"/>
    <mergeCell ref="CC18:CE18"/>
    <mergeCell ref="CF18:CH18"/>
    <mergeCell ref="CI18:CK18"/>
    <mergeCell ref="CL18:CN18"/>
    <mergeCell ref="BK18:BM18"/>
    <mergeCell ref="BW18:BY18"/>
    <mergeCell ref="DV17:DX17"/>
    <mergeCell ref="DY17:EA17"/>
    <mergeCell ref="U18:W18"/>
    <mergeCell ref="X18:Z18"/>
    <mergeCell ref="AA18:AC18"/>
    <mergeCell ref="AD18:AF18"/>
    <mergeCell ref="AG18:AI18"/>
    <mergeCell ref="AJ18:AL18"/>
    <mergeCell ref="AM18:AO18"/>
    <mergeCell ref="AP18:AR18"/>
    <mergeCell ref="AS18:AU18"/>
    <mergeCell ref="AV18:AX18"/>
    <mergeCell ref="AY18:BA18"/>
    <mergeCell ref="BB18:BD18"/>
    <mergeCell ref="BE18:BG18"/>
    <mergeCell ref="BH18:BJ18"/>
    <mergeCell ref="DG17:DI17"/>
    <mergeCell ref="DJ17:DL17"/>
    <mergeCell ref="DM17:DO17"/>
    <mergeCell ref="DP17:DR17"/>
    <mergeCell ref="DS17:DU17"/>
    <mergeCell ref="CR17:CT17"/>
    <mergeCell ref="CU17:CW17"/>
    <mergeCell ref="CX17:CZ17"/>
    <mergeCell ref="DA17:DC17"/>
    <mergeCell ref="DD17:DF17"/>
    <mergeCell ref="CC17:CE17"/>
    <mergeCell ref="CF17:CH17"/>
    <mergeCell ref="CI17:CK17"/>
    <mergeCell ref="CL17:CN17"/>
    <mergeCell ref="CO17:CQ17"/>
    <mergeCell ref="BW17:BY17"/>
    <mergeCell ref="BZ17:CB17"/>
    <mergeCell ref="AY17:BA17"/>
    <mergeCell ref="BB17:BD17"/>
    <mergeCell ref="BE17:BG17"/>
    <mergeCell ref="BH17:BJ17"/>
    <mergeCell ref="BK17:BM17"/>
    <mergeCell ref="AJ17:AL17"/>
    <mergeCell ref="AM17:AO17"/>
    <mergeCell ref="AP17:AR17"/>
    <mergeCell ref="AS17:AU17"/>
    <mergeCell ref="AV17:AX17"/>
    <mergeCell ref="U17:W17"/>
    <mergeCell ref="X17:Z17"/>
    <mergeCell ref="AA17:AC17"/>
    <mergeCell ref="AD17:AF17"/>
    <mergeCell ref="AG17:AI17"/>
    <mergeCell ref="DV15:DX15"/>
    <mergeCell ref="DY15:EA15"/>
    <mergeCell ref="U16:W16"/>
    <mergeCell ref="X16:Z16"/>
    <mergeCell ref="AA16:AC16"/>
    <mergeCell ref="AD16:AF16"/>
    <mergeCell ref="AG16:AI16"/>
    <mergeCell ref="AJ16:AL16"/>
    <mergeCell ref="AM16:AO16"/>
    <mergeCell ref="AP16:AR16"/>
    <mergeCell ref="AS16:AU16"/>
    <mergeCell ref="AV16:AX16"/>
    <mergeCell ref="AY16:BA16"/>
    <mergeCell ref="BB16:BD16"/>
    <mergeCell ref="DA15:DC15"/>
    <mergeCell ref="DD15:DF15"/>
    <mergeCell ref="DG15:DI15"/>
    <mergeCell ref="DJ15:DL15"/>
    <mergeCell ref="DM15:DO15"/>
    <mergeCell ref="CL15:CN15"/>
    <mergeCell ref="CO15:CQ15"/>
    <mergeCell ref="CR15:CT15"/>
    <mergeCell ref="CU15:CW15"/>
    <mergeCell ref="CX15:CZ15"/>
    <mergeCell ref="BW15:BY15"/>
    <mergeCell ref="DM16:DO16"/>
    <mergeCell ref="DP16:DR16"/>
    <mergeCell ref="DS16:DU16"/>
    <mergeCell ref="DV16:DX16"/>
    <mergeCell ref="DY16:EA16"/>
    <mergeCell ref="CX16:CZ16"/>
    <mergeCell ref="DA16:DC16"/>
    <mergeCell ref="BB15:BD15"/>
    <mergeCell ref="BE15:BG15"/>
    <mergeCell ref="O18:Q18"/>
    <mergeCell ref="L19:N19"/>
    <mergeCell ref="O19:Q19"/>
    <mergeCell ref="R15:T15"/>
    <mergeCell ref="R16:T16"/>
    <mergeCell ref="R17:T17"/>
    <mergeCell ref="R18:T18"/>
    <mergeCell ref="R19:T19"/>
    <mergeCell ref="BE16:BG16"/>
    <mergeCell ref="BH16:BJ16"/>
    <mergeCell ref="BK16:BM16"/>
    <mergeCell ref="BN16:BP16"/>
    <mergeCell ref="BQ16:BS16"/>
    <mergeCell ref="DP15:DR15"/>
    <mergeCell ref="DS15:DU15"/>
    <mergeCell ref="DD16:DF16"/>
    <mergeCell ref="DG16:DI16"/>
    <mergeCell ref="DJ16:DL16"/>
    <mergeCell ref="CI16:CK16"/>
    <mergeCell ref="CL16:CN16"/>
    <mergeCell ref="CO16:CQ16"/>
    <mergeCell ref="CR16:CT16"/>
    <mergeCell ref="CU16:CW16"/>
    <mergeCell ref="BT16:BV16"/>
    <mergeCell ref="BW16:BY16"/>
    <mergeCell ref="BZ16:CB16"/>
    <mergeCell ref="CC16:CE16"/>
    <mergeCell ref="CF16:CH16"/>
    <mergeCell ref="BQ17:BS17"/>
    <mergeCell ref="BT17:BV17"/>
    <mergeCell ref="AG15:AI15"/>
    <mergeCell ref="AJ15:AL15"/>
    <mergeCell ref="AM15:AO15"/>
    <mergeCell ref="AP15:AR15"/>
    <mergeCell ref="DG14:DI14"/>
    <mergeCell ref="DJ14:DL14"/>
    <mergeCell ref="DM14:DO14"/>
    <mergeCell ref="DP14:DR14"/>
    <mergeCell ref="DS14:DU14"/>
    <mergeCell ref="CR14:CT14"/>
    <mergeCell ref="CU14:CW14"/>
    <mergeCell ref="CX14:CZ14"/>
    <mergeCell ref="DA14:DC14"/>
    <mergeCell ref="DD14:DF14"/>
    <mergeCell ref="CC14:CE14"/>
    <mergeCell ref="CF14:CH14"/>
    <mergeCell ref="CI14:CK14"/>
    <mergeCell ref="CL14:CN14"/>
    <mergeCell ref="CO14:CQ14"/>
    <mergeCell ref="BN14:BP14"/>
    <mergeCell ref="BZ15:CB15"/>
    <mergeCell ref="CC15:CE15"/>
    <mergeCell ref="CF15:CH15"/>
    <mergeCell ref="CI15:CK15"/>
    <mergeCell ref="BH15:BJ15"/>
    <mergeCell ref="BK15:BM15"/>
    <mergeCell ref="BN15:BP15"/>
    <mergeCell ref="BQ15:BS15"/>
    <mergeCell ref="BT15:BV15"/>
    <mergeCell ref="AS15:AU15"/>
    <mergeCell ref="AV15:AX15"/>
    <mergeCell ref="AY15:BA15"/>
    <mergeCell ref="DV12:DX12"/>
    <mergeCell ref="DY12:EA12"/>
    <mergeCell ref="L14:N14"/>
    <mergeCell ref="O14:Q14"/>
    <mergeCell ref="R14:T14"/>
    <mergeCell ref="U14:W14"/>
    <mergeCell ref="X14:Z14"/>
    <mergeCell ref="AA14:AC14"/>
    <mergeCell ref="AD14:AF14"/>
    <mergeCell ref="AG14:AI14"/>
    <mergeCell ref="AJ14:AL14"/>
    <mergeCell ref="AM14:AO14"/>
    <mergeCell ref="AP14:AR14"/>
    <mergeCell ref="AS14:AU14"/>
    <mergeCell ref="AV14:AX14"/>
    <mergeCell ref="DD12:DF12"/>
    <mergeCell ref="DG12:DI12"/>
    <mergeCell ref="DJ12:DL12"/>
    <mergeCell ref="DM12:DO12"/>
    <mergeCell ref="DP12:DR12"/>
    <mergeCell ref="CO12:CQ12"/>
    <mergeCell ref="CR12:CT12"/>
    <mergeCell ref="DV14:DX14"/>
    <mergeCell ref="DY14:EA14"/>
    <mergeCell ref="BN12:BP12"/>
    <mergeCell ref="BQ12:BS12"/>
    <mergeCell ref="BT12:BV12"/>
    <mergeCell ref="BW12:BY12"/>
    <mergeCell ref="AV12:AX12"/>
    <mergeCell ref="AY12:BA12"/>
    <mergeCell ref="BB12:BD12"/>
    <mergeCell ref="BE12:BG12"/>
    <mergeCell ref="BH12:BJ12"/>
    <mergeCell ref="BQ14:BS14"/>
    <mergeCell ref="BT14:BV14"/>
    <mergeCell ref="BW14:BY14"/>
    <mergeCell ref="BZ14:CB14"/>
    <mergeCell ref="AY14:BA14"/>
    <mergeCell ref="BB14:BD14"/>
    <mergeCell ref="BE14:BG14"/>
    <mergeCell ref="BH14:BJ14"/>
    <mergeCell ref="BK14:BM14"/>
    <mergeCell ref="AM12:AO12"/>
    <mergeCell ref="AP12:AR12"/>
    <mergeCell ref="AS12:AU12"/>
    <mergeCell ref="DM11:DO11"/>
    <mergeCell ref="DP11:DR11"/>
    <mergeCell ref="DS11:DU11"/>
    <mergeCell ref="CU12:CW12"/>
    <mergeCell ref="CX12:CZ12"/>
    <mergeCell ref="DA12:DC12"/>
    <mergeCell ref="BZ12:CB12"/>
    <mergeCell ref="CC12:CE12"/>
    <mergeCell ref="CF12:CH12"/>
    <mergeCell ref="CI12:CK12"/>
    <mergeCell ref="CL12:CN12"/>
    <mergeCell ref="BK12:BM12"/>
    <mergeCell ref="DS12:DU12"/>
    <mergeCell ref="DV11:DX11"/>
    <mergeCell ref="DY11:EA11"/>
    <mergeCell ref="CX11:CZ11"/>
    <mergeCell ref="DA11:DC11"/>
    <mergeCell ref="DD11:DF11"/>
    <mergeCell ref="DG11:DI11"/>
    <mergeCell ref="DJ11:DL11"/>
    <mergeCell ref="CI11:CK11"/>
    <mergeCell ref="CL11:CN11"/>
    <mergeCell ref="CO11:CQ11"/>
    <mergeCell ref="CR11:CT11"/>
    <mergeCell ref="CU11:CW11"/>
    <mergeCell ref="BT11:BV11"/>
    <mergeCell ref="BW11:BY11"/>
    <mergeCell ref="BZ11:CB11"/>
    <mergeCell ref="CC11:CE11"/>
    <mergeCell ref="CF11:CH11"/>
    <mergeCell ref="DV10:DX10"/>
    <mergeCell ref="DY10:EA10"/>
    <mergeCell ref="AD11:AF11"/>
    <mergeCell ref="AG11:AI11"/>
    <mergeCell ref="AJ11:AL11"/>
    <mergeCell ref="AM11:AO11"/>
    <mergeCell ref="AP11:AR11"/>
    <mergeCell ref="AS11:AU11"/>
    <mergeCell ref="AV11:AX11"/>
    <mergeCell ref="AY11:BA11"/>
    <mergeCell ref="BB11:BD11"/>
    <mergeCell ref="BE11:BG11"/>
    <mergeCell ref="BH11:BJ11"/>
    <mergeCell ref="BK11:BM11"/>
    <mergeCell ref="BN11:BP11"/>
    <mergeCell ref="BQ11:BS11"/>
    <mergeCell ref="DG10:DI10"/>
    <mergeCell ref="DJ10:DL10"/>
    <mergeCell ref="DM10:DO10"/>
    <mergeCell ref="DP10:DR10"/>
    <mergeCell ref="DS10:DU10"/>
    <mergeCell ref="CR10:CT10"/>
    <mergeCell ref="CU10:CW10"/>
    <mergeCell ref="CX10:CZ10"/>
    <mergeCell ref="DA10:DC10"/>
    <mergeCell ref="DD10:DF10"/>
    <mergeCell ref="CC10:CE10"/>
    <mergeCell ref="CF10:CH10"/>
    <mergeCell ref="CI10:CK10"/>
    <mergeCell ref="CL10:CN10"/>
    <mergeCell ref="CO10:CQ10"/>
    <mergeCell ref="BN10:BP10"/>
    <mergeCell ref="BQ10:BS10"/>
    <mergeCell ref="BT10:BV10"/>
    <mergeCell ref="BW10:BY10"/>
    <mergeCell ref="BZ10:CB10"/>
    <mergeCell ref="DP9:DR9"/>
    <mergeCell ref="DS9:DU9"/>
    <mergeCell ref="DV9:DX9"/>
    <mergeCell ref="DY9:EA9"/>
    <mergeCell ref="AD10:AF10"/>
    <mergeCell ref="AG10:AI10"/>
    <mergeCell ref="AJ10:AL10"/>
    <mergeCell ref="AM10:AO10"/>
    <mergeCell ref="AP10:AR10"/>
    <mergeCell ref="AS10:AU10"/>
    <mergeCell ref="AV10:AX10"/>
    <mergeCell ref="AY10:BA10"/>
    <mergeCell ref="BB10:BD10"/>
    <mergeCell ref="BE10:BG10"/>
    <mergeCell ref="BH10:BJ10"/>
    <mergeCell ref="BK10:BM10"/>
    <mergeCell ref="DA9:DC9"/>
    <mergeCell ref="DD9:DF9"/>
    <mergeCell ref="DG9:DI9"/>
    <mergeCell ref="DJ9:DL9"/>
    <mergeCell ref="DM9:DO9"/>
    <mergeCell ref="CL9:CN9"/>
    <mergeCell ref="CO9:CQ9"/>
    <mergeCell ref="CR9:CT9"/>
    <mergeCell ref="CU9:CW9"/>
    <mergeCell ref="CX9:CZ9"/>
    <mergeCell ref="BW9:BY9"/>
    <mergeCell ref="BZ9:CB9"/>
    <mergeCell ref="CC9:CE9"/>
    <mergeCell ref="CF9:CH9"/>
    <mergeCell ref="CI9:CK9"/>
    <mergeCell ref="DY8:EA8"/>
    <mergeCell ref="AD9:AF9"/>
    <mergeCell ref="AG9:AI9"/>
    <mergeCell ref="AJ9:AL9"/>
    <mergeCell ref="AM9:AO9"/>
    <mergeCell ref="AP9:AR9"/>
    <mergeCell ref="AS9:AU9"/>
    <mergeCell ref="AV9:AX9"/>
    <mergeCell ref="AY9:BA9"/>
    <mergeCell ref="BB9:BD9"/>
    <mergeCell ref="BE9:BG9"/>
    <mergeCell ref="BH9:BJ9"/>
    <mergeCell ref="BK9:BM9"/>
    <mergeCell ref="BN9:BP9"/>
    <mergeCell ref="BQ9:BS9"/>
    <mergeCell ref="BT9:BV9"/>
    <mergeCell ref="DJ8:DL8"/>
    <mergeCell ref="DM8:DO8"/>
    <mergeCell ref="DP8:DR8"/>
    <mergeCell ref="DS8:DU8"/>
    <mergeCell ref="DV8:DX8"/>
    <mergeCell ref="CU8:CW8"/>
    <mergeCell ref="CX8:CZ8"/>
    <mergeCell ref="DA8:DC8"/>
    <mergeCell ref="DD8:DF8"/>
    <mergeCell ref="DG8:DI8"/>
    <mergeCell ref="CF8:CH8"/>
    <mergeCell ref="CI8:CK8"/>
    <mergeCell ref="CL8:CN8"/>
    <mergeCell ref="CO8:CQ8"/>
    <mergeCell ref="CR8:CT8"/>
    <mergeCell ref="BQ8:BS8"/>
    <mergeCell ref="BT8:BV8"/>
    <mergeCell ref="BW8:BY8"/>
    <mergeCell ref="BZ8:CB8"/>
    <mergeCell ref="CC8:CE8"/>
    <mergeCell ref="DS7:DU7"/>
    <mergeCell ref="DV7:DX7"/>
    <mergeCell ref="DY7:EA7"/>
    <mergeCell ref="AD8:AF8"/>
    <mergeCell ref="AG8:AI8"/>
    <mergeCell ref="AJ8:AL8"/>
    <mergeCell ref="AM8:AO8"/>
    <mergeCell ref="AP8:AR8"/>
    <mergeCell ref="AS8:AU8"/>
    <mergeCell ref="AV8:AX8"/>
    <mergeCell ref="AY8:BA8"/>
    <mergeCell ref="BB8:BD8"/>
    <mergeCell ref="BE8:BG8"/>
    <mergeCell ref="BH8:BJ8"/>
    <mergeCell ref="BK8:BM8"/>
    <mergeCell ref="BN8:BP8"/>
    <mergeCell ref="DD7:DF7"/>
    <mergeCell ref="DG7:DI7"/>
    <mergeCell ref="DJ7:DL7"/>
    <mergeCell ref="DM7:DO7"/>
    <mergeCell ref="DP7:DR7"/>
    <mergeCell ref="CO7:CQ7"/>
    <mergeCell ref="CR7:CT7"/>
    <mergeCell ref="CU7:CW7"/>
    <mergeCell ref="CX7:CZ7"/>
    <mergeCell ref="DA7:DC7"/>
    <mergeCell ref="BZ7:CB7"/>
    <mergeCell ref="CC7:CE7"/>
    <mergeCell ref="CF7:CH7"/>
    <mergeCell ref="CI7:CK7"/>
    <mergeCell ref="CL7:CN7"/>
    <mergeCell ref="BK7:BM7"/>
    <mergeCell ref="BN7:BP7"/>
    <mergeCell ref="BQ7:BS7"/>
    <mergeCell ref="BT7:BV7"/>
    <mergeCell ref="BW7:BY7"/>
    <mergeCell ref="AV7:AX7"/>
    <mergeCell ref="AY7:BA7"/>
    <mergeCell ref="BB7:BD7"/>
    <mergeCell ref="BE7:BG7"/>
    <mergeCell ref="BH7:BJ7"/>
    <mergeCell ref="AG7:AI7"/>
    <mergeCell ref="AJ7:AL7"/>
    <mergeCell ref="AM7:AO7"/>
    <mergeCell ref="AP7:AR7"/>
    <mergeCell ref="AS7:AU7"/>
    <mergeCell ref="DV6:DX6"/>
    <mergeCell ref="DY6:EA6"/>
    <mergeCell ref="CX6:CZ6"/>
    <mergeCell ref="DA6:DC6"/>
    <mergeCell ref="DD6:DF6"/>
    <mergeCell ref="DG6:DI6"/>
    <mergeCell ref="DJ6:DL6"/>
    <mergeCell ref="CI6:CK6"/>
    <mergeCell ref="CL6:CN6"/>
    <mergeCell ref="CO6:CQ6"/>
    <mergeCell ref="CR6:CT6"/>
    <mergeCell ref="CU6:CW6"/>
    <mergeCell ref="BT6:BV6"/>
    <mergeCell ref="BW6:BY6"/>
    <mergeCell ref="BZ6:CB6"/>
    <mergeCell ref="CC6:CE6"/>
    <mergeCell ref="CF6:CH6"/>
    <mergeCell ref="AP6:AR6"/>
    <mergeCell ref="AS6:AU6"/>
    <mergeCell ref="AD5:AF5"/>
    <mergeCell ref="DG5:DI5"/>
    <mergeCell ref="DJ5:DL5"/>
    <mergeCell ref="DM5:DO5"/>
    <mergeCell ref="DP5:DR5"/>
    <mergeCell ref="DS5:DU5"/>
    <mergeCell ref="CR5:CT5"/>
    <mergeCell ref="CU5:CW5"/>
    <mergeCell ref="CX5:CZ5"/>
    <mergeCell ref="DA5:DC5"/>
    <mergeCell ref="DD5:DF5"/>
    <mergeCell ref="CC5:CE5"/>
    <mergeCell ref="CF5:CH5"/>
    <mergeCell ref="CI5:CK5"/>
    <mergeCell ref="CL5:CN5"/>
    <mergeCell ref="CO5:CQ5"/>
    <mergeCell ref="BN5:BP5"/>
    <mergeCell ref="DM6:DO6"/>
    <mergeCell ref="DP6:DR6"/>
    <mergeCell ref="DS6:DU6"/>
    <mergeCell ref="BB6:BD6"/>
    <mergeCell ref="BE6:BG6"/>
    <mergeCell ref="BH6:BJ6"/>
    <mergeCell ref="BK6:BM6"/>
    <mergeCell ref="BN6:BP6"/>
    <mergeCell ref="BQ6:BS6"/>
    <mergeCell ref="BQ5:BS5"/>
    <mergeCell ref="BT5:BV5"/>
    <mergeCell ref="BW5:BY5"/>
    <mergeCell ref="BZ5:CB5"/>
    <mergeCell ref="AY6:BA6"/>
    <mergeCell ref="AV6:AX6"/>
    <mergeCell ref="AD12:AF12"/>
    <mergeCell ref="DY4:EA4"/>
    <mergeCell ref="AA5:AC5"/>
    <mergeCell ref="AA6:AC6"/>
    <mergeCell ref="AA7:AC7"/>
    <mergeCell ref="AA8:AC8"/>
    <mergeCell ref="AG5:AI5"/>
    <mergeCell ref="AJ5:AL5"/>
    <mergeCell ref="AM5:AO5"/>
    <mergeCell ref="AP5:AR5"/>
    <mergeCell ref="AS5:AU5"/>
    <mergeCell ref="AV5:AX5"/>
    <mergeCell ref="AY5:BA5"/>
    <mergeCell ref="BB5:BD5"/>
    <mergeCell ref="BE5:BG5"/>
    <mergeCell ref="BH5:BJ5"/>
    <mergeCell ref="BK5:BM5"/>
    <mergeCell ref="DJ4:DL4"/>
    <mergeCell ref="DM4:DO4"/>
    <mergeCell ref="DP4:DR4"/>
    <mergeCell ref="DS4:DU4"/>
    <mergeCell ref="DV4:DX4"/>
    <mergeCell ref="DV5:DX5"/>
    <mergeCell ref="DY5:EA5"/>
    <mergeCell ref="AD6:AF6"/>
    <mergeCell ref="AG6:AI6"/>
    <mergeCell ref="CU4:CW4"/>
    <mergeCell ref="CX4:CZ4"/>
    <mergeCell ref="DA4:DC4"/>
    <mergeCell ref="DD4:DF4"/>
    <mergeCell ref="DG4:DI4"/>
    <mergeCell ref="CF4:CH4"/>
    <mergeCell ref="CI4:CK4"/>
    <mergeCell ref="CL4:CN4"/>
    <mergeCell ref="CO4:CQ4"/>
    <mergeCell ref="CR4:CT4"/>
    <mergeCell ref="AP4:AR4"/>
    <mergeCell ref="AS4:AU4"/>
    <mergeCell ref="AV4:AX4"/>
    <mergeCell ref="AY4:BA4"/>
    <mergeCell ref="BB4:BD4"/>
    <mergeCell ref="BE4:BG4"/>
    <mergeCell ref="BH4:BJ4"/>
    <mergeCell ref="BK4:BM4"/>
    <mergeCell ref="BN4:BP4"/>
    <mergeCell ref="BQ4:BS4"/>
    <mergeCell ref="BT4:BV4"/>
    <mergeCell ref="BW4:BY4"/>
    <mergeCell ref="BZ4:CB4"/>
    <mergeCell ref="CC4:CE4"/>
    <mergeCell ref="B4:I4"/>
    <mergeCell ref="L4:N4"/>
    <mergeCell ref="J4:K4"/>
    <mergeCell ref="J5:K5"/>
    <mergeCell ref="B5:I5"/>
    <mergeCell ref="B6:I6"/>
    <mergeCell ref="B7:I7"/>
    <mergeCell ref="B10:I10"/>
    <mergeCell ref="AG4:AI4"/>
    <mergeCell ref="AJ4:AL4"/>
    <mergeCell ref="AM4:AO4"/>
    <mergeCell ref="R12:T12"/>
    <mergeCell ref="U12:W12"/>
    <mergeCell ref="X4:Z4"/>
    <mergeCell ref="X5:Z5"/>
    <mergeCell ref="X6:Z6"/>
    <mergeCell ref="X7:Z7"/>
    <mergeCell ref="X8:Z8"/>
    <mergeCell ref="X9:Z9"/>
    <mergeCell ref="X10:Z10"/>
    <mergeCell ref="X11:Z11"/>
    <mergeCell ref="X12:Z12"/>
    <mergeCell ref="R9:T9"/>
    <mergeCell ref="R10:T10"/>
    <mergeCell ref="R11:T11"/>
    <mergeCell ref="U4:W4"/>
    <mergeCell ref="U5:W5"/>
    <mergeCell ref="J6:K6"/>
    <mergeCell ref="AG12:AI12"/>
    <mergeCell ref="AJ12:AL12"/>
    <mergeCell ref="AJ6:AL6"/>
    <mergeCell ref="AM6:AO6"/>
    <mergeCell ref="AA4:AC4"/>
    <mergeCell ref="AD4:AF4"/>
    <mergeCell ref="L15:N15"/>
    <mergeCell ref="L16:N16"/>
    <mergeCell ref="L17:N17"/>
    <mergeCell ref="O15:Q15"/>
    <mergeCell ref="O16:Q16"/>
    <mergeCell ref="O17:Q17"/>
    <mergeCell ref="U15:W15"/>
    <mergeCell ref="X15:Z15"/>
    <mergeCell ref="AA15:AC15"/>
    <mergeCell ref="AD15:AF15"/>
    <mergeCell ref="J10:K10"/>
    <mergeCell ref="J11:K11"/>
    <mergeCell ref="U7:W7"/>
    <mergeCell ref="U8:W8"/>
    <mergeCell ref="U9:W9"/>
    <mergeCell ref="U10:W10"/>
    <mergeCell ref="U11:W11"/>
    <mergeCell ref="R4:T4"/>
    <mergeCell ref="R5:T5"/>
    <mergeCell ref="R6:T6"/>
    <mergeCell ref="R7:T7"/>
    <mergeCell ref="R8:T8"/>
    <mergeCell ref="AA9:AC9"/>
    <mergeCell ref="AA10:AC10"/>
    <mergeCell ref="AA11:AC11"/>
    <mergeCell ref="AA12:AC12"/>
    <mergeCell ref="U6:W6"/>
    <mergeCell ref="AD7:AF7"/>
    <mergeCell ref="B2:BP2"/>
    <mergeCell ref="BQ2:BS2"/>
    <mergeCell ref="B79:AU79"/>
    <mergeCell ref="O9:Q9"/>
    <mergeCell ref="O10:Q10"/>
    <mergeCell ref="O11:Q11"/>
    <mergeCell ref="L12:N12"/>
    <mergeCell ref="O12:Q12"/>
    <mergeCell ref="O4:Q4"/>
    <mergeCell ref="O5:Q5"/>
    <mergeCell ref="O6:Q6"/>
    <mergeCell ref="O7:Q7"/>
    <mergeCell ref="O8:Q8"/>
    <mergeCell ref="B19:K19"/>
    <mergeCell ref="L5:N5"/>
    <mergeCell ref="L6:N6"/>
    <mergeCell ref="L8:N8"/>
    <mergeCell ref="L9:N9"/>
    <mergeCell ref="L10:N10"/>
    <mergeCell ref="L11:N11"/>
    <mergeCell ref="L18:N18"/>
    <mergeCell ref="B18:K18"/>
    <mergeCell ref="B14:K14"/>
    <mergeCell ref="B15:I15"/>
    <mergeCell ref="B16:I16"/>
    <mergeCell ref="B17:I17"/>
    <mergeCell ref="J15:K15"/>
    <mergeCell ref="J16:K16"/>
    <mergeCell ref="J17:K17"/>
    <mergeCell ref="B11:I11"/>
    <mergeCell ref="B12:K12"/>
    <mergeCell ref="J7:K7"/>
    <mergeCell ref="B8:I8"/>
    <mergeCell ref="B9:I9"/>
    <mergeCell ref="L7:N7"/>
    <mergeCell ref="B48:K48"/>
    <mergeCell ref="B49:K49"/>
    <mergeCell ref="B50:K50"/>
    <mergeCell ref="B51:K51"/>
    <mergeCell ref="B52:K52"/>
    <mergeCell ref="L48:N48"/>
    <mergeCell ref="L49:N49"/>
    <mergeCell ref="L50:N50"/>
    <mergeCell ref="L51:N51"/>
    <mergeCell ref="L52:N52"/>
    <mergeCell ref="O48:Q48"/>
    <mergeCell ref="O49:Q49"/>
    <mergeCell ref="O50:Q50"/>
    <mergeCell ref="O51:Q51"/>
    <mergeCell ref="O52:Q52"/>
    <mergeCell ref="J8:K8"/>
    <mergeCell ref="J9:K9"/>
    <mergeCell ref="B22:I22"/>
    <mergeCell ref="B23:I23"/>
    <mergeCell ref="B24:I24"/>
    <mergeCell ref="B25:I25"/>
    <mergeCell ref="B26:I26"/>
    <mergeCell ref="O23:Q23"/>
    <mergeCell ref="O24:Q24"/>
    <mergeCell ref="O25:Q25"/>
    <mergeCell ref="O26:Q26"/>
    <mergeCell ref="O27:Q27"/>
    <mergeCell ref="B29:K29"/>
    <mergeCell ref="L29:N29"/>
    <mergeCell ref="R48:T48"/>
    <mergeCell ref="U48:W48"/>
    <mergeCell ref="X48:Z48"/>
    <mergeCell ref="AA48:AC48"/>
    <mergeCell ref="AD48:AF48"/>
    <mergeCell ref="AG48:AI48"/>
    <mergeCell ref="AJ48:AL48"/>
    <mergeCell ref="AM48:AO48"/>
    <mergeCell ref="AP48:AR48"/>
    <mergeCell ref="AS48:AU48"/>
    <mergeCell ref="AV48:AX48"/>
    <mergeCell ref="AY48:BA48"/>
    <mergeCell ref="BB48:BD48"/>
    <mergeCell ref="BE48:BG48"/>
    <mergeCell ref="BH48:BJ48"/>
    <mergeCell ref="BK48:BM48"/>
    <mergeCell ref="BN48:BP48"/>
    <mergeCell ref="BQ48:BS48"/>
    <mergeCell ref="BT48:BV48"/>
    <mergeCell ref="BW48:BY48"/>
    <mergeCell ref="BZ48:CB48"/>
    <mergeCell ref="CC48:CE48"/>
    <mergeCell ref="CF48:CH48"/>
    <mergeCell ref="CI48:CK48"/>
    <mergeCell ref="CL48:CN48"/>
    <mergeCell ref="CO48:CQ48"/>
    <mergeCell ref="CR48:CT48"/>
    <mergeCell ref="CU48:CW48"/>
    <mergeCell ref="CX48:CZ48"/>
    <mergeCell ref="DA48:DC48"/>
    <mergeCell ref="DD48:DF48"/>
    <mergeCell ref="DG48:DI48"/>
    <mergeCell ref="DJ48:DL48"/>
    <mergeCell ref="DM48:DO48"/>
    <mergeCell ref="DP48:DR48"/>
    <mergeCell ref="DS48:DU48"/>
    <mergeCell ref="DV48:DX48"/>
    <mergeCell ref="DY48:EA48"/>
    <mergeCell ref="R49:T49"/>
    <mergeCell ref="U49:W49"/>
    <mergeCell ref="X49:Z49"/>
    <mergeCell ref="AA49:AC49"/>
    <mergeCell ref="AD49:AF49"/>
    <mergeCell ref="AG49:AI49"/>
    <mergeCell ref="AJ49:AL49"/>
    <mergeCell ref="AM49:AO49"/>
    <mergeCell ref="AP49:AR49"/>
    <mergeCell ref="AS49:AU49"/>
    <mergeCell ref="AV49:AX49"/>
    <mergeCell ref="AY49:BA49"/>
    <mergeCell ref="BB49:BD49"/>
    <mergeCell ref="BE49:BG49"/>
    <mergeCell ref="BH49:BJ49"/>
    <mergeCell ref="BK49:BM49"/>
    <mergeCell ref="BN49:BP49"/>
    <mergeCell ref="BQ49:BS49"/>
    <mergeCell ref="BT49:BV49"/>
    <mergeCell ref="BW49:BY49"/>
    <mergeCell ref="BZ49:CB49"/>
    <mergeCell ref="CC49:CE49"/>
    <mergeCell ref="CF49:CH49"/>
    <mergeCell ref="CI49:CK49"/>
    <mergeCell ref="CL49:CN49"/>
    <mergeCell ref="CO49:CQ49"/>
    <mergeCell ref="CR49:CT49"/>
    <mergeCell ref="CU49:CW49"/>
    <mergeCell ref="CX49:CZ49"/>
    <mergeCell ref="DA49:DC49"/>
    <mergeCell ref="DD49:DF49"/>
    <mergeCell ref="DG49:DI49"/>
    <mergeCell ref="DJ49:DL49"/>
    <mergeCell ref="DM49:DO49"/>
    <mergeCell ref="DP49:DR49"/>
    <mergeCell ref="DS49:DU49"/>
    <mergeCell ref="DV49:DX49"/>
    <mergeCell ref="DY49:EA49"/>
    <mergeCell ref="R50:T50"/>
    <mergeCell ref="U50:W50"/>
    <mergeCell ref="X50:Z50"/>
    <mergeCell ref="AA50:AC50"/>
    <mergeCell ref="AD50:AF50"/>
    <mergeCell ref="AG50:AI50"/>
    <mergeCell ref="AJ50:AL50"/>
    <mergeCell ref="AM50:AO50"/>
    <mergeCell ref="AP50:AR50"/>
    <mergeCell ref="AS50:AU50"/>
    <mergeCell ref="AV50:AX50"/>
    <mergeCell ref="AY50:BA50"/>
    <mergeCell ref="BB50:BD50"/>
    <mergeCell ref="BE50:BG50"/>
    <mergeCell ref="BH50:BJ50"/>
    <mergeCell ref="BK50:BM50"/>
    <mergeCell ref="BN50:BP50"/>
    <mergeCell ref="BQ50:BS50"/>
    <mergeCell ref="BT50:BV50"/>
    <mergeCell ref="BW50:BY50"/>
    <mergeCell ref="BZ50:CB50"/>
    <mergeCell ref="CC50:CE50"/>
    <mergeCell ref="DM50:DO50"/>
    <mergeCell ref="DP50:DR50"/>
    <mergeCell ref="DS50:DU50"/>
    <mergeCell ref="DV50:DX50"/>
    <mergeCell ref="DY50:EA50"/>
    <mergeCell ref="R51:T51"/>
    <mergeCell ref="U51:W51"/>
    <mergeCell ref="X51:Z51"/>
    <mergeCell ref="AA51:AC51"/>
    <mergeCell ref="AD51:AF51"/>
    <mergeCell ref="AG51:AI51"/>
    <mergeCell ref="AJ51:AL51"/>
    <mergeCell ref="AM51:AO51"/>
    <mergeCell ref="AP51:AR51"/>
    <mergeCell ref="AS51:AU51"/>
    <mergeCell ref="AV51:AX51"/>
    <mergeCell ref="AY51:BA51"/>
    <mergeCell ref="BB51:BD51"/>
    <mergeCell ref="BE51:BG51"/>
    <mergeCell ref="BH51:BJ51"/>
    <mergeCell ref="BK51:BM51"/>
    <mergeCell ref="CU51:CW51"/>
    <mergeCell ref="CX51:CZ51"/>
    <mergeCell ref="DA51:DC51"/>
    <mergeCell ref="DD51:DF51"/>
    <mergeCell ref="DG51:DI51"/>
    <mergeCell ref="DJ51:DL51"/>
    <mergeCell ref="CF50:CH50"/>
    <mergeCell ref="CI50:CK50"/>
    <mergeCell ref="CL50:CN50"/>
    <mergeCell ref="CO50:CQ50"/>
    <mergeCell ref="CR50:CT50"/>
    <mergeCell ref="CU50:CW50"/>
    <mergeCell ref="CX50:CZ50"/>
    <mergeCell ref="DA50:DC50"/>
    <mergeCell ref="DD50:DF50"/>
    <mergeCell ref="DG50:DI50"/>
    <mergeCell ref="DJ50:DL50"/>
    <mergeCell ref="BH52:BJ52"/>
    <mergeCell ref="BK52:BM52"/>
    <mergeCell ref="BN52:BP52"/>
    <mergeCell ref="BQ52:BS52"/>
    <mergeCell ref="BT52:BV52"/>
    <mergeCell ref="BW52:BY52"/>
    <mergeCell ref="BZ52:CB52"/>
    <mergeCell ref="CC52:CE52"/>
    <mergeCell ref="CF52:CH52"/>
    <mergeCell ref="CI52:CK52"/>
    <mergeCell ref="CL52:CN52"/>
    <mergeCell ref="CO52:CQ52"/>
    <mergeCell ref="CR52:CT52"/>
    <mergeCell ref="BN51:BP51"/>
    <mergeCell ref="BQ51:BS51"/>
    <mergeCell ref="BT51:BV51"/>
    <mergeCell ref="BW51:BY51"/>
    <mergeCell ref="BZ51:CB51"/>
    <mergeCell ref="CC51:CE51"/>
    <mergeCell ref="CF51:CH51"/>
    <mergeCell ref="CI51:CK51"/>
    <mergeCell ref="CL51:CN51"/>
    <mergeCell ref="CO51:CQ51"/>
    <mergeCell ref="CR51:CT51"/>
    <mergeCell ref="CU52:CW52"/>
    <mergeCell ref="CX52:CZ52"/>
    <mergeCell ref="DA52:DC52"/>
    <mergeCell ref="DD52:DF52"/>
    <mergeCell ref="DG52:DI52"/>
    <mergeCell ref="DJ52:DL52"/>
    <mergeCell ref="DM52:DO52"/>
    <mergeCell ref="DP52:DR52"/>
    <mergeCell ref="DS52:DU52"/>
    <mergeCell ref="DV52:DX52"/>
    <mergeCell ref="DY52:EA52"/>
    <mergeCell ref="B77:K77"/>
    <mergeCell ref="L77:N77"/>
    <mergeCell ref="DM51:DO51"/>
    <mergeCell ref="DP51:DR51"/>
    <mergeCell ref="DS51:DU51"/>
    <mergeCell ref="DV51:DX51"/>
    <mergeCell ref="DY51:EA51"/>
    <mergeCell ref="R52:T52"/>
    <mergeCell ref="U52:W52"/>
    <mergeCell ref="X52:Z52"/>
    <mergeCell ref="AA52:AC52"/>
    <mergeCell ref="AD52:AF52"/>
    <mergeCell ref="AG52:AI52"/>
    <mergeCell ref="AJ52:AL52"/>
    <mergeCell ref="AM52:AO52"/>
    <mergeCell ref="AP52:AR52"/>
    <mergeCell ref="AS52:AU52"/>
    <mergeCell ref="AV52:AX52"/>
    <mergeCell ref="AY52:BA52"/>
    <mergeCell ref="BB52:BD52"/>
    <mergeCell ref="BE52:BG52"/>
    <mergeCell ref="AA57:AC57"/>
    <mergeCell ref="AD57:AF57"/>
  </mergeCells>
  <conditionalFormatting sqref="B79 AV79:XFD79 B43 L43:XFD43 B59 BT2:XFD2 B2 BQ2 B76 EB76:XFD76 B53 A57:XFD58 O53:XFD56 A80:XFD90 A92:XFD1048576 A91:F91 H91:XFD91 A8:B8 J8:XFD9 A9 A7:K7 O7:XFD7 A44:XFD52 A3:XFD6 A10:XFD42 L59:XFD60 A61:XFD75 A77:B77 L77 O77:XFD77 A78:XFD78">
    <cfRule type="expression" dxfId="400" priority="9">
      <formula>ROW(A2)=ActiveRow</formula>
    </cfRule>
  </conditionalFormatting>
  <conditionalFormatting sqref="B54:B56">
    <cfRule type="expression" dxfId="399" priority="7">
      <formula>ROW(B54)=ActiveRow</formula>
    </cfRule>
  </conditionalFormatting>
  <conditionalFormatting sqref="L53:N53">
    <cfRule type="expression" dxfId="398" priority="6">
      <formula>ROW(L53)=ActiveRow</formula>
    </cfRule>
  </conditionalFormatting>
  <conditionalFormatting sqref="L54:N54">
    <cfRule type="expression" dxfId="397" priority="5">
      <formula>ROW(L54)=ActiveRow</formula>
    </cfRule>
  </conditionalFormatting>
  <conditionalFormatting sqref="L55:N55">
    <cfRule type="expression" dxfId="396" priority="4">
      <formula>ROW(L55)=ActiveRow</formula>
    </cfRule>
  </conditionalFormatting>
  <conditionalFormatting sqref="L56:N56">
    <cfRule type="expression" dxfId="395" priority="3">
      <formula>ROW(L56)=ActiveRow</formula>
    </cfRule>
  </conditionalFormatting>
  <conditionalFormatting sqref="B9">
    <cfRule type="expression" dxfId="394" priority="2">
      <formula>ROW(B9)=ActiveRow</formula>
    </cfRule>
  </conditionalFormatting>
  <conditionalFormatting sqref="L7:N7">
    <cfRule type="expression" dxfId="393" priority="1">
      <formula>ROW(L7)=ActiveRow</formula>
    </cfRule>
  </conditionalFormatting>
  <dataValidations count="1">
    <dataValidation type="list" allowBlank="1" showInputMessage="1" showErrorMessage="1" sqref="T3" xr:uid="{00000000-0002-0000-1700-000000000000}">
      <formula1>"Restricted Rents,Proposed Rents"</formula1>
    </dataValidation>
  </dataValidations>
  <printOptions horizontalCentered="1"/>
  <pageMargins left="0" right="0.25" top="0" bottom="0" header="0.25" footer="0.25"/>
  <pageSetup scale="60" firstPageNumber="26" orientation="landscape" r:id="rId1"/>
  <headerFooter>
    <oddFooter>&amp;L&amp;F&amp;C&amp;P of &amp;N&amp;R &amp;A</oddFooter>
  </headerFooter>
  <rowBreaks count="1" manualBreakCount="1">
    <brk id="63" min="1" max="70" man="1"/>
  </rowBreaks>
  <ignoredErrors>
    <ignoredError sqref="O8:Q10 R8:R10 U8:U10 X8 K26 K25 K24 K23 K22 K27 O44:EB46 M65:BS65 AA8:EB10 X9:Z10 J11 P43:Q43 S43:T43 V43:EB43 AE11:AF11 AH11:AI11 AK11:AL11 AN11:AO11 AQ11:AR11 AT11:AU11 AW11:AX11 AZ11:BA11 BC11:BD11 BF11:BG11 BI11:BJ11 BL11:BM11 BO11:BP11 BR11:BS11 BU11:BV11 BX11:BY11 CA11:CB11 CD11:CE11 CG11:CH11 CJ11:CK11 CM11:CN11 CP11:CQ11 CS11:CT11 CV11:CW11 CY11:CZ11 DB11:DC11 DE11:DF11 DH11:DI11 DK11:DL11 DN11:DO11 DQ11:DR11 DT11:DU11 DW11:DX11 DZ11:EA11 P47:Q47 S47:W47 Y47:EB47" unlockedFormula="1"/>
  </ignoredErrors>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1">
    <tabColor rgb="FF00B0F0"/>
  </sheetPr>
  <dimension ref="A1:BC78"/>
  <sheetViews>
    <sheetView showGridLines="0" zoomScaleNormal="100" zoomScaleSheetLayoutView="100" workbookViewId="0"/>
  </sheetViews>
  <sheetFormatPr defaultColWidth="9.109375" defaultRowHeight="18" customHeight="1"/>
  <cols>
    <col min="1" max="39" width="4.109375" style="405" customWidth="1"/>
    <col min="40" max="40" width="9.109375" style="405" customWidth="1"/>
    <col min="41" max="43" width="10.33203125" style="405" customWidth="1"/>
    <col min="44" max="44" width="18.6640625" style="406" customWidth="1"/>
    <col min="45" max="45" width="22.5546875" style="406" customWidth="1"/>
    <col min="46" max="54" width="18.6640625" style="406" customWidth="1"/>
    <col min="55" max="55" width="14.88671875" style="405" customWidth="1"/>
    <col min="56" max="56" width="10.33203125" style="405" customWidth="1"/>
    <col min="57" max="57" width="9.109375" style="405" customWidth="1"/>
    <col min="58" max="16384" width="9.109375" style="405"/>
  </cols>
  <sheetData>
    <row r="1" spans="2:55" ht="18" customHeight="1">
      <c r="AO1"/>
    </row>
    <row r="2" spans="2:55" ht="36" customHeight="1">
      <c r="B2" s="3187" t="s">
        <v>4114</v>
      </c>
      <c r="C2" s="3187"/>
      <c r="D2" s="3187"/>
      <c r="E2" s="3187"/>
      <c r="F2" s="3187"/>
      <c r="G2" s="3187"/>
      <c r="H2" s="3187"/>
      <c r="I2" s="3187"/>
      <c r="J2" s="3187"/>
      <c r="K2" s="3187"/>
      <c r="L2" s="3187"/>
      <c r="M2" s="3187"/>
      <c r="N2" s="3187"/>
      <c r="O2" s="3187"/>
      <c r="P2" s="3187"/>
      <c r="Q2" s="3187"/>
      <c r="R2" s="3187"/>
      <c r="S2" s="3187"/>
      <c r="T2" s="3187"/>
      <c r="U2" s="3187"/>
      <c r="V2" s="3187"/>
      <c r="W2" s="3187"/>
      <c r="X2" s="3187"/>
      <c r="Y2" s="3187"/>
      <c r="Z2" s="3187"/>
      <c r="AA2" s="3187"/>
      <c r="AB2" s="3187"/>
      <c r="AC2" s="3187"/>
      <c r="AD2" s="3187"/>
      <c r="AE2" s="3187"/>
      <c r="AF2" s="3187"/>
      <c r="AG2" s="3187"/>
      <c r="AH2" s="3187"/>
      <c r="AI2" s="3187"/>
      <c r="AJ2" s="3187"/>
      <c r="AK2" s="3187"/>
      <c r="AL2" s="3187"/>
      <c r="AM2" s="413"/>
    </row>
    <row r="3" spans="2:55" ht="18" customHeight="1">
      <c r="B3" s="1273"/>
      <c r="C3" s="1273"/>
      <c r="D3" s="1273"/>
      <c r="E3" s="1273"/>
      <c r="F3" s="1273"/>
      <c r="G3" s="1273"/>
      <c r="H3" s="1273"/>
      <c r="I3" s="1273"/>
      <c r="J3" s="1273"/>
      <c r="K3" s="1273"/>
      <c r="L3" s="1273"/>
      <c r="M3" s="1273"/>
      <c r="N3" s="1273"/>
      <c r="O3" s="1273"/>
      <c r="P3" s="1273"/>
      <c r="Q3" s="1273"/>
      <c r="R3" s="1273"/>
      <c r="S3" s="1273"/>
      <c r="T3" s="1273"/>
      <c r="U3" s="1273"/>
      <c r="V3" s="1273"/>
      <c r="W3" s="1273"/>
      <c r="X3" s="1273"/>
      <c r="Y3" s="1273"/>
      <c r="Z3" s="1273"/>
      <c r="AA3" s="1273"/>
      <c r="AB3" s="1273"/>
      <c r="AC3" s="1273"/>
      <c r="AD3" s="1273"/>
      <c r="AE3" s="1273"/>
      <c r="AF3" s="1273"/>
      <c r="AG3" s="1273"/>
      <c r="AH3" s="1273"/>
      <c r="AI3" s="1273"/>
      <c r="AJ3" s="1273"/>
      <c r="AK3" s="1273"/>
      <c r="AL3" s="1273"/>
      <c r="AM3" s="414"/>
      <c r="AR3" s="633">
        <v>44545</v>
      </c>
      <c r="AS3" s="631" t="s">
        <v>3816</v>
      </c>
      <c r="AT3" s="144" t="s">
        <v>3817</v>
      </c>
      <c r="AU3" s="144" t="s">
        <v>3818</v>
      </c>
      <c r="AV3" s="144" t="s">
        <v>3819</v>
      </c>
      <c r="AW3" s="143" t="s">
        <v>3820</v>
      </c>
      <c r="AX3" s="143" t="s">
        <v>3821</v>
      </c>
      <c r="AY3" s="144" t="s">
        <v>3817</v>
      </c>
      <c r="AZ3" s="144" t="s">
        <v>3818</v>
      </c>
      <c r="BA3" s="144" t="s">
        <v>3819</v>
      </c>
      <c r="BB3" s="143" t="s">
        <v>3820</v>
      </c>
      <c r="BC3" s="407"/>
    </row>
    <row r="4" spans="2:55" ht="18" customHeight="1">
      <c r="B4" s="3174" t="s">
        <v>3064</v>
      </c>
      <c r="C4" s="3174"/>
      <c r="D4" s="3174"/>
      <c r="E4" s="3174"/>
      <c r="F4" s="3171" t="str">
        <f>IF('Project Overview'!F97&gt;0,'Project Overview'!F97,"")</f>
        <v>PNAME</v>
      </c>
      <c r="G4" s="3171"/>
      <c r="H4" s="3171"/>
      <c r="I4" s="3171"/>
      <c r="J4" s="3171"/>
      <c r="K4" s="3171"/>
      <c r="L4" s="3171"/>
      <c r="M4" s="3171"/>
      <c r="N4" s="3171"/>
      <c r="O4" s="3171"/>
      <c r="P4" s="3171"/>
      <c r="Q4" s="3171"/>
      <c r="R4" s="3171"/>
      <c r="S4" s="3171"/>
      <c r="T4" s="3171"/>
      <c r="U4" s="3172" t="s">
        <v>3822</v>
      </c>
      <c r="V4" s="3172"/>
      <c r="W4" s="3174" t="str">
        <f>IF('Project Overview'!$F$98&gt;0,'Project Overview'!$F$98,"")</f>
        <v>Amador</v>
      </c>
      <c r="X4" s="3174"/>
      <c r="Y4" s="3174"/>
      <c r="Z4" s="3174"/>
      <c r="AA4" s="3174"/>
      <c r="AB4" s="3174"/>
      <c r="AC4" s="3173" t="s">
        <v>3823</v>
      </c>
      <c r="AD4" s="3173"/>
      <c r="AE4" s="3173"/>
      <c r="AF4" s="3173"/>
      <c r="AG4" s="3173"/>
      <c r="AH4" s="3173"/>
      <c r="AI4" s="3173"/>
      <c r="AJ4" s="3173"/>
      <c r="AK4" s="3211">
        <f>Taxcredit</f>
        <v>0.04</v>
      </c>
      <c r="AL4" s="3212"/>
      <c r="AM4" s="408"/>
      <c r="AR4" s="632" t="s">
        <v>2308</v>
      </c>
      <c r="AS4" s="145">
        <v>365252</v>
      </c>
      <c r="AT4" s="145">
        <v>421132</v>
      </c>
      <c r="AU4" s="145">
        <v>508000</v>
      </c>
      <c r="AV4" s="145">
        <v>650240</v>
      </c>
      <c r="AW4" s="145">
        <v>724408</v>
      </c>
      <c r="AX4" s="145">
        <v>365252</v>
      </c>
      <c r="AY4" s="145">
        <v>421132</v>
      </c>
      <c r="AZ4" s="145">
        <v>508000</v>
      </c>
      <c r="BA4" s="145">
        <v>650240</v>
      </c>
      <c r="BB4" s="145">
        <v>724408</v>
      </c>
      <c r="BC4" s="407"/>
    </row>
    <row r="5" spans="2:55" ht="18" customHeight="1">
      <c r="B5" s="3172" t="s">
        <v>3824</v>
      </c>
      <c r="C5" s="3172"/>
      <c r="D5" s="3172"/>
      <c r="E5" s="3172"/>
      <c r="F5" s="3172" t="str">
        <f>'Developer Fee'!$F$5</f>
        <v>Origination</v>
      </c>
      <c r="G5" s="3172"/>
      <c r="H5" s="3172"/>
      <c r="I5" s="3172"/>
      <c r="J5" s="1270"/>
      <c r="K5" s="1270"/>
      <c r="L5" s="1270"/>
      <c r="M5" s="1270"/>
      <c r="N5" s="1270"/>
      <c r="O5" s="1270"/>
      <c r="P5" s="1270"/>
      <c r="Q5" s="1270"/>
      <c r="R5" s="1270"/>
      <c r="S5" s="1270"/>
      <c r="T5" s="1270"/>
      <c r="U5" s="1270"/>
      <c r="V5" s="1270"/>
      <c r="W5" s="1270"/>
      <c r="X5" s="1270"/>
      <c r="Y5" s="1270"/>
      <c r="Z5" s="1270"/>
      <c r="AA5" s="1270"/>
      <c r="AB5" s="1270"/>
      <c r="AC5" s="1270"/>
      <c r="AD5" s="1270"/>
      <c r="AE5" s="1270"/>
      <c r="AF5" s="1270"/>
      <c r="AG5" s="1270"/>
      <c r="AH5" s="1270"/>
      <c r="AI5" s="1270"/>
      <c r="AJ5" s="1270"/>
      <c r="AK5" s="1270"/>
      <c r="AL5" s="1270"/>
      <c r="AM5" s="3120"/>
      <c r="AN5" s="3121"/>
      <c r="AR5" s="410" t="s">
        <v>2314</v>
      </c>
      <c r="AS5" s="146">
        <v>262291</v>
      </c>
      <c r="AT5" s="146">
        <v>302419</v>
      </c>
      <c r="AU5" s="146">
        <v>364800</v>
      </c>
      <c r="AV5" s="146">
        <v>466944</v>
      </c>
      <c r="AW5" s="146">
        <v>520205</v>
      </c>
      <c r="AX5" s="146">
        <v>262291</v>
      </c>
      <c r="AY5" s="146">
        <v>302419</v>
      </c>
      <c r="AZ5" s="146">
        <v>364800</v>
      </c>
      <c r="BA5" s="146">
        <v>466944</v>
      </c>
      <c r="BB5" s="146">
        <v>520205</v>
      </c>
      <c r="BC5" s="407"/>
    </row>
    <row r="6" spans="2:55" ht="18" customHeight="1">
      <c r="B6" s="1569"/>
      <c r="C6" s="1569"/>
      <c r="D6" s="1569"/>
      <c r="E6" s="1569"/>
      <c r="F6" s="1569"/>
      <c r="G6" s="1569"/>
      <c r="H6" s="1569"/>
      <c r="I6" s="1569"/>
      <c r="J6" s="1270"/>
      <c r="K6" s="1270"/>
      <c r="L6" s="1270"/>
      <c r="M6" s="1270"/>
      <c r="N6" s="1270"/>
      <c r="O6" s="1270"/>
      <c r="P6" s="1270"/>
      <c r="Q6" s="1270"/>
      <c r="R6" s="1270"/>
      <c r="S6" s="1270"/>
      <c r="T6" s="1270"/>
      <c r="U6" s="1270"/>
      <c r="V6" s="1270"/>
      <c r="W6" s="1270"/>
      <c r="X6" s="1270"/>
      <c r="Y6" s="1270"/>
      <c r="Z6" s="1270"/>
      <c r="AA6" s="1270"/>
      <c r="AB6" s="1270"/>
      <c r="AC6" s="1270"/>
      <c r="AD6" s="1270"/>
      <c r="AE6" s="1270"/>
      <c r="AF6" s="1270"/>
      <c r="AG6" s="1270"/>
      <c r="AH6" s="1270"/>
      <c r="AI6" s="1270"/>
      <c r="AJ6" s="1270"/>
      <c r="AK6" s="1270"/>
      <c r="AL6" s="1270"/>
      <c r="AM6" s="1567"/>
      <c r="AR6" s="409" t="s">
        <v>2328</v>
      </c>
      <c r="AS6" s="145">
        <v>262291</v>
      </c>
      <c r="AT6" s="145">
        <v>302419</v>
      </c>
      <c r="AU6" s="145">
        <v>364800</v>
      </c>
      <c r="AV6" s="145">
        <v>466944</v>
      </c>
      <c r="AW6" s="145">
        <v>520205</v>
      </c>
      <c r="AX6" s="145">
        <v>262291</v>
      </c>
      <c r="AY6" s="145">
        <v>302419</v>
      </c>
      <c r="AZ6" s="145">
        <v>364800</v>
      </c>
      <c r="BA6" s="145">
        <v>466944</v>
      </c>
      <c r="BB6" s="145">
        <v>520205</v>
      </c>
      <c r="BC6" s="407"/>
    </row>
    <row r="7" spans="2:55" ht="54" customHeight="1">
      <c r="B7" s="3177" t="s">
        <v>897</v>
      </c>
      <c r="C7" s="3177"/>
      <c r="D7" s="3177"/>
      <c r="E7" s="3177"/>
      <c r="F7" s="3177"/>
      <c r="G7" s="3177"/>
      <c r="H7" s="3177"/>
      <c r="I7" s="3194" t="s">
        <v>3825</v>
      </c>
      <c r="J7" s="3194"/>
      <c r="K7" s="3194"/>
      <c r="L7" s="3194"/>
      <c r="M7" s="3194"/>
      <c r="N7" s="3194" t="s">
        <v>3826</v>
      </c>
      <c r="O7" s="3194"/>
      <c r="P7" s="3194" t="s">
        <v>3827</v>
      </c>
      <c r="Q7" s="3194"/>
      <c r="R7" s="3194"/>
      <c r="S7" s="3194"/>
      <c r="T7" s="3207" t="s">
        <v>3828</v>
      </c>
      <c r="U7" s="3207"/>
      <c r="V7" s="3207"/>
      <c r="W7" s="3207"/>
      <c r="X7" s="3207"/>
      <c r="Y7" s="3207"/>
      <c r="Z7" s="3207"/>
      <c r="AA7" s="3207"/>
      <c r="AB7" s="3207"/>
      <c r="AC7" s="3207"/>
      <c r="AD7" s="3207"/>
      <c r="AE7" s="3207"/>
      <c r="AF7" s="3207"/>
      <c r="AG7" s="3207"/>
      <c r="AH7" s="3122">
        <f>SUM(P8:S12)</f>
        <v>0</v>
      </c>
      <c r="AI7" s="3122"/>
      <c r="AJ7" s="3122"/>
      <c r="AK7" s="3122"/>
      <c r="AL7" s="3122"/>
      <c r="AO7" s="147">
        <v>2</v>
      </c>
      <c r="AP7" s="147">
        <v>7</v>
      </c>
      <c r="AR7" s="410" t="s">
        <v>2330</v>
      </c>
      <c r="AS7" s="146">
        <v>230655</v>
      </c>
      <c r="AT7" s="146">
        <v>265943</v>
      </c>
      <c r="AU7" s="146">
        <v>320800</v>
      </c>
      <c r="AV7" s="146">
        <v>410624</v>
      </c>
      <c r="AW7" s="146">
        <v>457461</v>
      </c>
      <c r="AX7" s="146">
        <v>230655</v>
      </c>
      <c r="AY7" s="146">
        <v>265943</v>
      </c>
      <c r="AZ7" s="146">
        <v>320800</v>
      </c>
      <c r="BA7" s="146">
        <v>410624</v>
      </c>
      <c r="BB7" s="146">
        <v>457461</v>
      </c>
      <c r="BC7" s="407"/>
    </row>
    <row r="8" spans="2:55" ht="18" customHeight="1">
      <c r="B8" s="3175" t="s">
        <v>3829</v>
      </c>
      <c r="C8" s="3176"/>
      <c r="D8" s="3176"/>
      <c r="E8" s="3176"/>
      <c r="F8" s="3176"/>
      <c r="G8" s="3176"/>
      <c r="H8" s="3176"/>
      <c r="I8" s="3188">
        <f>IF($W$4="","",IF($AK$4="9%",VLOOKUP($W$4,$AR$3:$BB$62,$AP$7),VLOOKUP($W$4,$AR$3:$BB$62,$AO$7)))</f>
        <v>262291</v>
      </c>
      <c r="J8" s="3189"/>
      <c r="K8" s="3189"/>
      <c r="L8" s="3189"/>
      <c r="M8" s="3189"/>
      <c r="N8" s="3195">
        <f>SUMIF('Unit Mix'!$B$10:$B$59,0,'Unit Mix'!$Z$10:$Z$59)</f>
        <v>0</v>
      </c>
      <c r="O8" s="3196"/>
      <c r="P8" s="3201">
        <f>IF(ISERROR(($I$8*$N$8)),0,($I$8*$N$8))</f>
        <v>0</v>
      </c>
      <c r="Q8" s="3202"/>
      <c r="R8" s="3202"/>
      <c r="S8" s="3203"/>
      <c r="T8" s="3208" t="s">
        <v>3830</v>
      </c>
      <c r="U8" s="3209"/>
      <c r="V8" s="3209"/>
      <c r="W8" s="3209"/>
      <c r="X8" s="3209"/>
      <c r="Y8" s="3209"/>
      <c r="Z8" s="3209"/>
      <c r="AA8" s="3209"/>
      <c r="AB8" s="3209"/>
      <c r="AC8" s="3209"/>
      <c r="AD8" s="3209"/>
      <c r="AE8" s="3209"/>
      <c r="AF8" s="3209"/>
      <c r="AG8" s="3210"/>
      <c r="AH8" s="3122">
        <f>$AH$17+$AH$18+$AH$19+$AH$20+$AH$21+$AH$46+$AH$7+$AH$22+$AH$41+$AH$44+$AH$72+AH47</f>
        <v>0</v>
      </c>
      <c r="AI8" s="3122"/>
      <c r="AJ8" s="3122"/>
      <c r="AK8" s="3122"/>
      <c r="AL8" s="3122"/>
      <c r="AM8" s="1271"/>
      <c r="AO8" s="147">
        <f>$AO$7+1</f>
        <v>3</v>
      </c>
      <c r="AP8" s="147">
        <f>$AP$7+1</f>
        <v>8</v>
      </c>
      <c r="AR8" s="409" t="s">
        <v>2332</v>
      </c>
      <c r="AS8" s="145">
        <v>262291</v>
      </c>
      <c r="AT8" s="145">
        <v>302419</v>
      </c>
      <c r="AU8" s="145">
        <v>364800</v>
      </c>
      <c r="AV8" s="145">
        <v>466944</v>
      </c>
      <c r="AW8" s="145">
        <v>520205</v>
      </c>
      <c r="AX8" s="145">
        <v>262291</v>
      </c>
      <c r="AY8" s="145">
        <v>302419</v>
      </c>
      <c r="AZ8" s="145">
        <v>364800</v>
      </c>
      <c r="BA8" s="145">
        <v>466944</v>
      </c>
      <c r="BB8" s="145">
        <v>520205</v>
      </c>
      <c r="BC8" s="407"/>
    </row>
    <row r="9" spans="2:55" ht="18" customHeight="1">
      <c r="B9" s="3175" t="s">
        <v>3831</v>
      </c>
      <c r="C9" s="3176"/>
      <c r="D9" s="3176"/>
      <c r="E9" s="3176"/>
      <c r="F9" s="3176"/>
      <c r="G9" s="3176"/>
      <c r="H9" s="3176"/>
      <c r="I9" s="3190">
        <f>IF($W$4="","",IF($AK$4="9%",VLOOKUP($W$4,$AR$3:$BB$62,$AP$8),VLOOKUP($W$4,$AR$3:$BB$62,$AO$8)))</f>
        <v>302419</v>
      </c>
      <c r="J9" s="3191"/>
      <c r="K9" s="3191"/>
      <c r="L9" s="3191"/>
      <c r="M9" s="3191"/>
      <c r="N9" s="3197">
        <f>SUMIF('Unit Mix'!$B$10:$B$59,1,'Unit Mix'!$Z$10:$Z$59)</f>
        <v>0</v>
      </c>
      <c r="O9" s="3198"/>
      <c r="P9" s="3201">
        <f>IF(ISERROR(($I$9*$N$9)),0,($I$9*$N$9))</f>
        <v>0</v>
      </c>
      <c r="Q9" s="3202"/>
      <c r="R9" s="3202"/>
      <c r="S9" s="3203"/>
      <c r="T9" s="3178" t="str">
        <f>IF($F$5="Perm Close","Adjusted Threshold Basis Limit multiplied by 170%:","Adjusted Threshold Basis Limit multiplied by 160%:")</f>
        <v>Adjusted Threshold Basis Limit multiplied by 160%:</v>
      </c>
      <c r="U9" s="3179"/>
      <c r="V9" s="3179"/>
      <c r="W9" s="3179"/>
      <c r="X9" s="3179"/>
      <c r="Y9" s="3179"/>
      <c r="Z9" s="3179"/>
      <c r="AA9" s="3179"/>
      <c r="AB9" s="3179"/>
      <c r="AC9" s="3179"/>
      <c r="AD9" s="3179"/>
      <c r="AE9" s="3179"/>
      <c r="AF9" s="3179"/>
      <c r="AG9" s="3180"/>
      <c r="AH9" s="3122">
        <f>IF($F$5="Perm Close",$AH$8*1.7,$AH$8*1.6)</f>
        <v>0</v>
      </c>
      <c r="AI9" s="3122"/>
      <c r="AJ9" s="3122"/>
      <c r="AK9" s="3122"/>
      <c r="AL9" s="3122"/>
      <c r="AO9" s="147">
        <f>$AO$8+1</f>
        <v>4</v>
      </c>
      <c r="AP9" s="147">
        <f>$AP$8+1</f>
        <v>9</v>
      </c>
      <c r="AR9" s="410" t="s">
        <v>2384</v>
      </c>
      <c r="AS9" s="146">
        <v>262291</v>
      </c>
      <c r="AT9" s="146">
        <v>302419</v>
      </c>
      <c r="AU9" s="146">
        <v>364800</v>
      </c>
      <c r="AV9" s="146">
        <v>466944</v>
      </c>
      <c r="AW9" s="146">
        <v>520205</v>
      </c>
      <c r="AX9" s="146">
        <v>262291</v>
      </c>
      <c r="AY9" s="146">
        <v>302419</v>
      </c>
      <c r="AZ9" s="146">
        <v>364800</v>
      </c>
      <c r="BA9" s="146">
        <v>466944</v>
      </c>
      <c r="BB9" s="146">
        <v>520205</v>
      </c>
      <c r="BC9" s="407"/>
    </row>
    <row r="10" spans="2:55" ht="18" customHeight="1">
      <c r="B10" s="3175" t="s">
        <v>3832</v>
      </c>
      <c r="C10" s="3176"/>
      <c r="D10" s="3176"/>
      <c r="E10" s="3176"/>
      <c r="F10" s="3176"/>
      <c r="G10" s="3176"/>
      <c r="H10" s="3176"/>
      <c r="I10" s="3190">
        <f>IF($W$4="","",IF($AK$4="9%",VLOOKUP($W$4,$AR$3:$BB$62,$AP$9),VLOOKUP($W$4,$AR$3:$BB$62,$AO$9)))</f>
        <v>364800</v>
      </c>
      <c r="J10" s="3191"/>
      <c r="K10" s="3191"/>
      <c r="L10" s="3191"/>
      <c r="M10" s="3191"/>
      <c r="N10" s="3197">
        <f>SUMIF('Unit Mix'!$B$10:$B$59,2,'Unit Mix'!$Z$10:$Z$59)</f>
        <v>0</v>
      </c>
      <c r="O10" s="3198"/>
      <c r="P10" s="3201">
        <f>IF(ISERROR(($I$10*$N$10)),0,($I$10*$N$10))</f>
        <v>0</v>
      </c>
      <c r="Q10" s="3202"/>
      <c r="R10" s="3202"/>
      <c r="S10" s="3203"/>
      <c r="T10" s="3181" t="str">
        <f>IF($F$4="",CONCATENATE("HCD HIGH COST TEST RESULT: ",$F$4),CONCATENATE("HCD HIGH COST TEST RESULT FOR: ",$F$4))</f>
        <v>HCD HIGH COST TEST RESULT FOR: PNAME</v>
      </c>
      <c r="U10" s="3182"/>
      <c r="V10" s="3182"/>
      <c r="W10" s="3182"/>
      <c r="X10" s="3182"/>
      <c r="Y10" s="3182"/>
      <c r="Z10" s="3182"/>
      <c r="AA10" s="3182"/>
      <c r="AB10" s="3182"/>
      <c r="AC10" s="3182"/>
      <c r="AD10" s="3182"/>
      <c r="AE10" s="3182"/>
      <c r="AF10" s="3182"/>
      <c r="AG10" s="3183"/>
      <c r="AH10" s="3222">
        <f>IF($AH$8=0,0,$AH$12/$AH$8)</f>
        <v>0</v>
      </c>
      <c r="AI10" s="3223"/>
      <c r="AJ10" s="3223"/>
      <c r="AK10" s="3223"/>
      <c r="AL10" s="3224"/>
      <c r="AO10" s="147">
        <f>$AO$9+1</f>
        <v>5</v>
      </c>
      <c r="AP10" s="147">
        <f>$AP$9+1</f>
        <v>10</v>
      </c>
      <c r="AR10" s="409" t="s">
        <v>2386</v>
      </c>
      <c r="AS10" s="145">
        <v>365252</v>
      </c>
      <c r="AT10" s="145">
        <v>421132</v>
      </c>
      <c r="AU10" s="145">
        <v>508000</v>
      </c>
      <c r="AV10" s="145">
        <v>650240</v>
      </c>
      <c r="AW10" s="145">
        <v>724408</v>
      </c>
      <c r="AX10" s="145">
        <v>365252</v>
      </c>
      <c r="AY10" s="145">
        <v>421132</v>
      </c>
      <c r="AZ10" s="145">
        <v>508000</v>
      </c>
      <c r="BA10" s="145">
        <v>650240</v>
      </c>
      <c r="BB10" s="145">
        <v>724408</v>
      </c>
      <c r="BC10" s="407"/>
    </row>
    <row r="11" spans="2:55" ht="18" customHeight="1">
      <c r="B11" s="3175" t="s">
        <v>3833</v>
      </c>
      <c r="C11" s="3176"/>
      <c r="D11" s="3176"/>
      <c r="E11" s="3176"/>
      <c r="F11" s="3176"/>
      <c r="G11" s="3176"/>
      <c r="H11" s="3176"/>
      <c r="I11" s="3190">
        <f>IF($W$4="","",IF($AK$4="9%",VLOOKUP($W$4,$AR$3:$BB$62,$AP$10),VLOOKUP($W$4,$AR$3:$BB$62,$AO$10)))</f>
        <v>466944</v>
      </c>
      <c r="J11" s="3191"/>
      <c r="K11" s="3191"/>
      <c r="L11" s="3191"/>
      <c r="M11" s="3191"/>
      <c r="N11" s="3197">
        <f>SUMIF('Unit Mix'!$B$10:$B$59,3,'Unit Mix'!$Z$10:$Z$59)</f>
        <v>0</v>
      </c>
      <c r="O11" s="3198"/>
      <c r="P11" s="3201">
        <f>IF(ISERROR(($I$11*$N$11)),0,($I$11*$N$11))</f>
        <v>0</v>
      </c>
      <c r="Q11" s="3202"/>
      <c r="R11" s="3202"/>
      <c r="S11" s="3203"/>
      <c r="T11" s="3184"/>
      <c r="U11" s="3185"/>
      <c r="V11" s="3185"/>
      <c r="W11" s="3185"/>
      <c r="X11" s="3185"/>
      <c r="Y11" s="3185"/>
      <c r="Z11" s="3185"/>
      <c r="AA11" s="3185"/>
      <c r="AB11" s="3185"/>
      <c r="AC11" s="3185"/>
      <c r="AD11" s="3185"/>
      <c r="AE11" s="3185"/>
      <c r="AF11" s="3185"/>
      <c r="AG11" s="3186"/>
      <c r="AH11" s="3225"/>
      <c r="AI11" s="3226"/>
      <c r="AJ11" s="3226"/>
      <c r="AK11" s="3226"/>
      <c r="AL11" s="3227"/>
      <c r="AO11" s="147">
        <f>$AO$10+1</f>
        <v>6</v>
      </c>
      <c r="AP11" s="147">
        <f>$AP$10+1</f>
        <v>11</v>
      </c>
      <c r="AR11" s="410" t="s">
        <v>2388</v>
      </c>
      <c r="AS11" s="146">
        <v>262291</v>
      </c>
      <c r="AT11" s="146">
        <v>302419</v>
      </c>
      <c r="AU11" s="146">
        <v>364800</v>
      </c>
      <c r="AV11" s="146">
        <v>466944</v>
      </c>
      <c r="AW11" s="146">
        <v>520205</v>
      </c>
      <c r="AX11" s="146">
        <v>262291</v>
      </c>
      <c r="AY11" s="146">
        <v>302419</v>
      </c>
      <c r="AZ11" s="146">
        <v>364800</v>
      </c>
      <c r="BA11" s="146">
        <v>466944</v>
      </c>
      <c r="BB11" s="146">
        <v>520205</v>
      </c>
      <c r="BC11" s="407"/>
    </row>
    <row r="12" spans="2:55" ht="18" customHeight="1">
      <c r="B12" s="3235" t="s">
        <v>3834</v>
      </c>
      <c r="C12" s="3236"/>
      <c r="D12" s="3236"/>
      <c r="E12" s="3236"/>
      <c r="F12" s="3236"/>
      <c r="G12" s="3236"/>
      <c r="H12" s="3236"/>
      <c r="I12" s="3192">
        <f>IF($W$4="","",IF($AK$4="9%",VLOOKUP($W$4,$AR$3:$BB$62,$AP$11),VLOOKUP($W$4,$AR$3:$BB$62,$AO$11)))</f>
        <v>520205</v>
      </c>
      <c r="J12" s="3193"/>
      <c r="K12" s="3193"/>
      <c r="L12" s="3193"/>
      <c r="M12" s="3193"/>
      <c r="N12" s="3199">
        <f>SUMIF('Unit Mix'!$B$10:$B$59,4,'Unit Mix'!$Z$10:$Z$59)+SUMIF('Unit Mix'!$B$10:$B$59,5,'Unit Mix'!$Z$10:$Z$59)+SUMIF('Unit Mix'!$B$10:$B$59,6,'Unit Mix'!$Z$10:$Z$59)</f>
        <v>0</v>
      </c>
      <c r="O12" s="3200"/>
      <c r="P12" s="3204">
        <f>IF(ISERROR(($I$12*$N$12)),0,($I$12*$N$12))</f>
        <v>0</v>
      </c>
      <c r="Q12" s="3205"/>
      <c r="R12" s="3205"/>
      <c r="S12" s="3206"/>
      <c r="T12" s="3228" t="s">
        <v>3835</v>
      </c>
      <c r="U12" s="3228"/>
      <c r="V12" s="3228"/>
      <c r="W12" s="3228"/>
      <c r="X12" s="3228"/>
      <c r="Y12" s="3228"/>
      <c r="Z12" s="3228"/>
      <c r="AA12" s="3228"/>
      <c r="AB12" s="3228"/>
      <c r="AC12" s="3228"/>
      <c r="AD12" s="3228"/>
      <c r="AE12" s="3228"/>
      <c r="AF12" s="3228"/>
      <c r="AG12" s="3228"/>
      <c r="AH12" s="3229">
        <f>SUM('Dev Budget SU'!$F$3,'Dev Budget SU'!$G$3)</f>
        <v>20000000</v>
      </c>
      <c r="AI12" s="3229"/>
      <c r="AJ12" s="3229"/>
      <c r="AK12" s="3229"/>
      <c r="AL12" s="3229"/>
      <c r="AN12" s="1274"/>
      <c r="AR12" s="409" t="s">
        <v>2390</v>
      </c>
      <c r="AS12" s="145">
        <v>278397</v>
      </c>
      <c r="AT12" s="145">
        <v>320989</v>
      </c>
      <c r="AU12" s="145">
        <v>387200</v>
      </c>
      <c r="AV12" s="145">
        <v>495616</v>
      </c>
      <c r="AW12" s="145">
        <v>552147</v>
      </c>
      <c r="AX12" s="145">
        <v>278397</v>
      </c>
      <c r="AY12" s="145">
        <v>320989</v>
      </c>
      <c r="AZ12" s="145">
        <v>387200</v>
      </c>
      <c r="BA12" s="145">
        <v>495616</v>
      </c>
      <c r="BB12" s="145">
        <v>552147</v>
      </c>
      <c r="BC12" s="407"/>
    </row>
    <row r="13" spans="2:55" ht="18" customHeight="1">
      <c r="S13" s="1269"/>
      <c r="T13" s="1269"/>
      <c r="U13" s="1269"/>
      <c r="V13" s="1269"/>
      <c r="W13" s="1269"/>
      <c r="X13" s="1269"/>
      <c r="Y13" s="1269"/>
      <c r="Z13" s="1269"/>
      <c r="AA13" s="1269"/>
      <c r="AB13" s="1269"/>
      <c r="AC13" s="3218" t="str">
        <f>IF($AH$12=0,"",IF($AH$12&lt;=$AH$9,"Costs Reasonable",IF($F$5="Perm Close","Costs too high &gt; 170%","Costs too high &gt; 160%")))</f>
        <v>Costs too high &gt; 160%</v>
      </c>
      <c r="AD13" s="3218"/>
      <c r="AE13" s="3218"/>
      <c r="AF13" s="3218"/>
      <c r="AG13" s="3218"/>
      <c r="AH13" s="3218"/>
      <c r="AI13" s="3218"/>
      <c r="AJ13" s="3218"/>
      <c r="AK13" s="3218"/>
      <c r="AL13" s="3218"/>
      <c r="AM13" s="1274"/>
      <c r="AR13" s="410" t="s">
        <v>718</v>
      </c>
      <c r="AS13" s="146">
        <v>238133</v>
      </c>
      <c r="AT13" s="146">
        <v>274565</v>
      </c>
      <c r="AU13" s="146">
        <v>331200</v>
      </c>
      <c r="AV13" s="146">
        <v>423936</v>
      </c>
      <c r="AW13" s="146">
        <v>472291</v>
      </c>
      <c r="AX13" s="146">
        <v>238133</v>
      </c>
      <c r="AY13" s="146">
        <v>274565</v>
      </c>
      <c r="AZ13" s="146">
        <v>331200</v>
      </c>
      <c r="BA13" s="146">
        <v>423936</v>
      </c>
      <c r="BB13" s="146">
        <v>472291</v>
      </c>
      <c r="BC13" s="407"/>
    </row>
    <row r="14" spans="2:55" ht="18" customHeight="1">
      <c r="B14" s="3124" t="s">
        <v>3836</v>
      </c>
      <c r="C14" s="3124"/>
      <c r="D14" s="3124"/>
      <c r="E14" s="3124"/>
      <c r="F14" s="3124"/>
      <c r="G14" s="3124"/>
      <c r="H14" s="3124"/>
      <c r="I14" s="3177">
        <f>SUMIFS(UnitsTbl[Total Units],UnitsTbl[Restricted Income Level],"Manager")</f>
        <v>1</v>
      </c>
      <c r="J14" s="3177"/>
      <c r="K14" s="3124" t="s">
        <v>3837</v>
      </c>
      <c r="L14" s="3124"/>
      <c r="M14" s="3124"/>
      <c r="N14" s="3124"/>
      <c r="O14" s="3230">
        <f>SUM(N8:O12)</f>
        <v>0</v>
      </c>
      <c r="P14" s="3230"/>
      <c r="Q14" s="3230"/>
      <c r="R14" s="1272"/>
      <c r="S14" s="1272"/>
      <c r="T14" s="1272"/>
      <c r="U14" s="1272"/>
      <c r="V14" s="1272"/>
      <c r="W14" s="1272"/>
      <c r="X14" s="1272"/>
      <c r="Y14" s="1272"/>
      <c r="Z14" s="1272"/>
      <c r="AA14" s="1272"/>
      <c r="AB14" s="1272"/>
      <c r="AC14" s="3218"/>
      <c r="AD14" s="3218"/>
      <c r="AE14" s="3218"/>
      <c r="AF14" s="3218"/>
      <c r="AG14" s="3218"/>
      <c r="AH14" s="3218"/>
      <c r="AI14" s="3218"/>
      <c r="AJ14" s="3218"/>
      <c r="AK14" s="3218"/>
      <c r="AL14" s="3218"/>
      <c r="AR14" s="409" t="s">
        <v>2393</v>
      </c>
      <c r="AS14" s="145">
        <v>262291</v>
      </c>
      <c r="AT14" s="145">
        <v>302419</v>
      </c>
      <c r="AU14" s="145">
        <v>364800</v>
      </c>
      <c r="AV14" s="145">
        <v>466944</v>
      </c>
      <c r="AW14" s="145">
        <v>520205</v>
      </c>
      <c r="AX14" s="145">
        <v>262291</v>
      </c>
      <c r="AY14" s="145">
        <v>302419</v>
      </c>
      <c r="AZ14" s="145">
        <v>364800</v>
      </c>
      <c r="BA14" s="145">
        <v>466944</v>
      </c>
      <c r="BB14" s="145">
        <v>520205</v>
      </c>
      <c r="BC14" s="407"/>
    </row>
    <row r="15" spans="2:55" ht="18" customHeight="1">
      <c r="B15" s="1272"/>
      <c r="C15" s="1272"/>
      <c r="D15" s="1272"/>
      <c r="E15" s="1272"/>
      <c r="F15" s="1272"/>
      <c r="G15" s="1272"/>
      <c r="H15" s="1272"/>
      <c r="I15" s="1272"/>
      <c r="J15" s="1272"/>
      <c r="K15" s="1272"/>
      <c r="L15" s="1272"/>
      <c r="M15" s="1272"/>
      <c r="N15" s="1272"/>
      <c r="O15" s="1272"/>
      <c r="P15" s="1272"/>
      <c r="Q15" s="1272"/>
      <c r="R15" s="1272"/>
      <c r="S15" s="1272"/>
      <c r="T15" s="1272"/>
      <c r="U15" s="1272"/>
      <c r="V15" s="1272"/>
      <c r="W15" s="1272"/>
      <c r="X15" s="1272"/>
      <c r="Y15" s="1272"/>
      <c r="Z15" s="1272"/>
      <c r="AA15" s="1272"/>
      <c r="AB15" s="1272"/>
      <c r="AC15" s="1272"/>
      <c r="AD15" s="1272"/>
      <c r="AE15" s="1272"/>
      <c r="AF15" s="1272"/>
      <c r="AG15" s="1272"/>
      <c r="AH15" s="1274"/>
      <c r="AI15" s="1274"/>
      <c r="AJ15" s="1274"/>
      <c r="AK15" s="1274"/>
      <c r="AL15" s="1274"/>
      <c r="AR15" s="410" t="s">
        <v>2395</v>
      </c>
      <c r="AS15" s="146">
        <v>262291</v>
      </c>
      <c r="AT15" s="146">
        <v>302419</v>
      </c>
      <c r="AU15" s="146">
        <v>364800</v>
      </c>
      <c r="AV15" s="146">
        <v>466944</v>
      </c>
      <c r="AW15" s="146">
        <v>520205</v>
      </c>
      <c r="AX15" s="146">
        <v>262291</v>
      </c>
      <c r="AY15" s="146">
        <v>302419</v>
      </c>
      <c r="AZ15" s="146">
        <v>364800</v>
      </c>
      <c r="BA15" s="146">
        <v>466944</v>
      </c>
      <c r="BB15" s="146">
        <v>520205</v>
      </c>
      <c r="BC15" s="407"/>
    </row>
    <row r="16" spans="2:55" ht="18" customHeight="1">
      <c r="B16" s="3169" t="s">
        <v>3838</v>
      </c>
      <c r="C16" s="3169"/>
      <c r="D16" s="3169"/>
      <c r="E16" s="3169"/>
      <c r="F16" s="3169"/>
      <c r="G16" s="3169"/>
      <c r="H16" s="3169"/>
      <c r="I16" s="3169"/>
      <c r="J16" s="3169"/>
      <c r="K16" s="3169"/>
      <c r="L16" s="3170"/>
      <c r="M16" s="3170"/>
      <c r="N16" s="3170"/>
      <c r="O16" s="3170"/>
      <c r="P16" s="3170"/>
      <c r="Q16" s="3170"/>
      <c r="R16" s="3170"/>
      <c r="S16" s="3170"/>
      <c r="T16" s="3170"/>
      <c r="U16" s="3170"/>
      <c r="V16" s="3170"/>
      <c r="W16" s="3170"/>
      <c r="X16" s="3170"/>
      <c r="Y16" s="3170"/>
      <c r="Z16" s="3170"/>
      <c r="AA16" s="3170"/>
      <c r="AB16" s="3170"/>
      <c r="AC16" s="3170"/>
      <c r="AD16" s="3170"/>
      <c r="AE16" s="3170"/>
      <c r="AF16" s="3165" t="s">
        <v>3839</v>
      </c>
      <c r="AG16" s="3165"/>
      <c r="AH16" s="3166"/>
      <c r="AI16" s="3166"/>
      <c r="AJ16" s="3166"/>
      <c r="AK16" s="3166"/>
      <c r="AL16" s="3166"/>
      <c r="AR16" s="409" t="s">
        <v>2397</v>
      </c>
      <c r="AS16" s="145">
        <v>228930</v>
      </c>
      <c r="AT16" s="145">
        <v>263954</v>
      </c>
      <c r="AU16" s="145">
        <v>318400</v>
      </c>
      <c r="AV16" s="145">
        <v>407552</v>
      </c>
      <c r="AW16" s="145">
        <v>454038</v>
      </c>
      <c r="AX16" s="145">
        <v>228930</v>
      </c>
      <c r="AY16" s="145">
        <v>263954</v>
      </c>
      <c r="AZ16" s="145">
        <v>318400</v>
      </c>
      <c r="BA16" s="145">
        <v>407552</v>
      </c>
      <c r="BB16" s="145">
        <v>454038</v>
      </c>
      <c r="BC16" s="407"/>
    </row>
    <row r="17" spans="2:55" ht="54.75" customHeight="1">
      <c r="B17" s="3213" t="s">
        <v>1408</v>
      </c>
      <c r="C17" s="3129" t="s">
        <v>3840</v>
      </c>
      <c r="D17" s="3129"/>
      <c r="E17" s="3129"/>
      <c r="F17" s="3129"/>
      <c r="G17" s="3129"/>
      <c r="H17" s="3129"/>
      <c r="I17" s="3129"/>
      <c r="J17" s="3129"/>
      <c r="K17" s="3129"/>
      <c r="L17" s="3129"/>
      <c r="M17" s="3129"/>
      <c r="N17" s="3129"/>
      <c r="O17" s="3129"/>
      <c r="P17" s="3129"/>
      <c r="Q17" s="3129"/>
      <c r="R17" s="3129"/>
      <c r="S17" s="3129"/>
      <c r="T17" s="3129"/>
      <c r="U17" s="3129"/>
      <c r="V17" s="3129"/>
      <c r="W17" s="3129"/>
      <c r="X17" s="3129"/>
      <c r="Y17" s="3129"/>
      <c r="Z17" s="3129"/>
      <c r="AA17" s="3129"/>
      <c r="AB17" s="3129"/>
      <c r="AC17" s="3129"/>
      <c r="AD17" s="3129"/>
      <c r="AE17" s="3129"/>
      <c r="AF17" s="3167"/>
      <c r="AG17" s="3168"/>
      <c r="AH17" s="3122">
        <f>ROUND(IF($AF$17="yes",$AH$7*0.2,0),0)</f>
        <v>0</v>
      </c>
      <c r="AI17" s="3122"/>
      <c r="AJ17" s="3122"/>
      <c r="AK17" s="3122"/>
      <c r="AL17" s="3122"/>
      <c r="AR17" s="410" t="s">
        <v>2399</v>
      </c>
      <c r="AS17" s="146">
        <v>262291</v>
      </c>
      <c r="AT17" s="146">
        <v>302419</v>
      </c>
      <c r="AU17" s="146">
        <v>364800</v>
      </c>
      <c r="AV17" s="146">
        <v>466944</v>
      </c>
      <c r="AW17" s="146">
        <v>520205</v>
      </c>
      <c r="AX17" s="146">
        <v>262291</v>
      </c>
      <c r="AY17" s="146">
        <v>302419</v>
      </c>
      <c r="AZ17" s="146">
        <v>364800</v>
      </c>
      <c r="BA17" s="146">
        <v>466944</v>
      </c>
      <c r="BB17" s="146">
        <v>520205</v>
      </c>
      <c r="BC17" s="407"/>
    </row>
    <row r="18" spans="2:55" ht="54" customHeight="1">
      <c r="B18" s="3214"/>
      <c r="C18" s="3129" t="s">
        <v>3841</v>
      </c>
      <c r="D18" s="3129"/>
      <c r="E18" s="3129"/>
      <c r="F18" s="3129"/>
      <c r="G18" s="3129"/>
      <c r="H18" s="3129"/>
      <c r="I18" s="3129"/>
      <c r="J18" s="3129"/>
      <c r="K18" s="3129"/>
      <c r="L18" s="3129"/>
      <c r="M18" s="3129"/>
      <c r="N18" s="3129"/>
      <c r="O18" s="3129"/>
      <c r="P18" s="3129"/>
      <c r="Q18" s="3129"/>
      <c r="R18" s="3129"/>
      <c r="S18" s="3129"/>
      <c r="T18" s="3129"/>
      <c r="U18" s="3129"/>
      <c r="V18" s="3129"/>
      <c r="W18" s="3129"/>
      <c r="X18" s="3129"/>
      <c r="Y18" s="3129"/>
      <c r="Z18" s="3129"/>
      <c r="AA18" s="3129"/>
      <c r="AB18" s="3129"/>
      <c r="AC18" s="3129"/>
      <c r="AD18" s="3129"/>
      <c r="AE18" s="3129"/>
      <c r="AF18" s="3131"/>
      <c r="AG18" s="3163"/>
      <c r="AH18" s="3122">
        <f>ROUND(IF($AF$18="yes",$AH$7*0.05,0),0)</f>
        <v>0</v>
      </c>
      <c r="AI18" s="3122"/>
      <c r="AJ18" s="3122"/>
      <c r="AK18" s="3122"/>
      <c r="AL18" s="3122"/>
      <c r="AR18" s="409" t="s">
        <v>2401</v>
      </c>
      <c r="AS18" s="145">
        <v>238133</v>
      </c>
      <c r="AT18" s="145">
        <v>274565</v>
      </c>
      <c r="AU18" s="145">
        <v>331200</v>
      </c>
      <c r="AV18" s="145">
        <v>423936</v>
      </c>
      <c r="AW18" s="145">
        <v>472291</v>
      </c>
      <c r="AX18" s="145">
        <v>238133</v>
      </c>
      <c r="AY18" s="145">
        <v>274565</v>
      </c>
      <c r="AZ18" s="145">
        <v>331200</v>
      </c>
      <c r="BA18" s="145">
        <v>423936</v>
      </c>
      <c r="BB18" s="145">
        <v>472291</v>
      </c>
      <c r="BC18" s="407"/>
    </row>
    <row r="19" spans="2:55" ht="36" customHeight="1">
      <c r="B19" s="1281" t="s">
        <v>1409</v>
      </c>
      <c r="C19" s="3129" t="s">
        <v>3842</v>
      </c>
      <c r="D19" s="3129"/>
      <c r="E19" s="3129"/>
      <c r="F19" s="3129"/>
      <c r="G19" s="3129"/>
      <c r="H19" s="3129"/>
      <c r="I19" s="3129"/>
      <c r="J19" s="3129"/>
      <c r="K19" s="3129"/>
      <c r="L19" s="3129"/>
      <c r="M19" s="3129"/>
      <c r="N19" s="3129"/>
      <c r="O19" s="3129"/>
      <c r="P19" s="3129"/>
      <c r="Q19" s="3129"/>
      <c r="R19" s="3129"/>
      <c r="S19" s="3129"/>
      <c r="T19" s="3129"/>
      <c r="U19" s="3129"/>
      <c r="V19" s="3129"/>
      <c r="W19" s="3129"/>
      <c r="X19" s="3129"/>
      <c r="Y19" s="3129"/>
      <c r="Z19" s="3129"/>
      <c r="AA19" s="3129"/>
      <c r="AB19" s="3129"/>
      <c r="AC19" s="3129"/>
      <c r="AD19" s="3129"/>
      <c r="AE19" s="3129"/>
      <c r="AF19" s="3131"/>
      <c r="AG19" s="3163"/>
      <c r="AH19" s="3122">
        <f>ROUND(IF($AF$19="yes",$AH$7*0.07,0),0)</f>
        <v>0</v>
      </c>
      <c r="AI19" s="3122"/>
      <c r="AJ19" s="3122"/>
      <c r="AK19" s="3122"/>
      <c r="AL19" s="3122"/>
      <c r="AR19" s="410" t="s">
        <v>2403</v>
      </c>
      <c r="AS19" s="146">
        <v>238133</v>
      </c>
      <c r="AT19" s="146">
        <v>274565</v>
      </c>
      <c r="AU19" s="146">
        <v>331200</v>
      </c>
      <c r="AV19" s="146">
        <v>423936</v>
      </c>
      <c r="AW19" s="146">
        <v>472291</v>
      </c>
      <c r="AX19" s="146">
        <v>238133</v>
      </c>
      <c r="AY19" s="146">
        <v>274565</v>
      </c>
      <c r="AZ19" s="146">
        <v>331200</v>
      </c>
      <c r="BA19" s="146">
        <v>423936</v>
      </c>
      <c r="BB19" s="146">
        <v>472291</v>
      </c>
      <c r="BC19" s="407"/>
    </row>
    <row r="20" spans="2:55" ht="18" customHeight="1">
      <c r="B20" s="1280" t="s">
        <v>1410</v>
      </c>
      <c r="C20" s="3129" t="s">
        <v>3843</v>
      </c>
      <c r="D20" s="3129"/>
      <c r="E20" s="3129"/>
      <c r="F20" s="3129"/>
      <c r="G20" s="3129"/>
      <c r="H20" s="3129"/>
      <c r="I20" s="3129"/>
      <c r="J20" s="3129"/>
      <c r="K20" s="3129"/>
      <c r="L20" s="3129"/>
      <c r="M20" s="3129"/>
      <c r="N20" s="3129"/>
      <c r="O20" s="3129"/>
      <c r="P20" s="3129"/>
      <c r="Q20" s="3129"/>
      <c r="R20" s="3129"/>
      <c r="S20" s="3129"/>
      <c r="T20" s="3129"/>
      <c r="U20" s="3129"/>
      <c r="V20" s="3129"/>
      <c r="W20" s="3129"/>
      <c r="X20" s="3129"/>
      <c r="Y20" s="3129"/>
      <c r="Z20" s="3129"/>
      <c r="AA20" s="3129"/>
      <c r="AB20" s="3129"/>
      <c r="AC20" s="3129"/>
      <c r="AD20" s="3129"/>
      <c r="AE20" s="3129"/>
      <c r="AF20" s="3131"/>
      <c r="AG20" s="3163"/>
      <c r="AH20" s="3122">
        <f>ROUND(IF($AF$20="yes",$AH$7*0.02,0),0)</f>
        <v>0</v>
      </c>
      <c r="AI20" s="3122"/>
      <c r="AJ20" s="3122"/>
      <c r="AK20" s="3122"/>
      <c r="AL20" s="3122"/>
      <c r="AR20" s="409" t="s">
        <v>2405</v>
      </c>
      <c r="AS20" s="145">
        <v>262291</v>
      </c>
      <c r="AT20" s="145">
        <v>302419</v>
      </c>
      <c r="AU20" s="145">
        <v>364800</v>
      </c>
      <c r="AV20" s="145">
        <v>466944</v>
      </c>
      <c r="AW20" s="145">
        <v>520205</v>
      </c>
      <c r="AX20" s="145">
        <v>262291</v>
      </c>
      <c r="AY20" s="145">
        <v>302419</v>
      </c>
      <c r="AZ20" s="145">
        <v>364800</v>
      </c>
      <c r="BA20" s="145">
        <v>466944</v>
      </c>
      <c r="BB20" s="145">
        <v>520205</v>
      </c>
      <c r="BC20" s="407"/>
    </row>
    <row r="21" spans="2:55" ht="18" customHeight="1">
      <c r="B21" s="1281" t="s">
        <v>1411</v>
      </c>
      <c r="C21" s="3129" t="s">
        <v>3844</v>
      </c>
      <c r="D21" s="3129"/>
      <c r="E21" s="3129"/>
      <c r="F21" s="3129"/>
      <c r="G21" s="3129"/>
      <c r="H21" s="3129"/>
      <c r="I21" s="3129"/>
      <c r="J21" s="3129"/>
      <c r="K21" s="3129"/>
      <c r="L21" s="3129"/>
      <c r="M21" s="3129"/>
      <c r="N21" s="3129"/>
      <c r="O21" s="3129"/>
      <c r="P21" s="3129"/>
      <c r="Q21" s="3129"/>
      <c r="R21" s="3129"/>
      <c r="S21" s="3129"/>
      <c r="T21" s="3129"/>
      <c r="U21" s="3129"/>
      <c r="V21" s="3129"/>
      <c r="W21" s="3129"/>
      <c r="X21" s="3129"/>
      <c r="Y21" s="3129"/>
      <c r="Z21" s="3129"/>
      <c r="AA21" s="3129"/>
      <c r="AB21" s="3129"/>
      <c r="AC21" s="3129"/>
      <c r="AD21" s="3129"/>
      <c r="AE21" s="3129"/>
      <c r="AF21" s="3131"/>
      <c r="AG21" s="3163"/>
      <c r="AH21" s="3122">
        <f>ROUND(IF($AF$21="yes",$AH$7*0.02,0),0)</f>
        <v>0</v>
      </c>
      <c r="AI21" s="3122"/>
      <c r="AJ21" s="3122"/>
      <c r="AK21" s="3122"/>
      <c r="AL21" s="3122"/>
      <c r="AR21" s="409"/>
      <c r="AS21" s="145"/>
      <c r="AT21" s="145"/>
      <c r="AU21" s="145"/>
      <c r="AV21" s="145"/>
      <c r="AW21" s="145"/>
      <c r="AX21" s="145"/>
      <c r="AY21" s="145"/>
      <c r="AZ21" s="145"/>
      <c r="BA21" s="145"/>
      <c r="BB21" s="145"/>
      <c r="BC21" s="407"/>
    </row>
    <row r="22" spans="2:55" ht="18" customHeight="1">
      <c r="B22" s="1568" t="s">
        <v>1424</v>
      </c>
      <c r="C22" s="3129" t="s">
        <v>3845</v>
      </c>
      <c r="D22" s="3129"/>
      <c r="E22" s="3129"/>
      <c r="F22" s="3129"/>
      <c r="G22" s="3129"/>
      <c r="H22" s="3129"/>
      <c r="I22" s="3129"/>
      <c r="J22" s="3129"/>
      <c r="K22" s="3129"/>
      <c r="L22" s="3129"/>
      <c r="M22" s="3129"/>
      <c r="N22" s="3129"/>
      <c r="O22" s="3129"/>
      <c r="P22" s="3129"/>
      <c r="Q22" s="3129"/>
      <c r="R22" s="3129"/>
      <c r="S22" s="3129"/>
      <c r="T22" s="3129"/>
      <c r="U22" s="3129"/>
      <c r="V22" s="3129"/>
      <c r="W22" s="3129"/>
      <c r="X22" s="3129"/>
      <c r="Y22" s="3129"/>
      <c r="Z22" s="3129"/>
      <c r="AA22" s="3129"/>
      <c r="AB22" s="3129"/>
      <c r="AC22" s="3129"/>
      <c r="AD22" s="3129"/>
      <c r="AE22" s="3129"/>
      <c r="AF22" s="3131"/>
      <c r="AG22" s="3163"/>
      <c r="AH22" s="3122">
        <f>IF(SUM($AF$23:$AG$40)&gt;0.005,MIN(0.1,SUM($AF$23:$AG$40))*$AH$7,0)</f>
        <v>0</v>
      </c>
      <c r="AI22" s="3122"/>
      <c r="AJ22" s="3122"/>
      <c r="AK22" s="3122"/>
      <c r="AL22" s="3122"/>
      <c r="AR22" s="410" t="s">
        <v>2407</v>
      </c>
      <c r="AS22" s="146">
        <v>262291</v>
      </c>
      <c r="AT22" s="146">
        <v>302419</v>
      </c>
      <c r="AU22" s="146">
        <v>364800</v>
      </c>
      <c r="AV22" s="146">
        <v>466944</v>
      </c>
      <c r="AW22" s="146">
        <v>520205</v>
      </c>
      <c r="AX22" s="146">
        <v>262291</v>
      </c>
      <c r="AY22" s="146">
        <v>302419</v>
      </c>
      <c r="AZ22" s="146">
        <v>364800</v>
      </c>
      <c r="BA22" s="146">
        <v>466944</v>
      </c>
      <c r="BB22" s="146">
        <v>520205</v>
      </c>
      <c r="BC22" s="407"/>
    </row>
    <row r="23" spans="2:55" ht="51" customHeight="1">
      <c r="B23" s="1284"/>
      <c r="C23" s="3129" t="s">
        <v>3846</v>
      </c>
      <c r="D23" s="3129"/>
      <c r="E23" s="3129"/>
      <c r="F23" s="3129"/>
      <c r="G23" s="3129"/>
      <c r="H23" s="3129"/>
      <c r="I23" s="3129"/>
      <c r="J23" s="3129"/>
      <c r="K23" s="3129"/>
      <c r="L23" s="3129"/>
      <c r="M23" s="3129"/>
      <c r="N23" s="3129"/>
      <c r="O23" s="3129"/>
      <c r="P23" s="3129"/>
      <c r="Q23" s="3129"/>
      <c r="R23" s="3129"/>
      <c r="S23" s="3129"/>
      <c r="T23" s="3129"/>
      <c r="U23" s="3129"/>
      <c r="V23" s="3129"/>
      <c r="W23" s="3129"/>
      <c r="X23" s="3129"/>
      <c r="Y23" s="3129"/>
      <c r="Z23" s="3129"/>
      <c r="AA23" s="3129"/>
      <c r="AB23" s="3129"/>
      <c r="AC23" s="3129"/>
      <c r="AD23" s="3129"/>
      <c r="AE23" s="3129"/>
      <c r="AF23" s="3140"/>
      <c r="AG23" s="3141"/>
      <c r="AH23" s="3149"/>
      <c r="AI23" s="3150"/>
      <c r="AJ23" s="3150"/>
      <c r="AK23" s="3150"/>
      <c r="AL23" s="3151"/>
      <c r="AR23" s="409" t="s">
        <v>2409</v>
      </c>
      <c r="AS23" s="145">
        <v>327289</v>
      </c>
      <c r="AT23" s="145">
        <v>377361</v>
      </c>
      <c r="AU23" s="145">
        <v>455200</v>
      </c>
      <c r="AV23" s="145">
        <v>582656</v>
      </c>
      <c r="AW23" s="145">
        <v>649115</v>
      </c>
      <c r="AX23" s="145">
        <v>327289</v>
      </c>
      <c r="AY23" s="145">
        <v>377361</v>
      </c>
      <c r="AZ23" s="145">
        <v>455200</v>
      </c>
      <c r="BA23" s="145">
        <v>582656</v>
      </c>
      <c r="BB23" s="145">
        <v>649115</v>
      </c>
      <c r="BC23" s="407"/>
    </row>
    <row r="24" spans="2:55" ht="51" customHeight="1">
      <c r="B24" s="1284"/>
      <c r="C24" s="3129"/>
      <c r="D24" s="3129"/>
      <c r="E24" s="3129"/>
      <c r="F24" s="3129"/>
      <c r="G24" s="3129"/>
      <c r="H24" s="3129"/>
      <c r="I24" s="3129"/>
      <c r="J24" s="3129"/>
      <c r="K24" s="3129"/>
      <c r="L24" s="3129"/>
      <c r="M24" s="3129"/>
      <c r="N24" s="3129"/>
      <c r="O24" s="3129"/>
      <c r="P24" s="3129"/>
      <c r="Q24" s="3129"/>
      <c r="R24" s="3129"/>
      <c r="S24" s="3129"/>
      <c r="T24" s="3129"/>
      <c r="U24" s="3129"/>
      <c r="V24" s="3129"/>
      <c r="W24" s="3129"/>
      <c r="X24" s="3129"/>
      <c r="Y24" s="3129"/>
      <c r="Z24" s="3129"/>
      <c r="AA24" s="3129"/>
      <c r="AB24" s="3129"/>
      <c r="AC24" s="3129"/>
      <c r="AD24" s="3129"/>
      <c r="AE24" s="3129"/>
      <c r="AF24" s="3138">
        <f>IF($AF$23="Yes",0.05,0)</f>
        <v>0</v>
      </c>
      <c r="AG24" s="3139"/>
      <c r="AH24" s="3152"/>
      <c r="AI24" s="3153"/>
      <c r="AJ24" s="3153"/>
      <c r="AK24" s="3153"/>
      <c r="AL24" s="3154"/>
      <c r="AR24" s="410" t="s">
        <v>2411</v>
      </c>
      <c r="AS24" s="146">
        <v>238133</v>
      </c>
      <c r="AT24" s="146">
        <v>274565</v>
      </c>
      <c r="AU24" s="146">
        <v>331200</v>
      </c>
      <c r="AV24" s="146">
        <v>423936</v>
      </c>
      <c r="AW24" s="146">
        <v>472291</v>
      </c>
      <c r="AX24" s="146">
        <v>238133</v>
      </c>
      <c r="AY24" s="146">
        <v>274565</v>
      </c>
      <c r="AZ24" s="146">
        <v>331200</v>
      </c>
      <c r="BA24" s="146">
        <v>423936</v>
      </c>
      <c r="BB24" s="146">
        <v>472291</v>
      </c>
      <c r="BC24" s="407"/>
    </row>
    <row r="25" spans="2:55" ht="53.25" customHeight="1">
      <c r="B25" s="1284"/>
      <c r="C25" s="3129" t="s">
        <v>3847</v>
      </c>
      <c r="D25" s="3129"/>
      <c r="E25" s="3129"/>
      <c r="F25" s="3129"/>
      <c r="G25" s="3129"/>
      <c r="H25" s="3129"/>
      <c r="I25" s="3129"/>
      <c r="J25" s="3129"/>
      <c r="K25" s="3129"/>
      <c r="L25" s="3129"/>
      <c r="M25" s="3129"/>
      <c r="N25" s="3129"/>
      <c r="O25" s="3129"/>
      <c r="P25" s="3129"/>
      <c r="Q25" s="3129"/>
      <c r="R25" s="3129"/>
      <c r="S25" s="3129"/>
      <c r="T25" s="3129"/>
      <c r="U25" s="3129"/>
      <c r="V25" s="3129"/>
      <c r="W25" s="3129"/>
      <c r="X25" s="3129"/>
      <c r="Y25" s="3129"/>
      <c r="Z25" s="3129"/>
      <c r="AA25" s="3129"/>
      <c r="AB25" s="3129"/>
      <c r="AC25" s="3129"/>
      <c r="AD25" s="3129"/>
      <c r="AE25" s="3129"/>
      <c r="AF25" s="3140"/>
      <c r="AG25" s="3141"/>
      <c r="AH25" s="3152"/>
      <c r="AI25" s="3153"/>
      <c r="AJ25" s="3153"/>
      <c r="AK25" s="3153"/>
      <c r="AL25" s="3154"/>
      <c r="AR25" s="409" t="s">
        <v>2413</v>
      </c>
      <c r="AS25" s="145">
        <v>299104</v>
      </c>
      <c r="AT25" s="145">
        <v>344864</v>
      </c>
      <c r="AU25" s="145">
        <v>416000</v>
      </c>
      <c r="AV25" s="145">
        <v>532480</v>
      </c>
      <c r="AW25" s="145">
        <v>593216</v>
      </c>
      <c r="AX25" s="145">
        <v>299104</v>
      </c>
      <c r="AY25" s="145">
        <v>344864</v>
      </c>
      <c r="AZ25" s="145">
        <v>416000</v>
      </c>
      <c r="BA25" s="145">
        <v>532480</v>
      </c>
      <c r="BB25" s="145">
        <v>593216</v>
      </c>
      <c r="BC25" s="407"/>
    </row>
    <row r="26" spans="2:55" ht="53.25" customHeight="1">
      <c r="B26" s="1284"/>
      <c r="C26" s="3129"/>
      <c r="D26" s="3129"/>
      <c r="E26" s="3129"/>
      <c r="F26" s="3129"/>
      <c r="G26" s="3129"/>
      <c r="H26" s="3129"/>
      <c r="I26" s="3129"/>
      <c r="J26" s="3129"/>
      <c r="K26" s="3129"/>
      <c r="L26" s="3129"/>
      <c r="M26" s="3129"/>
      <c r="N26" s="3129"/>
      <c r="O26" s="3129"/>
      <c r="P26" s="3129"/>
      <c r="Q26" s="3129"/>
      <c r="R26" s="3129"/>
      <c r="S26" s="3129"/>
      <c r="T26" s="3129"/>
      <c r="U26" s="3129"/>
      <c r="V26" s="3129"/>
      <c r="W26" s="3129"/>
      <c r="X26" s="3129"/>
      <c r="Y26" s="3129"/>
      <c r="Z26" s="3129"/>
      <c r="AA26" s="3129"/>
      <c r="AB26" s="3129"/>
      <c r="AC26" s="3129"/>
      <c r="AD26" s="3129"/>
      <c r="AE26" s="3129"/>
      <c r="AF26" s="3138">
        <f>IF($AF$25="Yes",0.02,0)</f>
        <v>0</v>
      </c>
      <c r="AG26" s="3139"/>
      <c r="AH26" s="3152"/>
      <c r="AI26" s="3153"/>
      <c r="AJ26" s="3153"/>
      <c r="AK26" s="3153"/>
      <c r="AL26" s="3154"/>
      <c r="AR26" s="410" t="s">
        <v>2415</v>
      </c>
      <c r="AS26" s="146">
        <v>262291</v>
      </c>
      <c r="AT26" s="146">
        <v>302419</v>
      </c>
      <c r="AU26" s="146">
        <v>364800</v>
      </c>
      <c r="AV26" s="146">
        <v>466944</v>
      </c>
      <c r="AW26" s="146">
        <v>520205</v>
      </c>
      <c r="AX26" s="146">
        <v>262291</v>
      </c>
      <c r="AY26" s="146">
        <v>302419</v>
      </c>
      <c r="AZ26" s="146">
        <v>364800</v>
      </c>
      <c r="BA26" s="146">
        <v>466944</v>
      </c>
      <c r="BB26" s="146">
        <v>520205</v>
      </c>
      <c r="BC26" s="407"/>
    </row>
    <row r="27" spans="2:55" ht="39.75" customHeight="1">
      <c r="B27" s="1284"/>
      <c r="C27" s="3164" t="s">
        <v>3848</v>
      </c>
      <c r="D27" s="3164"/>
      <c r="E27" s="3164"/>
      <c r="F27" s="3164"/>
      <c r="G27" s="3164"/>
      <c r="H27" s="3164"/>
      <c r="I27" s="3164"/>
      <c r="J27" s="3164"/>
      <c r="K27" s="3164"/>
      <c r="L27" s="3164"/>
      <c r="M27" s="3164"/>
      <c r="N27" s="3164"/>
      <c r="O27" s="3164"/>
      <c r="P27" s="3164"/>
      <c r="Q27" s="3164"/>
      <c r="R27" s="3164"/>
      <c r="S27" s="3164"/>
      <c r="T27" s="3164"/>
      <c r="U27" s="3164"/>
      <c r="V27" s="3164"/>
      <c r="W27" s="3164"/>
      <c r="X27" s="3164"/>
      <c r="Y27" s="3164"/>
      <c r="Z27" s="3164"/>
      <c r="AA27" s="3164"/>
      <c r="AB27" s="3164"/>
      <c r="AC27" s="3164"/>
      <c r="AD27" s="3164"/>
      <c r="AE27" s="3164"/>
      <c r="AF27" s="3140"/>
      <c r="AG27" s="3141"/>
      <c r="AH27" s="3152"/>
      <c r="AI27" s="3153"/>
      <c r="AJ27" s="3153"/>
      <c r="AK27" s="3153"/>
      <c r="AL27" s="3154"/>
      <c r="AR27" s="409" t="s">
        <v>2417</v>
      </c>
      <c r="AS27" s="145">
        <v>262291</v>
      </c>
      <c r="AT27" s="145">
        <v>302419</v>
      </c>
      <c r="AU27" s="145">
        <v>364800</v>
      </c>
      <c r="AV27" s="145">
        <v>466944</v>
      </c>
      <c r="AW27" s="145">
        <v>520205</v>
      </c>
      <c r="AX27" s="145">
        <v>262291</v>
      </c>
      <c r="AY27" s="145">
        <v>302419</v>
      </c>
      <c r="AZ27" s="145">
        <v>364800</v>
      </c>
      <c r="BA27" s="145">
        <v>466944</v>
      </c>
      <c r="BB27" s="145">
        <v>520205</v>
      </c>
      <c r="BC27" s="407"/>
    </row>
    <row r="28" spans="2:55" ht="39.75" customHeight="1">
      <c r="B28" s="1284"/>
      <c r="C28" s="3164"/>
      <c r="D28" s="3164"/>
      <c r="E28" s="3164"/>
      <c r="F28" s="3164"/>
      <c r="G28" s="3164"/>
      <c r="H28" s="3164"/>
      <c r="I28" s="3164"/>
      <c r="J28" s="3164"/>
      <c r="K28" s="3164"/>
      <c r="L28" s="3164"/>
      <c r="M28" s="3164"/>
      <c r="N28" s="3164"/>
      <c r="O28" s="3164"/>
      <c r="P28" s="3164"/>
      <c r="Q28" s="3164"/>
      <c r="R28" s="3164"/>
      <c r="S28" s="3164"/>
      <c r="T28" s="3164"/>
      <c r="U28" s="3164"/>
      <c r="V28" s="3164"/>
      <c r="W28" s="3164"/>
      <c r="X28" s="3164"/>
      <c r="Y28" s="3164"/>
      <c r="Z28" s="3164"/>
      <c r="AA28" s="3164"/>
      <c r="AB28" s="3164"/>
      <c r="AC28" s="3164"/>
      <c r="AD28" s="3164"/>
      <c r="AE28" s="3164"/>
      <c r="AF28" s="3138">
        <f>IF($AF$27="Yes",0.04,0)</f>
        <v>0</v>
      </c>
      <c r="AG28" s="3139"/>
      <c r="AH28" s="3152"/>
      <c r="AI28" s="3153"/>
      <c r="AJ28" s="3153"/>
      <c r="AK28" s="3153"/>
      <c r="AL28" s="3154"/>
      <c r="AR28" s="410" t="s">
        <v>2419</v>
      </c>
      <c r="AS28" s="146">
        <v>238133</v>
      </c>
      <c r="AT28" s="146">
        <v>274565</v>
      </c>
      <c r="AU28" s="146">
        <v>331200</v>
      </c>
      <c r="AV28" s="146">
        <v>423936</v>
      </c>
      <c r="AW28" s="146">
        <v>472291</v>
      </c>
      <c r="AX28" s="146">
        <v>238133</v>
      </c>
      <c r="AY28" s="146">
        <v>274565</v>
      </c>
      <c r="AZ28" s="146">
        <v>331200</v>
      </c>
      <c r="BA28" s="146">
        <v>423936</v>
      </c>
      <c r="BB28" s="146">
        <v>472291</v>
      </c>
      <c r="BC28" s="407"/>
    </row>
    <row r="29" spans="2:55" ht="18" customHeight="1">
      <c r="B29" s="1284"/>
      <c r="C29" s="3129" t="s">
        <v>3849</v>
      </c>
      <c r="D29" s="3129"/>
      <c r="E29" s="3129"/>
      <c r="F29" s="3129"/>
      <c r="G29" s="3129"/>
      <c r="H29" s="3129"/>
      <c r="I29" s="3129"/>
      <c r="J29" s="3129"/>
      <c r="K29" s="3129"/>
      <c r="L29" s="3129"/>
      <c r="M29" s="3129"/>
      <c r="N29" s="3129"/>
      <c r="O29" s="3129"/>
      <c r="P29" s="3129"/>
      <c r="Q29" s="3129"/>
      <c r="R29" s="3129"/>
      <c r="S29" s="3129"/>
      <c r="T29" s="3129"/>
      <c r="U29" s="3129"/>
      <c r="V29" s="3129"/>
      <c r="W29" s="3129"/>
      <c r="X29" s="3129"/>
      <c r="Y29" s="3129"/>
      <c r="Z29" s="3129"/>
      <c r="AA29" s="3129"/>
      <c r="AB29" s="3129"/>
      <c r="AC29" s="3129"/>
      <c r="AD29" s="3129"/>
      <c r="AE29" s="3129"/>
      <c r="AF29" s="3140"/>
      <c r="AG29" s="3141"/>
      <c r="AH29" s="3152"/>
      <c r="AI29" s="3153"/>
      <c r="AJ29" s="3153"/>
      <c r="AK29" s="3153"/>
      <c r="AL29" s="3154"/>
      <c r="AR29" s="409" t="s">
        <v>2421</v>
      </c>
      <c r="AS29" s="145">
        <v>262291</v>
      </c>
      <c r="AT29" s="145">
        <v>302419</v>
      </c>
      <c r="AU29" s="145">
        <v>364800</v>
      </c>
      <c r="AV29" s="145">
        <v>466944</v>
      </c>
      <c r="AW29" s="145">
        <v>520205</v>
      </c>
      <c r="AX29" s="145">
        <v>262291</v>
      </c>
      <c r="AY29" s="145">
        <v>302419</v>
      </c>
      <c r="AZ29" s="145">
        <v>364800</v>
      </c>
      <c r="BA29" s="145">
        <v>466944</v>
      </c>
      <c r="BB29" s="145">
        <v>520205</v>
      </c>
      <c r="BC29" s="407"/>
    </row>
    <row r="30" spans="2:55" ht="18" customHeight="1">
      <c r="B30" s="1284"/>
      <c r="C30" s="3129"/>
      <c r="D30" s="3129"/>
      <c r="E30" s="3129"/>
      <c r="F30" s="3129"/>
      <c r="G30" s="3129"/>
      <c r="H30" s="3129"/>
      <c r="I30" s="3129"/>
      <c r="J30" s="3129"/>
      <c r="K30" s="3129"/>
      <c r="L30" s="3129"/>
      <c r="M30" s="3129"/>
      <c r="N30" s="3129"/>
      <c r="O30" s="3129"/>
      <c r="P30" s="3129"/>
      <c r="Q30" s="3129"/>
      <c r="R30" s="3129"/>
      <c r="S30" s="3129"/>
      <c r="T30" s="3129"/>
      <c r="U30" s="3129"/>
      <c r="V30" s="3129"/>
      <c r="W30" s="3129"/>
      <c r="X30" s="3129"/>
      <c r="Y30" s="3129"/>
      <c r="Z30" s="3129"/>
      <c r="AA30" s="3129"/>
      <c r="AB30" s="3129"/>
      <c r="AC30" s="3129"/>
      <c r="AD30" s="3129"/>
      <c r="AE30" s="3129"/>
      <c r="AF30" s="3138">
        <f>IF($AF$29="Yes",0.04,0)</f>
        <v>0</v>
      </c>
      <c r="AG30" s="3139"/>
      <c r="AH30" s="3152"/>
      <c r="AI30" s="3153"/>
      <c r="AJ30" s="3153"/>
      <c r="AK30" s="3153"/>
      <c r="AL30" s="3154"/>
      <c r="AR30" s="410" t="s">
        <v>2424</v>
      </c>
      <c r="AS30" s="146">
        <v>262291</v>
      </c>
      <c r="AT30" s="146">
        <v>302419</v>
      </c>
      <c r="AU30" s="146">
        <v>364800</v>
      </c>
      <c r="AV30" s="146">
        <v>466944</v>
      </c>
      <c r="AW30" s="146">
        <v>520205</v>
      </c>
      <c r="AX30" s="146">
        <v>262291</v>
      </c>
      <c r="AY30" s="146">
        <v>302419</v>
      </c>
      <c r="AZ30" s="146">
        <v>364800</v>
      </c>
      <c r="BA30" s="146">
        <v>466944</v>
      </c>
      <c r="BB30" s="146">
        <v>520205</v>
      </c>
      <c r="BC30" s="407"/>
    </row>
    <row r="31" spans="2:55" ht="23.25" customHeight="1">
      <c r="B31" s="1284"/>
      <c r="C31" s="3129" t="s">
        <v>3850</v>
      </c>
      <c r="D31" s="3129"/>
      <c r="E31" s="3129"/>
      <c r="F31" s="3129"/>
      <c r="G31" s="3129"/>
      <c r="H31" s="3129"/>
      <c r="I31" s="3129"/>
      <c r="J31" s="3129"/>
      <c r="K31" s="3129"/>
      <c r="L31" s="3129"/>
      <c r="M31" s="3129"/>
      <c r="N31" s="3129"/>
      <c r="O31" s="3129"/>
      <c r="P31" s="3129"/>
      <c r="Q31" s="3129"/>
      <c r="R31" s="3129"/>
      <c r="S31" s="3129"/>
      <c r="T31" s="3129"/>
      <c r="U31" s="3129"/>
      <c r="V31" s="3129"/>
      <c r="W31" s="3129"/>
      <c r="X31" s="3129"/>
      <c r="Y31" s="3129"/>
      <c r="Z31" s="3129"/>
      <c r="AA31" s="3129"/>
      <c r="AB31" s="3129"/>
      <c r="AC31" s="3129"/>
      <c r="AD31" s="3129"/>
      <c r="AE31" s="3129"/>
      <c r="AF31" s="3140"/>
      <c r="AG31" s="3141"/>
      <c r="AH31" s="3152"/>
      <c r="AI31" s="3153"/>
      <c r="AJ31" s="3153"/>
      <c r="AK31" s="3153"/>
      <c r="AL31" s="3154"/>
      <c r="AR31" s="409" t="s">
        <v>2427</v>
      </c>
      <c r="AS31" s="145">
        <v>303706</v>
      </c>
      <c r="AT31" s="145">
        <v>350170</v>
      </c>
      <c r="AU31" s="145">
        <v>422400</v>
      </c>
      <c r="AV31" s="145">
        <v>540672</v>
      </c>
      <c r="AW31" s="145">
        <v>602342</v>
      </c>
      <c r="AX31" s="145">
        <v>303706</v>
      </c>
      <c r="AY31" s="145">
        <v>350170</v>
      </c>
      <c r="AZ31" s="145">
        <v>422400</v>
      </c>
      <c r="BA31" s="145">
        <v>540672</v>
      </c>
      <c r="BB31" s="145">
        <v>602342</v>
      </c>
      <c r="BC31" s="407"/>
    </row>
    <row r="32" spans="2:55" ht="23.25" customHeight="1">
      <c r="B32" s="1284"/>
      <c r="C32" s="3129"/>
      <c r="D32" s="3129"/>
      <c r="E32" s="3129"/>
      <c r="F32" s="3129"/>
      <c r="G32" s="3129"/>
      <c r="H32" s="3129"/>
      <c r="I32" s="3129"/>
      <c r="J32" s="3129"/>
      <c r="K32" s="3129"/>
      <c r="L32" s="3129"/>
      <c r="M32" s="3129"/>
      <c r="N32" s="3129"/>
      <c r="O32" s="3129"/>
      <c r="P32" s="3129"/>
      <c r="Q32" s="3129"/>
      <c r="R32" s="3129"/>
      <c r="S32" s="3129"/>
      <c r="T32" s="3129"/>
      <c r="U32" s="3129"/>
      <c r="V32" s="3129"/>
      <c r="W32" s="3129"/>
      <c r="X32" s="3129"/>
      <c r="Y32" s="3129"/>
      <c r="Z32" s="3129"/>
      <c r="AA32" s="3129"/>
      <c r="AB32" s="3129"/>
      <c r="AC32" s="3129"/>
      <c r="AD32" s="3129"/>
      <c r="AE32" s="3129"/>
      <c r="AF32" s="3138">
        <f>IF($AF$31="Yes",0.01,0)</f>
        <v>0</v>
      </c>
      <c r="AG32" s="3139"/>
      <c r="AH32" s="3152"/>
      <c r="AI32" s="3153"/>
      <c r="AJ32" s="3153"/>
      <c r="AK32" s="3153"/>
      <c r="AL32" s="3154"/>
      <c r="AR32" s="410" t="s">
        <v>2429</v>
      </c>
      <c r="AS32" s="146">
        <v>299104</v>
      </c>
      <c r="AT32" s="146">
        <v>344864</v>
      </c>
      <c r="AU32" s="146">
        <v>416000</v>
      </c>
      <c r="AV32" s="146">
        <v>532480</v>
      </c>
      <c r="AW32" s="146">
        <v>593216</v>
      </c>
      <c r="AX32" s="146">
        <v>299104</v>
      </c>
      <c r="AY32" s="146">
        <v>344864</v>
      </c>
      <c r="AZ32" s="146">
        <v>416000</v>
      </c>
      <c r="BA32" s="146">
        <v>532480</v>
      </c>
      <c r="BB32" s="146">
        <v>593216</v>
      </c>
      <c r="BC32" s="407"/>
    </row>
    <row r="33" spans="1:55" ht="26.25" customHeight="1">
      <c r="B33" s="1284"/>
      <c r="C33" s="3129" t="s">
        <v>3851</v>
      </c>
      <c r="D33" s="3129"/>
      <c r="E33" s="3129"/>
      <c r="F33" s="3129"/>
      <c r="G33" s="3129"/>
      <c r="H33" s="3129"/>
      <c r="I33" s="3129"/>
      <c r="J33" s="3129"/>
      <c r="K33" s="3129"/>
      <c r="L33" s="3129"/>
      <c r="M33" s="3129"/>
      <c r="N33" s="3129"/>
      <c r="O33" s="3129"/>
      <c r="P33" s="3129"/>
      <c r="Q33" s="3129"/>
      <c r="R33" s="3129"/>
      <c r="S33" s="3129"/>
      <c r="T33" s="3129"/>
      <c r="U33" s="3129"/>
      <c r="V33" s="3129"/>
      <c r="W33" s="3129"/>
      <c r="X33" s="3129"/>
      <c r="Y33" s="3129"/>
      <c r="Z33" s="3129"/>
      <c r="AA33" s="3129"/>
      <c r="AB33" s="3129"/>
      <c r="AC33" s="3129"/>
      <c r="AD33" s="3129"/>
      <c r="AE33" s="3129"/>
      <c r="AF33" s="3140"/>
      <c r="AG33" s="3141"/>
      <c r="AH33" s="3152"/>
      <c r="AI33" s="3153"/>
      <c r="AJ33" s="3153"/>
      <c r="AK33" s="3153"/>
      <c r="AL33" s="3154"/>
      <c r="AR33" s="409" t="s">
        <v>2432</v>
      </c>
      <c r="AS33" s="145">
        <v>262291</v>
      </c>
      <c r="AT33" s="145">
        <v>302419</v>
      </c>
      <c r="AU33" s="145">
        <v>364800</v>
      </c>
      <c r="AV33" s="145">
        <v>466944</v>
      </c>
      <c r="AW33" s="145">
        <v>520205</v>
      </c>
      <c r="AX33" s="145">
        <v>262291</v>
      </c>
      <c r="AY33" s="145">
        <v>302419</v>
      </c>
      <c r="AZ33" s="145">
        <v>364800</v>
      </c>
      <c r="BA33" s="145">
        <v>466944</v>
      </c>
      <c r="BB33" s="145">
        <v>520205</v>
      </c>
      <c r="BC33" s="407"/>
    </row>
    <row r="34" spans="1:55" ht="26.25" customHeight="1">
      <c r="B34" s="1284"/>
      <c r="C34" s="3129"/>
      <c r="D34" s="3129"/>
      <c r="E34" s="3129"/>
      <c r="F34" s="3129"/>
      <c r="G34" s="3129"/>
      <c r="H34" s="3129"/>
      <c r="I34" s="3129"/>
      <c r="J34" s="3129"/>
      <c r="K34" s="3129"/>
      <c r="L34" s="3129"/>
      <c r="M34" s="3129"/>
      <c r="N34" s="3129"/>
      <c r="O34" s="3129"/>
      <c r="P34" s="3129"/>
      <c r="Q34" s="3129"/>
      <c r="R34" s="3129"/>
      <c r="S34" s="3129"/>
      <c r="T34" s="3129"/>
      <c r="U34" s="3129"/>
      <c r="V34" s="3129"/>
      <c r="W34" s="3129"/>
      <c r="X34" s="3129"/>
      <c r="Y34" s="3129"/>
      <c r="Z34" s="3129"/>
      <c r="AA34" s="3129"/>
      <c r="AB34" s="3129"/>
      <c r="AC34" s="3129"/>
      <c r="AD34" s="3129"/>
      <c r="AE34" s="3129"/>
      <c r="AF34" s="3138">
        <f>IF($AF$33="Yes",0.01,0)</f>
        <v>0</v>
      </c>
      <c r="AG34" s="3139"/>
      <c r="AH34" s="3152"/>
      <c r="AI34" s="3153"/>
      <c r="AJ34" s="3153"/>
      <c r="AK34" s="3153"/>
      <c r="AL34" s="3154"/>
      <c r="AR34" s="410" t="s">
        <v>2435</v>
      </c>
      <c r="AS34" s="146">
        <v>279547</v>
      </c>
      <c r="AT34" s="146">
        <v>322315</v>
      </c>
      <c r="AU34" s="146">
        <v>388800</v>
      </c>
      <c r="AV34" s="146">
        <v>497664</v>
      </c>
      <c r="AW34" s="146">
        <v>554429</v>
      </c>
      <c r="AX34" s="146">
        <v>279547</v>
      </c>
      <c r="AY34" s="146">
        <v>322315</v>
      </c>
      <c r="AZ34" s="146">
        <v>388800</v>
      </c>
      <c r="BA34" s="146">
        <v>497664</v>
      </c>
      <c r="BB34" s="146">
        <v>554429</v>
      </c>
      <c r="BC34" s="407"/>
    </row>
    <row r="35" spans="1:55" ht="18" customHeight="1">
      <c r="B35" s="1284"/>
      <c r="C35" s="3129" t="s">
        <v>3852</v>
      </c>
      <c r="D35" s="3129"/>
      <c r="E35" s="3129"/>
      <c r="F35" s="3129"/>
      <c r="G35" s="3129"/>
      <c r="H35" s="3129"/>
      <c r="I35" s="3129"/>
      <c r="J35" s="3129"/>
      <c r="K35" s="3129"/>
      <c r="L35" s="3129"/>
      <c r="M35" s="3129"/>
      <c r="N35" s="3129"/>
      <c r="O35" s="3129"/>
      <c r="P35" s="3129"/>
      <c r="Q35" s="3129"/>
      <c r="R35" s="3129"/>
      <c r="S35" s="3129"/>
      <c r="T35" s="3129"/>
      <c r="U35" s="3129"/>
      <c r="V35" s="3129"/>
      <c r="W35" s="3129"/>
      <c r="X35" s="3129"/>
      <c r="Y35" s="3129"/>
      <c r="Z35" s="3129"/>
      <c r="AA35" s="3129"/>
      <c r="AB35" s="3129"/>
      <c r="AC35" s="3129"/>
      <c r="AD35" s="3129"/>
      <c r="AE35" s="3129"/>
      <c r="AF35" s="3140"/>
      <c r="AG35" s="3141"/>
      <c r="AH35" s="3152"/>
      <c r="AI35" s="3153"/>
      <c r="AJ35" s="3153"/>
      <c r="AK35" s="3153"/>
      <c r="AL35" s="3154"/>
      <c r="AR35" s="409" t="s">
        <v>2437</v>
      </c>
      <c r="AS35" s="145">
        <v>278397</v>
      </c>
      <c r="AT35" s="145">
        <v>320989</v>
      </c>
      <c r="AU35" s="145">
        <v>387200</v>
      </c>
      <c r="AV35" s="145">
        <v>495616</v>
      </c>
      <c r="AW35" s="145">
        <v>552147</v>
      </c>
      <c r="AX35" s="145">
        <v>278397</v>
      </c>
      <c r="AY35" s="145">
        <v>320989</v>
      </c>
      <c r="AZ35" s="145">
        <v>387200</v>
      </c>
      <c r="BA35" s="145">
        <v>495616</v>
      </c>
      <c r="BB35" s="145">
        <v>552147</v>
      </c>
      <c r="BC35" s="407"/>
    </row>
    <row r="36" spans="1:55" ht="18" customHeight="1">
      <c r="B36" s="1284"/>
      <c r="C36" s="3129"/>
      <c r="D36" s="3129"/>
      <c r="E36" s="3129"/>
      <c r="F36" s="3129"/>
      <c r="G36" s="3129"/>
      <c r="H36" s="3129"/>
      <c r="I36" s="3129"/>
      <c r="J36" s="3129"/>
      <c r="K36" s="3129"/>
      <c r="L36" s="3129"/>
      <c r="M36" s="3129"/>
      <c r="N36" s="3129"/>
      <c r="O36" s="3129"/>
      <c r="P36" s="3129"/>
      <c r="Q36" s="3129"/>
      <c r="R36" s="3129"/>
      <c r="S36" s="3129"/>
      <c r="T36" s="3129"/>
      <c r="U36" s="3129"/>
      <c r="V36" s="3129"/>
      <c r="W36" s="3129"/>
      <c r="X36" s="3129"/>
      <c r="Y36" s="3129"/>
      <c r="Z36" s="3129"/>
      <c r="AA36" s="3129"/>
      <c r="AB36" s="3129"/>
      <c r="AC36" s="3129"/>
      <c r="AD36" s="3129"/>
      <c r="AE36" s="3129"/>
      <c r="AF36" s="3138">
        <f>IF($AF$35="Yes",0.01,0)</f>
        <v>0</v>
      </c>
      <c r="AG36" s="3139"/>
      <c r="AH36" s="3152"/>
      <c r="AI36" s="3153"/>
      <c r="AJ36" s="3153"/>
      <c r="AK36" s="3153"/>
      <c r="AL36" s="3154"/>
      <c r="AR36" s="410" t="s">
        <v>2439</v>
      </c>
      <c r="AS36" s="146">
        <v>262291</v>
      </c>
      <c r="AT36" s="146">
        <v>302419</v>
      </c>
      <c r="AU36" s="146">
        <v>364800</v>
      </c>
      <c r="AV36" s="146">
        <v>466944</v>
      </c>
      <c r="AW36" s="146">
        <v>520205</v>
      </c>
      <c r="AX36" s="146">
        <v>262291</v>
      </c>
      <c r="AY36" s="146">
        <v>302419</v>
      </c>
      <c r="AZ36" s="146">
        <v>364800</v>
      </c>
      <c r="BA36" s="146">
        <v>466944</v>
      </c>
      <c r="BB36" s="146">
        <v>520205</v>
      </c>
      <c r="BC36" s="407"/>
    </row>
    <row r="37" spans="1:55" ht="18" customHeight="1">
      <c r="B37" s="1284"/>
      <c r="C37" s="3129" t="s">
        <v>3853</v>
      </c>
      <c r="D37" s="3129"/>
      <c r="E37" s="3129"/>
      <c r="F37" s="3129"/>
      <c r="G37" s="3129"/>
      <c r="H37" s="3129"/>
      <c r="I37" s="3129"/>
      <c r="J37" s="3129"/>
      <c r="K37" s="3129"/>
      <c r="L37" s="3129"/>
      <c r="M37" s="3129"/>
      <c r="N37" s="3129"/>
      <c r="O37" s="3129"/>
      <c r="P37" s="3129"/>
      <c r="Q37" s="3129"/>
      <c r="R37" s="3129"/>
      <c r="S37" s="3129"/>
      <c r="T37" s="3129"/>
      <c r="U37" s="3129"/>
      <c r="V37" s="3129"/>
      <c r="W37" s="3129"/>
      <c r="X37" s="3129"/>
      <c r="Y37" s="3129"/>
      <c r="Z37" s="3129"/>
      <c r="AA37" s="3129"/>
      <c r="AB37" s="3129"/>
      <c r="AC37" s="3129"/>
      <c r="AD37" s="3129"/>
      <c r="AE37" s="3129"/>
      <c r="AF37" s="3140"/>
      <c r="AG37" s="3141"/>
      <c r="AH37" s="3152"/>
      <c r="AI37" s="3153"/>
      <c r="AJ37" s="3153"/>
      <c r="AK37" s="3153"/>
      <c r="AL37" s="3154"/>
      <c r="AR37" s="409" t="s">
        <v>2442</v>
      </c>
      <c r="AS37" s="145">
        <v>228930</v>
      </c>
      <c r="AT37" s="145">
        <v>263954</v>
      </c>
      <c r="AU37" s="145">
        <v>318400</v>
      </c>
      <c r="AV37" s="145">
        <v>407552</v>
      </c>
      <c r="AW37" s="145">
        <v>454038</v>
      </c>
      <c r="AX37" s="145">
        <v>228930</v>
      </c>
      <c r="AY37" s="145">
        <v>263954</v>
      </c>
      <c r="AZ37" s="145">
        <v>318400</v>
      </c>
      <c r="BA37" s="145">
        <v>407552</v>
      </c>
      <c r="BB37" s="145">
        <v>454038</v>
      </c>
      <c r="BC37" s="407"/>
    </row>
    <row r="38" spans="1:55" ht="18" customHeight="1">
      <c r="B38" s="1284"/>
      <c r="C38" s="3129"/>
      <c r="D38" s="3129"/>
      <c r="E38" s="3129"/>
      <c r="F38" s="3129"/>
      <c r="G38" s="3129"/>
      <c r="H38" s="3129"/>
      <c r="I38" s="3129"/>
      <c r="J38" s="3129"/>
      <c r="K38" s="3129"/>
      <c r="L38" s="3129"/>
      <c r="M38" s="3129"/>
      <c r="N38" s="3129"/>
      <c r="O38" s="3129"/>
      <c r="P38" s="3129"/>
      <c r="Q38" s="3129"/>
      <c r="R38" s="3129"/>
      <c r="S38" s="3129"/>
      <c r="T38" s="3129"/>
      <c r="U38" s="3129"/>
      <c r="V38" s="3129"/>
      <c r="W38" s="3129"/>
      <c r="X38" s="3129"/>
      <c r="Y38" s="3129"/>
      <c r="Z38" s="3129"/>
      <c r="AA38" s="3129"/>
      <c r="AB38" s="3129"/>
      <c r="AC38" s="3129"/>
      <c r="AD38" s="3129"/>
      <c r="AE38" s="3129"/>
      <c r="AF38" s="3138">
        <f>IF($AF$37="Yes",0.02,0)</f>
        <v>0</v>
      </c>
      <c r="AG38" s="3139"/>
      <c r="AH38" s="3152"/>
      <c r="AI38" s="3153"/>
      <c r="AJ38" s="3153"/>
      <c r="AK38" s="3153"/>
      <c r="AL38" s="3154"/>
      <c r="AR38" s="410" t="s">
        <v>2445</v>
      </c>
      <c r="AS38" s="146">
        <v>278397</v>
      </c>
      <c r="AT38" s="146">
        <v>320989</v>
      </c>
      <c r="AU38" s="146">
        <v>387200</v>
      </c>
      <c r="AV38" s="146">
        <v>495616</v>
      </c>
      <c r="AW38" s="146">
        <v>552147</v>
      </c>
      <c r="AX38" s="146">
        <v>278397</v>
      </c>
      <c r="AY38" s="146">
        <v>320989</v>
      </c>
      <c r="AZ38" s="146">
        <v>387200</v>
      </c>
      <c r="BA38" s="146">
        <v>495616</v>
      </c>
      <c r="BB38" s="146">
        <v>552147</v>
      </c>
      <c r="BC38" s="407"/>
    </row>
    <row r="39" spans="1:55" ht="18" customHeight="1">
      <c r="B39" s="1284"/>
      <c r="C39" s="3129" t="s">
        <v>3854</v>
      </c>
      <c r="D39" s="3129"/>
      <c r="E39" s="3129"/>
      <c r="F39" s="3129"/>
      <c r="G39" s="3129"/>
      <c r="H39" s="3129"/>
      <c r="I39" s="3129"/>
      <c r="J39" s="3129"/>
      <c r="K39" s="3129"/>
      <c r="L39" s="3129"/>
      <c r="M39" s="3129"/>
      <c r="N39" s="3129"/>
      <c r="O39" s="3129"/>
      <c r="P39" s="3129"/>
      <c r="Q39" s="3129"/>
      <c r="R39" s="3129"/>
      <c r="S39" s="3129"/>
      <c r="T39" s="3129"/>
      <c r="U39" s="3129"/>
      <c r="V39" s="3129"/>
      <c r="W39" s="3129"/>
      <c r="X39" s="3129"/>
      <c r="Y39" s="3129"/>
      <c r="Z39" s="3129"/>
      <c r="AA39" s="3129"/>
      <c r="AB39" s="3129"/>
      <c r="AC39" s="3129"/>
      <c r="AD39" s="3129"/>
      <c r="AE39" s="3129"/>
      <c r="AF39" s="3140"/>
      <c r="AG39" s="3141"/>
      <c r="AH39" s="3152"/>
      <c r="AI39" s="3153"/>
      <c r="AJ39" s="3153"/>
      <c r="AK39" s="3153"/>
      <c r="AL39" s="3154"/>
      <c r="AR39" s="409" t="s">
        <v>2447</v>
      </c>
      <c r="AS39" s="145">
        <v>262291</v>
      </c>
      <c r="AT39" s="145">
        <v>302419</v>
      </c>
      <c r="AU39" s="145">
        <v>364800</v>
      </c>
      <c r="AV39" s="145">
        <v>466944</v>
      </c>
      <c r="AW39" s="145">
        <v>520205</v>
      </c>
      <c r="AX39" s="145">
        <v>262291</v>
      </c>
      <c r="AY39" s="145">
        <v>302419</v>
      </c>
      <c r="AZ39" s="145">
        <v>364800</v>
      </c>
      <c r="BA39" s="145">
        <v>466944</v>
      </c>
      <c r="BB39" s="145">
        <v>520205</v>
      </c>
      <c r="BC39" s="407"/>
    </row>
    <row r="40" spans="1:55" ht="18" customHeight="1">
      <c r="B40" s="1284"/>
      <c r="C40" s="3129"/>
      <c r="D40" s="3129"/>
      <c r="E40" s="3129"/>
      <c r="F40" s="3129"/>
      <c r="G40" s="3129"/>
      <c r="H40" s="3129"/>
      <c r="I40" s="3129"/>
      <c r="J40" s="3129"/>
      <c r="K40" s="3129"/>
      <c r="L40" s="3129"/>
      <c r="M40" s="3129"/>
      <c r="N40" s="3129"/>
      <c r="O40" s="3129"/>
      <c r="P40" s="3129"/>
      <c r="Q40" s="3129"/>
      <c r="R40" s="3129"/>
      <c r="S40" s="3129"/>
      <c r="T40" s="3129"/>
      <c r="U40" s="3129"/>
      <c r="V40" s="3129"/>
      <c r="W40" s="3129"/>
      <c r="X40" s="3129"/>
      <c r="Y40" s="3129"/>
      <c r="Z40" s="3129"/>
      <c r="AA40" s="3129"/>
      <c r="AB40" s="3129"/>
      <c r="AC40" s="3129"/>
      <c r="AD40" s="3129"/>
      <c r="AE40" s="3129"/>
      <c r="AF40" s="3161">
        <f>IF($AF$39="Yes",0.02,0)</f>
        <v>0</v>
      </c>
      <c r="AG40" s="3162"/>
      <c r="AH40" s="3155"/>
      <c r="AI40" s="3156"/>
      <c r="AJ40" s="3156"/>
      <c r="AK40" s="3156"/>
      <c r="AL40" s="3157"/>
      <c r="AR40" s="410" t="s">
        <v>2449</v>
      </c>
      <c r="AS40" s="146">
        <v>228930</v>
      </c>
      <c r="AT40" s="146">
        <v>263954</v>
      </c>
      <c r="AU40" s="146">
        <v>318400</v>
      </c>
      <c r="AV40" s="146">
        <v>407552</v>
      </c>
      <c r="AW40" s="146">
        <v>454038</v>
      </c>
      <c r="AX40" s="146">
        <v>228930</v>
      </c>
      <c r="AY40" s="146">
        <v>263954</v>
      </c>
      <c r="AZ40" s="146">
        <v>318400</v>
      </c>
      <c r="BA40" s="146">
        <v>407552</v>
      </c>
      <c r="BB40" s="146">
        <v>454038</v>
      </c>
      <c r="BC40" s="407"/>
    </row>
    <row r="41" spans="1:55" ht="18" customHeight="1">
      <c r="B41" s="3233" t="s">
        <v>1425</v>
      </c>
      <c r="C41" s="3129" t="s">
        <v>3855</v>
      </c>
      <c r="D41" s="3129"/>
      <c r="E41" s="3129"/>
      <c r="F41" s="3129"/>
      <c r="G41" s="3129"/>
      <c r="H41" s="3129"/>
      <c r="I41" s="3129"/>
      <c r="J41" s="3129"/>
      <c r="K41" s="3129"/>
      <c r="L41" s="3129"/>
      <c r="M41" s="3129"/>
      <c r="N41" s="3129"/>
      <c r="O41" s="3129"/>
      <c r="P41" s="3129"/>
      <c r="Q41" s="3129"/>
      <c r="R41" s="3129"/>
      <c r="S41" s="3129"/>
      <c r="T41" s="3129"/>
      <c r="U41" s="3129"/>
      <c r="V41" s="3129"/>
      <c r="W41" s="3129"/>
      <c r="X41" s="3129"/>
      <c r="Y41" s="3129"/>
      <c r="Z41" s="3129"/>
      <c r="AA41" s="3129"/>
      <c r="AB41" s="3129"/>
      <c r="AC41" s="3129"/>
      <c r="AD41" s="3129"/>
      <c r="AE41" s="3129"/>
      <c r="AF41" s="3147"/>
      <c r="AG41" s="3131"/>
      <c r="AH41" s="3132"/>
      <c r="AI41" s="3133"/>
      <c r="AJ41" s="3133"/>
      <c r="AK41" s="3133"/>
      <c r="AL41" s="3134"/>
      <c r="AR41" s="409" t="s">
        <v>2452</v>
      </c>
      <c r="AS41" s="145">
        <v>260566</v>
      </c>
      <c r="AT41" s="145">
        <v>300430</v>
      </c>
      <c r="AU41" s="145">
        <v>362400</v>
      </c>
      <c r="AV41" s="145">
        <v>463872</v>
      </c>
      <c r="AW41" s="145">
        <v>516782</v>
      </c>
      <c r="AX41" s="145">
        <v>260566</v>
      </c>
      <c r="AY41" s="145">
        <v>300430</v>
      </c>
      <c r="AZ41" s="145">
        <v>362400</v>
      </c>
      <c r="BA41" s="145">
        <v>463872</v>
      </c>
      <c r="BB41" s="145">
        <v>516782</v>
      </c>
      <c r="BC41" s="407"/>
    </row>
    <row r="42" spans="1:55" ht="18" customHeight="1">
      <c r="B42" s="3234"/>
      <c r="C42" s="3129"/>
      <c r="D42" s="3129"/>
      <c r="E42" s="3129"/>
      <c r="F42" s="3129"/>
      <c r="G42" s="3129"/>
      <c r="H42" s="3129"/>
      <c r="I42" s="3129"/>
      <c r="J42" s="3129"/>
      <c r="K42" s="3129"/>
      <c r="L42" s="3129"/>
      <c r="M42" s="3129"/>
      <c r="N42" s="3129"/>
      <c r="O42" s="3129"/>
      <c r="P42" s="3129"/>
      <c r="Q42" s="3129"/>
      <c r="R42" s="3129"/>
      <c r="S42" s="3129"/>
      <c r="T42" s="3129"/>
      <c r="U42" s="3129"/>
      <c r="V42" s="3129"/>
      <c r="W42" s="3129"/>
      <c r="X42" s="3129"/>
      <c r="Y42" s="3129"/>
      <c r="Z42" s="3129"/>
      <c r="AA42" s="3129"/>
      <c r="AB42" s="3129"/>
      <c r="AC42" s="3129"/>
      <c r="AD42" s="3129"/>
      <c r="AE42" s="3129"/>
      <c r="AF42" s="3219"/>
      <c r="AG42" s="3220"/>
      <c r="AH42" s="3220"/>
      <c r="AI42" s="3220"/>
      <c r="AJ42" s="3220"/>
      <c r="AK42" s="3220"/>
      <c r="AL42" s="3221"/>
      <c r="AR42" s="410" t="s">
        <v>2455</v>
      </c>
      <c r="AS42" s="146">
        <v>511928</v>
      </c>
      <c r="AT42" s="146">
        <v>590248</v>
      </c>
      <c r="AU42" s="146">
        <v>712000</v>
      </c>
      <c r="AV42" s="146">
        <v>911360</v>
      </c>
      <c r="AW42" s="146">
        <v>1015312</v>
      </c>
      <c r="AX42" s="146">
        <v>511928</v>
      </c>
      <c r="AY42" s="146">
        <v>590248</v>
      </c>
      <c r="AZ42" s="146">
        <v>712000</v>
      </c>
      <c r="BA42" s="146">
        <v>911360</v>
      </c>
      <c r="BB42" s="146">
        <v>1015312</v>
      </c>
      <c r="BC42" s="407"/>
    </row>
    <row r="43" spans="1:55" ht="18" customHeight="1">
      <c r="B43" s="3234"/>
      <c r="C43" s="3148" t="s">
        <v>3856</v>
      </c>
      <c r="D43" s="3148"/>
      <c r="E43" s="3148"/>
      <c r="F43" s="3148"/>
      <c r="G43" s="3148"/>
      <c r="H43" s="3148"/>
      <c r="I43" s="3148"/>
      <c r="J43" s="3148"/>
      <c r="K43" s="3123"/>
      <c r="L43" s="3123"/>
      <c r="M43" s="3123"/>
      <c r="N43" s="3123"/>
      <c r="O43" s="3123"/>
      <c r="P43" s="3123"/>
      <c r="Q43" s="3123"/>
      <c r="R43" s="3215" t="s">
        <v>3857</v>
      </c>
      <c r="S43" s="3216"/>
      <c r="T43" s="3216"/>
      <c r="U43" s="3216"/>
      <c r="V43" s="3216"/>
      <c r="W43" s="3216"/>
      <c r="X43" s="3216"/>
      <c r="Y43" s="3216"/>
      <c r="Z43" s="3216"/>
      <c r="AA43" s="3217"/>
      <c r="AB43" s="3144">
        <v>0</v>
      </c>
      <c r="AC43" s="3145"/>
      <c r="AD43" s="3145"/>
      <c r="AE43" s="3146"/>
      <c r="AF43" s="3135"/>
      <c r="AG43" s="3136"/>
      <c r="AH43" s="3136"/>
      <c r="AI43" s="3136"/>
      <c r="AJ43" s="3136"/>
      <c r="AK43" s="3136"/>
      <c r="AL43" s="3137"/>
      <c r="AR43" s="409" t="s">
        <v>2457</v>
      </c>
      <c r="AS43" s="145">
        <v>238133</v>
      </c>
      <c r="AT43" s="145">
        <v>274565</v>
      </c>
      <c r="AU43" s="145">
        <v>331200</v>
      </c>
      <c r="AV43" s="145">
        <v>423936</v>
      </c>
      <c r="AW43" s="145">
        <v>472291</v>
      </c>
      <c r="AX43" s="145">
        <v>238133</v>
      </c>
      <c r="AY43" s="145">
        <v>274565</v>
      </c>
      <c r="AZ43" s="145">
        <v>331200</v>
      </c>
      <c r="BA43" s="145">
        <v>423936</v>
      </c>
      <c r="BB43" s="145">
        <v>472291</v>
      </c>
      <c r="BC43" s="407"/>
    </row>
    <row r="44" spans="1:55" s="412" customFormat="1" ht="18" customHeight="1">
      <c r="A44" s="405"/>
      <c r="B44" s="3141" t="s">
        <v>1430</v>
      </c>
      <c r="C44" s="3129" t="s">
        <v>3858</v>
      </c>
      <c r="D44" s="3129"/>
      <c r="E44" s="3129"/>
      <c r="F44" s="3129"/>
      <c r="G44" s="3129"/>
      <c r="H44" s="3129"/>
      <c r="I44" s="3129"/>
      <c r="J44" s="3129"/>
      <c r="K44" s="3129"/>
      <c r="L44" s="3129"/>
      <c r="M44" s="3129"/>
      <c r="N44" s="3129"/>
      <c r="O44" s="3129"/>
      <c r="P44" s="3129"/>
      <c r="Q44" s="3129"/>
      <c r="R44" s="3129"/>
      <c r="S44" s="3129"/>
      <c r="T44" s="3129"/>
      <c r="U44" s="3129"/>
      <c r="V44" s="3129"/>
      <c r="W44" s="3129"/>
      <c r="X44" s="3129"/>
      <c r="Y44" s="3129"/>
      <c r="Z44" s="3129"/>
      <c r="AA44" s="3129"/>
      <c r="AB44" s="3129"/>
      <c r="AC44" s="3129"/>
      <c r="AD44" s="3129"/>
      <c r="AE44" s="3129"/>
      <c r="AF44" s="3130"/>
      <c r="AG44" s="3131"/>
      <c r="AH44" s="3132"/>
      <c r="AI44" s="3133"/>
      <c r="AJ44" s="3133"/>
      <c r="AK44" s="3133"/>
      <c r="AL44" s="3134"/>
      <c r="AM44" s="405"/>
      <c r="AN44" s="405"/>
      <c r="AR44" s="410" t="s">
        <v>2459</v>
      </c>
      <c r="AS44" s="146">
        <v>303706</v>
      </c>
      <c r="AT44" s="146">
        <v>350170</v>
      </c>
      <c r="AU44" s="146">
        <v>422400</v>
      </c>
      <c r="AV44" s="146">
        <v>540672</v>
      </c>
      <c r="AW44" s="146">
        <v>602342</v>
      </c>
      <c r="AX44" s="146">
        <v>303706</v>
      </c>
      <c r="AY44" s="146">
        <v>350170</v>
      </c>
      <c r="AZ44" s="146">
        <v>422400</v>
      </c>
      <c r="BA44" s="146">
        <v>540672</v>
      </c>
      <c r="BB44" s="146">
        <v>602342</v>
      </c>
      <c r="BC44" s="407"/>
    </row>
    <row r="45" spans="1:55" ht="18" customHeight="1">
      <c r="B45" s="3141"/>
      <c r="C45" s="3129"/>
      <c r="D45" s="3129"/>
      <c r="E45" s="3129"/>
      <c r="F45" s="3129"/>
      <c r="G45" s="3129"/>
      <c r="H45" s="3129"/>
      <c r="I45" s="3129"/>
      <c r="J45" s="3129"/>
      <c r="K45" s="3129"/>
      <c r="L45" s="3129"/>
      <c r="M45" s="3129"/>
      <c r="N45" s="3129"/>
      <c r="O45" s="3129"/>
      <c r="P45" s="3129"/>
      <c r="Q45" s="3129"/>
      <c r="R45" s="3129"/>
      <c r="S45" s="3129"/>
      <c r="T45" s="3129"/>
      <c r="U45" s="3129"/>
      <c r="V45" s="3129"/>
      <c r="W45" s="3129"/>
      <c r="X45" s="3129"/>
      <c r="Y45" s="3129"/>
      <c r="Z45" s="3129"/>
      <c r="AA45" s="3129"/>
      <c r="AB45" s="3129"/>
      <c r="AC45" s="3129"/>
      <c r="AD45" s="3129"/>
      <c r="AE45" s="3129"/>
      <c r="AF45" s="3135">
        <f>IF($AF$44="yes","Please Enter Amount Above:",0)</f>
        <v>0</v>
      </c>
      <c r="AG45" s="3136"/>
      <c r="AH45" s="3136"/>
      <c r="AI45" s="3136"/>
      <c r="AJ45" s="3136"/>
      <c r="AK45" s="3136"/>
      <c r="AL45" s="3137"/>
      <c r="AR45" s="409" t="s">
        <v>2461</v>
      </c>
      <c r="AS45" s="148">
        <v>440028</v>
      </c>
      <c r="AT45" s="148">
        <v>507348</v>
      </c>
      <c r="AU45" s="145">
        <v>612000</v>
      </c>
      <c r="AV45" s="148">
        <v>783360</v>
      </c>
      <c r="AW45" s="148">
        <v>872712</v>
      </c>
      <c r="AX45" s="148">
        <v>440028</v>
      </c>
      <c r="AY45" s="148">
        <v>507348</v>
      </c>
      <c r="AZ45" s="145">
        <v>612000</v>
      </c>
      <c r="BA45" s="148">
        <v>783360</v>
      </c>
      <c r="BB45" s="148">
        <v>872712</v>
      </c>
      <c r="BC45" s="407"/>
    </row>
    <row r="46" spans="1:55" ht="18" customHeight="1">
      <c r="A46" s="1283"/>
      <c r="B46" s="1281" t="s">
        <v>1431</v>
      </c>
      <c r="C46" s="3158" t="s">
        <v>3859</v>
      </c>
      <c r="D46" s="3159"/>
      <c r="E46" s="3159"/>
      <c r="F46" s="3159"/>
      <c r="G46" s="3159"/>
      <c r="H46" s="3159"/>
      <c r="I46" s="3159"/>
      <c r="J46" s="3159"/>
      <c r="K46" s="3159"/>
      <c r="L46" s="3159"/>
      <c r="M46" s="3159"/>
      <c r="N46" s="3159"/>
      <c r="O46" s="3159"/>
      <c r="P46" s="3159"/>
      <c r="Q46" s="3159"/>
      <c r="R46" s="3159"/>
      <c r="S46" s="3159"/>
      <c r="T46" s="3159"/>
      <c r="U46" s="3159"/>
      <c r="V46" s="3159"/>
      <c r="W46" s="3159"/>
      <c r="X46" s="3159"/>
      <c r="Y46" s="3159"/>
      <c r="Z46" s="3159"/>
      <c r="AA46" s="3159"/>
      <c r="AB46" s="3159"/>
      <c r="AC46" s="3159"/>
      <c r="AD46" s="3159"/>
      <c r="AE46" s="3160"/>
      <c r="AF46" s="3130"/>
      <c r="AG46" s="3131"/>
      <c r="AH46" s="3132">
        <f>ROUND(IF($AF$46="yes",($AH$7*0.1),0),0)</f>
        <v>0</v>
      </c>
      <c r="AI46" s="3133"/>
      <c r="AJ46" s="3133"/>
      <c r="AK46" s="3133"/>
      <c r="AL46" s="3134"/>
      <c r="AR46" s="410" t="s">
        <v>2463</v>
      </c>
      <c r="AS46" s="146">
        <v>303706</v>
      </c>
      <c r="AT46" s="146">
        <v>350170</v>
      </c>
      <c r="AU46" s="146">
        <v>422400</v>
      </c>
      <c r="AV46" s="146">
        <v>540672</v>
      </c>
      <c r="AW46" s="146">
        <v>602342</v>
      </c>
      <c r="AX46" s="146">
        <v>303706</v>
      </c>
      <c r="AY46" s="146">
        <v>350170</v>
      </c>
      <c r="AZ46" s="146">
        <v>422400</v>
      </c>
      <c r="BA46" s="146">
        <v>540672</v>
      </c>
      <c r="BB46" s="146">
        <v>602342</v>
      </c>
      <c r="BC46" s="407"/>
    </row>
    <row r="47" spans="1:55" ht="36" customHeight="1">
      <c r="A47" s="1283"/>
      <c r="B47" s="1281" t="s">
        <v>1432</v>
      </c>
      <c r="C47" s="3129" t="s">
        <v>3860</v>
      </c>
      <c r="D47" s="3129"/>
      <c r="E47" s="3129"/>
      <c r="F47" s="3129"/>
      <c r="G47" s="3129"/>
      <c r="H47" s="3129"/>
      <c r="I47" s="3129"/>
      <c r="J47" s="3129"/>
      <c r="K47" s="3129"/>
      <c r="L47" s="3129"/>
      <c r="M47" s="3129"/>
      <c r="N47" s="3129"/>
      <c r="O47" s="3129"/>
      <c r="P47" s="3129"/>
      <c r="Q47" s="3129"/>
      <c r="R47" s="3129"/>
      <c r="S47" s="3129"/>
      <c r="T47" s="3129"/>
      <c r="U47" s="3129"/>
      <c r="V47" s="3129"/>
      <c r="W47" s="3129"/>
      <c r="X47" s="3129"/>
      <c r="Y47" s="3129"/>
      <c r="Z47" s="3129"/>
      <c r="AA47" s="3129"/>
      <c r="AB47" s="3129"/>
      <c r="AC47" s="3129"/>
      <c r="AD47" s="3129"/>
      <c r="AE47" s="3129"/>
      <c r="AF47" s="3131"/>
      <c r="AG47" s="3163"/>
      <c r="AH47" s="3132">
        <f>ROUND(IF(AF47="Yes",(AH7*0.15),0),0)</f>
        <v>0</v>
      </c>
      <c r="AI47" s="3133"/>
      <c r="AJ47" s="3133"/>
      <c r="AK47" s="3133"/>
      <c r="AL47" s="3134"/>
      <c r="AR47" s="409" t="s">
        <v>2465</v>
      </c>
      <c r="AS47" s="148">
        <v>440028</v>
      </c>
      <c r="AT47" s="148">
        <v>507348</v>
      </c>
      <c r="AU47" s="148">
        <v>612000</v>
      </c>
      <c r="AV47" s="148">
        <v>783360</v>
      </c>
      <c r="AW47" s="148">
        <v>872712</v>
      </c>
      <c r="AX47" s="148">
        <v>440028</v>
      </c>
      <c r="AY47" s="148">
        <v>507348</v>
      </c>
      <c r="AZ47" s="148">
        <v>612000</v>
      </c>
      <c r="BA47" s="148">
        <v>783360</v>
      </c>
      <c r="BB47" s="148">
        <v>872712</v>
      </c>
      <c r="BC47" s="407"/>
    </row>
    <row r="48" spans="1:55" ht="46.5" customHeight="1">
      <c r="AR48" s="410" t="s">
        <v>2467</v>
      </c>
      <c r="AS48" s="146">
        <v>303706</v>
      </c>
      <c r="AT48" s="146">
        <v>350170</v>
      </c>
      <c r="AU48" s="146">
        <v>422400</v>
      </c>
      <c r="AV48" s="146">
        <v>540672</v>
      </c>
      <c r="AW48" s="146">
        <v>602342</v>
      </c>
      <c r="AX48" s="146">
        <v>303706</v>
      </c>
      <c r="AY48" s="146">
        <v>350170</v>
      </c>
      <c r="AZ48" s="146">
        <v>422400</v>
      </c>
      <c r="BA48" s="146">
        <v>540672</v>
      </c>
      <c r="BB48" s="146">
        <v>602342</v>
      </c>
      <c r="BC48" s="407"/>
    </row>
    <row r="49" spans="39:55" ht="18" customHeight="1">
      <c r="AR49" s="409" t="s">
        <v>2469</v>
      </c>
      <c r="AS49" s="145">
        <v>230655</v>
      </c>
      <c r="AT49" s="145">
        <v>265943</v>
      </c>
      <c r="AU49" s="145">
        <v>320800</v>
      </c>
      <c r="AV49" s="145">
        <v>410624</v>
      </c>
      <c r="AW49" s="145">
        <v>457461</v>
      </c>
      <c r="AX49" s="145">
        <v>230655</v>
      </c>
      <c r="AY49" s="145">
        <v>265943</v>
      </c>
      <c r="AZ49" s="145">
        <v>320800</v>
      </c>
      <c r="BA49" s="145">
        <v>410624</v>
      </c>
      <c r="BB49" s="145">
        <v>457461</v>
      </c>
      <c r="BC49" s="407"/>
    </row>
    <row r="50" spans="39:55" ht="43.5" customHeight="1">
      <c r="AR50" s="410" t="s">
        <v>2471</v>
      </c>
      <c r="AS50" s="146">
        <v>262291</v>
      </c>
      <c r="AT50" s="146">
        <v>302419</v>
      </c>
      <c r="AU50" s="146">
        <v>364800</v>
      </c>
      <c r="AV50" s="146">
        <v>466944</v>
      </c>
      <c r="AW50" s="146">
        <v>520205</v>
      </c>
      <c r="AX50" s="146">
        <v>262291</v>
      </c>
      <c r="AY50" s="146">
        <v>302419</v>
      </c>
      <c r="AZ50" s="146">
        <v>364800</v>
      </c>
      <c r="BA50" s="146">
        <v>466944</v>
      </c>
      <c r="BB50" s="146">
        <v>520205</v>
      </c>
      <c r="BC50" s="407"/>
    </row>
    <row r="51" spans="39:55" ht="18" customHeight="1">
      <c r="AR51" s="409" t="s">
        <v>2473</v>
      </c>
      <c r="AS51" s="145">
        <v>262291</v>
      </c>
      <c r="AT51" s="145">
        <v>302419</v>
      </c>
      <c r="AU51" s="145">
        <v>364800</v>
      </c>
      <c r="AV51" s="145">
        <v>466944</v>
      </c>
      <c r="AW51" s="145">
        <v>520205</v>
      </c>
      <c r="AX51" s="145">
        <v>262291</v>
      </c>
      <c r="AY51" s="145">
        <v>302419</v>
      </c>
      <c r="AZ51" s="145">
        <v>364800</v>
      </c>
      <c r="BA51" s="145">
        <v>466944</v>
      </c>
      <c r="BB51" s="145">
        <v>520205</v>
      </c>
      <c r="BC51" s="407"/>
    </row>
    <row r="52" spans="39:55" ht="18" customHeight="1">
      <c r="AM52" s="411"/>
      <c r="AR52" s="410" t="s">
        <v>2475</v>
      </c>
      <c r="AS52" s="146">
        <v>299104</v>
      </c>
      <c r="AT52" s="146">
        <v>344864</v>
      </c>
      <c r="AU52" s="146">
        <v>416000</v>
      </c>
      <c r="AV52" s="146">
        <v>532480</v>
      </c>
      <c r="AW52" s="146">
        <v>593216</v>
      </c>
      <c r="AX52" s="146">
        <v>299104</v>
      </c>
      <c r="AY52" s="146">
        <v>344864</v>
      </c>
      <c r="AZ52" s="146">
        <v>416000</v>
      </c>
      <c r="BA52" s="146">
        <v>532480</v>
      </c>
      <c r="BB52" s="146">
        <v>593216</v>
      </c>
      <c r="BC52" s="407"/>
    </row>
    <row r="53" spans="39:55" ht="18" customHeight="1">
      <c r="AO53" s="149"/>
      <c r="AR53" s="409" t="s">
        <v>2477</v>
      </c>
      <c r="AS53" s="145">
        <v>299104</v>
      </c>
      <c r="AT53" s="145">
        <v>344864</v>
      </c>
      <c r="AU53" s="145">
        <v>416000</v>
      </c>
      <c r="AV53" s="145">
        <v>532480</v>
      </c>
      <c r="AW53" s="145">
        <v>593216</v>
      </c>
      <c r="AX53" s="145">
        <v>299104</v>
      </c>
      <c r="AY53" s="145">
        <v>344864</v>
      </c>
      <c r="AZ53" s="145">
        <v>416000</v>
      </c>
      <c r="BA53" s="145">
        <v>532480</v>
      </c>
      <c r="BB53" s="214">
        <v>593216</v>
      </c>
      <c r="BC53" s="413"/>
    </row>
    <row r="54" spans="39:55" ht="18" customHeight="1">
      <c r="AR54" s="410" t="s">
        <v>2479</v>
      </c>
      <c r="AS54" s="146">
        <v>238133</v>
      </c>
      <c r="AT54" s="146">
        <v>274565</v>
      </c>
      <c r="AU54" s="146">
        <v>331200</v>
      </c>
      <c r="AV54" s="146">
        <v>423936</v>
      </c>
      <c r="AW54" s="146">
        <v>472291</v>
      </c>
      <c r="AX54" s="146">
        <v>238133</v>
      </c>
      <c r="AY54" s="146">
        <v>274565</v>
      </c>
      <c r="AZ54" s="146">
        <v>331200</v>
      </c>
      <c r="BA54" s="146">
        <v>423936</v>
      </c>
      <c r="BB54" s="215">
        <v>472291</v>
      </c>
      <c r="BC54" s="413"/>
    </row>
    <row r="55" spans="39:55" ht="18" customHeight="1">
      <c r="AR55" s="409" t="s">
        <v>2481</v>
      </c>
      <c r="AS55" s="145">
        <v>278397</v>
      </c>
      <c r="AT55" s="145">
        <v>320989</v>
      </c>
      <c r="AU55" s="145">
        <v>387200</v>
      </c>
      <c r="AV55" s="145">
        <v>495616</v>
      </c>
      <c r="AW55" s="145">
        <v>552147</v>
      </c>
      <c r="AX55" s="145">
        <v>278397</v>
      </c>
      <c r="AY55" s="145">
        <v>320989</v>
      </c>
      <c r="AZ55" s="145">
        <v>387200</v>
      </c>
      <c r="BA55" s="145">
        <v>495616</v>
      </c>
      <c r="BB55" s="214">
        <v>552147</v>
      </c>
      <c r="BC55" s="413"/>
    </row>
    <row r="56" spans="39:55" ht="18" customHeight="1">
      <c r="AR56" s="410" t="s">
        <v>2483</v>
      </c>
      <c r="AS56" s="146">
        <v>262291</v>
      </c>
      <c r="AT56" s="146">
        <v>302419</v>
      </c>
      <c r="AU56" s="146">
        <v>364800</v>
      </c>
      <c r="AV56" s="146">
        <v>466944</v>
      </c>
      <c r="AW56" s="146">
        <v>520205</v>
      </c>
      <c r="AX56" s="146">
        <v>262291</v>
      </c>
      <c r="AY56" s="146">
        <v>302419</v>
      </c>
      <c r="AZ56" s="146">
        <v>364800</v>
      </c>
      <c r="BA56" s="146">
        <v>466944</v>
      </c>
      <c r="BB56" s="215">
        <v>520205</v>
      </c>
      <c r="BC56" s="413"/>
    </row>
    <row r="57" spans="39:55" ht="18" customHeight="1">
      <c r="AR57" s="409" t="s">
        <v>2485</v>
      </c>
      <c r="AS57" s="145">
        <v>262291</v>
      </c>
      <c r="AT57" s="145">
        <v>302419</v>
      </c>
      <c r="AU57" s="145">
        <v>364800</v>
      </c>
      <c r="AV57" s="145">
        <v>466944</v>
      </c>
      <c r="AW57" s="145">
        <v>520205</v>
      </c>
      <c r="AX57" s="145">
        <v>262291</v>
      </c>
      <c r="AY57" s="145">
        <v>302419</v>
      </c>
      <c r="AZ57" s="145">
        <v>364800</v>
      </c>
      <c r="BA57" s="145">
        <v>466944</v>
      </c>
      <c r="BB57" s="214">
        <v>520205</v>
      </c>
      <c r="BC57" s="413"/>
    </row>
    <row r="58" spans="39:55" ht="18" customHeight="1">
      <c r="AR58" s="410" t="s">
        <v>2487</v>
      </c>
      <c r="AS58" s="146">
        <v>238133</v>
      </c>
      <c r="AT58" s="146">
        <v>274565</v>
      </c>
      <c r="AU58" s="146">
        <v>331200</v>
      </c>
      <c r="AV58" s="146">
        <v>423936</v>
      </c>
      <c r="AW58" s="146">
        <v>472291</v>
      </c>
      <c r="AX58" s="146">
        <v>238133</v>
      </c>
      <c r="AY58" s="146">
        <v>274565</v>
      </c>
      <c r="AZ58" s="146">
        <v>331200</v>
      </c>
      <c r="BA58" s="146">
        <v>423936</v>
      </c>
      <c r="BB58" s="215">
        <v>472291</v>
      </c>
      <c r="BC58" s="413"/>
    </row>
    <row r="59" spans="39:55" ht="18" customHeight="1">
      <c r="AR59" s="409" t="s">
        <v>2489</v>
      </c>
      <c r="AS59" s="145">
        <v>262291</v>
      </c>
      <c r="AT59" s="145">
        <v>302419</v>
      </c>
      <c r="AU59" s="145">
        <v>364800</v>
      </c>
      <c r="AV59" s="145">
        <v>466944</v>
      </c>
      <c r="AW59" s="145">
        <v>520205</v>
      </c>
      <c r="AX59" s="145">
        <v>262291</v>
      </c>
      <c r="AY59" s="145">
        <v>302419</v>
      </c>
      <c r="AZ59" s="145">
        <v>364800</v>
      </c>
      <c r="BA59" s="145">
        <v>466944</v>
      </c>
      <c r="BB59" s="214">
        <v>520205</v>
      </c>
      <c r="BC59" s="413"/>
    </row>
    <row r="60" spans="39:55" ht="18" customHeight="1">
      <c r="AR60" s="410" t="s">
        <v>2491</v>
      </c>
      <c r="AS60" s="146">
        <v>303706</v>
      </c>
      <c r="AT60" s="146">
        <v>350170</v>
      </c>
      <c r="AU60" s="146">
        <v>422400</v>
      </c>
      <c r="AV60" s="146">
        <v>540672</v>
      </c>
      <c r="AW60" s="146">
        <v>602342</v>
      </c>
      <c r="AX60" s="146">
        <v>303706</v>
      </c>
      <c r="AY60" s="146">
        <v>350170</v>
      </c>
      <c r="AZ60" s="146">
        <v>422400</v>
      </c>
      <c r="BA60" s="146">
        <v>540672</v>
      </c>
      <c r="BB60" s="215">
        <v>602342</v>
      </c>
      <c r="BC60" s="413"/>
    </row>
    <row r="61" spans="39:55" ht="18" customHeight="1">
      <c r="AR61" s="409" t="s">
        <v>2495</v>
      </c>
      <c r="AS61" s="145">
        <v>278397</v>
      </c>
      <c r="AT61" s="145">
        <v>320989</v>
      </c>
      <c r="AU61" s="145">
        <v>387200</v>
      </c>
      <c r="AV61" s="145">
        <v>495616</v>
      </c>
      <c r="AW61" s="145">
        <v>552147</v>
      </c>
      <c r="AX61" s="145">
        <v>278397</v>
      </c>
      <c r="AY61" s="145">
        <v>320989</v>
      </c>
      <c r="AZ61" s="145">
        <v>387200</v>
      </c>
      <c r="BA61" s="145">
        <v>495616</v>
      </c>
      <c r="BB61" s="214">
        <v>552147</v>
      </c>
      <c r="BC61" s="413"/>
    </row>
    <row r="62" spans="39:55" ht="18" customHeight="1">
      <c r="AR62" s="410" t="s">
        <v>2499</v>
      </c>
      <c r="AS62" s="146">
        <v>278397</v>
      </c>
      <c r="AT62" s="146">
        <v>320989</v>
      </c>
      <c r="AU62" s="146">
        <v>387200</v>
      </c>
      <c r="AV62" s="146">
        <v>495616</v>
      </c>
      <c r="AW62" s="146">
        <v>552147</v>
      </c>
      <c r="AX62" s="146">
        <v>278397</v>
      </c>
      <c r="AY62" s="146">
        <v>320989</v>
      </c>
      <c r="AZ62" s="146">
        <v>387200</v>
      </c>
      <c r="BA62" s="146">
        <v>495616</v>
      </c>
      <c r="BB62" s="146">
        <v>552147</v>
      </c>
    </row>
    <row r="65" spans="1:40" ht="18" customHeight="1">
      <c r="AN65" s="412"/>
    </row>
    <row r="70" spans="1:40" ht="18" customHeight="1">
      <c r="A70" s="412"/>
      <c r="AM70" s="412"/>
    </row>
    <row r="72" spans="1:40" ht="18" customHeight="1">
      <c r="B72" s="3231" t="s">
        <v>3861</v>
      </c>
      <c r="C72" s="3129" t="s">
        <v>3862</v>
      </c>
      <c r="D72" s="3129"/>
      <c r="E72" s="3129"/>
      <c r="F72" s="3129"/>
      <c r="G72" s="3129"/>
      <c r="H72" s="3129"/>
      <c r="I72" s="3129"/>
      <c r="J72" s="3129"/>
      <c r="K72" s="3129"/>
      <c r="L72" s="3129"/>
      <c r="M72" s="3129"/>
      <c r="N72" s="3129"/>
      <c r="O72" s="3129"/>
      <c r="P72" s="3129"/>
      <c r="Q72" s="3129"/>
      <c r="R72" s="3129"/>
      <c r="S72" s="3129"/>
      <c r="T72" s="3129"/>
      <c r="U72" s="3129"/>
      <c r="V72" s="3129"/>
      <c r="W72" s="3129"/>
      <c r="X72" s="3129"/>
      <c r="Y72" s="3129"/>
      <c r="Z72" s="3129"/>
      <c r="AA72" s="3129"/>
      <c r="AB72" s="3129"/>
      <c r="AC72" s="3129"/>
      <c r="AD72" s="3129"/>
      <c r="AE72" s="3129"/>
      <c r="AF72" s="3142" t="str">
        <f>IF(AND($F$74="Yes",OR($Y$74="Highest Resource",$Y$74="High Resource")),"Yes","No")</f>
        <v>Yes</v>
      </c>
      <c r="AG72" s="3143"/>
      <c r="AH72" s="3144">
        <f>ROUND(IF(AND($F$74="Yes",OR($Y$74="High Resource",$Y$74="Highest Resource"),$AF$72="Yes"),$AH$7*0.1,0),0)</f>
        <v>0</v>
      </c>
      <c r="AI72" s="3145"/>
      <c r="AJ72" s="3145"/>
      <c r="AK72" s="3145"/>
      <c r="AL72" s="3146"/>
      <c r="AM72" s="411"/>
    </row>
    <row r="73" spans="1:40" ht="18" customHeight="1">
      <c r="B73" s="3232"/>
      <c r="C73" s="3129"/>
      <c r="D73" s="3129"/>
      <c r="E73" s="3129"/>
      <c r="F73" s="3129"/>
      <c r="G73" s="3129"/>
      <c r="H73" s="3129"/>
      <c r="I73" s="3129"/>
      <c r="J73" s="3129"/>
      <c r="K73" s="3129"/>
      <c r="L73" s="3129"/>
      <c r="M73" s="3129"/>
      <c r="N73" s="3129"/>
      <c r="O73" s="3129"/>
      <c r="P73" s="3129"/>
      <c r="Q73" s="3129"/>
      <c r="R73" s="3129"/>
      <c r="S73" s="3129"/>
      <c r="T73" s="3129"/>
      <c r="U73" s="3129"/>
      <c r="V73" s="3129"/>
      <c r="W73" s="3129"/>
      <c r="X73" s="3129"/>
      <c r="Y73" s="3129"/>
      <c r="Z73" s="3129"/>
      <c r="AA73" s="3129"/>
      <c r="AB73" s="3129"/>
      <c r="AC73" s="3129"/>
      <c r="AD73" s="3129"/>
      <c r="AE73" s="3129"/>
      <c r="AF73" s="1275"/>
      <c r="AG73" s="1276"/>
      <c r="AH73" s="1276"/>
      <c r="AI73" s="1276"/>
      <c r="AJ73" s="1276"/>
      <c r="AK73" s="1276"/>
      <c r="AL73" s="1277"/>
    </row>
    <row r="74" spans="1:40" ht="18" customHeight="1">
      <c r="B74" s="3232"/>
      <c r="C74" s="3123" t="s">
        <v>3863</v>
      </c>
      <c r="D74" s="3123"/>
      <c r="E74" s="3123"/>
      <c r="F74" s="3124" t="str">
        <f>IFERROR(IF(VLOOKUP($W$4,$AR$3:$BB$62,$AP$9,FALSE)&lt;=400000,"Yes","No"),"")</f>
        <v>Yes</v>
      </c>
      <c r="G74" s="3124"/>
      <c r="H74" s="3125" t="s">
        <v>3864</v>
      </c>
      <c r="I74" s="3125"/>
      <c r="J74" s="3125"/>
      <c r="K74" s="3125"/>
      <c r="L74" s="3125"/>
      <c r="M74" s="3126">
        <f>IF('Project Overview'!$Q$140="","",'Project Overview'!$Q$140)</f>
        <v>12312</v>
      </c>
      <c r="N74" s="3126"/>
      <c r="O74" s="3126"/>
      <c r="P74" s="3126"/>
      <c r="Q74" s="3126"/>
      <c r="R74" s="3126"/>
      <c r="S74" s="3127" t="s">
        <v>3865</v>
      </c>
      <c r="T74" s="3127"/>
      <c r="U74" s="3127"/>
      <c r="V74" s="3127"/>
      <c r="W74" s="3127"/>
      <c r="X74" s="3127"/>
      <c r="Y74" s="3128" t="str">
        <f>HRCategory</f>
        <v>High Resource</v>
      </c>
      <c r="Z74" s="3128"/>
      <c r="AA74" s="3128"/>
      <c r="AB74" s="3128"/>
      <c r="AC74" s="3128"/>
      <c r="AD74" s="3128"/>
      <c r="AE74" s="3128"/>
      <c r="AF74" s="1278"/>
      <c r="AG74" s="1279"/>
      <c r="AH74" s="1279"/>
      <c r="AI74" s="1279"/>
      <c r="AJ74" s="1279"/>
      <c r="AK74" s="1279"/>
      <c r="AL74" s="1600"/>
    </row>
    <row r="75" spans="1:40" ht="18" customHeight="1">
      <c r="B75" s="1282"/>
      <c r="C75" s="1282"/>
      <c r="D75" s="1282"/>
      <c r="E75" s="1282"/>
      <c r="F75" s="1282"/>
      <c r="G75" s="1282"/>
      <c r="H75" s="1282"/>
      <c r="I75" s="1282"/>
      <c r="J75" s="1282"/>
      <c r="K75" s="1282"/>
      <c r="L75" s="1282"/>
      <c r="M75" s="1282"/>
      <c r="N75" s="1282"/>
      <c r="O75" s="1282"/>
      <c r="P75" s="1282"/>
      <c r="Q75" s="1282"/>
      <c r="R75" s="1282"/>
      <c r="S75" s="1282"/>
      <c r="T75" s="1282"/>
      <c r="U75" s="1282"/>
      <c r="V75" s="1282"/>
      <c r="W75" s="1282"/>
      <c r="X75" s="1282"/>
      <c r="Y75" s="1282"/>
      <c r="Z75" s="1282"/>
      <c r="AA75" s="1282"/>
      <c r="AB75" s="1282"/>
      <c r="AC75" s="1282"/>
      <c r="AD75" s="1282"/>
      <c r="AE75" s="1282"/>
      <c r="AF75" s="1282"/>
      <c r="AG75" s="1282"/>
      <c r="AH75" s="1282"/>
      <c r="AI75" s="1282"/>
      <c r="AJ75" s="1282"/>
      <c r="AK75" s="1282"/>
      <c r="AL75" s="1282"/>
      <c r="AM75" s="411"/>
    </row>
    <row r="76" spans="1:40" ht="18" customHeight="1">
      <c r="C76" s="2489" t="s">
        <v>639</v>
      </c>
      <c r="D76" s="2489"/>
      <c r="E76" s="2489"/>
      <c r="F76" s="2489"/>
      <c r="G76" s="2489"/>
      <c r="H76" s="2489"/>
      <c r="I76" s="2489"/>
      <c r="J76" s="2489"/>
      <c r="K76" s="2489"/>
      <c r="L76" s="2489"/>
      <c r="M76" s="2489"/>
      <c r="N76" s="2489"/>
      <c r="O76" s="2489"/>
      <c r="P76" s="2489"/>
      <c r="Q76" s="2489"/>
      <c r="R76" s="2489"/>
      <c r="S76" s="2489"/>
      <c r="T76" s="2489"/>
      <c r="U76" s="2489"/>
      <c r="V76" s="2489"/>
      <c r="W76" s="2489"/>
      <c r="X76" s="2489"/>
      <c r="Y76" s="2489"/>
      <c r="Z76" s="2489"/>
      <c r="AA76" s="2489"/>
      <c r="AB76" s="2489"/>
      <c r="AC76" s="2489"/>
      <c r="AD76" s="2489"/>
      <c r="AE76" s="2489"/>
      <c r="AF76" s="2489"/>
      <c r="AG76" s="2489"/>
      <c r="AH76" s="2489"/>
      <c r="AI76" s="2489"/>
      <c r="AJ76" s="2489"/>
      <c r="AK76" s="2489"/>
      <c r="AL76" s="2489"/>
    </row>
    <row r="77" spans="1:40" ht="18" customHeight="1">
      <c r="B77" s="1282"/>
      <c r="C77" s="1282"/>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A77" s="1282"/>
      <c r="AB77" s="1282"/>
      <c r="AC77" s="1282"/>
      <c r="AD77" s="1282"/>
      <c r="AE77" s="1282"/>
      <c r="AF77" s="1282"/>
      <c r="AG77" s="1282"/>
      <c r="AH77" s="1282"/>
      <c r="AI77" s="1282"/>
      <c r="AJ77" s="1282"/>
      <c r="AK77" s="1282"/>
      <c r="AL77" s="1282"/>
    </row>
    <row r="78" spans="1:40" ht="18" customHeight="1">
      <c r="B78" s="1282"/>
      <c r="C78" s="1282"/>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A78" s="1282"/>
      <c r="AB78" s="1282"/>
      <c r="AC78" s="1282"/>
      <c r="AD78" s="1282"/>
      <c r="AE78" s="1282"/>
      <c r="AF78" s="1282"/>
      <c r="AG78" s="1282"/>
      <c r="AH78" s="1282"/>
      <c r="AI78" s="1282"/>
      <c r="AJ78" s="1282"/>
      <c r="AK78" s="1282"/>
      <c r="AL78" s="1282"/>
    </row>
  </sheetData>
  <mergeCells count="131">
    <mergeCell ref="C76:AL76"/>
    <mergeCell ref="B17:B18"/>
    <mergeCell ref="R43:AA43"/>
    <mergeCell ref="AB43:AE43"/>
    <mergeCell ref="AC13:AL14"/>
    <mergeCell ref="AF42:AL43"/>
    <mergeCell ref="AH10:AL11"/>
    <mergeCell ref="T12:AG12"/>
    <mergeCell ref="AH12:AL12"/>
    <mergeCell ref="B14:H14"/>
    <mergeCell ref="I14:J14"/>
    <mergeCell ref="K14:N14"/>
    <mergeCell ref="O14:Q14"/>
    <mergeCell ref="B72:B74"/>
    <mergeCell ref="B44:B45"/>
    <mergeCell ref="B41:B43"/>
    <mergeCell ref="AF47:AG47"/>
    <mergeCell ref="AH47:AL47"/>
    <mergeCell ref="B11:H11"/>
    <mergeCell ref="B12:H12"/>
    <mergeCell ref="AF18:AG18"/>
    <mergeCell ref="AF19:AG19"/>
    <mergeCell ref="C18:AE18"/>
    <mergeCell ref="AH18:AL18"/>
    <mergeCell ref="B2:AL2"/>
    <mergeCell ref="I8:M8"/>
    <mergeCell ref="I9:M9"/>
    <mergeCell ref="I10:M10"/>
    <mergeCell ref="I11:M11"/>
    <mergeCell ref="I12:M12"/>
    <mergeCell ref="N7:O7"/>
    <mergeCell ref="N8:O8"/>
    <mergeCell ref="N9:O9"/>
    <mergeCell ref="N10:O10"/>
    <mergeCell ref="N11:O11"/>
    <mergeCell ref="N12:O12"/>
    <mergeCell ref="P7:S7"/>
    <mergeCell ref="P8:S8"/>
    <mergeCell ref="P9:S9"/>
    <mergeCell ref="P10:S10"/>
    <mergeCell ref="P11:S11"/>
    <mergeCell ref="P12:S12"/>
    <mergeCell ref="T7:AG7"/>
    <mergeCell ref="T8:AG8"/>
    <mergeCell ref="AH8:AL8"/>
    <mergeCell ref="I7:M7"/>
    <mergeCell ref="B4:E4"/>
    <mergeCell ref="AK4:AL4"/>
    <mergeCell ref="F4:T4"/>
    <mergeCell ref="U4:V4"/>
    <mergeCell ref="AC4:AJ4"/>
    <mergeCell ref="W4:AB4"/>
    <mergeCell ref="B5:E5"/>
    <mergeCell ref="F5:I5"/>
    <mergeCell ref="B10:H10"/>
    <mergeCell ref="B7:H7"/>
    <mergeCell ref="AH7:AL7"/>
    <mergeCell ref="B8:H8"/>
    <mergeCell ref="B9:H9"/>
    <mergeCell ref="T9:AG9"/>
    <mergeCell ref="T10:AG11"/>
    <mergeCell ref="C19:AE19"/>
    <mergeCell ref="AH19:AL19"/>
    <mergeCell ref="AF16:AG16"/>
    <mergeCell ref="AH16:AL16"/>
    <mergeCell ref="AF17:AG17"/>
    <mergeCell ref="C17:AE17"/>
    <mergeCell ref="AH17:AL17"/>
    <mergeCell ref="B16:K16"/>
    <mergeCell ref="L16:AE16"/>
    <mergeCell ref="C20:AE20"/>
    <mergeCell ref="AF20:AG20"/>
    <mergeCell ref="AH20:AL20"/>
    <mergeCell ref="C21:AE21"/>
    <mergeCell ref="AF21:AG21"/>
    <mergeCell ref="AH21:AL21"/>
    <mergeCell ref="AF25:AG25"/>
    <mergeCell ref="AF26:AG26"/>
    <mergeCell ref="C27:AE28"/>
    <mergeCell ref="AF27:AG27"/>
    <mergeCell ref="C22:AE22"/>
    <mergeCell ref="AH22:AL22"/>
    <mergeCell ref="AF22:AG22"/>
    <mergeCell ref="AF46:AG46"/>
    <mergeCell ref="AF28:AG28"/>
    <mergeCell ref="C47:AE47"/>
    <mergeCell ref="AH23:AL40"/>
    <mergeCell ref="AF24:AG24"/>
    <mergeCell ref="C25:AE26"/>
    <mergeCell ref="C31:AE32"/>
    <mergeCell ref="AF31:AG31"/>
    <mergeCell ref="AF32:AG32"/>
    <mergeCell ref="AH46:AL46"/>
    <mergeCell ref="C46:AE46"/>
    <mergeCell ref="C29:AE30"/>
    <mergeCell ref="AF29:AG29"/>
    <mergeCell ref="AF30:AG30"/>
    <mergeCell ref="C23:AE24"/>
    <mergeCell ref="AF23:AG23"/>
    <mergeCell ref="C37:AE38"/>
    <mergeCell ref="AF37:AG37"/>
    <mergeCell ref="AF38:AG38"/>
    <mergeCell ref="C39:AE40"/>
    <mergeCell ref="AF39:AG39"/>
    <mergeCell ref="AF40:AG40"/>
    <mergeCell ref="C33:AE34"/>
    <mergeCell ref="AF33:AG33"/>
    <mergeCell ref="AM5:AN5"/>
    <mergeCell ref="AH9:AL9"/>
    <mergeCell ref="C74:E74"/>
    <mergeCell ref="F74:G74"/>
    <mergeCell ref="H74:L74"/>
    <mergeCell ref="M74:R74"/>
    <mergeCell ref="S74:X74"/>
    <mergeCell ref="Y74:AE74"/>
    <mergeCell ref="C44:AE45"/>
    <mergeCell ref="AF44:AG44"/>
    <mergeCell ref="AH44:AL44"/>
    <mergeCell ref="AF45:AL45"/>
    <mergeCell ref="C72:AE73"/>
    <mergeCell ref="AF34:AG34"/>
    <mergeCell ref="C35:AE36"/>
    <mergeCell ref="AF35:AG35"/>
    <mergeCell ref="AF36:AG36"/>
    <mergeCell ref="AF72:AG72"/>
    <mergeCell ref="AH72:AL72"/>
    <mergeCell ref="C41:AE42"/>
    <mergeCell ref="AF41:AG41"/>
    <mergeCell ref="AH41:AL41"/>
    <mergeCell ref="C43:J43"/>
    <mergeCell ref="K43:Q43"/>
  </mergeCells>
  <conditionalFormatting sqref="AF45">
    <cfRule type="cellIs" dxfId="392" priority="14" stopIfTrue="1" operator="equal">
      <formula>"Please Enter Amount Above:"</formula>
    </cfRule>
  </conditionalFormatting>
  <conditionalFormatting sqref="AF42">
    <cfRule type="cellIs" dxfId="391" priority="13" operator="equal">
      <formula>"Please Select Type of Work and Enter Cost:"</formula>
    </cfRule>
  </conditionalFormatting>
  <conditionalFormatting sqref="AH44:AL44">
    <cfRule type="expression" dxfId="390" priority="12">
      <formula>$AF$44="Yes"</formula>
    </cfRule>
  </conditionalFormatting>
  <conditionalFormatting sqref="K43:Q43 AB43">
    <cfRule type="expression" dxfId="389" priority="11">
      <formula>$AF$41="Yes"</formula>
    </cfRule>
  </conditionalFormatting>
  <conditionalFormatting sqref="AF23:AG23 AF25:AG25 AF27:AG27 AF29:AG29 AF31:AG31 AF33:AG33 AF35:AG35 AF37:AG37 AF39:AG39">
    <cfRule type="expression" dxfId="388" priority="9">
      <formula>$AF$22="Yes"</formula>
    </cfRule>
  </conditionalFormatting>
  <conditionalFormatting sqref="AC13:AL14">
    <cfRule type="cellIs" dxfId="387" priority="2" operator="equal">
      <formula>"Costs too high &gt; 160%"</formula>
    </cfRule>
    <cfRule type="cellIs" dxfId="386" priority="3" operator="equal">
      <formula>"Costs Reasonable"</formula>
    </cfRule>
  </conditionalFormatting>
  <conditionalFormatting sqref="AH46:AL47">
    <cfRule type="expression" dxfId="385" priority="1">
      <formula>$AF$44="Yes"</formula>
    </cfRule>
  </conditionalFormatting>
  <dataValidations disablePrompts="1" count="2">
    <dataValidation type="list" allowBlank="1" showInputMessage="1" showErrorMessage="1" sqref="AF44:AG44 AF29:AG29 AF33:AG33 AF37:AG37 AF27:AG27 AF25:AG25 AF35:AG35 AF31:AG31 AF39:AG39 AF41:AG41 AF17:AG23 AF46:AG47" xr:uid="{00000000-0002-0000-1F00-000001000000}">
      <formula1>"Yes,No"</formula1>
    </dataValidation>
    <dataValidation type="list" allowBlank="1" showInputMessage="1" showErrorMessage="1" sqref="K43:Q43" xr:uid="{00000000-0002-0000-1F00-000002000000}">
      <formula1>"N/A,Seismic Upgrading, Environmental Mitigation,Both"</formula1>
    </dataValidation>
  </dataValidations>
  <hyperlinks>
    <hyperlink ref="H74:L74" r:id="rId1" display="TCAC Opportunity Area Map Tract ID #:" xr:uid="{00000000-0004-0000-1F00-000000000000}"/>
  </hyperlinks>
  <printOptions horizontalCentered="1"/>
  <pageMargins left="0" right="0.25" top="0" bottom="0" header="0.25" footer="0.25"/>
  <pageSetup scale="65" orientation="portrait" r:id="rId2"/>
  <headerFooter>
    <oddFooter>&amp;L&amp;F&amp;C&amp;P of &amp;N&amp;R &amp;A</oddFooter>
  </headerFooter>
  <ignoredErrors>
    <ignoredError sqref="W4 AF38" unlockedFormula="1"/>
  </ignoredErrors>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865E8-3090-45EC-9895-51A04EE42DA7}">
  <sheetPr codeName="Sheet6">
    <tabColor rgb="FF00B0F0"/>
  </sheetPr>
  <dimension ref="A2:AS62"/>
  <sheetViews>
    <sheetView showGridLines="0" workbookViewId="0">
      <selection activeCell="P5" sqref="P5:W5"/>
    </sheetView>
  </sheetViews>
  <sheetFormatPr defaultColWidth="5.6640625" defaultRowHeight="18" customHeight="1"/>
  <cols>
    <col min="1" max="1" width="5.6640625" style="401"/>
    <col min="2" max="39" width="4.109375" style="401" customWidth="1"/>
    <col min="40" max="40" width="4.109375" style="1644" customWidth="1"/>
    <col min="41" max="42" width="4.109375" style="401" customWidth="1"/>
    <col min="43" max="43" width="11.6640625" style="401" customWidth="1"/>
    <col min="44" max="61" width="4.109375" style="401" customWidth="1"/>
    <col min="62" max="16384" width="5.6640625" style="401"/>
  </cols>
  <sheetData>
    <row r="2" spans="1:45" ht="18" customHeight="1">
      <c r="B2" s="3312" t="s">
        <v>4117</v>
      </c>
      <c r="C2" s="3312"/>
      <c r="D2" s="3312"/>
      <c r="E2" s="3312"/>
      <c r="F2" s="3312"/>
      <c r="G2" s="3312"/>
      <c r="H2" s="3312"/>
      <c r="I2" s="3312"/>
      <c r="J2" s="3312"/>
      <c r="K2" s="3312"/>
      <c r="L2" s="3312"/>
      <c r="M2" s="3312"/>
      <c r="N2" s="3312"/>
      <c r="O2" s="3312"/>
      <c r="P2" s="3312"/>
      <c r="Q2" s="3312"/>
      <c r="R2" s="3312"/>
      <c r="S2" s="3312"/>
      <c r="T2" s="3312"/>
      <c r="U2" s="3312"/>
      <c r="V2" s="3312"/>
      <c r="W2" s="3312"/>
      <c r="X2" s="3312"/>
      <c r="Y2" s="3312"/>
      <c r="Z2" s="3312"/>
      <c r="AA2" s="3312"/>
      <c r="AB2" s="3312"/>
      <c r="AC2" s="3312"/>
      <c r="AD2" s="3312"/>
      <c r="AE2" s="3312"/>
      <c r="AF2" s="3312"/>
      <c r="AG2" s="3312"/>
      <c r="AH2" s="3312"/>
      <c r="AI2" s="3312"/>
      <c r="AJ2" s="3312"/>
      <c r="AK2" s="3312"/>
      <c r="AL2" s="3312"/>
      <c r="AM2" s="3312"/>
      <c r="AN2" s="3312"/>
      <c r="AO2" s="3312"/>
      <c r="AP2" s="3312"/>
    </row>
    <row r="3" spans="1:45" ht="18" customHeight="1">
      <c r="B3" s="1287"/>
      <c r="C3" s="1287"/>
      <c r="D3" s="1287"/>
      <c r="E3" s="1287"/>
      <c r="F3" s="1287"/>
      <c r="G3" s="1287"/>
      <c r="H3" s="1287"/>
      <c r="I3" s="1287"/>
      <c r="J3" s="1287"/>
      <c r="K3" s="1287"/>
      <c r="L3" s="1287"/>
      <c r="M3" s="1287"/>
      <c r="N3" s="1287"/>
      <c r="O3" s="1287"/>
      <c r="P3" s="1287"/>
      <c r="Q3" s="1287"/>
      <c r="R3" s="1287"/>
      <c r="S3" s="1287"/>
      <c r="T3" s="1287"/>
      <c r="U3" s="1287"/>
      <c r="V3" s="1288"/>
      <c r="W3" s="1288"/>
      <c r="X3" s="1288"/>
      <c r="Y3" s="1288"/>
      <c r="Z3" s="1288"/>
      <c r="AA3" s="1288"/>
      <c r="AB3" s="1288"/>
      <c r="AC3" s="1288"/>
      <c r="AD3" s="1288"/>
      <c r="AE3" s="1288"/>
      <c r="AF3" s="1288"/>
      <c r="AG3" s="799"/>
      <c r="AH3" s="799"/>
      <c r="AI3" s="799"/>
      <c r="AJ3" s="799"/>
    </row>
    <row r="4" spans="1:45" ht="18" customHeight="1">
      <c r="B4" s="3288" t="s">
        <v>3064</v>
      </c>
      <c r="C4" s="3288"/>
      <c r="D4" s="3288"/>
      <c r="E4" s="3288"/>
      <c r="F4" s="3320" t="str">
        <f>IF('Project Overview'!$F$97&gt;0,'Project Overview'!$F$97,"")</f>
        <v>PNAME</v>
      </c>
      <c r="G4" s="3320"/>
      <c r="H4" s="3320"/>
      <c r="I4" s="3320"/>
      <c r="J4" s="3320"/>
      <c r="K4" s="3320"/>
      <c r="L4" s="3320"/>
      <c r="M4" s="3320"/>
      <c r="N4" s="3320"/>
      <c r="O4" s="3320"/>
      <c r="P4" s="3320"/>
      <c r="Q4" s="3320"/>
      <c r="R4" s="3320"/>
      <c r="S4" s="3320"/>
      <c r="T4" s="3320"/>
      <c r="U4" s="3320"/>
      <c r="V4" s="3320"/>
      <c r="W4" s="3320"/>
      <c r="X4" s="3320"/>
      <c r="Y4" s="3320"/>
      <c r="Z4" s="3320"/>
      <c r="AA4" s="3320"/>
      <c r="AB4" s="3320"/>
      <c r="AC4" s="3320"/>
      <c r="AD4" s="3320"/>
      <c r="AE4" s="3321" t="s">
        <v>3867</v>
      </c>
      <c r="AF4" s="3321"/>
      <c r="AG4" s="3321"/>
      <c r="AH4" s="3321"/>
      <c r="AI4" s="3324"/>
      <c r="AJ4" s="3324"/>
      <c r="AK4" s="3324"/>
      <c r="AL4" s="3324"/>
      <c r="AM4" s="3324"/>
      <c r="AN4" s="1645"/>
      <c r="AO4" s="1442"/>
      <c r="AP4" s="1442"/>
      <c r="AS4" s="213"/>
    </row>
    <row r="5" spans="1:45" s="1438" customFormat="1" ht="18" customHeight="1">
      <c r="B5" s="3316" t="s">
        <v>3894</v>
      </c>
      <c r="C5" s="3316"/>
      <c r="D5" s="3316"/>
      <c r="E5" s="3316"/>
      <c r="F5" s="3311" t="s">
        <v>3866</v>
      </c>
      <c r="G5" s="3311"/>
      <c r="H5" s="3311"/>
      <c r="I5" s="3311"/>
      <c r="J5" s="3309" t="s">
        <v>3895</v>
      </c>
      <c r="K5" s="3309"/>
      <c r="L5" s="3309"/>
      <c r="M5" s="3309"/>
      <c r="N5" s="3309"/>
      <c r="O5" s="3309"/>
      <c r="P5" s="3317"/>
      <c r="Q5" s="3318"/>
      <c r="R5" s="3318"/>
      <c r="S5" s="3318"/>
      <c r="T5" s="3318"/>
      <c r="U5" s="3318"/>
      <c r="V5" s="3318"/>
      <c r="W5" s="3319"/>
      <c r="AN5" s="1646"/>
    </row>
    <row r="6" spans="1:45" ht="18" customHeight="1">
      <c r="B6" s="3288" t="s">
        <v>3868</v>
      </c>
      <c r="C6" s="3288"/>
      <c r="D6" s="3288"/>
      <c r="E6" s="3288"/>
      <c r="F6" s="3288"/>
      <c r="G6" s="3288"/>
      <c r="H6" s="3288"/>
      <c r="I6" s="3288"/>
      <c r="J6" s="1605"/>
      <c r="K6" s="1605"/>
      <c r="L6" s="1605"/>
      <c r="M6" s="1605"/>
      <c r="N6" s="1605"/>
      <c r="O6" s="1605"/>
      <c r="P6" s="1605"/>
      <c r="Q6" s="1605"/>
      <c r="R6" s="1605"/>
      <c r="S6" s="1605"/>
      <c r="T6" s="1605"/>
      <c r="U6" s="1605"/>
      <c r="V6" s="1605"/>
      <c r="W6" s="1605"/>
      <c r="X6" s="1605"/>
      <c r="Y6" s="1605"/>
      <c r="Z6" s="1605"/>
      <c r="AA6" s="3309" t="s">
        <v>3869</v>
      </c>
      <c r="AB6" s="3309"/>
      <c r="AC6" s="3309"/>
      <c r="AD6" s="3309"/>
      <c r="AE6" s="3309" t="s">
        <v>3870</v>
      </c>
      <c r="AF6" s="3309"/>
      <c r="AG6" s="3309"/>
      <c r="AH6" s="3309"/>
      <c r="AI6" s="213"/>
      <c r="AJ6" s="213"/>
    </row>
    <row r="7" spans="1:45" ht="18" customHeight="1">
      <c r="B7" s="3304" t="str">
        <f>IF(LEFT($P$5,1)="9","Maximum Total Developer Fee - 1e","Maximum Total Developer Fee - 2d")</f>
        <v>Maximum Total Developer Fee - 2d</v>
      </c>
      <c r="C7" s="3305"/>
      <c r="D7" s="3305"/>
      <c r="E7" s="3305"/>
      <c r="F7" s="3305"/>
      <c r="G7" s="3305"/>
      <c r="H7" s="3305"/>
      <c r="I7" s="3305"/>
      <c r="J7" s="3305"/>
      <c r="K7" s="3305"/>
      <c r="L7" s="3305"/>
      <c r="M7" s="3305"/>
      <c r="N7" s="3305"/>
      <c r="O7" s="3305"/>
      <c r="P7" s="3305"/>
      <c r="Q7" s="3305"/>
      <c r="R7" s="3305"/>
      <c r="S7" s="3305"/>
      <c r="T7" s="3305"/>
      <c r="U7" s="3305"/>
      <c r="V7" s="3305"/>
      <c r="W7" s="3305"/>
      <c r="X7" s="3305"/>
      <c r="Y7" s="3305"/>
      <c r="Z7" s="3305"/>
      <c r="AA7" s="3301">
        <f>IF($P$5="No Tax Credits",$L$12,IF(LEFT($P$5,1)="9",$AJ$19,$AJ$29))</f>
        <v>3000000</v>
      </c>
      <c r="AB7" s="3301"/>
      <c r="AC7" s="3301"/>
      <c r="AD7" s="3301"/>
      <c r="AE7" s="3301">
        <f>$L$12</f>
        <v>1000000</v>
      </c>
      <c r="AF7" s="3301"/>
      <c r="AG7" s="3301"/>
      <c r="AH7" s="3301"/>
      <c r="AI7" s="3294">
        <f>MAX(0,ROUND($AE$7,0)-ROUND($AA$7,0))</f>
        <v>0</v>
      </c>
      <c r="AJ7" s="3294"/>
      <c r="AK7" s="3294"/>
      <c r="AL7" s="3294"/>
      <c r="AM7" s="3294"/>
      <c r="AS7" s="213"/>
    </row>
    <row r="8" spans="1:45" ht="18" customHeight="1">
      <c r="B8" s="3313" t="str">
        <f>IF(LEFT($P$5,1)="9","Max Developer Fee payable from development funding sources - 1e",IF(vmDF="No Tax Credits","Max Developer Fee payable from development funding sources","Max Developer Fee payable from development funding sources - lesser of 1e &amp; 2d"))</f>
        <v>Max Developer Fee payable from development funding sources - lesser of 1e &amp; 2d</v>
      </c>
      <c r="C8" s="3314"/>
      <c r="D8" s="3314"/>
      <c r="E8" s="3314"/>
      <c r="F8" s="3314"/>
      <c r="G8" s="3314"/>
      <c r="H8" s="3314"/>
      <c r="I8" s="3314"/>
      <c r="J8" s="3314"/>
      <c r="K8" s="3314"/>
      <c r="L8" s="3314"/>
      <c r="M8" s="3314"/>
      <c r="N8" s="3314"/>
      <c r="O8" s="3314"/>
      <c r="P8" s="3314"/>
      <c r="Q8" s="3314"/>
      <c r="R8" s="3314"/>
      <c r="S8" s="3314"/>
      <c r="T8" s="3314"/>
      <c r="U8" s="3314"/>
      <c r="V8" s="3314"/>
      <c r="W8" s="3314"/>
      <c r="X8" s="3314"/>
      <c r="Y8" s="3314"/>
      <c r="Z8" s="3315"/>
      <c r="AA8" s="3322">
        <f>IF($P$5="No Tax Credits",MAX(MIN($AA$7,$AJ$60),2640000*AND(IsQualifiedJv,vmDF="No Tax Credits",X54&gt;100)),IF(LEFT($P$5,1)="9",$AJ$19,MIN($AJ$29,$AJ$19)))</f>
        <v>2200000</v>
      </c>
      <c r="AB8" s="3322"/>
      <c r="AC8" s="3322"/>
      <c r="AD8" s="3323"/>
      <c r="AE8" s="3310">
        <f>MAX(0,$AE$7-$Y$12-$AI$12)</f>
        <v>1000000</v>
      </c>
      <c r="AF8" s="3310"/>
      <c r="AG8" s="3310"/>
      <c r="AH8" s="3310"/>
      <c r="AI8" s="3294">
        <f>MAX(0,ROUND($AE$8,0)-ROUND($AA$8,0))</f>
        <v>0</v>
      </c>
      <c r="AJ8" s="3294"/>
      <c r="AK8" s="3294"/>
      <c r="AL8" s="3294"/>
      <c r="AM8" s="3294"/>
    </row>
    <row r="9" spans="1:45" ht="18" customHeight="1">
      <c r="B9" s="3313" t="s">
        <v>3871</v>
      </c>
      <c r="C9" s="3314"/>
      <c r="D9" s="3314"/>
      <c r="E9" s="3314"/>
      <c r="F9" s="3314"/>
      <c r="G9" s="3314"/>
      <c r="H9" s="3314"/>
      <c r="I9" s="3314"/>
      <c r="J9" s="3314"/>
      <c r="K9" s="3314"/>
      <c r="L9" s="3314"/>
      <c r="M9" s="3314"/>
      <c r="N9" s="3314"/>
      <c r="O9" s="3314"/>
      <c r="P9" s="3314"/>
      <c r="Q9" s="3314"/>
      <c r="R9" s="3314"/>
      <c r="S9" s="3314"/>
      <c r="T9" s="3314"/>
      <c r="U9" s="3314"/>
      <c r="V9" s="3314"/>
      <c r="W9" s="3314"/>
      <c r="X9" s="3314"/>
      <c r="Y9" s="3314"/>
      <c r="Z9" s="3315"/>
      <c r="AA9" s="3302">
        <f>IF($P$5="No Tax Credits",MAX(0,MIN($AA$7,2200000)-$AA$8),MAX(0,MIN($AA$7,3500000)-$AA$8))</f>
        <v>800000</v>
      </c>
      <c r="AB9" s="3302"/>
      <c r="AC9" s="3302"/>
      <c r="AD9" s="3303"/>
      <c r="AE9" s="3301">
        <f>IF($P$5="No Tax Credits",MAX(0,MIN($AA$7,$AE$7-$Y$12,2200000)-$AE$8),MAX(0,MIN($AA$7,$AE$7-$Y$12,3500000)-$AE$8))</f>
        <v>0</v>
      </c>
      <c r="AF9" s="3301"/>
      <c r="AG9" s="3301"/>
      <c r="AH9" s="3301"/>
      <c r="AI9" s="1654"/>
      <c r="AJ9" s="1655"/>
      <c r="AK9" s="1655"/>
      <c r="AL9" s="1655"/>
      <c r="AM9" s="1655"/>
    </row>
    <row r="10" spans="1:45" ht="18" customHeight="1">
      <c r="B10" s="3306" t="s">
        <v>3872</v>
      </c>
      <c r="C10" s="3307"/>
      <c r="D10" s="3307"/>
      <c r="E10" s="3307"/>
      <c r="F10" s="3307"/>
      <c r="G10" s="3307"/>
      <c r="H10" s="3307"/>
      <c r="I10" s="3307"/>
      <c r="J10" s="3307"/>
      <c r="K10" s="3307"/>
      <c r="L10" s="3307"/>
      <c r="M10" s="3307"/>
      <c r="N10" s="3307"/>
      <c r="O10" s="3307"/>
      <c r="P10" s="3307"/>
      <c r="Q10" s="3307"/>
      <c r="R10" s="3307"/>
      <c r="S10" s="3307"/>
      <c r="T10" s="3307"/>
      <c r="U10" s="3307"/>
      <c r="V10" s="3307"/>
      <c r="W10" s="3307"/>
      <c r="X10" s="3307"/>
      <c r="Y10" s="3307"/>
      <c r="Z10" s="3308"/>
      <c r="AA10" s="3302">
        <f>$AA$7-$AA$8-$AA$9</f>
        <v>0</v>
      </c>
      <c r="AB10" s="3302"/>
      <c r="AC10" s="3302"/>
      <c r="AD10" s="3303"/>
      <c r="AE10" s="3301">
        <f>MAX(0,$AE$7-$AE$8-$AE$9-$Y$12)</f>
        <v>0</v>
      </c>
      <c r="AF10" s="3301"/>
      <c r="AG10" s="3301"/>
      <c r="AH10" s="3301"/>
      <c r="AI10" s="1654"/>
      <c r="AJ10" s="1655"/>
      <c r="AK10" s="1655"/>
      <c r="AL10" s="1655"/>
      <c r="AM10" s="1655"/>
    </row>
    <row r="11" spans="1:45" s="1438" customFormat="1" ht="18" customHeight="1">
      <c r="AN11" s="1646"/>
    </row>
    <row r="12" spans="1:45" ht="18" customHeight="1">
      <c r="A12" s="1443"/>
      <c r="B12" s="3269" t="s">
        <v>3896</v>
      </c>
      <c r="C12" s="3269"/>
      <c r="D12" s="3269"/>
      <c r="E12" s="3269"/>
      <c r="F12" s="3269"/>
      <c r="G12" s="3269"/>
      <c r="H12" s="3269"/>
      <c r="I12" s="3269"/>
      <c r="J12" s="3269"/>
      <c r="K12" s="3269"/>
      <c r="L12" s="3300">
        <f>SUM('Dev Budget SU'!D106:D111)</f>
        <v>1000000</v>
      </c>
      <c r="M12" s="3300"/>
      <c r="N12" s="3300"/>
      <c r="O12" s="3300"/>
      <c r="P12" s="3270" t="s">
        <v>3897</v>
      </c>
      <c r="Q12" s="3270"/>
      <c r="R12" s="3270"/>
      <c r="S12" s="3270"/>
      <c r="T12" s="3270"/>
      <c r="U12" s="3270"/>
      <c r="V12" s="3270"/>
      <c r="W12" s="3270"/>
      <c r="X12" s="3270"/>
      <c r="Y12" s="3295"/>
      <c r="Z12" s="3296"/>
      <c r="AA12" s="3296"/>
      <c r="AB12" s="3297"/>
      <c r="AC12" s="3298" t="s">
        <v>3898</v>
      </c>
      <c r="AD12" s="3299"/>
      <c r="AE12" s="3299"/>
      <c r="AF12" s="3299"/>
      <c r="AG12" s="3299"/>
      <c r="AH12" s="3299"/>
      <c r="AI12" s="3289"/>
      <c r="AJ12" s="3289"/>
      <c r="AK12" s="3289"/>
      <c r="AL12" s="3289"/>
      <c r="AM12" s="3289"/>
    </row>
    <row r="13" spans="1:45" ht="18" customHeight="1">
      <c r="B13" s="800"/>
      <c r="C13" s="800"/>
      <c r="D13" s="800"/>
      <c r="E13" s="800"/>
      <c r="F13" s="800"/>
      <c r="G13" s="800"/>
      <c r="H13" s="800"/>
      <c r="I13" s="800"/>
      <c r="J13" s="800"/>
      <c r="K13" s="800"/>
      <c r="L13" s="800"/>
      <c r="M13" s="800"/>
      <c r="N13" s="800"/>
      <c r="O13" s="800"/>
      <c r="P13" s="800"/>
      <c r="Q13" s="800"/>
      <c r="R13" s="800"/>
      <c r="S13" s="800"/>
      <c r="T13" s="800"/>
      <c r="U13" s="800"/>
      <c r="V13" s="801"/>
      <c r="W13" s="213"/>
      <c r="X13" s="213"/>
      <c r="Y13" s="213"/>
      <c r="Z13" s="802"/>
      <c r="AA13" s="213"/>
      <c r="AB13" s="213"/>
      <c r="AC13" s="213"/>
      <c r="AD13" s="213"/>
      <c r="AE13" s="803"/>
      <c r="AF13" s="415"/>
      <c r="AG13" s="213"/>
      <c r="AH13" s="213"/>
      <c r="AI13" s="213"/>
      <c r="AJ13" s="213"/>
    </row>
    <row r="14" spans="1:45" ht="18" hidden="1" customHeight="1">
      <c r="B14" s="3275" t="str">
        <f>IF($P$5="","Section 1. UMR §8312(c)(1) Max Developer Fee payable from funding sources - 4% Projects use TCAC 9% rules",IF(LEFT($P$5,1)="4","Section 1. UMR §8312(c)(1) Max Developer Fee payable from funding sources - 4% Projects use TCAC 9% rules","Section 1. UMR §8312(b) Max Total Developer Fee - for 9% Projects"))</f>
        <v>Section 1. UMR §8312(c)(1) Max Developer Fee payable from funding sources - 4% Projects use TCAC 9% rules</v>
      </c>
      <c r="C14" s="3276"/>
      <c r="D14" s="3276"/>
      <c r="E14" s="3276"/>
      <c r="F14" s="3276"/>
      <c r="G14" s="3276"/>
      <c r="H14" s="3276"/>
      <c r="I14" s="3276"/>
      <c r="J14" s="3276"/>
      <c r="K14" s="3276"/>
      <c r="L14" s="3276"/>
      <c r="M14" s="3276"/>
      <c r="N14" s="3276"/>
      <c r="O14" s="3276"/>
      <c r="P14" s="3276"/>
      <c r="Q14" s="3276"/>
      <c r="R14" s="3276"/>
      <c r="S14" s="3276"/>
      <c r="T14" s="3276"/>
      <c r="U14" s="3276"/>
      <c r="V14" s="3276"/>
      <c r="W14" s="3276"/>
      <c r="X14" s="3276"/>
      <c r="Y14" s="3276"/>
      <c r="Z14" s="3276"/>
      <c r="AA14" s="3276"/>
      <c r="AB14" s="1289"/>
      <c r="AC14" s="1289"/>
      <c r="AD14" s="1289"/>
      <c r="AE14" s="1289"/>
      <c r="AF14" s="1289"/>
      <c r="AG14" s="1289"/>
      <c r="AH14" s="1289"/>
      <c r="AI14" s="1289"/>
      <c r="AJ14" s="1289"/>
      <c r="AK14" s="1289"/>
      <c r="AL14" s="1289"/>
      <c r="AM14" s="1290"/>
    </row>
    <row r="15" spans="1:45" ht="18" hidden="1" customHeight="1">
      <c r="B15" s="1409"/>
      <c r="C15" s="3292" t="s">
        <v>3873</v>
      </c>
      <c r="D15" s="3292"/>
      <c r="E15" s="3292"/>
      <c r="F15" s="3292"/>
      <c r="G15" s="3292"/>
      <c r="H15" s="3292"/>
      <c r="I15" s="3292"/>
      <c r="J15" s="3293" t="str">
        <f>IF($P$5="No Tax Credits","",MID($P$5,12,26))</f>
        <v/>
      </c>
      <c r="K15" s="3293"/>
      <c r="L15" s="3293"/>
      <c r="M15" s="3293"/>
      <c r="N15" s="3293"/>
      <c r="O15" s="3293"/>
      <c r="P15" s="3293"/>
      <c r="Q15" s="3293"/>
      <c r="R15" s="3293"/>
      <c r="S15" s="800"/>
      <c r="T15" s="800"/>
      <c r="U15" s="800"/>
      <c r="V15" s="1443"/>
      <c r="W15" s="1435"/>
      <c r="X15" s="1443"/>
      <c r="Y15" s="1604"/>
      <c r="Z15" s="804"/>
      <c r="AA15" s="1291"/>
      <c r="AB15" s="1291"/>
      <c r="AC15" s="1291"/>
      <c r="AD15" s="1291"/>
      <c r="AE15" s="1291"/>
      <c r="AF15" s="1443"/>
      <c r="AG15" s="415"/>
      <c r="AH15" s="415"/>
      <c r="AI15" s="415"/>
      <c r="AJ15" s="3278">
        <v>2200000</v>
      </c>
      <c r="AK15" s="3278"/>
      <c r="AL15" s="3278"/>
      <c r="AM15" s="3279"/>
    </row>
    <row r="16" spans="1:45" ht="18" hidden="1" customHeight="1">
      <c r="B16" s="1409"/>
      <c r="C16" s="3282" t="s">
        <v>3874</v>
      </c>
      <c r="D16" s="3282"/>
      <c r="E16" s="3282"/>
      <c r="F16" s="3282"/>
      <c r="G16" s="3282"/>
      <c r="H16" s="3282"/>
      <c r="I16" s="3282"/>
      <c r="J16" s="3282"/>
      <c r="K16" s="3282"/>
      <c r="L16" s="3282"/>
      <c r="M16" s="3282"/>
      <c r="N16" s="3282"/>
      <c r="O16" s="3282"/>
      <c r="P16" s="3282"/>
      <c r="Q16" s="3282"/>
      <c r="R16" s="3282"/>
      <c r="S16" s="3282"/>
      <c r="T16" s="3282"/>
      <c r="U16" s="3282"/>
      <c r="V16" s="3282"/>
      <c r="W16" s="3282"/>
      <c r="X16" s="3282"/>
      <c r="Y16" s="3282"/>
      <c r="Z16" s="3282"/>
      <c r="AA16" s="3282"/>
      <c r="AB16" s="3282"/>
      <c r="AC16" s="3291">
        <f>'Dev Budget SU'!$F$3-SUM('Dev Budget SU'!$F$106:$F$111)</f>
        <v>20000000</v>
      </c>
      <c r="AD16" s="3291"/>
      <c r="AE16" s="3291"/>
      <c r="AF16" s="3291"/>
      <c r="AG16" s="1439"/>
      <c r="AH16" s="805" t="s">
        <v>3875</v>
      </c>
      <c r="AI16" s="1443"/>
      <c r="AJ16" s="3278">
        <f>$AC$16*0.15</f>
        <v>3000000</v>
      </c>
      <c r="AK16" s="3278"/>
      <c r="AL16" s="3278"/>
      <c r="AM16" s="3279"/>
    </row>
    <row r="17" spans="2:39" ht="18" hidden="1" customHeight="1">
      <c r="B17" s="1409"/>
      <c r="C17" s="3282" t="s">
        <v>3876</v>
      </c>
      <c r="D17" s="3282"/>
      <c r="E17" s="3282"/>
      <c r="F17" s="3282"/>
      <c r="G17" s="3282"/>
      <c r="H17" s="3282"/>
      <c r="I17" s="3282"/>
      <c r="J17" s="3282"/>
      <c r="K17" s="3282"/>
      <c r="L17" s="3282"/>
      <c r="M17" s="3282"/>
      <c r="N17" s="3282"/>
      <c r="O17" s="3282"/>
      <c r="P17" s="3282"/>
      <c r="Q17" s="3282"/>
      <c r="R17" s="3282"/>
      <c r="S17" s="3282"/>
      <c r="T17" s="3282"/>
      <c r="U17" s="3282"/>
      <c r="V17" s="3282"/>
      <c r="W17" s="3282"/>
      <c r="X17" s="3282"/>
      <c r="Y17" s="3282"/>
      <c r="Z17" s="3282"/>
      <c r="AA17" s="3282"/>
      <c r="AB17" s="3282"/>
      <c r="AC17" s="3291">
        <f>'Dev Budget SU'!$G$3-SUM('Dev Budget SU'!$G$106:$G$111)</f>
        <v>0</v>
      </c>
      <c r="AD17" s="3291"/>
      <c r="AE17" s="3291"/>
      <c r="AF17" s="3291"/>
      <c r="AG17" s="1439"/>
      <c r="AH17" s="805" t="s">
        <v>3877</v>
      </c>
      <c r="AI17" s="1443"/>
      <c r="AJ17" s="3278">
        <f>$AC$17*0.05*($J$15="Acq. Rehabilitation")</f>
        <v>0</v>
      </c>
      <c r="AK17" s="3278"/>
      <c r="AL17" s="3278"/>
      <c r="AM17" s="3279"/>
    </row>
    <row r="18" spans="2:39" ht="18" hidden="1" customHeight="1">
      <c r="B18" s="1409"/>
      <c r="C18" s="3282" t="s">
        <v>3878</v>
      </c>
      <c r="D18" s="3282"/>
      <c r="E18" s="3282"/>
      <c r="F18" s="3282"/>
      <c r="G18" s="3282"/>
      <c r="H18" s="3282"/>
      <c r="I18" s="3282"/>
      <c r="J18" s="3282"/>
      <c r="K18" s="3282"/>
      <c r="L18" s="3282"/>
      <c r="M18" s="3282"/>
      <c r="N18" s="3282"/>
      <c r="O18" s="3282"/>
      <c r="P18" s="3282"/>
      <c r="Q18" s="3282"/>
      <c r="R18" s="3282"/>
      <c r="S18" s="3282"/>
      <c r="T18" s="3282"/>
      <c r="U18" s="3282"/>
      <c r="V18" s="3282"/>
      <c r="W18" s="3282"/>
      <c r="X18" s="3282"/>
      <c r="Y18" s="3282"/>
      <c r="Z18" s="3282"/>
      <c r="AA18" s="3282"/>
      <c r="AB18" s="3282"/>
      <c r="AC18" s="3291">
        <f>SUM('Dev Budget SU'!$AI$3:$AJ$3)-SUM('Dev Budget SU'!$AI$106:$AJ$111)</f>
        <v>0</v>
      </c>
      <c r="AD18" s="3291"/>
      <c r="AE18" s="3291"/>
      <c r="AF18" s="3291"/>
      <c r="AG18" s="1440"/>
      <c r="AH18" s="805" t="s">
        <v>3875</v>
      </c>
      <c r="AI18" s="1443"/>
      <c r="AJ18" s="3278">
        <f>$AC$18*0.15</f>
        <v>0</v>
      </c>
      <c r="AK18" s="3278"/>
      <c r="AL18" s="3278"/>
      <c r="AM18" s="3279"/>
    </row>
    <row r="19" spans="2:39" ht="18" hidden="1" customHeight="1">
      <c r="B19" s="1410"/>
      <c r="C19" s="3290" t="str">
        <f>IF(LEFT($P$5,1)="9","Maximum Total Developer Fee - UMR §8312(b) - lesser of 1a or (1b + 1c + 1d)","Maximum Developer Fee payable from development funding sources - UMR §8312(c)(1) - lesser of 1a or (1b + 1c + 1d)")</f>
        <v>Maximum Developer Fee payable from development funding sources - UMR §8312(c)(1) - lesser of 1a or (1b + 1c + 1d)</v>
      </c>
      <c r="D19" s="3290"/>
      <c r="E19" s="3290"/>
      <c r="F19" s="3290"/>
      <c r="G19" s="3290"/>
      <c r="H19" s="3290"/>
      <c r="I19" s="3290"/>
      <c r="J19" s="3290"/>
      <c r="K19" s="3290"/>
      <c r="L19" s="3290"/>
      <c r="M19" s="3290"/>
      <c r="N19" s="3290"/>
      <c r="O19" s="3290"/>
      <c r="P19" s="3290"/>
      <c r="Q19" s="3290"/>
      <c r="R19" s="3290"/>
      <c r="S19" s="3290"/>
      <c r="T19" s="3290"/>
      <c r="U19" s="3290"/>
      <c r="V19" s="3290"/>
      <c r="W19" s="3290"/>
      <c r="X19" s="3290"/>
      <c r="Y19" s="3290"/>
      <c r="Z19" s="3290"/>
      <c r="AA19" s="3290"/>
      <c r="AB19" s="3290"/>
      <c r="AC19" s="3290"/>
      <c r="AD19" s="3290"/>
      <c r="AE19" s="3290"/>
      <c r="AF19" s="3290"/>
      <c r="AG19" s="3290"/>
      <c r="AH19" s="3290"/>
      <c r="AI19" s="1612"/>
      <c r="AJ19" s="3250">
        <f>MIN($AJ$15,SUM($AJ$16:$AJ$18))</f>
        <v>2200000</v>
      </c>
      <c r="AK19" s="3250"/>
      <c r="AL19" s="3250"/>
      <c r="AM19" s="3251"/>
    </row>
    <row r="20" spans="2:39" ht="18" hidden="1" customHeight="1">
      <c r="B20" s="800"/>
      <c r="C20" s="800"/>
      <c r="D20" s="800"/>
      <c r="E20" s="800"/>
      <c r="F20" s="800"/>
      <c r="G20" s="800"/>
      <c r="H20" s="800"/>
      <c r="I20" s="800"/>
      <c r="J20" s="800"/>
      <c r="K20" s="800"/>
      <c r="L20" s="800"/>
      <c r="M20" s="800"/>
      <c r="N20" s="800"/>
      <c r="O20" s="800"/>
      <c r="P20" s="800"/>
      <c r="Q20" s="800"/>
      <c r="R20" s="800"/>
      <c r="S20" s="800"/>
      <c r="T20" s="800"/>
      <c r="U20" s="800"/>
      <c r="V20" s="801"/>
      <c r="W20" s="213"/>
      <c r="X20" s="213"/>
      <c r="Y20" s="213"/>
      <c r="Z20" s="802"/>
      <c r="AA20" s="213"/>
      <c r="AB20" s="213"/>
      <c r="AC20" s="213"/>
      <c r="AD20" s="213"/>
      <c r="AE20" s="803"/>
      <c r="AF20" s="415"/>
      <c r="AG20" s="213"/>
      <c r="AH20" s="213"/>
      <c r="AI20" s="213"/>
      <c r="AJ20" s="213"/>
    </row>
    <row r="21" spans="2:39" ht="18" hidden="1" customHeight="1">
      <c r="B21" s="3275" t="s">
        <v>3879</v>
      </c>
      <c r="C21" s="3276"/>
      <c r="D21" s="3276"/>
      <c r="E21" s="3276"/>
      <c r="F21" s="3276"/>
      <c r="G21" s="3276"/>
      <c r="H21" s="3276"/>
      <c r="I21" s="3276"/>
      <c r="J21" s="3276"/>
      <c r="K21" s="3276"/>
      <c r="L21" s="3276"/>
      <c r="M21" s="3276"/>
      <c r="N21" s="3276"/>
      <c r="O21" s="3276"/>
      <c r="P21" s="3276"/>
      <c r="Q21" s="3276"/>
      <c r="R21" s="3276"/>
      <c r="S21" s="3276"/>
      <c r="T21" s="3276"/>
      <c r="U21" s="3276"/>
      <c r="V21" s="3276"/>
      <c r="W21" s="3276"/>
      <c r="X21" s="3276"/>
      <c r="Y21" s="3276"/>
      <c r="Z21" s="3276"/>
      <c r="AA21" s="3276"/>
      <c r="AB21" s="3276"/>
      <c r="AC21" s="3276"/>
      <c r="AD21" s="3276"/>
      <c r="AE21" s="3276"/>
      <c r="AF21" s="3276"/>
      <c r="AG21" s="3276"/>
      <c r="AH21" s="3276"/>
      <c r="AI21" s="3276"/>
      <c r="AJ21" s="3276"/>
      <c r="AK21" s="3276"/>
      <c r="AL21" s="3276"/>
      <c r="AM21" s="3277"/>
    </row>
    <row r="22" spans="2:39" ht="18" hidden="1" customHeight="1">
      <c r="B22" s="1411"/>
      <c r="C22" s="1437"/>
      <c r="D22" s="1437"/>
      <c r="E22" s="1437"/>
      <c r="F22" s="1437"/>
      <c r="G22" s="1437"/>
      <c r="H22" s="1437"/>
      <c r="I22" s="1437"/>
      <c r="J22" s="1437"/>
      <c r="K22" s="1437"/>
      <c r="L22" s="1437"/>
      <c r="M22" s="1437"/>
      <c r="N22" s="1437"/>
      <c r="O22" s="1437"/>
      <c r="P22" s="1437"/>
      <c r="Q22" s="1437"/>
      <c r="R22" s="1437"/>
      <c r="S22" s="1437"/>
      <c r="T22" s="1437"/>
      <c r="U22" s="3325" t="s">
        <v>4111</v>
      </c>
      <c r="V22" s="3325"/>
      <c r="W22" s="3325"/>
      <c r="X22" s="3325"/>
      <c r="Y22" s="3325"/>
      <c r="Z22" s="3325"/>
      <c r="AA22" s="3325"/>
      <c r="AB22" s="3325"/>
      <c r="AC22" s="3325"/>
      <c r="AD22" s="3325"/>
      <c r="AE22" s="3325"/>
      <c r="AF22" s="3325"/>
      <c r="AG22" s="3325"/>
      <c r="AH22" s="3325"/>
      <c r="AI22" s="3325"/>
      <c r="AJ22" s="3325"/>
      <c r="AK22" s="3326"/>
      <c r="AL22" s="3283" t="str">
        <f>IF(IsQualifiedJv,"Yes","No")</f>
        <v>No</v>
      </c>
      <c r="AM22" s="3284"/>
    </row>
    <row r="23" spans="2:39" ht="18" hidden="1" customHeight="1">
      <c r="B23" s="1409"/>
      <c r="C23" s="3282" t="s">
        <v>3880</v>
      </c>
      <c r="D23" s="3282"/>
      <c r="E23" s="3282"/>
      <c r="F23" s="3282"/>
      <c r="G23" s="3282"/>
      <c r="H23" s="3282"/>
      <c r="I23" s="3282"/>
      <c r="J23" s="3282"/>
      <c r="K23" s="3282"/>
      <c r="L23" s="3282"/>
      <c r="M23" s="3282"/>
      <c r="N23" s="3282"/>
      <c r="O23" s="3282"/>
      <c r="P23" s="3282"/>
      <c r="Q23" s="3282"/>
      <c r="R23" s="3282"/>
      <c r="S23" s="3282"/>
      <c r="T23" s="3282"/>
      <c r="U23" s="3282"/>
      <c r="V23" s="3282"/>
      <c r="W23" s="3282"/>
      <c r="X23" s="3282"/>
      <c r="Y23" s="3282"/>
      <c r="Z23" s="3282"/>
      <c r="AA23" s="3282"/>
      <c r="AB23" s="3282"/>
      <c r="AC23" s="3285">
        <f>$AC$16</f>
        <v>20000000</v>
      </c>
      <c r="AD23" s="3285"/>
      <c r="AE23" s="3285"/>
      <c r="AF23" s="3285"/>
      <c r="AG23" s="1440"/>
      <c r="AH23" s="805" t="str">
        <f>IF(OR($AL$22="No",$AL$22=""),"x 15% =","x 20% =")</f>
        <v>x 15% =</v>
      </c>
      <c r="AI23" s="1443"/>
      <c r="AJ23" s="3278">
        <f>$AC$23*IF(OR($AL$22="No",$AL$22=""),0.15,0.2)</f>
        <v>3000000</v>
      </c>
      <c r="AK23" s="3278"/>
      <c r="AL23" s="3278"/>
      <c r="AM23" s="3279"/>
    </row>
    <row r="24" spans="2:39" ht="18" hidden="1" customHeight="1">
      <c r="B24" s="1409"/>
      <c r="C24" s="3282" t="s">
        <v>3881</v>
      </c>
      <c r="D24" s="3282"/>
      <c r="E24" s="3282"/>
      <c r="F24" s="3282"/>
      <c r="G24" s="3282"/>
      <c r="H24" s="3282"/>
      <c r="I24" s="3282"/>
      <c r="J24" s="3282"/>
      <c r="K24" s="3282"/>
      <c r="L24" s="3282"/>
      <c r="M24" s="3282"/>
      <c r="N24" s="3282"/>
      <c r="O24" s="3282"/>
      <c r="P24" s="3282"/>
      <c r="Q24" s="3282"/>
      <c r="R24" s="3282"/>
      <c r="S24" s="3282"/>
      <c r="T24" s="3282"/>
      <c r="U24" s="3282"/>
      <c r="V24" s="3282"/>
      <c r="W24" s="3282"/>
      <c r="X24" s="3282"/>
      <c r="Y24" s="3282"/>
      <c r="Z24" s="3282"/>
      <c r="AA24" s="3282"/>
      <c r="AB24" s="3282"/>
      <c r="AC24" s="3285">
        <f>$AC$18</f>
        <v>0</v>
      </c>
      <c r="AD24" s="3285"/>
      <c r="AE24" s="3285"/>
      <c r="AF24" s="3285"/>
      <c r="AG24" s="1440"/>
      <c r="AH24" s="805" t="s">
        <v>3875</v>
      </c>
      <c r="AI24" s="1443"/>
      <c r="AJ24" s="3278">
        <f>$AC$24*0.15</f>
        <v>0</v>
      </c>
      <c r="AK24" s="3278"/>
      <c r="AL24" s="3278"/>
      <c r="AM24" s="3279"/>
    </row>
    <row r="25" spans="2:39" ht="18" hidden="1" customHeight="1">
      <c r="B25" s="1409"/>
      <c r="C25" s="3282" t="str">
        <f>IF(OR($F$5="",$J$15="Acq. Rehabilitation"),"Acq/Rehab - at-risk development meeting the requirements of §10325(g)(4) - §10327(c)(2)(B)(ii)","Not Applicable")</f>
        <v>Not Applicable</v>
      </c>
      <c r="D25" s="3282"/>
      <c r="E25" s="3282"/>
      <c r="F25" s="3282"/>
      <c r="G25" s="3282"/>
      <c r="H25" s="3282"/>
      <c r="I25" s="3282"/>
      <c r="J25" s="3282"/>
      <c r="K25" s="3282"/>
      <c r="L25" s="3282"/>
      <c r="M25" s="3282"/>
      <c r="N25" s="3282"/>
      <c r="O25" s="3282"/>
      <c r="P25" s="3282"/>
      <c r="Q25" s="3282"/>
      <c r="R25" s="3282"/>
      <c r="S25" s="3282"/>
      <c r="T25" s="3282"/>
      <c r="U25" s="3282"/>
      <c r="V25" s="3282"/>
      <c r="W25" s="3282"/>
      <c r="X25" s="3282"/>
      <c r="Y25" s="3282"/>
      <c r="Z25" s="3282"/>
      <c r="AA25" s="3282"/>
      <c r="AB25" s="3282"/>
      <c r="AC25" s="1291"/>
      <c r="AD25" s="1291"/>
      <c r="AE25" s="1443"/>
      <c r="AF25" s="1443"/>
      <c r="AG25" s="3287" t="s">
        <v>664</v>
      </c>
      <c r="AH25" s="3287"/>
      <c r="AI25" s="3287"/>
      <c r="AJ25" s="1609"/>
      <c r="AK25" s="1610"/>
      <c r="AL25" s="1610"/>
      <c r="AM25" s="1613"/>
    </row>
    <row r="26" spans="2:39" ht="18" hidden="1" customHeight="1">
      <c r="B26" s="1409"/>
      <c r="C26" s="3282" t="str">
        <f>IF(AND($F$5&lt;&gt;"",$J$15&lt;&gt;"Acq. Rehabilitation"),"Not Applicable","Acq/Rehab non-resyndication - hard construction costs per unit at least $50,000 per unit - §10327(c)(2)(B)(ii)")</f>
        <v>Not Applicable</v>
      </c>
      <c r="D26" s="3282"/>
      <c r="E26" s="3282"/>
      <c r="F26" s="3282"/>
      <c r="G26" s="3282"/>
      <c r="H26" s="3282"/>
      <c r="I26" s="3282"/>
      <c r="J26" s="3282"/>
      <c r="K26" s="3282"/>
      <c r="L26" s="3282"/>
      <c r="M26" s="3282"/>
      <c r="N26" s="3282"/>
      <c r="O26" s="3282"/>
      <c r="P26" s="3282"/>
      <c r="Q26" s="3282"/>
      <c r="R26" s="3282"/>
      <c r="S26" s="3282"/>
      <c r="T26" s="3282"/>
      <c r="U26" s="3282"/>
      <c r="V26" s="3282"/>
      <c r="W26" s="3282"/>
      <c r="X26" s="3282"/>
      <c r="Y26" s="3282"/>
      <c r="Z26" s="3282"/>
      <c r="AA26" s="3282"/>
      <c r="AB26" s="3282"/>
      <c r="AC26" s="1291"/>
      <c r="AD26" s="1291"/>
      <c r="AE26" s="1443"/>
      <c r="AF26" s="1443"/>
      <c r="AG26" s="3286"/>
      <c r="AH26" s="3286"/>
      <c r="AI26" s="3286"/>
      <c r="AJ26" s="1609"/>
      <c r="AK26" s="1610"/>
      <c r="AL26" s="1610"/>
      <c r="AM26" s="1613"/>
    </row>
    <row r="27" spans="2:39" ht="18" hidden="1" customHeight="1">
      <c r="B27" s="1409"/>
      <c r="C27" s="3282" t="str">
        <f>IF(OR($F$5="",$J$15="Acq. Rehabilitation"),"Acq/Rehab non-resyndication - 30% or more of units restricted to 50% AMI or less - §10327(c)(2)(B)(ii)","Not Applicable")</f>
        <v>Not Applicable</v>
      </c>
      <c r="D27" s="3282"/>
      <c r="E27" s="3282"/>
      <c r="F27" s="3282"/>
      <c r="G27" s="3282"/>
      <c r="H27" s="3282"/>
      <c r="I27" s="3282"/>
      <c r="J27" s="3282"/>
      <c r="K27" s="3282"/>
      <c r="L27" s="3282"/>
      <c r="M27" s="3282"/>
      <c r="N27" s="3282"/>
      <c r="O27" s="3282"/>
      <c r="P27" s="3282"/>
      <c r="Q27" s="3282"/>
      <c r="R27" s="3282"/>
      <c r="S27" s="3282"/>
      <c r="T27" s="3282"/>
      <c r="U27" s="3282"/>
      <c r="V27" s="3282"/>
      <c r="W27" s="3282"/>
      <c r="X27" s="3282"/>
      <c r="Y27" s="3282"/>
      <c r="Z27" s="3282"/>
      <c r="AA27" s="3282"/>
      <c r="AB27" s="3282"/>
      <c r="AC27" s="1291"/>
      <c r="AD27" s="1291"/>
      <c r="AE27" s="1443"/>
      <c r="AF27" s="1443"/>
      <c r="AG27" s="3286"/>
      <c r="AH27" s="3286"/>
      <c r="AI27" s="3286"/>
      <c r="AJ27" s="1611"/>
      <c r="AK27" s="1610"/>
      <c r="AL27" s="1610"/>
      <c r="AM27" s="1613"/>
    </row>
    <row r="28" spans="2:39" ht="18" hidden="1" customHeight="1">
      <c r="B28" s="1409"/>
      <c r="C28" s="3282" t="str">
        <f>IF(OR($F$5="",$J$15="Acq. Rehabilitation"),"Acq/Rehab - Unadj. Eligible Acq. Basis - §10327(c)(2)(B)(ii) = 15% if c1, c2 or c3 is Yes","Not Applicable")</f>
        <v>Not Applicable</v>
      </c>
      <c r="D28" s="3282"/>
      <c r="E28" s="3282"/>
      <c r="F28" s="3282"/>
      <c r="G28" s="3282"/>
      <c r="H28" s="3282"/>
      <c r="I28" s="3282"/>
      <c r="J28" s="3282"/>
      <c r="K28" s="3282"/>
      <c r="L28" s="3282"/>
      <c r="M28" s="3282"/>
      <c r="N28" s="3282"/>
      <c r="O28" s="3282"/>
      <c r="P28" s="3282"/>
      <c r="Q28" s="3282"/>
      <c r="R28" s="3282"/>
      <c r="S28" s="3282"/>
      <c r="T28" s="3282"/>
      <c r="U28" s="3282"/>
      <c r="V28" s="3282"/>
      <c r="W28" s="3282"/>
      <c r="X28" s="3282"/>
      <c r="Y28" s="3282"/>
      <c r="Z28" s="3282"/>
      <c r="AA28" s="3282"/>
      <c r="AB28" s="3282"/>
      <c r="AC28" s="3285">
        <f>IF(OR($F$5="",$J$15&lt;&gt;"Acq. Rehabilitation"),0,$AC$17)</f>
        <v>0</v>
      </c>
      <c r="AD28" s="3285"/>
      <c r="AE28" s="3285"/>
      <c r="AF28" s="3285"/>
      <c r="AG28" s="3334">
        <f>IF(OR($AG$25="Yes",$AG$26="Yes",$AG$27="Yes"),0.15,0.05)</f>
        <v>0.15</v>
      </c>
      <c r="AH28" s="3334"/>
      <c r="AI28" s="3334"/>
      <c r="AJ28" s="3278">
        <f>$AC$28*$AG$28</f>
        <v>0</v>
      </c>
      <c r="AK28" s="3278"/>
      <c r="AL28" s="3278"/>
      <c r="AM28" s="3279"/>
    </row>
    <row r="29" spans="2:39" ht="18" hidden="1" customHeight="1">
      <c r="B29" s="1409"/>
      <c r="C29" s="3282" t="s">
        <v>3882</v>
      </c>
      <c r="D29" s="3282"/>
      <c r="E29" s="3282"/>
      <c r="F29" s="3282"/>
      <c r="G29" s="3282"/>
      <c r="H29" s="3282"/>
      <c r="I29" s="3282"/>
      <c r="J29" s="3282"/>
      <c r="K29" s="3282"/>
      <c r="L29" s="3282"/>
      <c r="M29" s="3282"/>
      <c r="N29" s="3282"/>
      <c r="O29" s="3282"/>
      <c r="P29" s="3282"/>
      <c r="Q29" s="3282"/>
      <c r="R29" s="3282"/>
      <c r="S29" s="3282"/>
      <c r="T29" s="3282"/>
      <c r="U29" s="3282"/>
      <c r="V29" s="3282"/>
      <c r="W29" s="3282"/>
      <c r="X29" s="3282"/>
      <c r="Y29" s="3282"/>
      <c r="Z29" s="3282"/>
      <c r="AA29" s="3282"/>
      <c r="AB29" s="3282"/>
      <c r="AC29" s="1291"/>
      <c r="AD29" s="1291"/>
      <c r="AE29" s="1291"/>
      <c r="AF29" s="1443"/>
      <c r="AG29" s="415"/>
      <c r="AH29" s="415"/>
      <c r="AI29" s="415"/>
      <c r="AJ29" s="3280">
        <f>ROUND($AJ$23+$AJ$24+$AJ$28,0)</f>
        <v>3000000</v>
      </c>
      <c r="AK29" s="3280"/>
      <c r="AL29" s="3280"/>
      <c r="AM29" s="3281"/>
    </row>
    <row r="30" spans="2:39" ht="18" hidden="1" customHeight="1">
      <c r="B30" s="1409"/>
      <c r="C30" s="3337" t="s">
        <v>488</v>
      </c>
      <c r="D30" s="3337"/>
      <c r="E30" s="3337"/>
      <c r="F30" s="3337"/>
      <c r="G30" s="3337"/>
      <c r="H30" s="3337"/>
      <c r="I30" s="3337"/>
      <c r="J30" s="3337"/>
      <c r="K30" s="3337"/>
      <c r="L30" s="3337"/>
      <c r="M30" s="3337"/>
      <c r="N30" s="3337"/>
      <c r="O30" s="3337"/>
      <c r="P30" s="3337"/>
      <c r="Q30" s="3337"/>
      <c r="R30" s="3337"/>
      <c r="S30" s="3337"/>
      <c r="T30" s="3337"/>
      <c r="U30" s="3337"/>
      <c r="V30" s="3337"/>
      <c r="W30" s="3337"/>
      <c r="X30" s="3337"/>
      <c r="Y30" s="3337"/>
      <c r="Z30" s="3337"/>
      <c r="AA30" s="3337"/>
      <c r="AB30" s="3337"/>
      <c r="AC30" s="1292"/>
      <c r="AD30" s="1292"/>
      <c r="AE30" s="1443"/>
      <c r="AF30" s="3274">
        <f>$L$12</f>
        <v>1000000</v>
      </c>
      <c r="AG30" s="3274"/>
      <c r="AH30" s="3274"/>
      <c r="AI30" s="3274"/>
      <c r="AJ30" s="3272" t="str">
        <f>IF(ROUND($AF$30,0)&gt;ROUND($AJ$29,0),"Excess Dev Fee"&amp;TEXT($AF$30-$AJ$29," $#,###"),"")</f>
        <v/>
      </c>
      <c r="AK30" s="3272"/>
      <c r="AL30" s="3272"/>
      <c r="AM30" s="3273"/>
    </row>
    <row r="31" spans="2:39" ht="18" hidden="1" customHeight="1">
      <c r="B31" s="1409"/>
      <c r="C31" s="3269" t="s">
        <v>3883</v>
      </c>
      <c r="D31" s="3269"/>
      <c r="E31" s="3269"/>
      <c r="F31" s="3269"/>
      <c r="G31" s="3269"/>
      <c r="H31" s="3269"/>
      <c r="I31" s="3269"/>
      <c r="J31" s="3269"/>
      <c r="K31" s="3269"/>
      <c r="L31" s="3269"/>
      <c r="M31" s="3269"/>
      <c r="N31" s="3269"/>
      <c r="O31" s="3269"/>
      <c r="P31" s="3269"/>
      <c r="Q31" s="3270" t="s">
        <v>3884</v>
      </c>
      <c r="R31" s="3270"/>
      <c r="S31" s="3270"/>
      <c r="T31" s="3270"/>
      <c r="U31" s="3270"/>
      <c r="V31" s="3270"/>
      <c r="W31" s="3270"/>
      <c r="X31" s="3270"/>
      <c r="Y31" s="3270"/>
      <c r="Z31" s="3270"/>
      <c r="AA31" s="3270"/>
      <c r="AB31" s="3268">
        <f>$Y$12+$AI$12</f>
        <v>0</v>
      </c>
      <c r="AC31" s="3268"/>
      <c r="AD31" s="3268"/>
      <c r="AE31" s="3268"/>
      <c r="AF31" s="3267">
        <f>$AF$30-$AB$31</f>
        <v>1000000</v>
      </c>
      <c r="AG31" s="3267"/>
      <c r="AH31" s="3267"/>
      <c r="AI31" s="3267"/>
      <c r="AJ31" s="3239" t="str">
        <f>IF($AF$31&gt;$AJ$19,"Cannot exceed"&amp;TEXT(MIN($AJ$19,$AJ$29)," $#,###"),"")</f>
        <v/>
      </c>
      <c r="AK31" s="3239"/>
      <c r="AL31" s="3239"/>
      <c r="AM31" s="3240"/>
    </row>
    <row r="32" spans="2:39" ht="18" hidden="1" customHeight="1">
      <c r="B32" s="1410"/>
      <c r="C32" s="3271" t="s">
        <v>3871</v>
      </c>
      <c r="D32" s="3271"/>
      <c r="E32" s="3271"/>
      <c r="F32" s="3271"/>
      <c r="G32" s="3271"/>
      <c r="H32" s="3271"/>
      <c r="I32" s="3271"/>
      <c r="J32" s="3271"/>
      <c r="K32" s="3271"/>
      <c r="L32" s="3271"/>
      <c r="M32" s="3271"/>
      <c r="N32" s="3271"/>
      <c r="O32" s="3271"/>
      <c r="P32" s="3271"/>
      <c r="Q32" s="3271"/>
      <c r="R32" s="3271"/>
      <c r="S32" s="3271"/>
      <c r="T32" s="3271"/>
      <c r="U32" s="3271"/>
      <c r="V32" s="3271"/>
      <c r="W32" s="3271"/>
      <c r="X32" s="3271"/>
      <c r="Y32" s="3271"/>
      <c r="Z32" s="3271"/>
      <c r="AA32" s="3271"/>
      <c r="AB32" s="3271"/>
      <c r="AC32" s="3271"/>
      <c r="AD32" s="3271"/>
      <c r="AE32" s="3271"/>
      <c r="AF32" s="3250">
        <f>MAX(0,MIN($AJ$29,$AF$30,3500000)-MIN($AJ$19,$AJ$29))</f>
        <v>0</v>
      </c>
      <c r="AG32" s="3250"/>
      <c r="AH32" s="3250"/>
      <c r="AI32" s="3250"/>
      <c r="AJ32" s="3241"/>
      <c r="AK32" s="3241"/>
      <c r="AL32" s="3241"/>
      <c r="AM32" s="3242"/>
    </row>
    <row r="33" spans="2:39" ht="18" customHeight="1">
      <c r="B33" s="800"/>
      <c r="C33" s="800"/>
      <c r="D33" s="800"/>
      <c r="E33" s="800"/>
      <c r="F33" s="800"/>
      <c r="G33" s="800"/>
      <c r="H33" s="800"/>
      <c r="I33" s="800"/>
      <c r="J33" s="800"/>
      <c r="K33" s="800"/>
      <c r="L33" s="800"/>
      <c r="M33" s="800"/>
      <c r="N33" s="800"/>
      <c r="O33" s="800"/>
      <c r="P33" s="800"/>
      <c r="Q33" s="800"/>
      <c r="R33" s="800"/>
      <c r="S33" s="800"/>
      <c r="T33" s="800"/>
      <c r="U33" s="800"/>
      <c r="V33" s="801"/>
      <c r="W33" s="213"/>
      <c r="X33" s="213"/>
      <c r="Y33" s="213"/>
      <c r="Z33" s="802"/>
      <c r="AA33" s="213"/>
      <c r="AB33" s="213"/>
      <c r="AC33" s="213"/>
      <c r="AD33" s="213"/>
      <c r="AE33" s="803"/>
      <c r="AF33" s="415"/>
      <c r="AG33" s="213"/>
      <c r="AH33" s="213"/>
      <c r="AI33" s="213"/>
      <c r="AJ33" s="213"/>
    </row>
    <row r="34" spans="2:39" ht="18" hidden="1" customHeight="1">
      <c r="B34" s="3335" t="s">
        <v>3885</v>
      </c>
      <c r="C34" s="3336"/>
      <c r="D34" s="3336"/>
      <c r="E34" s="3336"/>
      <c r="F34" s="3336"/>
      <c r="G34" s="3336"/>
      <c r="H34" s="3336"/>
      <c r="I34" s="3336"/>
      <c r="J34" s="3336"/>
      <c r="K34" s="3336"/>
      <c r="L34" s="3336"/>
      <c r="M34" s="3336"/>
      <c r="N34" s="3336"/>
      <c r="O34" s="3336"/>
      <c r="P34" s="3336"/>
      <c r="Q34" s="3336"/>
      <c r="R34" s="3336"/>
      <c r="S34" s="3336"/>
      <c r="T34" s="3336"/>
      <c r="U34" s="3336"/>
      <c r="V34" s="3336"/>
      <c r="W34" s="3336"/>
      <c r="X34" s="3336"/>
      <c r="Y34" s="3336"/>
      <c r="Z34" s="3336"/>
      <c r="AA34" s="3336"/>
      <c r="AB34" s="3336"/>
      <c r="AC34" s="3336"/>
      <c r="AD34" s="3336"/>
      <c r="AE34" s="3336"/>
      <c r="AF34" s="3336"/>
      <c r="AG34" s="3336"/>
      <c r="AH34" s="3336"/>
      <c r="AI34" s="1293"/>
      <c r="AJ34" s="1293"/>
      <c r="AK34" s="1293"/>
      <c r="AL34" s="1293"/>
      <c r="AM34" s="1294"/>
    </row>
    <row r="35" spans="2:39" ht="18" hidden="1" customHeight="1">
      <c r="B35" s="1412"/>
      <c r="C35" s="3252" t="s">
        <v>4106</v>
      </c>
      <c r="D35" s="3252"/>
      <c r="E35" s="3252"/>
      <c r="F35" s="3252"/>
      <c r="G35" s="3252"/>
      <c r="H35" s="3252"/>
      <c r="I35" s="3252"/>
      <c r="J35" s="3252"/>
      <c r="K35" s="3252"/>
      <c r="L35" s="3252"/>
      <c r="M35" s="3252"/>
      <c r="N35" s="3252"/>
      <c r="O35" s="3252"/>
      <c r="P35" s="3252"/>
      <c r="Q35" s="3252"/>
      <c r="R35" s="3252"/>
      <c r="S35" s="3252"/>
      <c r="T35" s="3252"/>
      <c r="U35" s="3252"/>
      <c r="V35" s="3252"/>
      <c r="W35" s="3252"/>
      <c r="X35" s="3252"/>
      <c r="Y35" s="3252"/>
      <c r="Z35" s="3252"/>
      <c r="AA35" s="3252"/>
      <c r="AB35" s="3252"/>
      <c r="AC35" s="3252"/>
      <c r="AD35" s="3252"/>
      <c r="AE35" s="3252"/>
      <c r="AF35" s="3252"/>
      <c r="AG35" s="3252"/>
      <c r="AH35" s="3252"/>
      <c r="AI35" s="3252"/>
      <c r="AJ35" s="3252"/>
      <c r="AK35" s="3252"/>
      <c r="AL35" s="3252"/>
      <c r="AM35" s="3253"/>
    </row>
    <row r="36" spans="2:39" ht="18" hidden="1" customHeight="1">
      <c r="B36" s="1413"/>
      <c r="C36" s="3261" t="s">
        <v>3886</v>
      </c>
      <c r="D36" s="3261"/>
      <c r="E36" s="3261"/>
      <c r="F36" s="3261"/>
      <c r="G36" s="3261"/>
      <c r="H36" s="3261"/>
      <c r="I36" s="3261"/>
      <c r="J36" s="3261"/>
      <c r="K36" s="3261"/>
      <c r="L36" s="3261"/>
      <c r="M36" s="3261"/>
      <c r="N36" s="3261"/>
      <c r="O36" s="3261"/>
      <c r="P36" s="3261"/>
      <c r="Q36" s="3261"/>
      <c r="R36" s="3261"/>
      <c r="S36" s="3261"/>
      <c r="T36" s="3261"/>
      <c r="U36" s="3261"/>
      <c r="V36" s="3261"/>
      <c r="W36" s="3261"/>
      <c r="X36" s="3261"/>
      <c r="Y36" s="3261"/>
      <c r="Z36" s="3261"/>
      <c r="AA36" s="3261"/>
      <c r="AB36" s="3261"/>
      <c r="AC36" s="3261"/>
      <c r="AD36" s="3261"/>
      <c r="AE36" s="3261"/>
      <c r="AF36" s="3261"/>
      <c r="AG36" s="3261"/>
      <c r="AH36" s="3261"/>
      <c r="AI36" s="3261"/>
      <c r="AJ36" s="3261"/>
      <c r="AK36" s="3261"/>
      <c r="AL36" s="3261"/>
      <c r="AM36" s="3262"/>
    </row>
    <row r="37" spans="2:39" ht="18" hidden="1" customHeight="1">
      <c r="B37" s="1412"/>
      <c r="C37" s="3254" t="s">
        <v>3887</v>
      </c>
      <c r="D37" s="3254"/>
      <c r="E37" s="3254"/>
      <c r="F37" s="3254"/>
      <c r="G37" s="3254"/>
      <c r="H37" s="3254"/>
      <c r="I37" s="3254"/>
      <c r="J37" s="3254"/>
      <c r="K37" s="3254"/>
      <c r="L37" s="3254"/>
      <c r="M37" s="3254"/>
      <c r="N37" s="3254"/>
      <c r="O37" s="3254"/>
      <c r="P37" s="3257"/>
      <c r="Q37" s="3265"/>
      <c r="R37" s="3266"/>
      <c r="S37" s="806"/>
      <c r="T37" s="806"/>
      <c r="U37" s="1443"/>
      <c r="V37" s="806"/>
      <c r="W37" s="806"/>
      <c r="X37" s="806"/>
      <c r="Y37" s="806"/>
      <c r="Z37" s="806"/>
      <c r="AA37" s="806"/>
      <c r="AB37" s="1614"/>
      <c r="AC37" s="1614"/>
      <c r="AD37" s="1614"/>
      <c r="AE37" s="1614"/>
      <c r="AF37" s="1443"/>
      <c r="AG37" s="1443"/>
      <c r="AH37" s="1443"/>
      <c r="AI37" s="1443"/>
      <c r="AJ37" s="1443"/>
      <c r="AK37" s="1443"/>
      <c r="AL37" s="1443"/>
      <c r="AM37" s="1606"/>
    </row>
    <row r="38" spans="2:39" ht="18" hidden="1" customHeight="1">
      <c r="B38" s="1412"/>
      <c r="C38" s="3254" t="s">
        <v>3887</v>
      </c>
      <c r="D38" s="3254"/>
      <c r="E38" s="3254"/>
      <c r="F38" s="3254"/>
      <c r="G38" s="3254"/>
      <c r="H38" s="3254"/>
      <c r="I38" s="3254"/>
      <c r="J38" s="3254"/>
      <c r="K38" s="3254"/>
      <c r="L38" s="3254"/>
      <c r="M38" s="3254"/>
      <c r="N38" s="3254"/>
      <c r="O38" s="3254"/>
      <c r="P38" s="3257"/>
      <c r="Q38" s="3238">
        <v>28000</v>
      </c>
      <c r="R38" s="3238"/>
      <c r="S38" s="3238"/>
      <c r="T38" s="3245" t="s">
        <v>3888</v>
      </c>
      <c r="U38" s="3245"/>
      <c r="V38" s="3256">
        <f>IF($Q$37&gt;29,$Q$38*30,+$Q$37*$Q$38)</f>
        <v>0</v>
      </c>
      <c r="W38" s="3256"/>
      <c r="X38" s="3256"/>
      <c r="Y38" s="3256"/>
      <c r="Z38" s="806"/>
      <c r="AA38" s="806"/>
      <c r="AB38" s="1614"/>
      <c r="AC38" s="1614"/>
      <c r="AD38" s="1614"/>
      <c r="AE38" s="1614"/>
      <c r="AF38" s="1443"/>
      <c r="AG38" s="1443"/>
      <c r="AH38" s="1443"/>
      <c r="AI38" s="1443"/>
      <c r="AJ38" s="1443"/>
      <c r="AK38" s="1443"/>
      <c r="AL38" s="1443"/>
      <c r="AM38" s="1606"/>
    </row>
    <row r="39" spans="2:39" ht="18" hidden="1" customHeight="1">
      <c r="B39" s="1412"/>
      <c r="C39" s="3254" t="s">
        <v>4101</v>
      </c>
      <c r="D39" s="3254"/>
      <c r="E39" s="3254"/>
      <c r="F39" s="3254"/>
      <c r="G39" s="3254"/>
      <c r="H39" s="3254"/>
      <c r="I39" s="3254"/>
      <c r="J39" s="3254"/>
      <c r="K39" s="3254"/>
      <c r="L39" s="3254"/>
      <c r="M39" s="3254"/>
      <c r="N39" s="3254"/>
      <c r="O39" s="3254"/>
      <c r="P39" s="3257"/>
      <c r="Q39" s="3238">
        <v>11500</v>
      </c>
      <c r="R39" s="3238"/>
      <c r="S39" s="3238"/>
      <c r="T39" s="3237" t="s">
        <v>3888</v>
      </c>
      <c r="U39" s="3237"/>
      <c r="V39" s="3256">
        <f>IF($Q$37&lt;30,0,($Q$37-30)*$Q$39)</f>
        <v>0</v>
      </c>
      <c r="W39" s="3256"/>
      <c r="X39" s="3256"/>
      <c r="Y39" s="3256"/>
      <c r="Z39" s="806"/>
      <c r="AA39" s="806"/>
      <c r="AB39" s="1614"/>
      <c r="AC39" s="1614"/>
      <c r="AD39" s="1614"/>
      <c r="AE39" s="1614"/>
      <c r="AF39" s="1443"/>
      <c r="AG39" s="1443"/>
      <c r="AH39" s="1443"/>
      <c r="AI39" s="1443"/>
      <c r="AJ39" s="1443"/>
      <c r="AK39" s="1443"/>
      <c r="AL39" s="1443"/>
      <c r="AM39" s="1606"/>
    </row>
    <row r="40" spans="2:39" ht="18" hidden="1" customHeight="1">
      <c r="B40" s="1647"/>
      <c r="C40" s="3244" t="s">
        <v>4113</v>
      </c>
      <c r="D40" s="3244"/>
      <c r="E40" s="3244"/>
      <c r="F40" s="3244"/>
      <c r="G40" s="3244"/>
      <c r="H40" s="3244"/>
      <c r="I40" s="3244"/>
      <c r="J40" s="3244"/>
      <c r="K40" s="3244"/>
      <c r="L40" s="3244"/>
      <c r="M40" s="3244"/>
      <c r="N40" s="3244"/>
      <c r="O40" s="3244"/>
      <c r="P40" s="3244"/>
      <c r="Q40" s="3244"/>
      <c r="R40" s="3244"/>
      <c r="S40" s="3244"/>
      <c r="T40" s="3244"/>
      <c r="U40" s="3249"/>
      <c r="V40" s="3260">
        <f>+$V$38+$V$39</f>
        <v>0</v>
      </c>
      <c r="W40" s="3260"/>
      <c r="X40" s="3260"/>
      <c r="Y40" s="3260"/>
      <c r="Z40" s="1648"/>
      <c r="AA40" s="1607"/>
      <c r="AB40" s="1607"/>
      <c r="AC40" s="1607"/>
      <c r="AD40" s="1607"/>
      <c r="AE40" s="1607"/>
      <c r="AF40" s="1649"/>
      <c r="AG40" s="1650"/>
      <c r="AH40" s="1650"/>
      <c r="AI40" s="1650"/>
      <c r="AJ40" s="1650"/>
      <c r="AK40" s="1607"/>
      <c r="AL40" s="1607"/>
      <c r="AM40" s="1608"/>
    </row>
    <row r="41" spans="2:39" ht="18" hidden="1" customHeight="1">
      <c r="B41" s="1414"/>
      <c r="C41" s="1617"/>
      <c r="D41" s="1617"/>
      <c r="E41" s="1617"/>
      <c r="F41" s="1617"/>
      <c r="G41" s="1617"/>
      <c r="H41" s="1617"/>
      <c r="I41" s="1617"/>
      <c r="J41" s="1617"/>
      <c r="K41" s="1617"/>
      <c r="L41" s="1617"/>
      <c r="M41" s="1617"/>
      <c r="N41" s="1617"/>
      <c r="O41" s="1617"/>
      <c r="P41" s="1617"/>
      <c r="Q41" s="1617"/>
      <c r="R41" s="1617"/>
      <c r="S41" s="1617"/>
      <c r="T41" s="1617"/>
      <c r="U41" s="1617"/>
      <c r="V41" s="1641"/>
      <c r="W41" s="1641"/>
      <c r="X41" s="1641"/>
      <c r="Y41" s="1641"/>
      <c r="Z41" s="1441"/>
      <c r="AA41" s="1443"/>
      <c r="AB41" s="1443"/>
      <c r="AC41" s="1443"/>
      <c r="AD41" s="1443"/>
      <c r="AE41" s="1443"/>
      <c r="AF41" s="806"/>
      <c r="AG41" s="1614"/>
      <c r="AH41" s="1614"/>
      <c r="AI41" s="1614"/>
      <c r="AJ41" s="1614"/>
      <c r="AK41" s="1443"/>
      <c r="AL41" s="1443"/>
      <c r="AM41" s="1606"/>
    </row>
    <row r="42" spans="2:39" ht="18" hidden="1" customHeight="1">
      <c r="B42" s="1415"/>
      <c r="C42" s="3252" t="s">
        <v>3889</v>
      </c>
      <c r="D42" s="3252"/>
      <c r="E42" s="3252"/>
      <c r="F42" s="3252"/>
      <c r="G42" s="3252"/>
      <c r="H42" s="3252"/>
      <c r="I42" s="3252"/>
      <c r="J42" s="3252"/>
      <c r="K42" s="3252"/>
      <c r="L42" s="3252"/>
      <c r="M42" s="3252"/>
      <c r="N42" s="3252"/>
      <c r="O42" s="3252"/>
      <c r="P42" s="3252"/>
      <c r="Q42" s="3252"/>
      <c r="R42" s="3252"/>
      <c r="S42" s="3252"/>
      <c r="T42" s="3252"/>
      <c r="U42" s="3252"/>
      <c r="V42" s="3252"/>
      <c r="W42" s="3252"/>
      <c r="X42" s="3252"/>
      <c r="Y42" s="3252"/>
      <c r="Z42" s="3252"/>
      <c r="AA42" s="3252"/>
      <c r="AB42" s="3252"/>
      <c r="AC42" s="3252"/>
      <c r="AD42" s="3252"/>
      <c r="AE42" s="3252"/>
      <c r="AF42" s="3252"/>
      <c r="AG42" s="3252"/>
      <c r="AH42" s="3252"/>
      <c r="AI42" s="3252"/>
      <c r="AJ42" s="3252"/>
      <c r="AK42" s="3252"/>
      <c r="AL42" s="3252"/>
      <c r="AM42" s="3253"/>
    </row>
    <row r="43" spans="2:39" ht="18" hidden="1" customHeight="1">
      <c r="B43" s="1416"/>
      <c r="C43" s="3261" t="s">
        <v>3890</v>
      </c>
      <c r="D43" s="3261"/>
      <c r="E43" s="3261"/>
      <c r="F43" s="3261"/>
      <c r="G43" s="3261"/>
      <c r="H43" s="3261"/>
      <c r="I43" s="3261"/>
      <c r="J43" s="3261"/>
      <c r="K43" s="3261"/>
      <c r="L43" s="3261"/>
      <c r="M43" s="3261"/>
      <c r="N43" s="3261"/>
      <c r="O43" s="3261"/>
      <c r="P43" s="3261"/>
      <c r="Q43" s="3261"/>
      <c r="R43" s="3261"/>
      <c r="S43" s="3261"/>
      <c r="T43" s="3261"/>
      <c r="U43" s="3261"/>
      <c r="V43" s="3261"/>
      <c r="W43" s="3261"/>
      <c r="X43" s="3261"/>
      <c r="Y43" s="3261"/>
      <c r="Z43" s="3261"/>
      <c r="AA43" s="3261"/>
      <c r="AB43" s="3261"/>
      <c r="AC43" s="3261"/>
      <c r="AD43" s="3261"/>
      <c r="AE43" s="3261"/>
      <c r="AF43" s="3261"/>
      <c r="AG43" s="3261"/>
      <c r="AH43" s="3261"/>
      <c r="AI43" s="3261"/>
      <c r="AJ43" s="3261"/>
      <c r="AK43" s="3261"/>
      <c r="AL43" s="3261"/>
      <c r="AM43" s="3262"/>
    </row>
    <row r="44" spans="2:39" ht="18" hidden="1" customHeight="1">
      <c r="B44" s="1412"/>
      <c r="C44" s="3254" t="s">
        <v>3887</v>
      </c>
      <c r="D44" s="3254"/>
      <c r="E44" s="3254"/>
      <c r="F44" s="3254"/>
      <c r="G44" s="3254"/>
      <c r="H44" s="3254"/>
      <c r="I44" s="3254"/>
      <c r="J44" s="3254"/>
      <c r="K44" s="3254"/>
      <c r="L44" s="3254"/>
      <c r="M44" s="3254"/>
      <c r="N44" s="3254"/>
      <c r="O44" s="3254"/>
      <c r="P44" s="3257"/>
      <c r="Q44" s="3263"/>
      <c r="R44" s="3264"/>
      <c r="S44" s="806"/>
      <c r="T44" s="806"/>
      <c r="U44" s="1443"/>
      <c r="V44" s="806"/>
      <c r="W44" s="806"/>
      <c r="X44" s="806"/>
      <c r="Y44" s="806"/>
      <c r="Z44" s="806"/>
      <c r="AA44" s="806"/>
      <c r="AB44" s="1614"/>
      <c r="AC44" s="1614"/>
      <c r="AD44" s="1614"/>
      <c r="AE44" s="1614"/>
      <c r="AF44" s="1443"/>
      <c r="AG44" s="1443"/>
      <c r="AH44" s="1443"/>
      <c r="AI44" s="1443"/>
      <c r="AJ44" s="1443"/>
      <c r="AK44" s="1443"/>
      <c r="AL44" s="1443"/>
      <c r="AM44" s="1606"/>
    </row>
    <row r="45" spans="2:39" ht="18" hidden="1" customHeight="1">
      <c r="B45" s="1412"/>
      <c r="C45" s="3254" t="s">
        <v>4102</v>
      </c>
      <c r="D45" s="3254"/>
      <c r="E45" s="3254"/>
      <c r="F45" s="3254"/>
      <c r="G45" s="3254"/>
      <c r="H45" s="3254"/>
      <c r="I45" s="3254"/>
      <c r="J45" s="3254"/>
      <c r="K45" s="3254"/>
      <c r="L45" s="3254"/>
      <c r="M45" s="3254"/>
      <c r="N45" s="3254"/>
      <c r="O45" s="3254"/>
      <c r="P45" s="3257"/>
      <c r="Q45" s="3238">
        <v>13000</v>
      </c>
      <c r="R45" s="3238"/>
      <c r="S45" s="3238"/>
      <c r="T45" s="3245" t="s">
        <v>3888</v>
      </c>
      <c r="U45" s="3245"/>
      <c r="V45" s="3256">
        <f>IF($Q$44&gt;29,$Q$45*30,+$Q$44*$Q$45)</f>
        <v>0</v>
      </c>
      <c r="W45" s="3256"/>
      <c r="X45" s="3256"/>
      <c r="Y45" s="3256"/>
      <c r="Z45" s="806"/>
      <c r="AA45" s="806"/>
      <c r="AB45" s="1614"/>
      <c r="AC45" s="1614"/>
      <c r="AD45" s="1614"/>
      <c r="AE45" s="1614"/>
      <c r="AF45" s="1443"/>
      <c r="AG45" s="1443"/>
      <c r="AH45" s="1443"/>
      <c r="AI45" s="1443"/>
      <c r="AJ45" s="1443"/>
      <c r="AK45" s="1443"/>
      <c r="AL45" s="1443"/>
      <c r="AM45" s="1606"/>
    </row>
    <row r="46" spans="2:39" ht="18" hidden="1" customHeight="1">
      <c r="B46" s="1412"/>
      <c r="C46" s="3254" t="s">
        <v>4101</v>
      </c>
      <c r="D46" s="3254"/>
      <c r="E46" s="3254"/>
      <c r="F46" s="3254"/>
      <c r="G46" s="3254"/>
      <c r="H46" s="3254"/>
      <c r="I46" s="3254"/>
      <c r="J46" s="3254"/>
      <c r="K46" s="3254"/>
      <c r="L46" s="3254"/>
      <c r="M46" s="3254"/>
      <c r="N46" s="3254"/>
      <c r="O46" s="3254"/>
      <c r="P46" s="3257"/>
      <c r="Q46" s="3238">
        <v>5500</v>
      </c>
      <c r="R46" s="3238"/>
      <c r="S46" s="3238"/>
      <c r="T46" s="3245" t="s">
        <v>3888</v>
      </c>
      <c r="U46" s="3245"/>
      <c r="V46" s="3256">
        <f>IF($Q$44&lt;30,0,($Q$44-30)*$Q$46)</f>
        <v>0</v>
      </c>
      <c r="W46" s="3256"/>
      <c r="X46" s="3256"/>
      <c r="Y46" s="3256"/>
      <c r="Z46" s="806"/>
      <c r="AA46" s="806"/>
      <c r="AB46" s="1614"/>
      <c r="AC46" s="1614"/>
      <c r="AD46" s="1614"/>
      <c r="AE46" s="1614"/>
      <c r="AF46" s="1443"/>
      <c r="AG46" s="1443"/>
      <c r="AH46" s="1443"/>
      <c r="AI46" s="1443"/>
      <c r="AJ46" s="1443"/>
      <c r="AK46" s="1443"/>
      <c r="AL46" s="1443"/>
      <c r="AM46" s="1606"/>
    </row>
    <row r="47" spans="2:39" ht="18" hidden="1" customHeight="1">
      <c r="B47" s="1647"/>
      <c r="C47" s="3258" t="s">
        <v>4112</v>
      </c>
      <c r="D47" s="3258"/>
      <c r="E47" s="3258"/>
      <c r="F47" s="3258"/>
      <c r="G47" s="3258"/>
      <c r="H47" s="3258"/>
      <c r="I47" s="3258"/>
      <c r="J47" s="3258"/>
      <c r="K47" s="3258"/>
      <c r="L47" s="3258"/>
      <c r="M47" s="3258"/>
      <c r="N47" s="3258"/>
      <c r="O47" s="3258"/>
      <c r="P47" s="3258"/>
      <c r="Q47" s="3258"/>
      <c r="R47" s="3258"/>
      <c r="S47" s="3258"/>
      <c r="T47" s="3258"/>
      <c r="U47" s="3259"/>
      <c r="V47" s="3260">
        <f>+$V$45+$V$46</f>
        <v>0</v>
      </c>
      <c r="W47" s="3260"/>
      <c r="X47" s="3260"/>
      <c r="Y47" s="3260"/>
      <c r="Z47" s="1648"/>
      <c r="AA47" s="1607"/>
      <c r="AB47" s="1607"/>
      <c r="AC47" s="1607"/>
      <c r="AD47" s="1607"/>
      <c r="AE47" s="1607"/>
      <c r="AF47" s="1649"/>
      <c r="AG47" s="1650"/>
      <c r="AH47" s="1650"/>
      <c r="AI47" s="1650"/>
      <c r="AJ47" s="1650"/>
      <c r="AK47" s="1607"/>
      <c r="AL47" s="1607"/>
      <c r="AM47" s="1608"/>
    </row>
    <row r="48" spans="2:39" ht="18" hidden="1" customHeight="1">
      <c r="B48" s="1414"/>
      <c r="C48" s="1617"/>
      <c r="D48" s="1617"/>
      <c r="E48" s="1617"/>
      <c r="F48" s="1617"/>
      <c r="G48" s="1617"/>
      <c r="H48" s="1617"/>
      <c r="I48" s="1617"/>
      <c r="J48" s="1617"/>
      <c r="K48" s="1617"/>
      <c r="L48" s="1617"/>
      <c r="M48" s="1617"/>
      <c r="N48" s="1617"/>
      <c r="O48" s="1617"/>
      <c r="P48" s="1617"/>
      <c r="Q48" s="1617"/>
      <c r="R48" s="1617"/>
      <c r="S48" s="1617"/>
      <c r="T48" s="1617"/>
      <c r="U48" s="1617"/>
      <c r="V48" s="1641"/>
      <c r="W48" s="1641"/>
      <c r="X48" s="1641"/>
      <c r="Y48" s="1641"/>
      <c r="Z48" s="1441"/>
      <c r="AA48" s="1443"/>
      <c r="AB48" s="1443"/>
      <c r="AC48" s="1443"/>
      <c r="AD48" s="1443"/>
      <c r="AE48" s="1443"/>
      <c r="AF48" s="806"/>
      <c r="AG48" s="1614"/>
      <c r="AH48" s="1614"/>
      <c r="AI48" s="1614"/>
      <c r="AJ48" s="1614"/>
      <c r="AK48" s="1443"/>
      <c r="AL48" s="1443"/>
      <c r="AM48" s="1606"/>
    </row>
    <row r="49" spans="2:40" ht="18" hidden="1" customHeight="1">
      <c r="B49" s="1412"/>
      <c r="C49" s="3252" t="s">
        <v>3891</v>
      </c>
      <c r="D49" s="3252"/>
      <c r="E49" s="3252"/>
      <c r="F49" s="3252"/>
      <c r="G49" s="3252"/>
      <c r="H49" s="3252"/>
      <c r="I49" s="3252"/>
      <c r="J49" s="3252"/>
      <c r="K49" s="3252"/>
      <c r="L49" s="3252"/>
      <c r="M49" s="3252"/>
      <c r="N49" s="3252"/>
      <c r="O49" s="3252"/>
      <c r="P49" s="3252"/>
      <c r="Q49" s="3252"/>
      <c r="R49" s="3252"/>
      <c r="S49" s="3252"/>
      <c r="T49" s="3252"/>
      <c r="U49" s="3252"/>
      <c r="V49" s="3252"/>
      <c r="W49" s="3252"/>
      <c r="X49" s="3252"/>
      <c r="Y49" s="3252"/>
      <c r="Z49" s="3252"/>
      <c r="AA49" s="3252"/>
      <c r="AB49" s="3252"/>
      <c r="AC49" s="3252"/>
      <c r="AD49" s="3252"/>
      <c r="AE49" s="3252"/>
      <c r="AF49" s="3252"/>
      <c r="AG49" s="3252"/>
      <c r="AH49" s="3252"/>
      <c r="AI49" s="3252"/>
      <c r="AJ49" s="3252"/>
      <c r="AK49" s="3252"/>
      <c r="AL49" s="3252"/>
      <c r="AM49" s="3253"/>
    </row>
    <row r="50" spans="2:40" ht="18" hidden="1" customHeight="1">
      <c r="B50" s="1412"/>
      <c r="C50" s="3254" t="s">
        <v>3887</v>
      </c>
      <c r="D50" s="3254"/>
      <c r="E50" s="3254"/>
      <c r="F50" s="3254"/>
      <c r="G50" s="3254"/>
      <c r="H50" s="3254"/>
      <c r="I50" s="3254"/>
      <c r="J50" s="3254"/>
      <c r="K50" s="3254"/>
      <c r="L50" s="3254"/>
      <c r="M50" s="3254"/>
      <c r="N50" s="3254"/>
      <c r="O50" s="3254"/>
      <c r="P50" s="3254"/>
      <c r="Q50" s="3255"/>
      <c r="R50" s="3255"/>
      <c r="S50" s="1436"/>
      <c r="T50" s="1436"/>
      <c r="U50" s="1436"/>
      <c r="V50" s="1443"/>
      <c r="W50" s="806"/>
      <c r="X50" s="806"/>
      <c r="Y50" s="806"/>
      <c r="Z50" s="1443"/>
      <c r="AA50" s="806"/>
      <c r="AB50" s="806"/>
      <c r="AC50" s="806"/>
      <c r="AD50" s="806"/>
      <c r="AE50" s="806"/>
      <c r="AF50" s="806"/>
      <c r="AG50" s="1614"/>
      <c r="AH50" s="1614"/>
      <c r="AI50" s="1614"/>
      <c r="AJ50" s="1614"/>
      <c r="AK50" s="1443"/>
      <c r="AL50" s="1443"/>
      <c r="AM50" s="1606"/>
    </row>
    <row r="51" spans="2:40" ht="18" hidden="1" customHeight="1">
      <c r="B51" s="1647"/>
      <c r="C51" s="3244" t="s">
        <v>3892</v>
      </c>
      <c r="D51" s="3244"/>
      <c r="E51" s="3244"/>
      <c r="F51" s="3244"/>
      <c r="G51" s="3244"/>
      <c r="H51" s="3244"/>
      <c r="I51" s="3244"/>
      <c r="J51" s="3244"/>
      <c r="K51" s="3244"/>
      <c r="L51" s="3244"/>
      <c r="M51" s="3244"/>
      <c r="N51" s="3244"/>
      <c r="O51" s="3244"/>
      <c r="P51" s="3249"/>
      <c r="Q51" s="3238">
        <v>2000</v>
      </c>
      <c r="R51" s="3238"/>
      <c r="S51" s="3238"/>
      <c r="T51" s="3245" t="s">
        <v>3893</v>
      </c>
      <c r="U51" s="3245"/>
      <c r="V51" s="3256">
        <f>+$Q$50*$Q$51</f>
        <v>0</v>
      </c>
      <c r="W51" s="3256"/>
      <c r="X51" s="3256"/>
      <c r="Y51" s="3256"/>
      <c r="Z51" s="1649"/>
      <c r="AA51" s="1649"/>
      <c r="AB51" s="1649"/>
      <c r="AC51" s="1649"/>
      <c r="AD51" s="1649"/>
      <c r="AE51" s="1607"/>
      <c r="AF51" s="1649"/>
      <c r="AG51" s="1650"/>
      <c r="AH51" s="1650"/>
      <c r="AI51" s="1650"/>
      <c r="AJ51" s="1650"/>
      <c r="AK51" s="1607"/>
      <c r="AL51" s="1607"/>
      <c r="AM51" s="1608"/>
    </row>
    <row r="52" spans="2:40" ht="18" hidden="1" customHeight="1">
      <c r="B52" s="1414"/>
      <c r="C52" s="1616"/>
      <c r="D52" s="1616"/>
      <c r="E52" s="1616"/>
      <c r="F52" s="1616"/>
      <c r="G52" s="1616"/>
      <c r="H52" s="1616"/>
      <c r="I52" s="1616"/>
      <c r="J52" s="1616"/>
      <c r="K52" s="1616"/>
      <c r="L52" s="1616"/>
      <c r="M52" s="1616"/>
      <c r="N52" s="1616"/>
      <c r="O52" s="1616"/>
      <c r="P52" s="1616"/>
      <c r="Q52" s="1642"/>
      <c r="R52" s="1642"/>
      <c r="S52" s="1642"/>
      <c r="T52" s="1637"/>
      <c r="U52" s="1637"/>
      <c r="V52" s="1643"/>
      <c r="W52" s="1643"/>
      <c r="X52" s="1643"/>
      <c r="Y52" s="1643"/>
      <c r="Z52" s="806"/>
      <c r="AA52" s="806"/>
      <c r="AB52" s="806"/>
      <c r="AC52" s="806"/>
      <c r="AD52" s="806"/>
      <c r="AE52" s="1443"/>
      <c r="AF52" s="806"/>
      <c r="AG52" s="1614"/>
      <c r="AH52" s="1614"/>
      <c r="AI52" s="1614"/>
      <c r="AJ52" s="1614"/>
      <c r="AK52" s="1443"/>
      <c r="AL52" s="1443"/>
      <c r="AM52" s="1606"/>
    </row>
    <row r="53" spans="2:40" s="1438" customFormat="1" ht="18" hidden="1" customHeight="1">
      <c r="B53" s="1640"/>
      <c r="C53" s="3331" t="s">
        <v>4115</v>
      </c>
      <c r="D53" s="3331"/>
      <c r="E53" s="3331"/>
      <c r="F53" s="3331"/>
      <c r="G53" s="3331"/>
      <c r="H53" s="3331"/>
      <c r="I53" s="3331"/>
      <c r="J53" s="3331"/>
      <c r="K53" s="3331"/>
      <c r="L53" s="3331"/>
      <c r="M53" s="3331"/>
      <c r="N53" s="3331"/>
      <c r="O53" s="3331"/>
      <c r="P53" s="3331"/>
      <c r="Q53" s="3331"/>
      <c r="R53" s="3331"/>
      <c r="S53" s="3331"/>
      <c r="T53" s="3331"/>
      <c r="U53" s="3331"/>
      <c r="V53" s="3331"/>
      <c r="W53" s="3331"/>
      <c r="X53" s="3331"/>
      <c r="Y53" s="3331"/>
      <c r="Z53" s="3331"/>
      <c r="AA53" s="3331"/>
      <c r="AB53" s="3331"/>
      <c r="AC53" s="3331"/>
      <c r="AD53" s="3331"/>
      <c r="AE53" s="3331"/>
      <c r="AF53" s="3331"/>
      <c r="AG53" s="3331"/>
      <c r="AH53" s="3331"/>
      <c r="AI53" s="3331"/>
      <c r="AJ53" s="3331"/>
      <c r="AK53" s="3331"/>
      <c r="AL53" s="3331"/>
      <c r="AM53" s="3332"/>
      <c r="AN53" s="1646"/>
    </row>
    <row r="54" spans="2:40" s="1438" customFormat="1" ht="18" hidden="1" customHeight="1">
      <c r="B54" s="1640"/>
      <c r="C54" s="3254" t="s">
        <v>3887</v>
      </c>
      <c r="D54" s="3254"/>
      <c r="E54" s="3254"/>
      <c r="F54" s="3254"/>
      <c r="G54" s="3254"/>
      <c r="H54" s="3254"/>
      <c r="I54" s="3254"/>
      <c r="J54" s="3254"/>
      <c r="K54" s="3254"/>
      <c r="L54" s="3254"/>
      <c r="M54" s="3254"/>
      <c r="N54" s="3254"/>
      <c r="O54" s="3254"/>
      <c r="P54" s="3254"/>
      <c r="Q54" s="3329">
        <f>X54+ManagerUnits</f>
        <v>1</v>
      </c>
      <c r="R54" s="3330"/>
      <c r="S54" s="3212" t="s">
        <v>2354</v>
      </c>
      <c r="T54" s="3212"/>
      <c r="U54" s="3212"/>
      <c r="V54" s="3212"/>
      <c r="W54" s="3212"/>
      <c r="X54" s="3329">
        <f>SUMIFS(UnitsTbl[Total Restricted Units],UnitsTbl[Restricted Income Level],"&lt;=60%")</f>
        <v>0</v>
      </c>
      <c r="Y54" s="3330"/>
      <c r="Z54" s="3325" t="s">
        <v>4111</v>
      </c>
      <c r="AA54" s="3325"/>
      <c r="AB54" s="3325"/>
      <c r="AC54" s="3325"/>
      <c r="AD54" s="3325"/>
      <c r="AE54" s="3325"/>
      <c r="AF54" s="3325"/>
      <c r="AG54" s="3325"/>
      <c r="AH54" s="3325"/>
      <c r="AI54" s="3325"/>
      <c r="AJ54" s="3325"/>
      <c r="AK54" s="3325"/>
      <c r="AL54" s="2058" t="b">
        <f>AND(Jointventure="Joint Venture",OR(vmNCBD="Yes",vmCBD="Yes",vmED="Yes"))</f>
        <v>0</v>
      </c>
      <c r="AM54" s="2058"/>
      <c r="AN54" s="1646"/>
    </row>
    <row r="55" spans="2:40" s="1438" customFormat="1" ht="18" hidden="1" customHeight="1">
      <c r="B55" s="1640"/>
      <c r="C55" s="3254" t="s">
        <v>4108</v>
      </c>
      <c r="D55" s="3254"/>
      <c r="E55" s="3254"/>
      <c r="F55" s="3254"/>
      <c r="G55" s="3254"/>
      <c r="H55" s="3254"/>
      <c r="I55" s="3254"/>
      <c r="J55" s="3254"/>
      <c r="K55" s="3254"/>
      <c r="L55" s="3254"/>
      <c r="M55" s="3254"/>
      <c r="N55" s="3254"/>
      <c r="O55" s="3254"/>
      <c r="P55" s="3257"/>
      <c r="Q55" s="3238">
        <v>40000</v>
      </c>
      <c r="R55" s="3238"/>
      <c r="S55" s="3238"/>
      <c r="T55" s="3237" t="s">
        <v>3888</v>
      </c>
      <c r="U55" s="3237"/>
      <c r="V55" s="3333">
        <f>(MAX(1200000,Q54*Q55)+300000*AL54)*(X54&lt;=49)</f>
        <v>1200000</v>
      </c>
      <c r="W55" s="3333"/>
      <c r="X55" s="3333"/>
      <c r="Y55" s="3333"/>
      <c r="Z55" s="1144"/>
      <c r="AA55" s="1144"/>
      <c r="AB55" s="1144"/>
      <c r="AC55" s="1144"/>
      <c r="AD55" s="1144"/>
      <c r="AE55" s="1144"/>
      <c r="AF55" s="1144"/>
      <c r="AG55" s="1144"/>
      <c r="AH55" s="1144"/>
      <c r="AI55" s="1144"/>
      <c r="AJ55" s="1144"/>
      <c r="AK55" s="1144"/>
      <c r="AL55" s="1144"/>
      <c r="AM55" s="1639"/>
      <c r="AN55" s="1646"/>
    </row>
    <row r="56" spans="2:40" s="1438" customFormat="1" ht="18" hidden="1" customHeight="1">
      <c r="B56" s="1640"/>
      <c r="C56" s="3254" t="s">
        <v>4109</v>
      </c>
      <c r="D56" s="3254"/>
      <c r="E56" s="3254"/>
      <c r="F56" s="3254"/>
      <c r="G56" s="3254"/>
      <c r="H56" s="3254"/>
      <c r="I56" s="3254"/>
      <c r="J56" s="3254"/>
      <c r="K56" s="3254"/>
      <c r="L56" s="3254"/>
      <c r="M56" s="3254"/>
      <c r="N56" s="3254"/>
      <c r="O56" s="3254"/>
      <c r="P56" s="3254"/>
      <c r="Q56" s="1144"/>
      <c r="R56" s="1144"/>
      <c r="S56" s="1144"/>
      <c r="T56" s="1144"/>
      <c r="U56" s="1144"/>
      <c r="V56" s="3333">
        <f>(2200000+300000*AL54)*AND(X54&gt;=50,X54&lt;=100)</f>
        <v>0</v>
      </c>
      <c r="W56" s="3333"/>
      <c r="X56" s="3333"/>
      <c r="Y56" s="3333"/>
      <c r="Z56" s="1144"/>
      <c r="AA56" s="1144"/>
      <c r="AB56" s="1144"/>
      <c r="AC56" s="1144"/>
      <c r="AD56" s="1144"/>
      <c r="AE56" s="1144"/>
      <c r="AF56" s="1144"/>
      <c r="AG56" s="1144"/>
      <c r="AH56" s="1144"/>
      <c r="AI56" s="1144"/>
      <c r="AJ56" s="1144"/>
      <c r="AK56" s="1144"/>
      <c r="AL56" s="1144"/>
      <c r="AM56" s="1639"/>
      <c r="AN56" s="1646"/>
    </row>
    <row r="57" spans="2:40" s="1438" customFormat="1" ht="18" hidden="1" customHeight="1">
      <c r="B57" s="1640"/>
      <c r="C57" s="3254" t="s">
        <v>4110</v>
      </c>
      <c r="D57" s="3254"/>
      <c r="E57" s="3254"/>
      <c r="F57" s="3254"/>
      <c r="G57" s="3254"/>
      <c r="H57" s="3254"/>
      <c r="I57" s="3254"/>
      <c r="J57" s="3254"/>
      <c r="K57" s="3254"/>
      <c r="L57" s="3254"/>
      <c r="M57" s="3254"/>
      <c r="N57" s="3254"/>
      <c r="O57" s="3254"/>
      <c r="P57" s="3257"/>
      <c r="Q57" s="3238">
        <v>20000</v>
      </c>
      <c r="R57" s="3238"/>
      <c r="S57" s="3238"/>
      <c r="T57" s="3237" t="s">
        <v>3888</v>
      </c>
      <c r="U57" s="3237"/>
      <c r="V57" s="3333">
        <f>(MIN(2200000+Q57*(X54-100),3500000)+300000*AL54)*(X54&gt;100)</f>
        <v>0</v>
      </c>
      <c r="W57" s="3333"/>
      <c r="X57" s="3333"/>
      <c r="Y57" s="3333"/>
      <c r="Z57" s="1144"/>
      <c r="AA57" s="1144"/>
      <c r="AB57" s="1144"/>
      <c r="AC57" s="1144"/>
      <c r="AD57" s="1144"/>
      <c r="AE57" s="1144"/>
      <c r="AF57" s="1144"/>
      <c r="AG57" s="1144"/>
      <c r="AH57" s="1144"/>
      <c r="AI57" s="1144"/>
      <c r="AJ57" s="1144"/>
      <c r="AK57" s="1144"/>
      <c r="AL57" s="1144"/>
      <c r="AM57" s="1639"/>
      <c r="AN57" s="1646"/>
    </row>
    <row r="58" spans="2:40" s="1438" customFormat="1" ht="18" hidden="1" customHeight="1">
      <c r="B58" s="3246" t="s">
        <v>4116</v>
      </c>
      <c r="C58" s="3247"/>
      <c r="D58" s="3247"/>
      <c r="E58" s="3247"/>
      <c r="F58" s="3247"/>
      <c r="G58" s="3247"/>
      <c r="H58" s="3247"/>
      <c r="I58" s="3247"/>
      <c r="J58" s="3247"/>
      <c r="K58" s="3247"/>
      <c r="L58" s="3247"/>
      <c r="M58" s="3247"/>
      <c r="N58" s="3247"/>
      <c r="O58" s="3247"/>
      <c r="P58" s="3247"/>
      <c r="Q58" s="3247"/>
      <c r="R58" s="3247"/>
      <c r="S58" s="3247"/>
      <c r="T58" s="3247"/>
      <c r="U58" s="3248"/>
      <c r="V58" s="3333">
        <f>MAX(V55,V56,V57)</f>
        <v>1200000</v>
      </c>
      <c r="W58" s="3333"/>
      <c r="X58" s="3333"/>
      <c r="Y58" s="3333"/>
      <c r="Z58" s="1651"/>
      <c r="AA58" s="1651"/>
      <c r="AB58" s="1651"/>
      <c r="AC58" s="1651"/>
      <c r="AD58" s="1651"/>
      <c r="AE58" s="1651"/>
      <c r="AF58" s="1651"/>
      <c r="AG58" s="1651"/>
      <c r="AH58" s="1651"/>
      <c r="AI58" s="1651"/>
      <c r="AJ58" s="1651"/>
      <c r="AK58" s="1651"/>
      <c r="AL58" s="1651"/>
      <c r="AM58" s="1652"/>
      <c r="AN58" s="1646"/>
    </row>
    <row r="59" spans="2:40" s="1438" customFormat="1" ht="18" hidden="1" customHeight="1">
      <c r="B59" s="1638"/>
      <c r="C59" s="1144"/>
      <c r="D59" s="1144"/>
      <c r="E59" s="1144"/>
      <c r="F59" s="1144"/>
      <c r="G59" s="1144"/>
      <c r="H59" s="1144"/>
      <c r="I59" s="1144"/>
      <c r="J59" s="1144"/>
      <c r="K59" s="1144"/>
      <c r="L59" s="1144"/>
      <c r="M59" s="1144"/>
      <c r="N59" s="1144"/>
      <c r="O59" s="1144"/>
      <c r="P59" s="1144"/>
      <c r="Q59" s="1144"/>
      <c r="R59" s="1144"/>
      <c r="S59" s="1144"/>
      <c r="T59" s="1144"/>
      <c r="U59" s="1144"/>
      <c r="V59" s="1653"/>
      <c r="W59" s="1653"/>
      <c r="X59" s="1653"/>
      <c r="Y59" s="1653"/>
      <c r="Z59" s="1144"/>
      <c r="AA59" s="1144"/>
      <c r="AB59" s="1144"/>
      <c r="AC59" s="1144"/>
      <c r="AD59" s="1144"/>
      <c r="AE59" s="1144"/>
      <c r="AF59" s="1144"/>
      <c r="AG59" s="1144"/>
      <c r="AH59" s="1144"/>
      <c r="AI59" s="1144"/>
      <c r="AJ59" s="1144"/>
      <c r="AK59" s="1144"/>
      <c r="AL59" s="1144"/>
      <c r="AM59" s="1639"/>
      <c r="AN59" s="1646"/>
    </row>
    <row r="60" spans="2:40" ht="18" hidden="1" customHeight="1">
      <c r="B60" s="3243" t="s">
        <v>4107</v>
      </c>
      <c r="C60" s="3244"/>
      <c r="D60" s="3244"/>
      <c r="E60" s="3244"/>
      <c r="F60" s="3244"/>
      <c r="G60" s="3244"/>
      <c r="H60" s="3244"/>
      <c r="I60" s="3244"/>
      <c r="J60" s="3244"/>
      <c r="K60" s="3244"/>
      <c r="L60" s="3244"/>
      <c r="M60" s="3244"/>
      <c r="N60" s="3244"/>
      <c r="O60" s="3244"/>
      <c r="P60" s="3244"/>
      <c r="Q60" s="3244"/>
      <c r="R60" s="3244"/>
      <c r="S60" s="3244"/>
      <c r="T60" s="3244"/>
      <c r="U60" s="3244"/>
      <c r="V60" s="3244"/>
      <c r="W60" s="3244"/>
      <c r="X60" s="3244"/>
      <c r="Y60" s="3244"/>
      <c r="Z60" s="3244"/>
      <c r="AA60" s="3244"/>
      <c r="AB60" s="3244"/>
      <c r="AC60" s="3244"/>
      <c r="AD60" s="3244"/>
      <c r="AE60" s="3244"/>
      <c r="AF60" s="3244"/>
      <c r="AG60" s="3244"/>
      <c r="AH60" s="3244"/>
      <c r="AI60" s="3244"/>
      <c r="AJ60" s="3327">
        <f>MAX($V$40,$V$47,$V$51,V58)</f>
        <v>1200000</v>
      </c>
      <c r="AK60" s="3327"/>
      <c r="AL60" s="3327"/>
      <c r="AM60" s="3328"/>
    </row>
    <row r="61" spans="2:40" ht="18" customHeight="1">
      <c r="B61" s="415"/>
      <c r="C61" s="415"/>
      <c r="D61" s="415"/>
      <c r="E61" s="415"/>
      <c r="F61" s="415"/>
      <c r="G61" s="415"/>
      <c r="H61" s="415"/>
      <c r="I61" s="415"/>
      <c r="J61" s="415"/>
      <c r="K61" s="415"/>
      <c r="L61" s="415"/>
      <c r="M61" s="415"/>
      <c r="N61" s="415"/>
      <c r="O61" s="415"/>
      <c r="P61" s="415"/>
      <c r="Q61" s="415"/>
      <c r="R61" s="415"/>
      <c r="S61" s="415"/>
      <c r="T61" s="415"/>
      <c r="U61" s="415"/>
      <c r="V61" s="415"/>
      <c r="W61" s="415"/>
      <c r="X61" s="415"/>
      <c r="Y61" s="415"/>
      <c r="Z61" s="415"/>
      <c r="AA61" s="415"/>
      <c r="AB61" s="415"/>
      <c r="AC61" s="415"/>
      <c r="AD61" s="415"/>
      <c r="AE61" s="415"/>
      <c r="AF61" s="415"/>
      <c r="AG61" s="415"/>
      <c r="AH61" s="415"/>
      <c r="AI61" s="415"/>
      <c r="AJ61" s="415"/>
      <c r="AK61" s="1443"/>
      <c r="AL61" s="1443"/>
      <c r="AM61" s="1443"/>
    </row>
    <row r="62" spans="2:40" ht="18" customHeight="1">
      <c r="B62" s="415"/>
      <c r="C62" s="415"/>
      <c r="D62" s="415"/>
      <c r="E62" s="415"/>
      <c r="F62" s="415"/>
      <c r="G62" s="415"/>
      <c r="H62" s="415"/>
      <c r="I62" s="415"/>
      <c r="J62" s="415"/>
      <c r="K62" s="415"/>
      <c r="L62" s="415"/>
      <c r="M62" s="415"/>
      <c r="N62" s="415"/>
      <c r="O62" s="415"/>
      <c r="P62" s="415"/>
      <c r="Q62" s="415"/>
      <c r="R62" s="415"/>
      <c r="S62" s="415"/>
      <c r="T62" s="415"/>
      <c r="U62" s="415"/>
      <c r="V62" s="415"/>
      <c r="W62" s="415"/>
      <c r="X62" s="415"/>
      <c r="Y62" s="415"/>
      <c r="Z62" s="415"/>
      <c r="AA62" s="415"/>
      <c r="AB62" s="415"/>
      <c r="AC62" s="415"/>
      <c r="AD62" s="415"/>
      <c r="AE62" s="415"/>
      <c r="AF62" s="415"/>
      <c r="AG62" s="415"/>
      <c r="AH62" s="415"/>
      <c r="AI62" s="415"/>
      <c r="AJ62" s="415"/>
      <c r="AK62" s="1443"/>
      <c r="AL62" s="1443"/>
      <c r="AM62" s="1443"/>
    </row>
  </sheetData>
  <mergeCells count="135">
    <mergeCell ref="AL54:AM54"/>
    <mergeCell ref="Z54:AK54"/>
    <mergeCell ref="U22:AK22"/>
    <mergeCell ref="AJ60:AM60"/>
    <mergeCell ref="C54:P54"/>
    <mergeCell ref="X54:Y54"/>
    <mergeCell ref="C55:P55"/>
    <mergeCell ref="Q55:S55"/>
    <mergeCell ref="T55:U55"/>
    <mergeCell ref="Q54:R54"/>
    <mergeCell ref="C53:AM53"/>
    <mergeCell ref="Q57:S57"/>
    <mergeCell ref="C57:P57"/>
    <mergeCell ref="C56:P56"/>
    <mergeCell ref="V55:Y55"/>
    <mergeCell ref="V56:Y56"/>
    <mergeCell ref="V57:Y57"/>
    <mergeCell ref="V58:Y58"/>
    <mergeCell ref="S54:W54"/>
    <mergeCell ref="AG28:AI28"/>
    <mergeCell ref="AC28:AF28"/>
    <mergeCell ref="B34:AH34"/>
    <mergeCell ref="C35:AM35"/>
    <mergeCell ref="C30:AB30"/>
    <mergeCell ref="AA10:AD10"/>
    <mergeCell ref="B7:Z7"/>
    <mergeCell ref="B10:Z10"/>
    <mergeCell ref="AE6:AH6"/>
    <mergeCell ref="AE7:AH7"/>
    <mergeCell ref="AE8:AH8"/>
    <mergeCell ref="AE9:AH9"/>
    <mergeCell ref="F5:I5"/>
    <mergeCell ref="B2:AP2"/>
    <mergeCell ref="J5:O5"/>
    <mergeCell ref="B8:Z8"/>
    <mergeCell ref="B9:Z9"/>
    <mergeCell ref="B5:E5"/>
    <mergeCell ref="B4:E4"/>
    <mergeCell ref="P5:W5"/>
    <mergeCell ref="F4:AD4"/>
    <mergeCell ref="AE4:AH4"/>
    <mergeCell ref="AA6:AD6"/>
    <mergeCell ref="AA7:AD7"/>
    <mergeCell ref="AA8:AD8"/>
    <mergeCell ref="AA9:AD9"/>
    <mergeCell ref="AI4:AM4"/>
    <mergeCell ref="C18:AB18"/>
    <mergeCell ref="B6:I6"/>
    <mergeCell ref="AI12:AM12"/>
    <mergeCell ref="C19:AH19"/>
    <mergeCell ref="AJ18:AM18"/>
    <mergeCell ref="AC16:AF16"/>
    <mergeCell ref="AC17:AF17"/>
    <mergeCell ref="AC18:AF18"/>
    <mergeCell ref="C15:I15"/>
    <mergeCell ref="J15:R15"/>
    <mergeCell ref="AJ15:AM15"/>
    <mergeCell ref="AJ16:AM16"/>
    <mergeCell ref="AJ17:AM17"/>
    <mergeCell ref="C16:AB16"/>
    <mergeCell ref="C17:AB17"/>
    <mergeCell ref="AI7:AM7"/>
    <mergeCell ref="AI8:AM8"/>
    <mergeCell ref="B14:AA14"/>
    <mergeCell ref="P12:X12"/>
    <mergeCell ref="Y12:AB12"/>
    <mergeCell ref="AC12:AH12"/>
    <mergeCell ref="L12:O12"/>
    <mergeCell ref="B12:K12"/>
    <mergeCell ref="AE10:AH10"/>
    <mergeCell ref="B21:AM21"/>
    <mergeCell ref="AJ23:AM23"/>
    <mergeCell ref="AJ24:AM24"/>
    <mergeCell ref="AJ28:AM28"/>
    <mergeCell ref="AJ29:AM29"/>
    <mergeCell ref="C28:AB28"/>
    <mergeCell ref="C29:AB29"/>
    <mergeCell ref="AL22:AM22"/>
    <mergeCell ref="AC23:AF23"/>
    <mergeCell ref="AC24:AF24"/>
    <mergeCell ref="C23:AB23"/>
    <mergeCell ref="C24:AB24"/>
    <mergeCell ref="C25:AB25"/>
    <mergeCell ref="C26:AB26"/>
    <mergeCell ref="C27:AB27"/>
    <mergeCell ref="AG26:AI26"/>
    <mergeCell ref="AG27:AI27"/>
    <mergeCell ref="AG25:AI25"/>
    <mergeCell ref="AF31:AI31"/>
    <mergeCell ref="AF32:AI32"/>
    <mergeCell ref="AB31:AE31"/>
    <mergeCell ref="C31:P31"/>
    <mergeCell ref="Q31:AA31"/>
    <mergeCell ref="C32:AE32"/>
    <mergeCell ref="AJ30:AM30"/>
    <mergeCell ref="AF30:AI30"/>
    <mergeCell ref="V45:Y45"/>
    <mergeCell ref="V46:Y46"/>
    <mergeCell ref="C42:AM42"/>
    <mergeCell ref="C43:AM43"/>
    <mergeCell ref="Q44:R44"/>
    <mergeCell ref="C36:AM36"/>
    <mergeCell ref="C40:U40"/>
    <mergeCell ref="Q38:S38"/>
    <mergeCell ref="Q39:S39"/>
    <mergeCell ref="Q37:R37"/>
    <mergeCell ref="V38:Y38"/>
    <mergeCell ref="V39:Y39"/>
    <mergeCell ref="V40:Y40"/>
    <mergeCell ref="T39:U39"/>
    <mergeCell ref="T38:U38"/>
    <mergeCell ref="T57:U57"/>
    <mergeCell ref="Q45:S45"/>
    <mergeCell ref="Q46:S46"/>
    <mergeCell ref="AJ31:AM32"/>
    <mergeCell ref="B60:AI60"/>
    <mergeCell ref="T46:U46"/>
    <mergeCell ref="B58:U58"/>
    <mergeCell ref="C51:P51"/>
    <mergeCell ref="AJ19:AM19"/>
    <mergeCell ref="C49:AM49"/>
    <mergeCell ref="C50:P50"/>
    <mergeCell ref="Q50:R50"/>
    <mergeCell ref="Q51:S51"/>
    <mergeCell ref="T51:U51"/>
    <mergeCell ref="V51:Y51"/>
    <mergeCell ref="C37:P37"/>
    <mergeCell ref="C38:P38"/>
    <mergeCell ref="C39:P39"/>
    <mergeCell ref="C44:P44"/>
    <mergeCell ref="C45:P45"/>
    <mergeCell ref="C47:U47"/>
    <mergeCell ref="V47:Y47"/>
    <mergeCell ref="C46:P46"/>
    <mergeCell ref="T45:U45"/>
  </mergeCells>
  <conditionalFormatting sqref="AI7">
    <cfRule type="cellIs" dxfId="384" priority="4" operator="equal">
      <formula>0</formula>
    </cfRule>
    <cfRule type="cellIs" dxfId="383" priority="7" operator="greaterThan">
      <formula>0</formula>
    </cfRule>
  </conditionalFormatting>
  <conditionalFormatting sqref="AI8:AI10">
    <cfRule type="cellIs" dxfId="382" priority="1" operator="equal">
      <formula>0</formula>
    </cfRule>
    <cfRule type="cellIs" dxfId="381" priority="2" operator="greaterThan">
      <formula>0</formula>
    </cfRule>
  </conditionalFormatting>
  <conditionalFormatting sqref="AF31">
    <cfRule type="expression" dxfId="380" priority="444">
      <formula>AF31&gt;AJ19</formula>
    </cfRule>
  </conditionalFormatting>
  <conditionalFormatting sqref="AG23:AG24 AC23:AC24">
    <cfRule type="expression" dxfId="379" priority="445">
      <formula>$C$23="Not Applicable"</formula>
    </cfRule>
  </conditionalFormatting>
  <conditionalFormatting sqref="AG26">
    <cfRule type="expression" dxfId="378" priority="446">
      <formula>$C$26="Not Applicable"</formula>
    </cfRule>
  </conditionalFormatting>
  <conditionalFormatting sqref="AG27">
    <cfRule type="expression" dxfId="377" priority="447">
      <formula>$C$27="Not Applicable"</formula>
    </cfRule>
  </conditionalFormatting>
  <conditionalFormatting sqref="AG25 AC28">
    <cfRule type="expression" dxfId="376" priority="448">
      <formula>$C$25="Not Applicable"</formula>
    </cfRule>
  </conditionalFormatting>
  <conditionalFormatting sqref="AJ25:AJ27">
    <cfRule type="expression" dxfId="375" priority="451" stopIfTrue="1">
      <formula>OR($F$5="Origination",$F$5="Perm Close")</formula>
    </cfRule>
    <cfRule type="expression" dxfId="374" priority="452">
      <formula>$C$24="Not Applicable"</formula>
    </cfRule>
  </conditionalFormatting>
  <conditionalFormatting sqref="AF30">
    <cfRule type="cellIs" dxfId="373" priority="453" operator="greaterThan">
      <formula>$AJ$29</formula>
    </cfRule>
  </conditionalFormatting>
  <dataValidations count="3">
    <dataValidation type="list" allowBlank="1" showInputMessage="1" showErrorMessage="1" sqref="P5:W5" xr:uid="{EA854861-BCB7-455B-931D-48931473AC1C}">
      <formula1>"No Tax Credits, 4% Credits New Construction, 4% Credits Rehabilitation,4% Credits Acq. Rehabilitation,4% Credits Adaptive Reuse,9% Credits New Construction,9% Credits Rehabilitation,9% Credits Acq. Rehabilitation,9% Credits Adaptive Reuse"</formula1>
    </dataValidation>
    <dataValidation type="list" allowBlank="1" showInputMessage="1" showErrorMessage="1" sqref="F5" xr:uid="{9D39A267-C733-464E-8F4C-BCB474C88F27}">
      <formula1>"Origination,Construction Close,Perm Close"</formula1>
    </dataValidation>
    <dataValidation type="list" allowBlank="1" showInputMessage="1" showErrorMessage="1" sqref="AG25:AG27" xr:uid="{C081F0A1-6B68-47B6-BF24-1FE51C1F4A69}">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Group Box 1">
              <controlPr defaultSize="0" autoFill="0" autoPict="0">
                <anchor moveWithCells="1">
                  <from>
                    <xdr:col>30</xdr:col>
                    <xdr:colOff>0</xdr:colOff>
                    <xdr:row>25</xdr:row>
                    <xdr:rowOff>22860</xdr:rowOff>
                  </from>
                  <to>
                    <xdr:col>42</xdr:col>
                    <xdr:colOff>342900</xdr:colOff>
                    <xdr:row>60</xdr:row>
                    <xdr:rowOff>30480</xdr:rowOff>
                  </to>
                </anchor>
              </controlPr>
            </control>
          </mc:Choice>
        </mc:AlternateContent>
        <mc:AlternateContent xmlns:mc="http://schemas.openxmlformats.org/markup-compatibility/2006">
          <mc:Choice Requires="x14">
            <control shapeId="458754" r:id="rId5" name="Group Box 2">
              <controlPr defaultSize="0" autoFill="0" autoPict="0">
                <anchor moveWithCells="1">
                  <from>
                    <xdr:col>30</xdr:col>
                    <xdr:colOff>0</xdr:colOff>
                    <xdr:row>24</xdr:row>
                    <xdr:rowOff>0</xdr:rowOff>
                  </from>
                  <to>
                    <xdr:col>42</xdr:col>
                    <xdr:colOff>342900</xdr:colOff>
                    <xdr:row>60</xdr:row>
                    <xdr:rowOff>45720</xdr:rowOff>
                  </to>
                </anchor>
              </controlPr>
            </control>
          </mc:Choice>
        </mc:AlternateContent>
        <mc:AlternateContent xmlns:mc="http://schemas.openxmlformats.org/markup-compatibility/2006">
          <mc:Choice Requires="x14">
            <control shapeId="458755" r:id="rId6" name="Group Box 3">
              <controlPr defaultSize="0" autoFill="0" autoPict="0">
                <anchor moveWithCells="1">
                  <from>
                    <xdr:col>30</xdr:col>
                    <xdr:colOff>7620</xdr:colOff>
                    <xdr:row>26</xdr:row>
                    <xdr:rowOff>7620</xdr:rowOff>
                  </from>
                  <to>
                    <xdr:col>42</xdr:col>
                    <xdr:colOff>297180</xdr:colOff>
                    <xdr:row>60</xdr:row>
                    <xdr:rowOff>68580</xdr:rowOff>
                  </to>
                </anchor>
              </controlPr>
            </control>
          </mc:Choice>
        </mc:AlternateContent>
        <mc:AlternateContent xmlns:mc="http://schemas.openxmlformats.org/markup-compatibility/2006">
          <mc:Choice Requires="x14">
            <control shapeId="458756" r:id="rId7" name="Group Box 4">
              <controlPr defaultSize="0" autoFill="0" autoPict="0">
                <anchor moveWithCells="1">
                  <from>
                    <xdr:col>30</xdr:col>
                    <xdr:colOff>0</xdr:colOff>
                    <xdr:row>24</xdr:row>
                    <xdr:rowOff>0</xdr:rowOff>
                  </from>
                  <to>
                    <xdr:col>42</xdr:col>
                    <xdr:colOff>342900</xdr:colOff>
                    <xdr:row>60</xdr:row>
                    <xdr:rowOff>45720</xdr:rowOff>
                  </to>
                </anchor>
              </controlPr>
            </control>
          </mc:Choice>
        </mc:AlternateContent>
        <mc:AlternateContent xmlns:mc="http://schemas.openxmlformats.org/markup-compatibility/2006">
          <mc:Choice Requires="x14">
            <control shapeId="458757" r:id="rId8" name="Group Box 5">
              <controlPr defaultSize="0" autoFill="0" autoPict="0">
                <anchor moveWithCells="1">
                  <from>
                    <xdr:col>30</xdr:col>
                    <xdr:colOff>0</xdr:colOff>
                    <xdr:row>25</xdr:row>
                    <xdr:rowOff>0</xdr:rowOff>
                  </from>
                  <to>
                    <xdr:col>42</xdr:col>
                    <xdr:colOff>342900</xdr:colOff>
                    <xdr:row>60</xdr:row>
                    <xdr:rowOff>45720</xdr:rowOff>
                  </to>
                </anchor>
              </controlPr>
            </control>
          </mc:Choice>
        </mc:AlternateContent>
        <mc:AlternateContent xmlns:mc="http://schemas.openxmlformats.org/markup-compatibility/2006">
          <mc:Choice Requires="x14">
            <control shapeId="458758" r:id="rId9" name="Group Box 6">
              <controlPr defaultSize="0" autoFill="0" autoPict="0">
                <anchor moveWithCells="1">
                  <from>
                    <xdr:col>30</xdr:col>
                    <xdr:colOff>0</xdr:colOff>
                    <xdr:row>25</xdr:row>
                    <xdr:rowOff>0</xdr:rowOff>
                  </from>
                  <to>
                    <xdr:col>42</xdr:col>
                    <xdr:colOff>342900</xdr:colOff>
                    <xdr:row>60</xdr:row>
                    <xdr:rowOff>45720</xdr:rowOff>
                  </to>
                </anchor>
              </controlPr>
            </control>
          </mc:Choice>
        </mc:AlternateContent>
        <mc:AlternateContent xmlns:mc="http://schemas.openxmlformats.org/markup-compatibility/2006">
          <mc:Choice Requires="x14">
            <control shapeId="458759" r:id="rId10" name="Group Box 7">
              <controlPr defaultSize="0" autoFill="0" autoPict="0">
                <anchor moveWithCells="1">
                  <from>
                    <xdr:col>30</xdr:col>
                    <xdr:colOff>0</xdr:colOff>
                    <xdr:row>26</xdr:row>
                    <xdr:rowOff>0</xdr:rowOff>
                  </from>
                  <to>
                    <xdr:col>42</xdr:col>
                    <xdr:colOff>342900</xdr:colOff>
                    <xdr:row>60</xdr:row>
                    <xdr:rowOff>45720</xdr:rowOff>
                  </to>
                </anchor>
              </controlPr>
            </control>
          </mc:Choice>
        </mc:AlternateContent>
        <mc:AlternateContent xmlns:mc="http://schemas.openxmlformats.org/markup-compatibility/2006">
          <mc:Choice Requires="x14">
            <control shapeId="458760" r:id="rId11" name="Group Box 8">
              <controlPr defaultSize="0" autoFill="0" autoPict="0">
                <anchor moveWithCells="1">
                  <from>
                    <xdr:col>30</xdr:col>
                    <xdr:colOff>0</xdr:colOff>
                    <xdr:row>26</xdr:row>
                    <xdr:rowOff>0</xdr:rowOff>
                  </from>
                  <to>
                    <xdr:col>42</xdr:col>
                    <xdr:colOff>342900</xdr:colOff>
                    <xdr:row>60</xdr:row>
                    <xdr:rowOff>45720</xdr:rowOff>
                  </to>
                </anchor>
              </controlPr>
            </control>
          </mc:Choice>
        </mc:AlternateContent>
        <mc:AlternateContent xmlns:mc="http://schemas.openxmlformats.org/markup-compatibility/2006">
          <mc:Choice Requires="x14">
            <control shapeId="458761" r:id="rId12" name="Group Box 9">
              <controlPr defaultSize="0" autoFill="0" autoPict="0">
                <anchor moveWithCells="1">
                  <from>
                    <xdr:col>30</xdr:col>
                    <xdr:colOff>0</xdr:colOff>
                    <xdr:row>24</xdr:row>
                    <xdr:rowOff>0</xdr:rowOff>
                  </from>
                  <to>
                    <xdr:col>42</xdr:col>
                    <xdr:colOff>342900</xdr:colOff>
                    <xdr:row>60</xdr:row>
                    <xdr:rowOff>45720</xdr:rowOff>
                  </to>
                </anchor>
              </controlPr>
            </control>
          </mc:Choice>
        </mc:AlternateContent>
        <mc:AlternateContent xmlns:mc="http://schemas.openxmlformats.org/markup-compatibility/2006">
          <mc:Choice Requires="x14">
            <control shapeId="458762" r:id="rId13" name="Group Box 10">
              <controlPr defaultSize="0" autoFill="0" autoPict="0">
                <anchor moveWithCells="1">
                  <from>
                    <xdr:col>30</xdr:col>
                    <xdr:colOff>0</xdr:colOff>
                    <xdr:row>24</xdr:row>
                    <xdr:rowOff>0</xdr:rowOff>
                  </from>
                  <to>
                    <xdr:col>42</xdr:col>
                    <xdr:colOff>342900</xdr:colOff>
                    <xdr:row>60</xdr:row>
                    <xdr:rowOff>45720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dimension ref="A2:AO26"/>
  <sheetViews>
    <sheetView showGridLines="0" zoomScaleNormal="100" zoomScaleSheetLayoutView="100" workbookViewId="0">
      <selection activeCell="C8" sqref="C8:AI8"/>
    </sheetView>
  </sheetViews>
  <sheetFormatPr defaultColWidth="9.109375" defaultRowHeight="18" customHeight="1"/>
  <cols>
    <col min="1" max="1" width="4.109375" style="14" customWidth="1"/>
    <col min="2" max="39" width="4.109375" style="132" customWidth="1"/>
    <col min="40" max="41" width="9.109375" style="14" hidden="1" customWidth="1"/>
    <col min="42" max="16384" width="9.109375" style="14"/>
  </cols>
  <sheetData>
    <row r="2" spans="1:41" ht="17.399999999999999">
      <c r="B2" s="3347" t="s">
        <v>3104</v>
      </c>
      <c r="C2" s="3347"/>
      <c r="D2" s="3347"/>
      <c r="E2" s="3347"/>
      <c r="F2" s="3347"/>
      <c r="G2" s="3347"/>
      <c r="H2" s="3347"/>
      <c r="I2" s="3347"/>
      <c r="J2" s="3347"/>
      <c r="K2" s="3347"/>
      <c r="L2" s="3347"/>
      <c r="M2" s="3347"/>
      <c r="N2" s="3347"/>
      <c r="O2" s="3347"/>
      <c r="P2" s="3347"/>
      <c r="Q2" s="3347"/>
      <c r="R2" s="3347"/>
      <c r="S2" s="3347"/>
      <c r="T2" s="3347"/>
      <c r="U2" s="3347"/>
      <c r="V2" s="3347"/>
      <c r="W2" s="3347"/>
      <c r="X2" s="3347"/>
      <c r="Y2" s="3347"/>
      <c r="Z2" s="3347"/>
      <c r="AA2" s="3347"/>
      <c r="AB2" s="3347"/>
      <c r="AC2" s="3347"/>
      <c r="AD2" s="3347"/>
      <c r="AE2" s="3347"/>
      <c r="AF2" s="3347"/>
      <c r="AG2" s="3347"/>
      <c r="AH2" s="3347"/>
      <c r="AI2" s="3347"/>
      <c r="AJ2" s="3347"/>
      <c r="AK2" s="3347"/>
      <c r="AL2" s="3347"/>
      <c r="AM2" s="3347"/>
    </row>
    <row r="3" spans="1:41" ht="9" customHeight="1">
      <c r="B3" s="1556"/>
      <c r="C3" s="1556"/>
      <c r="D3" s="1556"/>
      <c r="E3" s="1556"/>
      <c r="F3" s="1556"/>
      <c r="G3" s="1556"/>
      <c r="H3" s="1556"/>
      <c r="I3" s="1556"/>
      <c r="J3" s="1556"/>
      <c r="K3" s="1556"/>
      <c r="L3" s="1556"/>
      <c r="M3" s="1556"/>
      <c r="N3" s="1556"/>
      <c r="O3" s="1556"/>
      <c r="P3" s="1556"/>
      <c r="Q3" s="1556"/>
      <c r="R3" s="1556"/>
      <c r="S3" s="1556"/>
      <c r="T3" s="1556"/>
      <c r="U3" s="1556"/>
      <c r="V3" s="1556"/>
      <c r="W3" s="1556"/>
      <c r="X3" s="1556"/>
      <c r="Y3" s="1556"/>
      <c r="Z3" s="1556"/>
      <c r="AA3" s="1556"/>
      <c r="AB3" s="1556"/>
      <c r="AC3" s="1556"/>
      <c r="AD3" s="1556"/>
      <c r="AE3" s="1556"/>
      <c r="AF3" s="1556"/>
      <c r="AG3" s="1556"/>
      <c r="AH3" s="1556"/>
      <c r="AI3" s="1556"/>
      <c r="AJ3" s="1556"/>
      <c r="AK3" s="1556"/>
      <c r="AL3" s="1556"/>
      <c r="AM3" s="1556"/>
    </row>
    <row r="4" spans="1:41" ht="36" customHeight="1">
      <c r="A4" s="1031"/>
      <c r="B4" s="3339" t="s">
        <v>3105</v>
      </c>
      <c r="C4" s="3339"/>
      <c r="D4" s="3339"/>
      <c r="E4" s="3339"/>
      <c r="F4" s="3339"/>
      <c r="G4" s="3339"/>
      <c r="H4" s="3339"/>
      <c r="I4" s="3339"/>
      <c r="J4" s="3339"/>
      <c r="K4" s="3339"/>
      <c r="L4" s="3339"/>
      <c r="M4" s="3339"/>
      <c r="N4" s="3339"/>
      <c r="O4" s="3339"/>
      <c r="P4" s="3339"/>
      <c r="Q4" s="3339"/>
      <c r="R4" s="3339"/>
      <c r="S4" s="3339"/>
      <c r="T4" s="3339"/>
      <c r="U4" s="3339"/>
      <c r="V4" s="3339"/>
      <c r="W4" s="3339"/>
      <c r="X4" s="3339"/>
      <c r="Y4" s="3339"/>
      <c r="Z4" s="3339"/>
      <c r="AA4" s="3339"/>
      <c r="AB4" s="3339"/>
      <c r="AC4" s="3339"/>
      <c r="AD4" s="3339"/>
      <c r="AE4" s="3339"/>
      <c r="AF4" s="3339"/>
      <c r="AG4" s="3339"/>
      <c r="AH4" s="3339"/>
      <c r="AI4" s="3339"/>
      <c r="AJ4" s="3339"/>
      <c r="AK4" s="3339"/>
      <c r="AL4" s="3339"/>
      <c r="AM4" s="3339"/>
    </row>
    <row r="5" spans="1:41" ht="54" customHeight="1">
      <c r="B5" s="3340" t="s">
        <v>3106</v>
      </c>
      <c r="C5" s="3340"/>
      <c r="D5" s="3340"/>
      <c r="E5" s="3340"/>
      <c r="F5" s="3340"/>
      <c r="G5" s="3340"/>
      <c r="H5" s="3340"/>
      <c r="I5" s="3340"/>
      <c r="J5" s="3340"/>
      <c r="K5" s="3340"/>
      <c r="L5" s="3340"/>
      <c r="M5" s="3340"/>
      <c r="N5" s="3340"/>
      <c r="O5" s="3340"/>
      <c r="P5" s="3340"/>
      <c r="Q5" s="3340"/>
      <c r="R5" s="3340"/>
      <c r="S5" s="3340"/>
      <c r="T5" s="3340"/>
      <c r="U5" s="3340"/>
      <c r="V5" s="3340"/>
      <c r="W5" s="3340"/>
      <c r="X5" s="3340"/>
      <c r="Y5" s="3340"/>
      <c r="Z5" s="3340"/>
      <c r="AA5" s="3340"/>
      <c r="AB5" s="3340"/>
      <c r="AC5" s="3340"/>
      <c r="AD5" s="3340"/>
      <c r="AE5" s="3340"/>
      <c r="AF5" s="3340"/>
      <c r="AG5" s="3340"/>
      <c r="AH5" s="3340"/>
      <c r="AI5" s="3340"/>
      <c r="AJ5" s="3348" t="s">
        <v>3107</v>
      </c>
      <c r="AK5" s="3348"/>
      <c r="AL5" s="3348"/>
      <c r="AM5" s="3348"/>
    </row>
    <row r="6" spans="1:41" ht="18" customHeight="1">
      <c r="B6" s="3349" t="s">
        <v>3108</v>
      </c>
      <c r="C6" s="3349"/>
      <c r="D6" s="3349"/>
      <c r="E6" s="3349"/>
      <c r="F6" s="3349"/>
      <c r="G6" s="3349"/>
      <c r="H6" s="3349"/>
      <c r="I6" s="3349"/>
      <c r="J6" s="3349"/>
      <c r="K6" s="3349"/>
      <c r="L6" s="3349"/>
      <c r="M6" s="3349"/>
      <c r="N6" s="3349"/>
      <c r="O6" s="3349"/>
      <c r="P6" s="3349"/>
      <c r="Q6" s="3349"/>
      <c r="R6" s="3349"/>
      <c r="S6" s="3349"/>
      <c r="T6" s="3349"/>
      <c r="U6" s="3349"/>
      <c r="V6" s="3349"/>
      <c r="W6" s="3349"/>
      <c r="X6" s="3349"/>
      <c r="Y6" s="3349"/>
      <c r="Z6" s="3349"/>
      <c r="AA6" s="3349"/>
      <c r="AB6" s="3349"/>
      <c r="AC6" s="3349"/>
      <c r="AD6" s="3349"/>
      <c r="AE6" s="3349"/>
      <c r="AF6" s="3349"/>
      <c r="AG6" s="3349"/>
      <c r="AH6" s="3349"/>
      <c r="AI6" s="3349"/>
      <c r="AJ6" s="3338"/>
      <c r="AK6" s="3338"/>
      <c r="AL6" s="3338"/>
      <c r="AM6" s="3338"/>
      <c r="AN6" s="14">
        <f>IF(AJ6="Meets",1,0)</f>
        <v>0</v>
      </c>
      <c r="AO6" s="14">
        <v>1</v>
      </c>
    </row>
    <row r="7" spans="1:41" ht="18" customHeight="1">
      <c r="B7" s="3349" t="s">
        <v>3109</v>
      </c>
      <c r="C7" s="3349"/>
      <c r="D7" s="3349"/>
      <c r="E7" s="3349"/>
      <c r="F7" s="3349"/>
      <c r="G7" s="3349"/>
      <c r="H7" s="3349"/>
      <c r="I7" s="3349"/>
      <c r="J7" s="3349"/>
      <c r="K7" s="3349"/>
      <c r="L7" s="3349"/>
      <c r="M7" s="3349"/>
      <c r="N7" s="3349"/>
      <c r="O7" s="3349"/>
      <c r="P7" s="3349"/>
      <c r="Q7" s="3349"/>
      <c r="R7" s="3349"/>
      <c r="S7" s="3349"/>
      <c r="T7" s="3349"/>
      <c r="U7" s="3349"/>
      <c r="V7" s="3349"/>
      <c r="W7" s="3349"/>
      <c r="X7" s="3349"/>
      <c r="Y7" s="3349"/>
      <c r="Z7" s="3349"/>
      <c r="AA7" s="3349"/>
      <c r="AB7" s="3349"/>
      <c r="AC7" s="3349"/>
      <c r="AD7" s="3349"/>
      <c r="AE7" s="3349"/>
      <c r="AF7" s="3349"/>
      <c r="AG7" s="3349"/>
      <c r="AH7" s="3349"/>
      <c r="AI7" s="3349"/>
      <c r="AJ7" s="3349"/>
      <c r="AK7" s="3349"/>
      <c r="AL7" s="3349"/>
      <c r="AM7" s="3349"/>
    </row>
    <row r="8" spans="1:41" ht="83.25" customHeight="1">
      <c r="B8" s="979" t="s">
        <v>3110</v>
      </c>
      <c r="C8" s="3344" t="s">
        <v>3111</v>
      </c>
      <c r="D8" s="3345"/>
      <c r="E8" s="3345"/>
      <c r="F8" s="3345"/>
      <c r="G8" s="3345"/>
      <c r="H8" s="3345"/>
      <c r="I8" s="3345"/>
      <c r="J8" s="3345"/>
      <c r="K8" s="3345"/>
      <c r="L8" s="3345"/>
      <c r="M8" s="3345"/>
      <c r="N8" s="3345"/>
      <c r="O8" s="3345"/>
      <c r="P8" s="3345"/>
      <c r="Q8" s="3345"/>
      <c r="R8" s="3345"/>
      <c r="S8" s="3345"/>
      <c r="T8" s="3345"/>
      <c r="U8" s="3345"/>
      <c r="V8" s="3345"/>
      <c r="W8" s="3345"/>
      <c r="X8" s="3345"/>
      <c r="Y8" s="3345"/>
      <c r="Z8" s="3345"/>
      <c r="AA8" s="3345"/>
      <c r="AB8" s="3345"/>
      <c r="AC8" s="3345"/>
      <c r="AD8" s="3345"/>
      <c r="AE8" s="3345"/>
      <c r="AF8" s="3345"/>
      <c r="AG8" s="3345"/>
      <c r="AH8" s="3345"/>
      <c r="AI8" s="3346"/>
      <c r="AJ8" s="3338"/>
      <c r="AK8" s="3338"/>
      <c r="AL8" s="3338"/>
      <c r="AM8" s="3338"/>
      <c r="AN8" s="14">
        <f>IF(AJ8="Meets",1,0)</f>
        <v>0</v>
      </c>
      <c r="AO8" s="14">
        <v>2</v>
      </c>
    </row>
    <row r="9" spans="1:41" ht="77.25" customHeight="1">
      <c r="B9" s="981" t="s">
        <v>403</v>
      </c>
      <c r="C9" s="3344" t="s">
        <v>3112</v>
      </c>
      <c r="D9" s="3345"/>
      <c r="E9" s="3345"/>
      <c r="F9" s="3345"/>
      <c r="G9" s="3345"/>
      <c r="H9" s="3345"/>
      <c r="I9" s="3345"/>
      <c r="J9" s="3345"/>
      <c r="K9" s="3345"/>
      <c r="L9" s="3345"/>
      <c r="M9" s="3345"/>
      <c r="N9" s="3345"/>
      <c r="O9" s="3345"/>
      <c r="P9" s="3345"/>
      <c r="Q9" s="3345"/>
      <c r="R9" s="3345"/>
      <c r="S9" s="3345"/>
      <c r="T9" s="3345"/>
      <c r="U9" s="3345"/>
      <c r="V9" s="3345"/>
      <c r="W9" s="3345"/>
      <c r="X9" s="3345"/>
      <c r="Y9" s="3345"/>
      <c r="Z9" s="3345"/>
      <c r="AA9" s="3345"/>
      <c r="AB9" s="3345"/>
      <c r="AC9" s="3345"/>
      <c r="AD9" s="3345"/>
      <c r="AE9" s="3345"/>
      <c r="AF9" s="3345"/>
      <c r="AG9" s="3345"/>
      <c r="AH9" s="3345"/>
      <c r="AI9" s="3346"/>
      <c r="AJ9" s="3338"/>
      <c r="AK9" s="3338"/>
      <c r="AL9" s="3338"/>
      <c r="AM9" s="3338"/>
      <c r="AN9" s="14">
        <f t="shared" ref="AN9:AN24" si="0">IF(AJ9="Meets",1,0)</f>
        <v>0</v>
      </c>
      <c r="AO9" s="14">
        <v>3</v>
      </c>
    </row>
    <row r="10" spans="1:41" ht="36" customHeight="1">
      <c r="B10" s="981" t="s">
        <v>404</v>
      </c>
      <c r="C10" s="3344" t="s">
        <v>3113</v>
      </c>
      <c r="D10" s="3345"/>
      <c r="E10" s="3345"/>
      <c r="F10" s="3345"/>
      <c r="G10" s="3345"/>
      <c r="H10" s="3345"/>
      <c r="I10" s="3345"/>
      <c r="J10" s="3345"/>
      <c r="K10" s="3345"/>
      <c r="L10" s="3345"/>
      <c r="M10" s="3345"/>
      <c r="N10" s="3345"/>
      <c r="O10" s="3345"/>
      <c r="P10" s="3345"/>
      <c r="Q10" s="3345"/>
      <c r="R10" s="3345"/>
      <c r="S10" s="3345"/>
      <c r="T10" s="3345"/>
      <c r="U10" s="3345"/>
      <c r="V10" s="3345"/>
      <c r="W10" s="3345"/>
      <c r="X10" s="3345"/>
      <c r="Y10" s="3345"/>
      <c r="Z10" s="3345"/>
      <c r="AA10" s="3345"/>
      <c r="AB10" s="3345"/>
      <c r="AC10" s="3345"/>
      <c r="AD10" s="3345"/>
      <c r="AE10" s="3345"/>
      <c r="AF10" s="3345"/>
      <c r="AG10" s="3345"/>
      <c r="AH10" s="3345"/>
      <c r="AI10" s="3346"/>
      <c r="AJ10" s="3338"/>
      <c r="AK10" s="3338"/>
      <c r="AL10" s="3338"/>
      <c r="AM10" s="3338"/>
      <c r="AN10" s="14">
        <f t="shared" si="0"/>
        <v>0</v>
      </c>
      <c r="AO10" s="14">
        <v>4</v>
      </c>
    </row>
    <row r="11" spans="1:41" ht="81" customHeight="1">
      <c r="B11" s="981" t="s">
        <v>3114</v>
      </c>
      <c r="C11" s="3344" t="s">
        <v>3115</v>
      </c>
      <c r="D11" s="3345"/>
      <c r="E11" s="3345"/>
      <c r="F11" s="3345"/>
      <c r="G11" s="3345"/>
      <c r="H11" s="3345"/>
      <c r="I11" s="3345"/>
      <c r="J11" s="3345"/>
      <c r="K11" s="3345"/>
      <c r="L11" s="3345"/>
      <c r="M11" s="3345"/>
      <c r="N11" s="3345"/>
      <c r="O11" s="3345"/>
      <c r="P11" s="3345"/>
      <c r="Q11" s="3345"/>
      <c r="R11" s="3345"/>
      <c r="S11" s="3345"/>
      <c r="T11" s="3345"/>
      <c r="U11" s="3345"/>
      <c r="V11" s="3345"/>
      <c r="W11" s="3345"/>
      <c r="X11" s="3345"/>
      <c r="Y11" s="3345"/>
      <c r="Z11" s="3345"/>
      <c r="AA11" s="3345"/>
      <c r="AB11" s="3345"/>
      <c r="AC11" s="3345"/>
      <c r="AD11" s="3345"/>
      <c r="AE11" s="3345"/>
      <c r="AF11" s="3345"/>
      <c r="AG11" s="3345"/>
      <c r="AH11" s="3345"/>
      <c r="AI11" s="3346"/>
      <c r="AJ11" s="3338"/>
      <c r="AK11" s="3338"/>
      <c r="AL11" s="3338"/>
      <c r="AM11" s="3338"/>
      <c r="AN11" s="14">
        <f t="shared" si="0"/>
        <v>0</v>
      </c>
      <c r="AO11" s="14">
        <v>5</v>
      </c>
    </row>
    <row r="12" spans="1:41" ht="36" customHeight="1">
      <c r="B12" s="981" t="s">
        <v>3116</v>
      </c>
      <c r="C12" s="3344" t="s">
        <v>3117</v>
      </c>
      <c r="D12" s="3345"/>
      <c r="E12" s="3345"/>
      <c r="F12" s="3345"/>
      <c r="G12" s="3345"/>
      <c r="H12" s="3345"/>
      <c r="I12" s="3345"/>
      <c r="J12" s="3345"/>
      <c r="K12" s="3345"/>
      <c r="L12" s="3345"/>
      <c r="M12" s="3345"/>
      <c r="N12" s="3345"/>
      <c r="O12" s="3345"/>
      <c r="P12" s="3345"/>
      <c r="Q12" s="3345"/>
      <c r="R12" s="3345"/>
      <c r="S12" s="3345"/>
      <c r="T12" s="3345"/>
      <c r="U12" s="3345"/>
      <c r="V12" s="3345"/>
      <c r="W12" s="3345"/>
      <c r="X12" s="3345"/>
      <c r="Y12" s="3345"/>
      <c r="Z12" s="3345"/>
      <c r="AA12" s="3345"/>
      <c r="AB12" s="3345"/>
      <c r="AC12" s="3345"/>
      <c r="AD12" s="3345"/>
      <c r="AE12" s="3345"/>
      <c r="AF12" s="3345"/>
      <c r="AG12" s="3345"/>
      <c r="AH12" s="3345"/>
      <c r="AI12" s="3346"/>
      <c r="AJ12" s="3338"/>
      <c r="AK12" s="3338"/>
      <c r="AL12" s="3338"/>
      <c r="AM12" s="3338"/>
      <c r="AN12" s="14">
        <f t="shared" si="0"/>
        <v>0</v>
      </c>
      <c r="AO12" s="14">
        <v>6</v>
      </c>
    </row>
    <row r="13" spans="1:41" ht="36" customHeight="1">
      <c r="B13" s="980" t="s">
        <v>3118</v>
      </c>
      <c r="C13" s="3344" t="s">
        <v>3119</v>
      </c>
      <c r="D13" s="3345"/>
      <c r="E13" s="3345"/>
      <c r="F13" s="3345"/>
      <c r="G13" s="3345"/>
      <c r="H13" s="3345"/>
      <c r="I13" s="3345"/>
      <c r="J13" s="3345"/>
      <c r="K13" s="3345"/>
      <c r="L13" s="3345"/>
      <c r="M13" s="3345"/>
      <c r="N13" s="3345"/>
      <c r="O13" s="3345"/>
      <c r="P13" s="3345"/>
      <c r="Q13" s="3345"/>
      <c r="R13" s="3345"/>
      <c r="S13" s="3345"/>
      <c r="T13" s="3345"/>
      <c r="U13" s="3345"/>
      <c r="V13" s="3345"/>
      <c r="W13" s="3345"/>
      <c r="X13" s="3345"/>
      <c r="Y13" s="3345"/>
      <c r="Z13" s="3345"/>
      <c r="AA13" s="3345"/>
      <c r="AB13" s="3345"/>
      <c r="AC13" s="3345"/>
      <c r="AD13" s="3345"/>
      <c r="AE13" s="3345"/>
      <c r="AF13" s="3345"/>
      <c r="AG13" s="3345"/>
      <c r="AH13" s="3345"/>
      <c r="AI13" s="3346"/>
      <c r="AJ13" s="3338"/>
      <c r="AK13" s="3338"/>
      <c r="AL13" s="3338"/>
      <c r="AM13" s="3338"/>
      <c r="AN13" s="14">
        <f t="shared" si="0"/>
        <v>0</v>
      </c>
      <c r="AO13" s="14">
        <v>7</v>
      </c>
    </row>
    <row r="14" spans="1:41" ht="36" customHeight="1">
      <c r="B14" s="3342" t="s">
        <v>3120</v>
      </c>
      <c r="C14" s="3343"/>
      <c r="D14" s="3344" t="s">
        <v>3121</v>
      </c>
      <c r="E14" s="3345"/>
      <c r="F14" s="3345"/>
      <c r="G14" s="3345"/>
      <c r="H14" s="3345"/>
      <c r="I14" s="3345"/>
      <c r="J14" s="3345"/>
      <c r="K14" s="3345"/>
      <c r="L14" s="3345"/>
      <c r="M14" s="3345"/>
      <c r="N14" s="3345"/>
      <c r="O14" s="3345"/>
      <c r="P14" s="3345"/>
      <c r="Q14" s="3345"/>
      <c r="R14" s="3345"/>
      <c r="S14" s="3345"/>
      <c r="T14" s="3345"/>
      <c r="U14" s="3345"/>
      <c r="V14" s="3345"/>
      <c r="W14" s="3345"/>
      <c r="X14" s="3345"/>
      <c r="Y14" s="3345"/>
      <c r="Z14" s="3345"/>
      <c r="AA14" s="3345"/>
      <c r="AB14" s="3345"/>
      <c r="AC14" s="3345"/>
      <c r="AD14" s="3345"/>
      <c r="AE14" s="3345"/>
      <c r="AF14" s="3345"/>
      <c r="AG14" s="3345"/>
      <c r="AH14" s="3345"/>
      <c r="AI14" s="3346"/>
      <c r="AJ14" s="3338"/>
      <c r="AK14" s="3338"/>
      <c r="AL14" s="3338"/>
      <c r="AM14" s="3338"/>
      <c r="AN14" s="14">
        <f t="shared" si="0"/>
        <v>0</v>
      </c>
      <c r="AO14" s="14">
        <v>8</v>
      </c>
    </row>
    <row r="15" spans="1:41" ht="36" customHeight="1">
      <c r="B15" s="3342" t="s">
        <v>3122</v>
      </c>
      <c r="C15" s="3343"/>
      <c r="D15" s="3344" t="s">
        <v>3123</v>
      </c>
      <c r="E15" s="3345"/>
      <c r="F15" s="3345"/>
      <c r="G15" s="3345"/>
      <c r="H15" s="3345"/>
      <c r="I15" s="3345"/>
      <c r="J15" s="3345"/>
      <c r="K15" s="3345"/>
      <c r="L15" s="3345"/>
      <c r="M15" s="3345"/>
      <c r="N15" s="3345"/>
      <c r="O15" s="3345"/>
      <c r="P15" s="3345"/>
      <c r="Q15" s="3345"/>
      <c r="R15" s="3345"/>
      <c r="S15" s="3345"/>
      <c r="T15" s="3345"/>
      <c r="U15" s="3345"/>
      <c r="V15" s="3345"/>
      <c r="W15" s="3345"/>
      <c r="X15" s="3345"/>
      <c r="Y15" s="3345"/>
      <c r="Z15" s="3345"/>
      <c r="AA15" s="3345"/>
      <c r="AB15" s="3345"/>
      <c r="AC15" s="3345"/>
      <c r="AD15" s="3345"/>
      <c r="AE15" s="3345"/>
      <c r="AF15" s="3345"/>
      <c r="AG15" s="3345"/>
      <c r="AH15" s="3345"/>
      <c r="AI15" s="3346"/>
      <c r="AJ15" s="3338"/>
      <c r="AK15" s="3338"/>
      <c r="AL15" s="3338"/>
      <c r="AM15" s="3338"/>
      <c r="AN15" s="14">
        <f t="shared" si="0"/>
        <v>0</v>
      </c>
      <c r="AO15" s="14">
        <v>9</v>
      </c>
    </row>
    <row r="16" spans="1:41" ht="18" customHeight="1">
      <c r="A16" s="1031"/>
      <c r="B16" s="3341" t="s">
        <v>3124</v>
      </c>
      <c r="C16" s="3341"/>
      <c r="D16" s="3341"/>
      <c r="E16" s="3341"/>
      <c r="F16" s="3341"/>
      <c r="G16" s="3341"/>
      <c r="H16" s="3341"/>
      <c r="I16" s="3341"/>
      <c r="J16" s="3341"/>
      <c r="K16" s="3341"/>
      <c r="L16" s="3341"/>
      <c r="M16" s="3341"/>
      <c r="N16" s="3341"/>
      <c r="O16" s="3341"/>
      <c r="P16" s="3341"/>
      <c r="Q16" s="3341"/>
      <c r="R16" s="3341"/>
      <c r="S16" s="3341"/>
      <c r="T16" s="3341"/>
      <c r="U16" s="3341"/>
      <c r="V16" s="3341"/>
      <c r="W16" s="3341"/>
      <c r="X16" s="3341"/>
      <c r="Y16" s="3341"/>
      <c r="Z16" s="3341"/>
      <c r="AA16" s="3341"/>
      <c r="AB16" s="3341"/>
      <c r="AC16" s="3341"/>
      <c r="AD16" s="3341"/>
      <c r="AE16" s="3341"/>
      <c r="AF16" s="3341"/>
      <c r="AG16" s="3341"/>
      <c r="AH16" s="3341"/>
      <c r="AI16" s="3341"/>
      <c r="AJ16" s="3341"/>
      <c r="AK16" s="3341"/>
      <c r="AL16" s="3341"/>
      <c r="AM16" s="3341"/>
    </row>
    <row r="17" spans="2:41" ht="54" customHeight="1">
      <c r="B17" s="981" t="s">
        <v>1408</v>
      </c>
      <c r="C17" s="3344" t="s">
        <v>3125</v>
      </c>
      <c r="D17" s="3345"/>
      <c r="E17" s="3345"/>
      <c r="F17" s="3345"/>
      <c r="G17" s="3345"/>
      <c r="H17" s="3345"/>
      <c r="I17" s="3345"/>
      <c r="J17" s="3345"/>
      <c r="K17" s="3345"/>
      <c r="L17" s="3345"/>
      <c r="M17" s="3345"/>
      <c r="N17" s="3345"/>
      <c r="O17" s="3345"/>
      <c r="P17" s="3345"/>
      <c r="Q17" s="3345"/>
      <c r="R17" s="3345"/>
      <c r="S17" s="3345"/>
      <c r="T17" s="3345"/>
      <c r="U17" s="3345"/>
      <c r="V17" s="3345"/>
      <c r="W17" s="3345"/>
      <c r="X17" s="3345"/>
      <c r="Y17" s="3345"/>
      <c r="Z17" s="3345"/>
      <c r="AA17" s="3345"/>
      <c r="AB17" s="3345"/>
      <c r="AC17" s="3345"/>
      <c r="AD17" s="3345"/>
      <c r="AE17" s="3345"/>
      <c r="AF17" s="3345"/>
      <c r="AG17" s="3345"/>
      <c r="AH17" s="3345"/>
      <c r="AI17" s="3346"/>
      <c r="AJ17" s="3338" t="s">
        <v>3126</v>
      </c>
      <c r="AK17" s="3338"/>
      <c r="AL17" s="3338"/>
      <c r="AM17" s="3338"/>
      <c r="AN17" s="14">
        <f t="shared" si="0"/>
        <v>1</v>
      </c>
      <c r="AO17" s="14">
        <v>10</v>
      </c>
    </row>
    <row r="18" spans="2:41" ht="36" customHeight="1">
      <c r="B18" s="981" t="s">
        <v>1409</v>
      </c>
      <c r="C18" s="3344" t="s">
        <v>3127</v>
      </c>
      <c r="D18" s="3345"/>
      <c r="E18" s="3345"/>
      <c r="F18" s="3345"/>
      <c r="G18" s="3345"/>
      <c r="H18" s="3345"/>
      <c r="I18" s="3345"/>
      <c r="J18" s="3345"/>
      <c r="K18" s="3345"/>
      <c r="L18" s="3345"/>
      <c r="M18" s="3345"/>
      <c r="N18" s="3345"/>
      <c r="O18" s="3345"/>
      <c r="P18" s="3345"/>
      <c r="Q18" s="3345"/>
      <c r="R18" s="3345"/>
      <c r="S18" s="3345"/>
      <c r="T18" s="3345"/>
      <c r="U18" s="3345"/>
      <c r="V18" s="3345"/>
      <c r="W18" s="3345"/>
      <c r="X18" s="3345"/>
      <c r="Y18" s="3345"/>
      <c r="Z18" s="3345"/>
      <c r="AA18" s="3345"/>
      <c r="AB18" s="3345"/>
      <c r="AC18" s="3345"/>
      <c r="AD18" s="3345"/>
      <c r="AE18" s="3345"/>
      <c r="AF18" s="3345"/>
      <c r="AG18" s="3345"/>
      <c r="AH18" s="3345"/>
      <c r="AI18" s="3346"/>
      <c r="AJ18" s="3338" t="s">
        <v>3126</v>
      </c>
      <c r="AK18" s="3338"/>
      <c r="AL18" s="3338"/>
      <c r="AM18" s="3338"/>
      <c r="AN18" s="14">
        <f t="shared" si="0"/>
        <v>1</v>
      </c>
      <c r="AO18" s="14">
        <v>11</v>
      </c>
    </row>
    <row r="19" spans="2:41" ht="63" customHeight="1">
      <c r="B19" s="980" t="s">
        <v>1410</v>
      </c>
      <c r="C19" s="3344" t="s">
        <v>3128</v>
      </c>
      <c r="D19" s="3345"/>
      <c r="E19" s="3345"/>
      <c r="F19" s="3345"/>
      <c r="G19" s="3345"/>
      <c r="H19" s="3345"/>
      <c r="I19" s="3345"/>
      <c r="J19" s="3345"/>
      <c r="K19" s="3345"/>
      <c r="L19" s="3345"/>
      <c r="M19" s="3345"/>
      <c r="N19" s="3345"/>
      <c r="O19" s="3345"/>
      <c r="P19" s="3345"/>
      <c r="Q19" s="3345"/>
      <c r="R19" s="3345"/>
      <c r="S19" s="3345"/>
      <c r="T19" s="3345"/>
      <c r="U19" s="3345"/>
      <c r="V19" s="3345"/>
      <c r="W19" s="3345"/>
      <c r="X19" s="3345"/>
      <c r="Y19" s="3345"/>
      <c r="Z19" s="3345"/>
      <c r="AA19" s="3345"/>
      <c r="AB19" s="3345"/>
      <c r="AC19" s="3345"/>
      <c r="AD19" s="3345"/>
      <c r="AE19" s="3345"/>
      <c r="AF19" s="3345"/>
      <c r="AG19" s="3345"/>
      <c r="AH19" s="3345"/>
      <c r="AI19" s="3346"/>
      <c r="AJ19" s="3338" t="s">
        <v>3126</v>
      </c>
      <c r="AK19" s="3338"/>
      <c r="AL19" s="3338"/>
      <c r="AM19" s="3338"/>
      <c r="AN19" s="14">
        <f t="shared" si="0"/>
        <v>1</v>
      </c>
      <c r="AO19" s="14">
        <v>12</v>
      </c>
    </row>
    <row r="20" spans="2:41" ht="36" customHeight="1">
      <c r="B20" s="3350" t="s">
        <v>1411</v>
      </c>
      <c r="C20" s="3353" t="s">
        <v>3129</v>
      </c>
      <c r="D20" s="3354"/>
      <c r="E20" s="3354"/>
      <c r="F20" s="3354"/>
      <c r="G20" s="3354"/>
      <c r="H20" s="3354"/>
      <c r="I20" s="3354"/>
      <c r="J20" s="3354"/>
      <c r="K20" s="3354"/>
      <c r="L20" s="3354"/>
      <c r="M20" s="3354"/>
      <c r="N20" s="3354"/>
      <c r="O20" s="3354"/>
      <c r="P20" s="3354"/>
      <c r="Q20" s="3354"/>
      <c r="R20" s="3354"/>
      <c r="S20" s="3354"/>
      <c r="T20" s="3354"/>
      <c r="U20" s="3354"/>
      <c r="V20" s="3354"/>
      <c r="W20" s="3354"/>
      <c r="X20" s="3354"/>
      <c r="Y20" s="3354"/>
      <c r="Z20" s="3354"/>
      <c r="AA20" s="3354"/>
      <c r="AB20" s="3354"/>
      <c r="AC20" s="3354"/>
      <c r="AD20" s="3354"/>
      <c r="AE20" s="3354"/>
      <c r="AF20" s="3354"/>
      <c r="AG20" s="3354"/>
      <c r="AH20" s="3354"/>
      <c r="AI20" s="3355"/>
      <c r="AJ20" s="3357" t="s">
        <v>3126</v>
      </c>
      <c r="AK20" s="3358"/>
      <c r="AL20" s="3358"/>
      <c r="AM20" s="3359"/>
    </row>
    <row r="21" spans="2:41" ht="36" customHeight="1">
      <c r="B21" s="3351"/>
      <c r="C21" s="981" t="s">
        <v>3130</v>
      </c>
      <c r="D21" s="3354" t="s">
        <v>3131</v>
      </c>
      <c r="E21" s="3354"/>
      <c r="F21" s="3354"/>
      <c r="G21" s="3354"/>
      <c r="H21" s="3354"/>
      <c r="I21" s="3354"/>
      <c r="J21" s="3354"/>
      <c r="K21" s="3354"/>
      <c r="L21" s="3354"/>
      <c r="M21" s="3354"/>
      <c r="N21" s="3354"/>
      <c r="O21" s="3354"/>
      <c r="P21" s="3354"/>
      <c r="Q21" s="3354"/>
      <c r="R21" s="3354"/>
      <c r="S21" s="3354"/>
      <c r="T21" s="3354"/>
      <c r="U21" s="3354"/>
      <c r="V21" s="3354"/>
      <c r="W21" s="3354"/>
      <c r="X21" s="3354"/>
      <c r="Y21" s="3354"/>
      <c r="Z21" s="3354"/>
      <c r="AA21" s="3354"/>
      <c r="AB21" s="3354"/>
      <c r="AC21" s="3354"/>
      <c r="AD21" s="3354"/>
      <c r="AE21" s="3354"/>
      <c r="AF21" s="3354"/>
      <c r="AG21" s="3354"/>
      <c r="AH21" s="3354"/>
      <c r="AI21" s="3355"/>
      <c r="AJ21" s="3360"/>
      <c r="AK21" s="3361"/>
      <c r="AL21" s="3361"/>
      <c r="AM21" s="3362"/>
    </row>
    <row r="22" spans="2:41" ht="18" customHeight="1">
      <c r="B22" s="3352"/>
      <c r="C22" s="1555" t="s">
        <v>3132</v>
      </c>
      <c r="D22" s="3356" t="s">
        <v>3133</v>
      </c>
      <c r="E22" s="3356"/>
      <c r="F22" s="3356"/>
      <c r="G22" s="3356"/>
      <c r="H22" s="3356"/>
      <c r="I22" s="3356"/>
      <c r="J22" s="3356"/>
      <c r="K22" s="3356"/>
      <c r="L22" s="3356"/>
      <c r="M22" s="3356"/>
      <c r="N22" s="3356"/>
      <c r="O22" s="3356"/>
      <c r="P22" s="3356"/>
      <c r="Q22" s="3356"/>
      <c r="R22" s="3356"/>
      <c r="S22" s="3356"/>
      <c r="T22" s="3356"/>
      <c r="U22" s="3356"/>
      <c r="V22" s="3356"/>
      <c r="W22" s="3356"/>
      <c r="X22" s="3356"/>
      <c r="Y22" s="3356"/>
      <c r="Z22" s="3356"/>
      <c r="AA22" s="3356"/>
      <c r="AB22" s="3356"/>
      <c r="AC22" s="3356"/>
      <c r="AD22" s="3356"/>
      <c r="AE22" s="3356"/>
      <c r="AF22" s="3356"/>
      <c r="AG22" s="3356"/>
      <c r="AH22" s="3356"/>
      <c r="AI22" s="3356"/>
      <c r="AJ22" s="3363"/>
      <c r="AK22" s="3364"/>
      <c r="AL22" s="3364"/>
      <c r="AM22" s="3365"/>
      <c r="AN22" s="14">
        <f t="shared" si="0"/>
        <v>0</v>
      </c>
      <c r="AO22" s="14">
        <v>13</v>
      </c>
    </row>
    <row r="23" spans="2:41" ht="36" customHeight="1">
      <c r="B23" s="981" t="s">
        <v>1424</v>
      </c>
      <c r="C23" s="3344" t="s">
        <v>3134</v>
      </c>
      <c r="D23" s="3345"/>
      <c r="E23" s="3345"/>
      <c r="F23" s="3345"/>
      <c r="G23" s="3345"/>
      <c r="H23" s="3345"/>
      <c r="I23" s="3345"/>
      <c r="J23" s="3345"/>
      <c r="K23" s="3345"/>
      <c r="L23" s="3345"/>
      <c r="M23" s="3345"/>
      <c r="N23" s="3345"/>
      <c r="O23" s="3345"/>
      <c r="P23" s="3345"/>
      <c r="Q23" s="3345"/>
      <c r="R23" s="3345"/>
      <c r="S23" s="3345"/>
      <c r="T23" s="3345"/>
      <c r="U23" s="3345"/>
      <c r="V23" s="3345"/>
      <c r="W23" s="3345"/>
      <c r="X23" s="3345"/>
      <c r="Y23" s="3345"/>
      <c r="Z23" s="3345"/>
      <c r="AA23" s="3345"/>
      <c r="AB23" s="3345"/>
      <c r="AC23" s="3345"/>
      <c r="AD23" s="3345"/>
      <c r="AE23" s="3345"/>
      <c r="AF23" s="3345"/>
      <c r="AG23" s="3345"/>
      <c r="AH23" s="3345"/>
      <c r="AI23" s="3346"/>
      <c r="AJ23" s="3338" t="s">
        <v>3126</v>
      </c>
      <c r="AK23" s="3338"/>
      <c r="AL23" s="3338"/>
      <c r="AM23" s="3338"/>
      <c r="AN23" s="14">
        <f t="shared" si="0"/>
        <v>1</v>
      </c>
      <c r="AO23" s="14">
        <v>14</v>
      </c>
    </row>
    <row r="24" spans="2:41" ht="36" customHeight="1">
      <c r="B24" s="981" t="s">
        <v>1425</v>
      </c>
      <c r="C24" s="3344" t="s">
        <v>3135</v>
      </c>
      <c r="D24" s="3345"/>
      <c r="E24" s="3345"/>
      <c r="F24" s="3345"/>
      <c r="G24" s="3345"/>
      <c r="H24" s="3345"/>
      <c r="I24" s="3345"/>
      <c r="J24" s="3345"/>
      <c r="K24" s="3345"/>
      <c r="L24" s="3345"/>
      <c r="M24" s="3345"/>
      <c r="N24" s="3345"/>
      <c r="O24" s="3345"/>
      <c r="P24" s="3345"/>
      <c r="Q24" s="3345"/>
      <c r="R24" s="3345"/>
      <c r="S24" s="3345"/>
      <c r="T24" s="3345"/>
      <c r="U24" s="3345"/>
      <c r="V24" s="3345"/>
      <c r="W24" s="3345"/>
      <c r="X24" s="3345"/>
      <c r="Y24" s="3345"/>
      <c r="Z24" s="3345"/>
      <c r="AA24" s="3345"/>
      <c r="AB24" s="3345"/>
      <c r="AC24" s="3345"/>
      <c r="AD24" s="3345"/>
      <c r="AE24" s="3345"/>
      <c r="AF24" s="3345"/>
      <c r="AG24" s="3345"/>
      <c r="AH24" s="3345"/>
      <c r="AI24" s="3346"/>
      <c r="AJ24" s="3338" t="s">
        <v>3126</v>
      </c>
      <c r="AK24" s="3338"/>
      <c r="AL24" s="3338"/>
      <c r="AM24" s="3338"/>
      <c r="AN24" s="14">
        <f t="shared" si="0"/>
        <v>1</v>
      </c>
      <c r="AO24" s="14">
        <v>15</v>
      </c>
    </row>
    <row r="25" spans="2:41" ht="18" customHeight="1">
      <c r="AN25" s="14">
        <f>SUM(AN17:AN24,AN8:AN15,AN6)</f>
        <v>5</v>
      </c>
    </row>
    <row r="26" spans="2:41" ht="18" customHeight="1">
      <c r="B26" s="2489" t="s">
        <v>639</v>
      </c>
      <c r="C26" s="2489"/>
      <c r="D26" s="2489"/>
      <c r="E26" s="2489"/>
      <c r="F26" s="2489"/>
      <c r="G26" s="2489"/>
      <c r="H26" s="2489"/>
      <c r="I26" s="2489"/>
      <c r="J26" s="2489"/>
      <c r="K26" s="2489"/>
      <c r="L26" s="2489"/>
      <c r="M26" s="2489"/>
      <c r="N26" s="2489"/>
      <c r="O26" s="2489"/>
      <c r="P26" s="2489"/>
      <c r="Q26" s="2489"/>
      <c r="R26" s="2489"/>
      <c r="S26" s="2489"/>
      <c r="T26" s="2489"/>
      <c r="U26" s="2489"/>
      <c r="V26" s="2489"/>
      <c r="W26" s="2489"/>
      <c r="X26" s="2489"/>
      <c r="Y26" s="2489"/>
      <c r="Z26" s="2489"/>
      <c r="AA26" s="2489"/>
      <c r="AB26" s="2489"/>
      <c r="AC26" s="2489"/>
      <c r="AD26" s="2489"/>
      <c r="AE26" s="2489"/>
      <c r="AF26" s="2489"/>
      <c r="AG26" s="2489"/>
      <c r="AH26" s="2489"/>
      <c r="AI26" s="2489"/>
      <c r="AJ26" s="2489"/>
      <c r="AK26" s="2489"/>
      <c r="AL26" s="2489"/>
      <c r="AM26" s="2489"/>
    </row>
  </sheetData>
  <mergeCells count="42">
    <mergeCell ref="B20:B22"/>
    <mergeCell ref="C20:AI20"/>
    <mergeCell ref="D21:AI21"/>
    <mergeCell ref="D22:AI22"/>
    <mergeCell ref="AJ19:AM19"/>
    <mergeCell ref="AJ20:AM22"/>
    <mergeCell ref="C23:AI23"/>
    <mergeCell ref="C24:AI24"/>
    <mergeCell ref="C19:AI19"/>
    <mergeCell ref="C17:AI17"/>
    <mergeCell ref="C18:AI18"/>
    <mergeCell ref="B2:AM2"/>
    <mergeCell ref="AJ9:AM9"/>
    <mergeCell ref="AJ5:AM5"/>
    <mergeCell ref="B6:AI6"/>
    <mergeCell ref="AJ6:AM6"/>
    <mergeCell ref="B7:AM7"/>
    <mergeCell ref="AJ8:AM8"/>
    <mergeCell ref="C8:AI8"/>
    <mergeCell ref="C9:AI9"/>
    <mergeCell ref="C10:AI10"/>
    <mergeCell ref="C11:AI11"/>
    <mergeCell ref="C12:AI12"/>
    <mergeCell ref="C13:AI13"/>
    <mergeCell ref="B14:C14"/>
    <mergeCell ref="D14:AI14"/>
    <mergeCell ref="AJ10:AM10"/>
    <mergeCell ref="B4:AM4"/>
    <mergeCell ref="B5:AI5"/>
    <mergeCell ref="B26:AM26"/>
    <mergeCell ref="AJ23:AM23"/>
    <mergeCell ref="AJ24:AM24"/>
    <mergeCell ref="AJ11:AM11"/>
    <mergeCell ref="AJ12:AM12"/>
    <mergeCell ref="AJ13:AM13"/>
    <mergeCell ref="AJ14:AM14"/>
    <mergeCell ref="AJ15:AM15"/>
    <mergeCell ref="B16:AM16"/>
    <mergeCell ref="AJ17:AM17"/>
    <mergeCell ref="AJ18:AM18"/>
    <mergeCell ref="B15:C15"/>
    <mergeCell ref="D15:AI15"/>
  </mergeCells>
  <conditionalFormatting sqref="AJ6">
    <cfRule type="cellIs" dxfId="372" priority="4" operator="equal">
      <formula>"No"</formula>
    </cfRule>
  </conditionalFormatting>
  <conditionalFormatting sqref="AJ17:AJ20 AJ8:AJ15 AJ23:AJ24">
    <cfRule type="cellIs" dxfId="371" priority="3" operator="equal">
      <formula>"No"</formula>
    </cfRule>
  </conditionalFormatting>
  <conditionalFormatting sqref="AJ5">
    <cfRule type="cellIs" dxfId="370" priority="2" operator="equal">
      <formula>"No"</formula>
    </cfRule>
  </conditionalFormatting>
  <conditionalFormatting sqref="AL4:AM4">
    <cfRule type="cellIs" dxfId="369" priority="1" operator="equal">
      <formula>"No"</formula>
    </cfRule>
  </conditionalFormatting>
  <dataValidations disablePrompts="1" count="1">
    <dataValidation type="list" allowBlank="1" showInputMessage="1" showErrorMessage="1" sqref="AJ6 AJ8:AJ15 AJ17:AJ20 AJ23:AJ24" xr:uid="{00000000-0002-0000-1D00-000000000000}">
      <formula1>"Meets, Does Not Meet"</formula1>
    </dataValidation>
  </dataValidations>
  <printOptions horizontalCentered="1"/>
  <pageMargins left="0" right="0.25" top="0" bottom="0" header="0.25" footer="0.25"/>
  <pageSetup scale="65" orientation="portrait" r:id="rId1"/>
  <headerFooter>
    <oddFooter>&amp;L&amp;F&amp;C&amp;P of &amp;N&amp;R &amp;A</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
    <pageSetUpPr autoPageBreaks="0"/>
  </sheetPr>
  <dimension ref="A2:AT316"/>
  <sheetViews>
    <sheetView showGridLines="0" zoomScaleNormal="100" zoomScaleSheetLayoutView="82" workbookViewId="0"/>
  </sheetViews>
  <sheetFormatPr defaultColWidth="3.6640625" defaultRowHeight="18" customHeight="1"/>
  <cols>
    <col min="1" max="5" width="4.109375" style="113" customWidth="1"/>
    <col min="6" max="6" width="5.109375" style="113" customWidth="1"/>
    <col min="7" max="8" width="4.109375" style="113" customWidth="1"/>
    <col min="9" max="9" width="4.109375" style="111" customWidth="1"/>
    <col min="10" max="34" width="4.109375" style="113" customWidth="1"/>
    <col min="35" max="38" width="4.6640625" style="113" customWidth="1"/>
    <col min="39" max="39" width="3.88671875" style="113" customWidth="1"/>
    <col min="40" max="40" width="18.33203125" style="113" customWidth="1"/>
    <col min="41" max="43" width="12" style="113" customWidth="1"/>
    <col min="44" max="44" width="16.33203125" style="113" customWidth="1"/>
    <col min="45" max="45" width="118.6640625" style="113" customWidth="1"/>
    <col min="46" max="52" width="12" style="113" customWidth="1"/>
    <col min="53" max="16384" width="3.6640625" style="113"/>
  </cols>
  <sheetData>
    <row r="2" spans="1:46" s="112" customFormat="1" ht="17.399999999999999">
      <c r="B2" s="3366" t="s">
        <v>1921</v>
      </c>
      <c r="C2" s="3367"/>
      <c r="D2" s="3367"/>
      <c r="E2" s="3367"/>
      <c r="F2" s="3367"/>
      <c r="G2" s="3367"/>
      <c r="H2" s="3367"/>
      <c r="I2" s="3367"/>
      <c r="J2" s="3367"/>
      <c r="K2" s="3367"/>
      <c r="L2" s="3367"/>
      <c r="M2" s="3367"/>
      <c r="N2" s="3367"/>
      <c r="O2" s="3367"/>
      <c r="P2" s="3367"/>
      <c r="Q2" s="3367"/>
      <c r="R2" s="3367"/>
      <c r="S2" s="3367"/>
      <c r="T2" s="3367"/>
      <c r="U2" s="3367"/>
      <c r="V2" s="3367"/>
      <c r="W2" s="3367"/>
      <c r="X2" s="3367"/>
      <c r="Y2" s="3367"/>
      <c r="Z2" s="3367"/>
      <c r="AA2" s="3367"/>
      <c r="AB2" s="3367"/>
      <c r="AC2" s="3367"/>
      <c r="AD2" s="3367"/>
      <c r="AE2" s="3367"/>
      <c r="AF2" s="3367"/>
      <c r="AG2" s="3367"/>
      <c r="AH2" s="3367"/>
      <c r="AI2" s="3367"/>
      <c r="AJ2" s="3367"/>
      <c r="AK2" s="3367"/>
      <c r="AL2" s="3367"/>
      <c r="AM2" s="3367"/>
      <c r="AN2" s="111" t="s">
        <v>1922</v>
      </c>
    </row>
    <row r="3" spans="1:46" s="112" customFormat="1" ht="9" customHeight="1">
      <c r="B3" s="376"/>
      <c r="C3" s="377"/>
      <c r="D3" s="377"/>
      <c r="E3" s="377"/>
      <c r="F3" s="377"/>
      <c r="G3" s="377"/>
      <c r="H3" s="377"/>
      <c r="I3" s="377"/>
      <c r="J3" s="377"/>
      <c r="K3" s="377"/>
      <c r="L3" s="377"/>
      <c r="M3" s="377"/>
      <c r="N3" s="377"/>
      <c r="O3" s="377"/>
      <c r="P3" s="377"/>
      <c r="Q3" s="377"/>
      <c r="R3" s="377"/>
      <c r="S3" s="377"/>
      <c r="T3" s="377"/>
      <c r="U3" s="377"/>
      <c r="V3" s="377"/>
      <c r="W3" s="377"/>
      <c r="X3" s="377"/>
      <c r="Y3" s="377"/>
      <c r="Z3" s="377"/>
      <c r="AA3" s="377"/>
      <c r="AB3" s="377"/>
      <c r="AC3" s="377"/>
      <c r="AD3" s="377"/>
      <c r="AE3" s="377"/>
      <c r="AF3" s="377"/>
      <c r="AG3" s="377"/>
      <c r="AH3" s="377"/>
      <c r="AI3" s="377"/>
      <c r="AJ3" s="377"/>
      <c r="AK3" s="377"/>
      <c r="AL3" s="377"/>
      <c r="AM3" s="377"/>
      <c r="AN3" s="111"/>
    </row>
    <row r="4" spans="1:46" ht="36" customHeight="1">
      <c r="A4" s="391"/>
      <c r="B4" s="2515" t="s">
        <v>1923</v>
      </c>
      <c r="C4" s="2507"/>
      <c r="D4" s="2507"/>
      <c r="E4" s="2507"/>
      <c r="F4" s="2507"/>
      <c r="G4" s="2507"/>
      <c r="H4" s="2507"/>
      <c r="I4" s="2507"/>
      <c r="J4" s="2507"/>
      <c r="K4" s="2507"/>
      <c r="L4" s="2507"/>
      <c r="M4" s="2507"/>
      <c r="N4" s="2507"/>
      <c r="O4" s="2507"/>
      <c r="P4" s="2507"/>
      <c r="Q4" s="2507"/>
      <c r="R4" s="2507"/>
      <c r="S4" s="2507"/>
      <c r="T4" s="2507"/>
      <c r="U4" s="2507"/>
      <c r="V4" s="2507"/>
      <c r="W4" s="2507"/>
      <c r="X4" s="2507"/>
      <c r="Y4" s="2507"/>
      <c r="Z4" s="2507"/>
      <c r="AA4" s="2507"/>
      <c r="AB4" s="2507"/>
      <c r="AC4" s="2507"/>
      <c r="AD4" s="2507"/>
      <c r="AE4" s="2507"/>
      <c r="AF4" s="2507"/>
      <c r="AG4" s="2507"/>
      <c r="AH4" s="2507"/>
      <c r="AI4" s="2507"/>
      <c r="AJ4" s="2507"/>
      <c r="AK4" s="2507"/>
      <c r="AL4" s="2507"/>
      <c r="AM4" s="2513"/>
      <c r="AN4" s="1319" t="s">
        <v>1924</v>
      </c>
    </row>
    <row r="5" spans="1:46" s="114" customFormat="1" ht="18" customHeight="1">
      <c r="A5" s="390"/>
      <c r="B5" s="378"/>
      <c r="C5" s="3454" t="s">
        <v>1925</v>
      </c>
      <c r="D5" s="3455"/>
      <c r="E5" s="3451" t="s">
        <v>1926</v>
      </c>
      <c r="F5" s="3452"/>
      <c r="G5" s="3452"/>
      <c r="H5" s="3452"/>
      <c r="I5" s="3452"/>
      <c r="J5" s="3452"/>
      <c r="K5" s="3452"/>
      <c r="L5" s="3452"/>
      <c r="M5" s="3452"/>
      <c r="N5" s="3452"/>
      <c r="O5" s="3452"/>
      <c r="P5" s="3452"/>
      <c r="Q5" s="3452"/>
      <c r="R5" s="3452"/>
      <c r="S5" s="3452"/>
      <c r="T5" s="3452"/>
      <c r="U5" s="3453"/>
      <c r="V5" s="379"/>
      <c r="W5" s="379"/>
      <c r="X5" s="379"/>
      <c r="Y5" s="379"/>
      <c r="Z5" s="379"/>
      <c r="AA5" s="380"/>
      <c r="AB5" s="381"/>
      <c r="AC5" s="381"/>
      <c r="AD5" s="381"/>
      <c r="AE5" s="381"/>
      <c r="AF5" s="381"/>
      <c r="AG5" s="381"/>
      <c r="AH5" s="381"/>
      <c r="AI5" s="381"/>
      <c r="AJ5" s="381"/>
      <c r="AK5" s="381"/>
      <c r="AL5" s="381"/>
      <c r="AM5" s="381"/>
      <c r="AN5" s="1319" t="s">
        <v>1927</v>
      </c>
    </row>
    <row r="6" spans="1:46" s="114" customFormat="1" ht="18" customHeight="1">
      <c r="A6" s="390"/>
      <c r="B6" s="1320"/>
      <c r="C6" s="3428"/>
      <c r="D6" s="3429"/>
      <c r="E6" s="3421" t="s">
        <v>1928</v>
      </c>
      <c r="F6" s="3421"/>
      <c r="G6" s="3421"/>
      <c r="H6" s="3421"/>
      <c r="I6" s="3421"/>
      <c r="J6" s="3421"/>
      <c r="K6" s="3421"/>
      <c r="L6" s="3421"/>
      <c r="M6" s="3421"/>
      <c r="N6" s="3421"/>
      <c r="O6" s="3421"/>
      <c r="P6" s="3421"/>
      <c r="Q6" s="3421"/>
      <c r="R6" s="3421"/>
      <c r="S6" s="3421"/>
      <c r="T6" s="3421"/>
      <c r="U6" s="3421"/>
      <c r="V6" s="1481"/>
      <c r="W6" s="1481"/>
      <c r="X6" s="1481"/>
      <c r="Y6" s="1481"/>
      <c r="Z6" s="1481"/>
      <c r="AA6" s="2"/>
      <c r="AB6" s="178"/>
      <c r="AC6" s="178"/>
      <c r="AD6" s="178"/>
      <c r="AE6" s="178"/>
      <c r="AF6" s="178"/>
      <c r="AG6" s="178"/>
      <c r="AH6" s="178"/>
      <c r="AI6" s="178"/>
      <c r="AJ6" s="178"/>
      <c r="AK6" s="178"/>
      <c r="AL6" s="178"/>
      <c r="AM6" s="178"/>
      <c r="AN6" s="1319" t="s">
        <v>1929</v>
      </c>
    </row>
    <row r="7" spans="1:46" s="114" customFormat="1" ht="18" customHeight="1">
      <c r="A7" s="390"/>
      <c r="B7" s="1320"/>
      <c r="C7" s="3454" t="s">
        <v>1930</v>
      </c>
      <c r="D7" s="3455"/>
      <c r="E7" s="3421" t="s">
        <v>1931</v>
      </c>
      <c r="F7" s="3421"/>
      <c r="G7" s="3421"/>
      <c r="H7" s="3421"/>
      <c r="I7" s="3421"/>
      <c r="J7" s="3421"/>
      <c r="K7" s="3421"/>
      <c r="L7" s="3421"/>
      <c r="M7" s="3421"/>
      <c r="N7" s="3421"/>
      <c r="O7" s="3421"/>
      <c r="P7" s="3421"/>
      <c r="Q7" s="3421"/>
      <c r="R7" s="3421"/>
      <c r="S7" s="3421"/>
      <c r="T7" s="3421"/>
      <c r="U7" s="3421"/>
      <c r="V7" s="1481"/>
      <c r="W7" s="1481"/>
      <c r="X7" s="1481"/>
      <c r="Y7" s="1481"/>
      <c r="Z7" s="1481"/>
      <c r="AA7" s="2"/>
      <c r="AB7" s="178"/>
      <c r="AC7" s="178"/>
      <c r="AD7" s="178"/>
      <c r="AE7" s="178"/>
      <c r="AF7" s="178"/>
      <c r="AG7" s="178"/>
      <c r="AH7" s="178"/>
      <c r="AI7" s="178"/>
      <c r="AJ7" s="178"/>
      <c r="AK7" s="178"/>
      <c r="AL7" s="178"/>
      <c r="AM7" s="178"/>
      <c r="AN7" s="1319" t="s">
        <v>1932</v>
      </c>
    </row>
    <row r="8" spans="1:46" s="114" customFormat="1" ht="18" customHeight="1">
      <c r="A8" s="390"/>
      <c r="B8" s="1320"/>
      <c r="C8" s="3428"/>
      <c r="D8" s="3429"/>
      <c r="E8" s="3430" t="s">
        <v>1933</v>
      </c>
      <c r="F8" s="3430"/>
      <c r="G8" s="3430"/>
      <c r="H8" s="3430"/>
      <c r="I8" s="3430"/>
      <c r="J8" s="3430"/>
      <c r="K8" s="3430"/>
      <c r="L8" s="3430"/>
      <c r="M8" s="3430"/>
      <c r="N8" s="3430"/>
      <c r="O8" s="3430"/>
      <c r="P8" s="3430"/>
      <c r="Q8" s="3430"/>
      <c r="R8" s="3430"/>
      <c r="S8" s="3430"/>
      <c r="T8" s="3430"/>
      <c r="U8" s="3430"/>
      <c r="V8" s="5"/>
      <c r="W8" s="3392" t="s">
        <v>1934</v>
      </c>
      <c r="X8" s="3393"/>
      <c r="Y8" s="3393"/>
      <c r="Z8" s="3393"/>
      <c r="AA8" s="3393"/>
      <c r="AB8" s="3393"/>
      <c r="AC8" s="3393"/>
      <c r="AD8" s="3393"/>
      <c r="AE8" s="3393"/>
      <c r="AF8" s="3393"/>
      <c r="AG8" s="3393"/>
      <c r="AH8" s="3394"/>
      <c r="AI8" s="3399" t="s">
        <v>1935</v>
      </c>
      <c r="AJ8" s="3400"/>
      <c r="AK8" s="3399" t="s">
        <v>1936</v>
      </c>
      <c r="AL8" s="3400"/>
      <c r="AM8" s="178"/>
      <c r="AN8" s="1319" t="s">
        <v>1937</v>
      </c>
    </row>
    <row r="9" spans="1:46" s="114" customFormat="1" ht="18" customHeight="1">
      <c r="A9" s="390"/>
      <c r="B9" s="1320"/>
      <c r="C9" s="3428"/>
      <c r="D9" s="3429"/>
      <c r="E9" s="3421" t="s">
        <v>1938</v>
      </c>
      <c r="F9" s="3421"/>
      <c r="G9" s="3421"/>
      <c r="H9" s="3421"/>
      <c r="I9" s="3421"/>
      <c r="J9" s="3421"/>
      <c r="K9" s="3421"/>
      <c r="L9" s="3421"/>
      <c r="M9" s="3421"/>
      <c r="N9" s="3421"/>
      <c r="O9" s="3421"/>
      <c r="P9" s="3421"/>
      <c r="Q9" s="3421"/>
      <c r="R9" s="3421"/>
      <c r="S9" s="3421"/>
      <c r="T9" s="3421"/>
      <c r="U9" s="3421"/>
      <c r="V9" s="1481"/>
      <c r="W9" s="3395"/>
      <c r="X9" s="3396"/>
      <c r="Y9" s="3396"/>
      <c r="Z9" s="3396"/>
      <c r="AA9" s="3396"/>
      <c r="AB9" s="3396"/>
      <c r="AC9" s="3396"/>
      <c r="AD9" s="3396"/>
      <c r="AE9" s="3396"/>
      <c r="AF9" s="3396"/>
      <c r="AG9" s="3396"/>
      <c r="AH9" s="3397"/>
      <c r="AI9" s="3401"/>
      <c r="AJ9" s="3402"/>
      <c r="AK9" s="3401"/>
      <c r="AL9" s="3402"/>
      <c r="AM9" s="178"/>
      <c r="AN9" s="1319" t="s">
        <v>1939</v>
      </c>
    </row>
    <row r="10" spans="1:46" s="114" customFormat="1" ht="18" customHeight="1">
      <c r="A10" s="390"/>
      <c r="B10" s="1320"/>
      <c r="C10" s="3454" t="s">
        <v>1940</v>
      </c>
      <c r="D10" s="3455"/>
      <c r="E10" s="3430" t="s">
        <v>1941</v>
      </c>
      <c r="F10" s="3430"/>
      <c r="G10" s="3430"/>
      <c r="H10" s="3430"/>
      <c r="I10" s="3430"/>
      <c r="J10" s="3430"/>
      <c r="K10" s="3430"/>
      <c r="L10" s="3430"/>
      <c r="M10" s="3430"/>
      <c r="N10" s="3430"/>
      <c r="O10" s="3430"/>
      <c r="P10" s="3430"/>
      <c r="Q10" s="3430"/>
      <c r="R10" s="3430"/>
      <c r="S10" s="3430"/>
      <c r="T10" s="3430"/>
      <c r="U10" s="3430"/>
      <c r="V10" s="5"/>
      <c r="W10" s="3380" t="s">
        <v>1942</v>
      </c>
      <c r="X10" s="3381"/>
      <c r="Y10" s="3381"/>
      <c r="Z10" s="3381"/>
      <c r="AA10" s="3381"/>
      <c r="AB10" s="3381"/>
      <c r="AC10" s="3381"/>
      <c r="AD10" s="3381"/>
      <c r="AE10" s="3381"/>
      <c r="AF10" s="3381"/>
      <c r="AG10" s="3381"/>
      <c r="AH10" s="3382"/>
      <c r="AI10" s="3460"/>
      <c r="AJ10" s="3461"/>
      <c r="AK10" s="3460"/>
      <c r="AL10" s="3461"/>
      <c r="AM10" s="178"/>
      <c r="AN10" s="1319" t="s">
        <v>1943</v>
      </c>
    </row>
    <row r="11" spans="1:46" s="114" customFormat="1" ht="18" customHeight="1">
      <c r="A11" s="390"/>
      <c r="B11" s="1320"/>
      <c r="C11" s="3428"/>
      <c r="D11" s="3429"/>
      <c r="E11" s="3456" t="s">
        <v>1944</v>
      </c>
      <c r="F11" s="3456"/>
      <c r="G11" s="3456"/>
      <c r="H11" s="3456"/>
      <c r="I11" s="3456"/>
      <c r="J11" s="3456"/>
      <c r="K11" s="3456"/>
      <c r="L11" s="3456"/>
      <c r="M11" s="3456"/>
      <c r="N11" s="3456"/>
      <c r="O11" s="3456"/>
      <c r="P11" s="3456"/>
      <c r="Q11" s="3456"/>
      <c r="R11" s="3456"/>
      <c r="S11" s="3456"/>
      <c r="T11" s="3456"/>
      <c r="U11" s="3456"/>
      <c r="V11" s="223"/>
      <c r="W11" s="3392" t="s">
        <v>1945</v>
      </c>
      <c r="X11" s="3393"/>
      <c r="Y11" s="3393"/>
      <c r="Z11" s="3393"/>
      <c r="AA11" s="3393"/>
      <c r="AB11" s="3393"/>
      <c r="AC11" s="3393"/>
      <c r="AD11" s="3393"/>
      <c r="AE11" s="3393"/>
      <c r="AF11" s="3393"/>
      <c r="AG11" s="3393"/>
      <c r="AH11" s="3394"/>
      <c r="AI11" s="3399" t="s">
        <v>1935</v>
      </c>
      <c r="AJ11" s="3400"/>
      <c r="AK11" s="3399" t="s">
        <v>1936</v>
      </c>
      <c r="AL11" s="3400"/>
      <c r="AM11" s="178"/>
      <c r="AN11" s="1319" t="s">
        <v>1946</v>
      </c>
    </row>
    <row r="12" spans="1:46" s="114" customFormat="1" ht="18" customHeight="1">
      <c r="A12" s="390"/>
      <c r="B12" s="1320"/>
      <c r="C12" s="3428"/>
      <c r="D12" s="3429"/>
      <c r="E12" s="3430" t="s">
        <v>1947</v>
      </c>
      <c r="F12" s="3430"/>
      <c r="G12" s="3430"/>
      <c r="H12" s="3430"/>
      <c r="I12" s="3430"/>
      <c r="J12" s="3430"/>
      <c r="K12" s="3430"/>
      <c r="L12" s="3430"/>
      <c r="M12" s="3430"/>
      <c r="N12" s="3430"/>
      <c r="O12" s="3430"/>
      <c r="P12" s="3430"/>
      <c r="Q12" s="3430"/>
      <c r="R12" s="3430"/>
      <c r="S12" s="3430"/>
      <c r="T12" s="3430"/>
      <c r="U12" s="3430"/>
      <c r="V12" s="5"/>
      <c r="W12" s="3395"/>
      <c r="X12" s="3396"/>
      <c r="Y12" s="3396"/>
      <c r="Z12" s="3396"/>
      <c r="AA12" s="3396"/>
      <c r="AB12" s="3396"/>
      <c r="AC12" s="3396"/>
      <c r="AD12" s="3396"/>
      <c r="AE12" s="3396"/>
      <c r="AF12" s="3396"/>
      <c r="AG12" s="3396"/>
      <c r="AH12" s="3397"/>
      <c r="AI12" s="3401"/>
      <c r="AJ12" s="3402"/>
      <c r="AK12" s="3401"/>
      <c r="AL12" s="3402"/>
      <c r="AM12" s="178"/>
      <c r="AN12" s="1319" t="s">
        <v>1948</v>
      </c>
    </row>
    <row r="13" spans="1:46" s="114" customFormat="1" ht="36" customHeight="1">
      <c r="A13" s="390"/>
      <c r="B13" s="1320"/>
      <c r="C13" s="3428"/>
      <c r="D13" s="3429"/>
      <c r="E13" s="3421" t="s">
        <v>1949</v>
      </c>
      <c r="F13" s="3421"/>
      <c r="G13" s="3421"/>
      <c r="H13" s="3421"/>
      <c r="I13" s="3421"/>
      <c r="J13" s="3421"/>
      <c r="K13" s="3421"/>
      <c r="L13" s="3421"/>
      <c r="M13" s="3421"/>
      <c r="N13" s="3421"/>
      <c r="O13" s="3421"/>
      <c r="P13" s="3421"/>
      <c r="Q13" s="3421"/>
      <c r="R13" s="3421"/>
      <c r="S13" s="3421"/>
      <c r="T13" s="3421"/>
      <c r="U13" s="3421"/>
      <c r="V13" s="5"/>
      <c r="W13" s="3383"/>
      <c r="X13" s="3384"/>
      <c r="Y13" s="3384"/>
      <c r="Z13" s="3384"/>
      <c r="AA13" s="3384"/>
      <c r="AB13" s="3384"/>
      <c r="AC13" s="3384"/>
      <c r="AD13" s="3384"/>
      <c r="AE13" s="3384"/>
      <c r="AF13" s="3384"/>
      <c r="AG13" s="3384"/>
      <c r="AH13" s="3385"/>
      <c r="AI13" s="3403"/>
      <c r="AJ13" s="3404"/>
      <c r="AK13" s="3403"/>
      <c r="AL13" s="3404"/>
      <c r="AM13" s="178"/>
      <c r="AN13" s="1319" t="s">
        <v>1950</v>
      </c>
    </row>
    <row r="14" spans="1:46" s="114" customFormat="1" ht="18" customHeight="1">
      <c r="A14" s="390"/>
      <c r="B14" s="1320"/>
      <c r="C14" s="3454" t="s">
        <v>1951</v>
      </c>
      <c r="D14" s="3455"/>
      <c r="E14" s="3430" t="s">
        <v>1952</v>
      </c>
      <c r="F14" s="3430"/>
      <c r="G14" s="3430"/>
      <c r="H14" s="3430"/>
      <c r="I14" s="3430"/>
      <c r="J14" s="3430"/>
      <c r="K14" s="3430"/>
      <c r="L14" s="3430"/>
      <c r="M14" s="3430"/>
      <c r="N14" s="3430"/>
      <c r="O14" s="3430"/>
      <c r="P14" s="3430"/>
      <c r="Q14" s="3430"/>
      <c r="R14" s="3430"/>
      <c r="S14" s="3430"/>
      <c r="T14" s="3430"/>
      <c r="U14" s="3430"/>
      <c r="V14" s="5"/>
      <c r="W14" s="3386"/>
      <c r="X14" s="3387"/>
      <c r="Y14" s="3387"/>
      <c r="Z14" s="3387"/>
      <c r="AA14" s="3387"/>
      <c r="AB14" s="3387"/>
      <c r="AC14" s="3387"/>
      <c r="AD14" s="3387"/>
      <c r="AE14" s="3387"/>
      <c r="AF14" s="3387"/>
      <c r="AG14" s="3387"/>
      <c r="AH14" s="3388"/>
      <c r="AI14" s="3405"/>
      <c r="AJ14" s="3406"/>
      <c r="AK14" s="3405"/>
      <c r="AL14" s="3406"/>
      <c r="AM14" s="178"/>
      <c r="AN14" s="1321"/>
    </row>
    <row r="15" spans="1:46" s="114" customFormat="1" ht="18" customHeight="1">
      <c r="A15" s="390"/>
      <c r="B15" s="1320"/>
      <c r="C15" s="3428"/>
      <c r="D15" s="3429"/>
      <c r="E15" s="3430" t="s">
        <v>1953</v>
      </c>
      <c r="F15" s="3430"/>
      <c r="G15" s="3430"/>
      <c r="H15" s="3430"/>
      <c r="I15" s="3430"/>
      <c r="J15" s="3430"/>
      <c r="K15" s="3430"/>
      <c r="L15" s="3430"/>
      <c r="M15" s="3430"/>
      <c r="N15" s="3430"/>
      <c r="O15" s="3430"/>
      <c r="P15" s="3430"/>
      <c r="Q15" s="3430"/>
      <c r="R15" s="3430"/>
      <c r="S15" s="3430"/>
      <c r="T15" s="3430"/>
      <c r="U15" s="3430"/>
      <c r="V15" s="5"/>
      <c r="W15" s="3389"/>
      <c r="X15" s="3390"/>
      <c r="Y15" s="3390"/>
      <c r="Z15" s="3390"/>
      <c r="AA15" s="3390"/>
      <c r="AB15" s="3390"/>
      <c r="AC15" s="3390"/>
      <c r="AD15" s="3390"/>
      <c r="AE15" s="3390"/>
      <c r="AF15" s="3390"/>
      <c r="AG15" s="3390"/>
      <c r="AH15" s="3391"/>
      <c r="AI15" s="3407"/>
      <c r="AJ15" s="3408"/>
      <c r="AK15" s="3407"/>
      <c r="AL15" s="3408"/>
      <c r="AM15" s="178"/>
      <c r="AN15" s="1321"/>
      <c r="AS15" s="218"/>
    </row>
    <row r="16" spans="1:46" s="114" customFormat="1" ht="18" customHeight="1">
      <c r="A16" s="390"/>
      <c r="B16" s="1320"/>
      <c r="C16" s="3428"/>
      <c r="D16" s="3429"/>
      <c r="E16" s="3430" t="s">
        <v>1954</v>
      </c>
      <c r="F16" s="3430"/>
      <c r="G16" s="3430"/>
      <c r="H16" s="3430"/>
      <c r="I16" s="3430"/>
      <c r="J16" s="3430"/>
      <c r="K16" s="3430"/>
      <c r="L16" s="3430"/>
      <c r="M16" s="3430"/>
      <c r="N16" s="3430"/>
      <c r="O16" s="3430"/>
      <c r="P16" s="3430"/>
      <c r="Q16" s="3430"/>
      <c r="R16" s="3430"/>
      <c r="S16" s="3430"/>
      <c r="T16" s="3430"/>
      <c r="U16" s="3430"/>
      <c r="V16" s="5"/>
      <c r="W16" s="3383"/>
      <c r="X16" s="3384"/>
      <c r="Y16" s="3384"/>
      <c r="Z16" s="3384"/>
      <c r="AA16" s="3384"/>
      <c r="AB16" s="3384"/>
      <c r="AC16" s="3384"/>
      <c r="AD16" s="3384"/>
      <c r="AE16" s="3384"/>
      <c r="AF16" s="3384"/>
      <c r="AG16" s="3384"/>
      <c r="AH16" s="3385"/>
      <c r="AI16" s="3403"/>
      <c r="AJ16" s="3404"/>
      <c r="AK16" s="3403"/>
      <c r="AL16" s="3404"/>
      <c r="AM16" s="178"/>
      <c r="AN16" s="1102" t="s">
        <v>1955</v>
      </c>
      <c r="AO16" s="1510"/>
      <c r="AP16" s="1510"/>
      <c r="AQ16" s="1510"/>
      <c r="AR16" s="1510"/>
      <c r="AS16" s="218" t="s">
        <v>1956</v>
      </c>
      <c r="AT16" s="1535"/>
    </row>
    <row r="17" spans="1:46" s="114" customFormat="1" ht="18" customHeight="1">
      <c r="A17" s="390"/>
      <c r="B17" s="1320"/>
      <c r="C17" s="3454" t="s">
        <v>1957</v>
      </c>
      <c r="D17" s="3455"/>
      <c r="E17" s="3430" t="s">
        <v>1958</v>
      </c>
      <c r="F17" s="3430"/>
      <c r="G17" s="3430"/>
      <c r="H17" s="3430"/>
      <c r="I17" s="3430"/>
      <c r="J17" s="3430"/>
      <c r="K17" s="3430"/>
      <c r="L17" s="3430"/>
      <c r="M17" s="3430"/>
      <c r="N17" s="3430"/>
      <c r="O17" s="3430"/>
      <c r="P17" s="3430"/>
      <c r="Q17" s="3430"/>
      <c r="R17" s="3430"/>
      <c r="S17" s="3430"/>
      <c r="T17" s="3430"/>
      <c r="U17" s="3430"/>
      <c r="V17" s="5"/>
      <c r="W17" s="3386"/>
      <c r="X17" s="3387"/>
      <c r="Y17" s="3387"/>
      <c r="Z17" s="3387"/>
      <c r="AA17" s="3387"/>
      <c r="AB17" s="3387"/>
      <c r="AC17" s="3387"/>
      <c r="AD17" s="3387"/>
      <c r="AE17" s="3387"/>
      <c r="AF17" s="3387"/>
      <c r="AG17" s="3387"/>
      <c r="AH17" s="3388"/>
      <c r="AI17" s="3405"/>
      <c r="AJ17" s="3406"/>
      <c r="AK17" s="3405"/>
      <c r="AL17" s="3406"/>
      <c r="AM17" s="178"/>
      <c r="AN17" s="1102" t="s">
        <v>1959</v>
      </c>
      <c r="AO17" s="1510"/>
      <c r="AP17" s="1510"/>
      <c r="AQ17" s="1510"/>
      <c r="AR17" s="1510"/>
      <c r="AS17" s="218" t="s">
        <v>1960</v>
      </c>
      <c r="AT17" s="1535"/>
    </row>
    <row r="18" spans="1:46" s="114" customFormat="1" ht="18" customHeight="1">
      <c r="A18" s="390"/>
      <c r="B18" s="1320"/>
      <c r="C18" s="3428"/>
      <c r="D18" s="3429"/>
      <c r="E18" s="3430" t="s">
        <v>1961</v>
      </c>
      <c r="F18" s="3430"/>
      <c r="G18" s="3430"/>
      <c r="H18" s="3430"/>
      <c r="I18" s="3430"/>
      <c r="J18" s="3430"/>
      <c r="K18" s="3430"/>
      <c r="L18" s="3430"/>
      <c r="M18" s="3430"/>
      <c r="N18" s="3430"/>
      <c r="O18" s="3430"/>
      <c r="P18" s="3430"/>
      <c r="Q18" s="3430"/>
      <c r="R18" s="3430"/>
      <c r="S18" s="3430"/>
      <c r="T18" s="3430"/>
      <c r="U18" s="3430"/>
      <c r="V18" s="5"/>
      <c r="W18" s="3389"/>
      <c r="X18" s="3390"/>
      <c r="Y18" s="3390"/>
      <c r="Z18" s="3390"/>
      <c r="AA18" s="3390"/>
      <c r="AB18" s="3390"/>
      <c r="AC18" s="3390"/>
      <c r="AD18" s="3390"/>
      <c r="AE18" s="3390"/>
      <c r="AF18" s="3390"/>
      <c r="AG18" s="3390"/>
      <c r="AH18" s="3391"/>
      <c r="AI18" s="3407"/>
      <c r="AJ18" s="3408"/>
      <c r="AK18" s="3407"/>
      <c r="AL18" s="3408"/>
      <c r="AM18" s="178"/>
      <c r="AN18" s="1102" t="s">
        <v>1962</v>
      </c>
      <c r="AO18" s="1510"/>
      <c r="AP18" s="1510"/>
      <c r="AQ18" s="1510"/>
      <c r="AR18" s="1510"/>
      <c r="AS18" s="218" t="s">
        <v>1963</v>
      </c>
      <c r="AT18" s="3462"/>
    </row>
    <row r="19" spans="1:46" s="114" customFormat="1" ht="18" customHeight="1">
      <c r="A19" s="390"/>
      <c r="B19" s="1320"/>
      <c r="C19" s="3428"/>
      <c r="D19" s="3429"/>
      <c r="E19" s="3430" t="s">
        <v>1964</v>
      </c>
      <c r="F19" s="3430"/>
      <c r="G19" s="3430"/>
      <c r="H19" s="3430"/>
      <c r="I19" s="3430"/>
      <c r="J19" s="3430"/>
      <c r="K19" s="3430"/>
      <c r="L19" s="3430"/>
      <c r="M19" s="3430"/>
      <c r="N19" s="3430"/>
      <c r="O19" s="3430"/>
      <c r="P19" s="3430"/>
      <c r="Q19" s="3430"/>
      <c r="R19" s="3430"/>
      <c r="S19" s="3430"/>
      <c r="T19" s="3430"/>
      <c r="U19" s="3430"/>
      <c r="V19" s="5"/>
      <c r="W19" s="3383"/>
      <c r="X19" s="3384"/>
      <c r="Y19" s="3384"/>
      <c r="Z19" s="3384"/>
      <c r="AA19" s="3384"/>
      <c r="AB19" s="3384"/>
      <c r="AC19" s="3384"/>
      <c r="AD19" s="3384"/>
      <c r="AE19" s="3384"/>
      <c r="AF19" s="3384"/>
      <c r="AG19" s="3384"/>
      <c r="AH19" s="3385"/>
      <c r="AI19" s="3398"/>
      <c r="AJ19" s="3398"/>
      <c r="AK19" s="3398"/>
      <c r="AL19" s="3398"/>
      <c r="AM19" s="178"/>
      <c r="AN19" s="1102" t="s">
        <v>1965</v>
      </c>
      <c r="AS19" s="218" t="s">
        <v>1966</v>
      </c>
      <c r="AT19" s="3462"/>
    </row>
    <row r="20" spans="1:46" s="114" customFormat="1" ht="18" customHeight="1">
      <c r="A20" s="390"/>
      <c r="B20" s="1320"/>
      <c r="C20" s="3454" t="s">
        <v>1967</v>
      </c>
      <c r="D20" s="3455"/>
      <c r="E20" s="3430" t="s">
        <v>1968</v>
      </c>
      <c r="F20" s="3430"/>
      <c r="G20" s="3430"/>
      <c r="H20" s="3430"/>
      <c r="I20" s="3430"/>
      <c r="J20" s="3430"/>
      <c r="K20" s="3430"/>
      <c r="L20" s="3430"/>
      <c r="M20" s="3430"/>
      <c r="N20" s="3430"/>
      <c r="O20" s="3430"/>
      <c r="P20" s="3430"/>
      <c r="Q20" s="3430"/>
      <c r="R20" s="3430"/>
      <c r="S20" s="3430"/>
      <c r="T20" s="3430"/>
      <c r="U20" s="3430"/>
      <c r="V20" s="5"/>
      <c r="W20" s="3386"/>
      <c r="X20" s="3387"/>
      <c r="Y20" s="3387"/>
      <c r="Z20" s="3387"/>
      <c r="AA20" s="3387"/>
      <c r="AB20" s="3387"/>
      <c r="AC20" s="3387"/>
      <c r="AD20" s="3387"/>
      <c r="AE20" s="3387"/>
      <c r="AF20" s="3387"/>
      <c r="AG20" s="3387"/>
      <c r="AH20" s="3388"/>
      <c r="AI20" s="3398"/>
      <c r="AJ20" s="3398"/>
      <c r="AK20" s="3398"/>
      <c r="AL20" s="3398"/>
      <c r="AM20" s="178"/>
      <c r="AN20" s="1102" t="s">
        <v>1969</v>
      </c>
      <c r="AO20" s="217"/>
      <c r="AP20" s="1510"/>
      <c r="AQ20" s="1510"/>
      <c r="AR20" s="1510"/>
      <c r="AS20" s="218" t="s">
        <v>1970</v>
      </c>
      <c r="AT20" s="3462"/>
    </row>
    <row r="21" spans="1:46" s="114" customFormat="1" ht="18" customHeight="1">
      <c r="A21" s="390"/>
      <c r="B21" s="1320"/>
      <c r="C21" s="3428"/>
      <c r="D21" s="3429"/>
      <c r="E21" s="3430" t="s">
        <v>1971</v>
      </c>
      <c r="F21" s="3430"/>
      <c r="G21" s="3430"/>
      <c r="H21" s="3430"/>
      <c r="I21" s="3430"/>
      <c r="J21" s="3430"/>
      <c r="K21" s="3430"/>
      <c r="L21" s="3430"/>
      <c r="M21" s="3430"/>
      <c r="N21" s="3430"/>
      <c r="O21" s="3430"/>
      <c r="P21" s="3430"/>
      <c r="Q21" s="3430"/>
      <c r="R21" s="3430"/>
      <c r="S21" s="3430"/>
      <c r="T21" s="3430"/>
      <c r="U21" s="3430"/>
      <c r="V21" s="5"/>
      <c r="W21" s="3389"/>
      <c r="X21" s="3390"/>
      <c r="Y21" s="3390"/>
      <c r="Z21" s="3390"/>
      <c r="AA21" s="3390"/>
      <c r="AB21" s="3390"/>
      <c r="AC21" s="3390"/>
      <c r="AD21" s="3390"/>
      <c r="AE21" s="3390"/>
      <c r="AF21" s="3390"/>
      <c r="AG21" s="3390"/>
      <c r="AH21" s="3391"/>
      <c r="AI21" s="3398"/>
      <c r="AJ21" s="3398"/>
      <c r="AK21" s="3398"/>
      <c r="AL21" s="3398"/>
      <c r="AM21" s="178"/>
      <c r="AN21" s="1102" t="s">
        <v>1972</v>
      </c>
      <c r="AO21" s="1510"/>
      <c r="AP21" s="1510"/>
      <c r="AQ21" s="1510"/>
      <c r="AR21" s="1510"/>
      <c r="AS21" s="219" t="s">
        <v>1973</v>
      </c>
      <c r="AT21" s="3462"/>
    </row>
    <row r="22" spans="1:46" s="114" customFormat="1" ht="18" customHeight="1">
      <c r="A22" s="390"/>
      <c r="B22" s="1320"/>
      <c r="C22" s="3428"/>
      <c r="D22" s="3429"/>
      <c r="E22" s="3430" t="s">
        <v>1974</v>
      </c>
      <c r="F22" s="3430"/>
      <c r="G22" s="3430"/>
      <c r="H22" s="3430"/>
      <c r="I22" s="3430"/>
      <c r="J22" s="3430"/>
      <c r="K22" s="3430"/>
      <c r="L22" s="3430"/>
      <c r="M22" s="3430"/>
      <c r="N22" s="3430"/>
      <c r="O22" s="3430"/>
      <c r="P22" s="3430"/>
      <c r="Q22" s="3430"/>
      <c r="R22" s="3430"/>
      <c r="S22" s="3430"/>
      <c r="T22" s="3430"/>
      <c r="U22" s="3430"/>
      <c r="V22" s="5"/>
      <c r="W22" s="3383"/>
      <c r="X22" s="3384"/>
      <c r="Y22" s="3384"/>
      <c r="Z22" s="3384"/>
      <c r="AA22" s="3384"/>
      <c r="AB22" s="3384"/>
      <c r="AC22" s="3384"/>
      <c r="AD22" s="3384"/>
      <c r="AE22" s="3384"/>
      <c r="AF22" s="3384"/>
      <c r="AG22" s="3384"/>
      <c r="AH22" s="3385"/>
      <c r="AI22" s="3446"/>
      <c r="AJ22" s="3446"/>
      <c r="AK22" s="3446"/>
      <c r="AL22" s="3446"/>
      <c r="AM22" s="178"/>
      <c r="AN22" s="1102" t="s">
        <v>1975</v>
      </c>
      <c r="AO22" s="1510"/>
      <c r="AP22" s="1510"/>
      <c r="AQ22" s="1510"/>
      <c r="AR22" s="1510"/>
      <c r="AS22" s="218" t="s">
        <v>1976</v>
      </c>
      <c r="AT22" s="3462"/>
    </row>
    <row r="23" spans="1:46" s="114" customFormat="1" ht="18" customHeight="1">
      <c r="A23" s="390"/>
      <c r="B23" s="1320"/>
      <c r="C23" s="3428"/>
      <c r="D23" s="3429"/>
      <c r="E23" s="3430" t="s">
        <v>1977</v>
      </c>
      <c r="F23" s="3430"/>
      <c r="G23" s="3430"/>
      <c r="H23" s="3430"/>
      <c r="I23" s="3430"/>
      <c r="J23" s="3430"/>
      <c r="K23" s="3430"/>
      <c r="L23" s="3430"/>
      <c r="M23" s="3430"/>
      <c r="N23" s="3430"/>
      <c r="O23" s="3430"/>
      <c r="P23" s="3430"/>
      <c r="Q23" s="3430"/>
      <c r="R23" s="3430"/>
      <c r="S23" s="3430"/>
      <c r="T23" s="3430"/>
      <c r="U23" s="3430"/>
      <c r="V23" s="5"/>
      <c r="W23" s="3386"/>
      <c r="X23" s="3387"/>
      <c r="Y23" s="3387"/>
      <c r="Z23" s="3387"/>
      <c r="AA23" s="3387"/>
      <c r="AB23" s="3387"/>
      <c r="AC23" s="3387"/>
      <c r="AD23" s="3387"/>
      <c r="AE23" s="3387"/>
      <c r="AF23" s="3387"/>
      <c r="AG23" s="3387"/>
      <c r="AH23" s="3388"/>
      <c r="AI23" s="3446"/>
      <c r="AJ23" s="3446"/>
      <c r="AK23" s="3446"/>
      <c r="AL23" s="3446"/>
      <c r="AM23" s="178"/>
      <c r="AN23" s="1102" t="s">
        <v>1978</v>
      </c>
      <c r="AO23" s="1510"/>
      <c r="AP23" s="1510"/>
      <c r="AQ23" s="1510"/>
      <c r="AR23" s="1510"/>
      <c r="AS23" s="218" t="s">
        <v>1979</v>
      </c>
      <c r="AT23" s="3462"/>
    </row>
    <row r="24" spans="1:46" s="114" customFormat="1" ht="18" customHeight="1">
      <c r="A24" s="390"/>
      <c r="B24" s="1322"/>
      <c r="C24" s="3454" t="s">
        <v>1980</v>
      </c>
      <c r="D24" s="3455"/>
      <c r="E24" s="3430" t="s">
        <v>1981</v>
      </c>
      <c r="F24" s="3430"/>
      <c r="G24" s="3430"/>
      <c r="H24" s="3430"/>
      <c r="I24" s="3430"/>
      <c r="J24" s="3430"/>
      <c r="K24" s="3430"/>
      <c r="L24" s="3430"/>
      <c r="M24" s="3430"/>
      <c r="N24" s="3430"/>
      <c r="O24" s="3430"/>
      <c r="P24" s="3430"/>
      <c r="Q24" s="3430"/>
      <c r="R24" s="3430"/>
      <c r="S24" s="3430"/>
      <c r="T24" s="3430"/>
      <c r="U24" s="3430"/>
      <c r="V24" s="5"/>
      <c r="W24" s="3389"/>
      <c r="X24" s="3390"/>
      <c r="Y24" s="3390"/>
      <c r="Z24" s="3390"/>
      <c r="AA24" s="3390"/>
      <c r="AB24" s="3390"/>
      <c r="AC24" s="3390"/>
      <c r="AD24" s="3390"/>
      <c r="AE24" s="3390"/>
      <c r="AF24" s="3390"/>
      <c r="AG24" s="3390"/>
      <c r="AH24" s="3391"/>
      <c r="AI24" s="3446"/>
      <c r="AJ24" s="3446"/>
      <c r="AK24" s="3446"/>
      <c r="AL24" s="3446"/>
      <c r="AM24" s="423"/>
      <c r="AN24" s="1102" t="s">
        <v>1982</v>
      </c>
      <c r="AO24" s="1510"/>
      <c r="AP24" s="1510"/>
      <c r="AQ24" s="1510"/>
      <c r="AR24" s="1510"/>
      <c r="AS24" s="218" t="s">
        <v>1983</v>
      </c>
      <c r="AT24" s="3462"/>
    </row>
    <row r="25" spans="1:46" s="114" customFormat="1" ht="18" customHeight="1">
      <c r="A25" s="390"/>
      <c r="B25" s="1322"/>
      <c r="C25" s="3428" t="s">
        <v>664</v>
      </c>
      <c r="D25" s="3429"/>
      <c r="E25" s="3430" t="s">
        <v>1984</v>
      </c>
      <c r="F25" s="3430"/>
      <c r="G25" s="3430"/>
      <c r="H25" s="3430"/>
      <c r="I25" s="3430"/>
      <c r="J25" s="3430"/>
      <c r="K25" s="3430"/>
      <c r="L25" s="3430"/>
      <c r="M25" s="3430"/>
      <c r="N25" s="3430"/>
      <c r="O25" s="3430"/>
      <c r="P25" s="3430"/>
      <c r="Q25" s="3430"/>
      <c r="R25" s="3430"/>
      <c r="S25" s="3430"/>
      <c r="T25" s="3430"/>
      <c r="U25" s="3430"/>
      <c r="V25" s="5"/>
      <c r="W25" s="5"/>
      <c r="X25" s="5"/>
      <c r="Y25" s="5"/>
      <c r="Z25" s="5"/>
      <c r="AA25" s="2"/>
      <c r="AB25" s="222"/>
      <c r="AC25" s="221"/>
      <c r="AD25" s="221"/>
      <c r="AE25" s="221"/>
      <c r="AF25" s="221"/>
      <c r="AG25" s="221"/>
      <c r="AH25" s="221"/>
      <c r="AI25" s="221"/>
      <c r="AJ25" s="221"/>
      <c r="AK25" s="221"/>
      <c r="AL25" s="221"/>
      <c r="AM25" s="423"/>
      <c r="AN25" s="1102" t="s">
        <v>1985</v>
      </c>
      <c r="AS25" s="219" t="s">
        <v>1986</v>
      </c>
      <c r="AT25" s="3462"/>
    </row>
    <row r="26" spans="1:46" s="114" customFormat="1" ht="18" customHeight="1">
      <c r="A26" s="390"/>
      <c r="B26" s="1322"/>
      <c r="C26" s="3428"/>
      <c r="D26" s="3429"/>
      <c r="E26" s="3430" t="s">
        <v>1987</v>
      </c>
      <c r="F26" s="3430"/>
      <c r="G26" s="3430"/>
      <c r="H26" s="3430"/>
      <c r="I26" s="3430"/>
      <c r="J26" s="3430"/>
      <c r="K26" s="3430"/>
      <c r="L26" s="3430"/>
      <c r="M26" s="3430"/>
      <c r="N26" s="3430"/>
      <c r="O26" s="3430"/>
      <c r="P26" s="3430"/>
      <c r="Q26" s="3430"/>
      <c r="R26" s="3430"/>
      <c r="S26" s="3430"/>
      <c r="T26" s="3430"/>
      <c r="U26" s="3430"/>
      <c r="V26" s="5"/>
      <c r="W26" s="5"/>
      <c r="X26" s="5"/>
      <c r="Y26" s="5"/>
      <c r="Z26" s="5"/>
      <c r="AA26" s="2"/>
      <c r="AB26" s="222"/>
      <c r="AC26" s="221"/>
      <c r="AD26" s="221"/>
      <c r="AE26" s="221"/>
      <c r="AF26" s="221"/>
      <c r="AG26" s="221"/>
      <c r="AH26" s="221"/>
      <c r="AI26" s="221"/>
      <c r="AJ26" s="221"/>
      <c r="AK26" s="221"/>
      <c r="AL26" s="221"/>
      <c r="AM26" s="423"/>
      <c r="AN26" s="1102" t="s">
        <v>1988</v>
      </c>
      <c r="AO26" s="1510"/>
      <c r="AP26" s="1510"/>
      <c r="AQ26" s="1510"/>
      <c r="AR26" s="1510"/>
      <c r="AS26" s="220"/>
      <c r="AT26" s="3462"/>
    </row>
    <row r="27" spans="1:46" s="114" customFormat="1" ht="18" customHeight="1">
      <c r="A27" s="390"/>
      <c r="B27" s="1323"/>
      <c r="C27" s="3428"/>
      <c r="D27" s="3429"/>
      <c r="E27" s="3430" t="s">
        <v>1989</v>
      </c>
      <c r="F27" s="3430"/>
      <c r="G27" s="3430"/>
      <c r="H27" s="3430"/>
      <c r="I27" s="3430"/>
      <c r="J27" s="3430"/>
      <c r="K27" s="3430"/>
      <c r="L27" s="3430"/>
      <c r="M27" s="3430"/>
      <c r="N27" s="3430"/>
      <c r="O27" s="3430"/>
      <c r="P27" s="3430"/>
      <c r="Q27" s="3430"/>
      <c r="R27" s="3430"/>
      <c r="S27" s="3430"/>
      <c r="T27" s="3430"/>
      <c r="U27" s="3430"/>
      <c r="V27" s="383"/>
      <c r="W27" s="383"/>
      <c r="X27" s="383"/>
      <c r="Y27" s="383"/>
      <c r="Z27" s="383"/>
      <c r="AA27" s="384"/>
      <c r="AB27" s="385"/>
      <c r="AC27" s="386"/>
      <c r="AD27" s="386"/>
      <c r="AE27" s="386"/>
      <c r="AF27" s="386"/>
      <c r="AG27" s="386"/>
      <c r="AH27" s="386"/>
      <c r="AI27" s="386"/>
      <c r="AJ27" s="386"/>
      <c r="AK27" s="386"/>
      <c r="AL27" s="386"/>
      <c r="AM27" s="424"/>
      <c r="AN27" s="1102" t="s">
        <v>1959</v>
      </c>
      <c r="AT27" s="3462"/>
    </row>
    <row r="28" spans="1:46" s="114" customFormat="1" ht="18" customHeight="1">
      <c r="A28" s="2"/>
      <c r="B28" s="343"/>
      <c r="C28" s="343"/>
      <c r="D28" s="343"/>
      <c r="E28" s="343"/>
      <c r="F28" s="343"/>
      <c r="G28" s="343"/>
      <c r="H28" s="343"/>
      <c r="I28" s="1481"/>
      <c r="J28" s="1481"/>
      <c r="K28" s="1481"/>
      <c r="L28" s="1481"/>
      <c r="M28" s="1481"/>
      <c r="N28" s="1481"/>
      <c r="O28" s="1481"/>
      <c r="P28" s="1481"/>
      <c r="Q28" s="1481"/>
      <c r="R28" s="5"/>
      <c r="S28" s="5"/>
      <c r="T28" s="5"/>
      <c r="U28" s="5"/>
      <c r="V28" s="5"/>
      <c r="W28" s="5"/>
      <c r="X28" s="5"/>
      <c r="Y28" s="5"/>
      <c r="Z28" s="5"/>
      <c r="AA28" s="5"/>
      <c r="AB28" s="5"/>
      <c r="AC28" s="5"/>
      <c r="AD28" s="5"/>
      <c r="AE28" s="5"/>
      <c r="AF28" s="5"/>
      <c r="AG28" s="5"/>
      <c r="AH28" s="5"/>
      <c r="AI28" s="1481"/>
      <c r="AJ28" s="343"/>
      <c r="AK28" s="343"/>
      <c r="AL28" s="343"/>
      <c r="AM28" s="343"/>
      <c r="AN28" s="2"/>
      <c r="AO28" s="2"/>
      <c r="AP28" s="2"/>
      <c r="AQ28" s="2"/>
      <c r="AR28" s="2"/>
      <c r="AS28" s="2"/>
      <c r="AT28" s="382"/>
    </row>
    <row r="29" spans="1:46" s="114" customFormat="1" ht="18" customHeight="1">
      <c r="A29" s="2"/>
      <c r="B29" s="3463" t="s">
        <v>1990</v>
      </c>
      <c r="C29" s="3463"/>
      <c r="D29" s="3463"/>
      <c r="E29" s="3463"/>
      <c r="F29" s="3463"/>
      <c r="G29" s="3463"/>
      <c r="H29" s="3463"/>
      <c r="I29" s="3463"/>
      <c r="J29" s="3463"/>
      <c r="K29" s="3463"/>
      <c r="L29" s="3463"/>
      <c r="M29" s="3463"/>
      <c r="N29" s="3463"/>
      <c r="O29" s="3463"/>
      <c r="P29" s="3463"/>
      <c r="Q29" s="3463"/>
      <c r="R29" s="3463"/>
      <c r="S29" s="3463"/>
      <c r="T29" s="3463"/>
      <c r="U29" s="3463"/>
      <c r="V29" s="3463"/>
      <c r="W29" s="3463"/>
      <c r="X29" s="3463"/>
      <c r="Y29" s="3463"/>
      <c r="Z29" s="3463"/>
      <c r="AA29" s="3463"/>
      <c r="AB29" s="3463"/>
      <c r="AC29" s="3463"/>
      <c r="AD29" s="3463"/>
      <c r="AE29" s="3463"/>
      <c r="AF29" s="3463"/>
      <c r="AG29" s="3463"/>
      <c r="AH29" s="3463"/>
      <c r="AI29" s="3463"/>
      <c r="AJ29" s="3463"/>
      <c r="AK29" s="3463"/>
      <c r="AL29" s="3463"/>
      <c r="AM29" s="3463"/>
      <c r="AN29" s="2"/>
      <c r="AT29" s="1535"/>
    </row>
    <row r="30" spans="1:46" s="114" customFormat="1" ht="54" customHeight="1">
      <c r="A30" s="390"/>
      <c r="B30" s="2513" t="s">
        <v>1991</v>
      </c>
      <c r="C30" s="2514"/>
      <c r="D30" s="2514"/>
      <c r="E30" s="2514"/>
      <c r="F30" s="2514"/>
      <c r="G30" s="2514"/>
      <c r="H30" s="2514"/>
      <c r="I30" s="2514"/>
      <c r="J30" s="2514"/>
      <c r="K30" s="2514"/>
      <c r="L30" s="2514"/>
      <c r="M30" s="2514"/>
      <c r="N30" s="2514"/>
      <c r="O30" s="2514"/>
      <c r="P30" s="2514"/>
      <c r="Q30" s="2514"/>
      <c r="R30" s="2514"/>
      <c r="S30" s="2514"/>
      <c r="T30" s="2514"/>
      <c r="U30" s="2514"/>
      <c r="V30" s="2514"/>
      <c r="W30" s="2514"/>
      <c r="X30" s="2514"/>
      <c r="Y30" s="2514"/>
      <c r="Z30" s="2514"/>
      <c r="AA30" s="2514"/>
      <c r="AB30" s="2514"/>
      <c r="AC30" s="2514"/>
      <c r="AD30" s="2514"/>
      <c r="AE30" s="2514"/>
      <c r="AF30" s="2514"/>
      <c r="AG30" s="2514"/>
      <c r="AH30" s="2514"/>
      <c r="AI30" s="2514"/>
      <c r="AJ30" s="2514"/>
      <c r="AK30" s="2514"/>
      <c r="AL30" s="2514"/>
      <c r="AM30" s="2514"/>
      <c r="AN30" s="1324"/>
      <c r="AO30" s="179"/>
      <c r="AP30" s="179"/>
      <c r="AQ30" s="179"/>
      <c r="AR30" s="179"/>
      <c r="AS30" s="179"/>
      <c r="AT30" s="1535"/>
    </row>
    <row r="31" spans="1:46" s="114" customFormat="1" ht="18" customHeight="1">
      <c r="A31" s="390"/>
      <c r="B31" s="3678" t="s">
        <v>1928</v>
      </c>
      <c r="C31" s="3679"/>
      <c r="D31" s="3679"/>
      <c r="E31" s="3679"/>
      <c r="F31" s="3679"/>
      <c r="G31" s="3679"/>
      <c r="H31" s="3679"/>
      <c r="I31" s="3679"/>
      <c r="J31" s="3679"/>
      <c r="K31" s="3679"/>
      <c r="L31" s="3679"/>
      <c r="M31" s="3679"/>
      <c r="N31" s="3679"/>
      <c r="O31" s="3679"/>
      <c r="P31" s="3679"/>
      <c r="Q31" s="3679"/>
      <c r="R31" s="3679"/>
      <c r="S31" s="3679"/>
      <c r="T31" s="3679"/>
      <c r="U31" s="3679"/>
      <c r="V31" s="3679"/>
      <c r="W31" s="3679"/>
      <c r="X31" s="3679"/>
      <c r="Y31" s="3679"/>
      <c r="Z31" s="3679"/>
      <c r="AA31" s="3679"/>
      <c r="AB31" s="3679"/>
      <c r="AC31" s="3679"/>
      <c r="AD31" s="3679"/>
      <c r="AE31" s="3679"/>
      <c r="AF31" s="3679"/>
      <c r="AG31" s="3679"/>
      <c r="AH31" s="3679"/>
      <c r="AI31" s="3679"/>
      <c r="AJ31" s="3679"/>
      <c r="AK31" s="3679"/>
      <c r="AL31" s="3679"/>
      <c r="AM31" s="3680"/>
      <c r="AN31" s="1321"/>
      <c r="AO31" s="179"/>
      <c r="AP31" s="179"/>
      <c r="AQ31" s="179"/>
      <c r="AR31" s="179"/>
      <c r="AS31" s="179"/>
      <c r="AT31" s="1535"/>
    </row>
    <row r="32" spans="1:46" s="114" customFormat="1" ht="18" customHeight="1">
      <c r="A32" s="390"/>
      <c r="B32" s="3437" t="s">
        <v>1992</v>
      </c>
      <c r="C32" s="3433"/>
      <c r="D32" s="3433"/>
      <c r="E32" s="3433"/>
      <c r="F32" s="3433"/>
      <c r="G32" s="3433"/>
      <c r="H32" s="3433"/>
      <c r="I32" s="3433"/>
      <c r="J32" s="3433"/>
      <c r="K32" s="3433"/>
      <c r="L32" s="3433"/>
      <c r="M32" s="3433"/>
      <c r="N32" s="3433"/>
      <c r="O32" s="2"/>
      <c r="P32" s="2"/>
      <c r="Q32" s="2"/>
      <c r="R32" s="2"/>
      <c r="S32" s="2"/>
      <c r="T32" s="2"/>
      <c r="U32" s="2"/>
      <c r="V32" s="2"/>
      <c r="W32" s="2"/>
      <c r="X32" s="177"/>
      <c r="Y32" s="2"/>
      <c r="Z32" s="2"/>
      <c r="AA32" s="2"/>
      <c r="AB32" s="2"/>
      <c r="AC32" s="2"/>
      <c r="AD32" s="177"/>
      <c r="AE32" s="2"/>
      <c r="AF32" s="2"/>
      <c r="AG32" s="2"/>
      <c r="AH32" s="2"/>
      <c r="AI32" s="2"/>
      <c r="AJ32" s="343"/>
      <c r="AK32" s="343"/>
      <c r="AL32" s="343"/>
      <c r="AM32" s="343"/>
      <c r="AN32" s="1324"/>
      <c r="AO32" s="179"/>
      <c r="AP32" s="179"/>
      <c r="AQ32" s="179"/>
      <c r="AR32" s="179"/>
      <c r="AS32" s="179"/>
      <c r="AT32" s="179"/>
    </row>
    <row r="33" spans="1:46" s="114" customFormat="1" ht="18" customHeight="1">
      <c r="A33" s="390"/>
      <c r="B33" s="3438" t="s">
        <v>1993</v>
      </c>
      <c r="C33" s="3439"/>
      <c r="D33" s="3439"/>
      <c r="E33" s="3439"/>
      <c r="F33" s="3439"/>
      <c r="G33" s="3439"/>
      <c r="H33" s="3439"/>
      <c r="I33" s="3439"/>
      <c r="J33" s="3439"/>
      <c r="K33" s="3439"/>
      <c r="L33" s="3428"/>
      <c r="M33" s="3440"/>
      <c r="N33" s="2"/>
      <c r="O33" s="2"/>
      <c r="P33" s="2"/>
      <c r="Q33" s="2"/>
      <c r="R33" s="2"/>
      <c r="S33" s="2"/>
      <c r="T33" s="2"/>
      <c r="U33" s="6"/>
      <c r="V33" s="6"/>
      <c r="W33" s="6"/>
      <c r="X33" s="6"/>
      <c r="Y33" s="6"/>
      <c r="Z33" s="6"/>
      <c r="AA33" s="6"/>
      <c r="AB33" s="7"/>
      <c r="AC33" s="343"/>
      <c r="AD33" s="343"/>
      <c r="AE33" s="343"/>
      <c r="AF33" s="343"/>
      <c r="AG33" s="343"/>
      <c r="AH33" s="343"/>
      <c r="AI33" s="343"/>
      <c r="AJ33" s="343"/>
      <c r="AK33" s="343"/>
      <c r="AL33" s="343"/>
      <c r="AM33" s="343"/>
      <c r="AN33" s="1321"/>
      <c r="AO33" s="179"/>
      <c r="AP33" s="179"/>
      <c r="AQ33" s="179"/>
      <c r="AR33" s="179"/>
      <c r="AS33" s="179"/>
      <c r="AT33" s="179"/>
    </row>
    <row r="34" spans="1:46" s="115" customFormat="1" ht="54" customHeight="1">
      <c r="A34" s="389"/>
      <c r="B34" s="3468" t="s">
        <v>1994</v>
      </c>
      <c r="C34" s="3436"/>
      <c r="D34" s="3436"/>
      <c r="E34" s="3436"/>
      <c r="F34" s="3436"/>
      <c r="G34" s="3436"/>
      <c r="H34" s="3436"/>
      <c r="I34" s="3436"/>
      <c r="J34" s="3436"/>
      <c r="K34" s="3436"/>
      <c r="L34" s="3436"/>
      <c r="M34" s="3436"/>
      <c r="N34" s="3436"/>
      <c r="O34" s="3436"/>
      <c r="P34" s="3436"/>
      <c r="Q34" s="3436"/>
      <c r="R34" s="3436"/>
      <c r="S34" s="3436"/>
      <c r="T34" s="3436"/>
      <c r="U34" s="3436"/>
      <c r="V34" s="3436"/>
      <c r="W34" s="3436"/>
      <c r="X34" s="3436"/>
      <c r="Y34" s="3436"/>
      <c r="Z34" s="3436"/>
      <c r="AA34" s="3436"/>
      <c r="AB34" s="3436"/>
      <c r="AC34" s="3436"/>
      <c r="AD34" s="3436"/>
      <c r="AE34" s="3436"/>
      <c r="AF34" s="3436"/>
      <c r="AG34" s="3436"/>
      <c r="AH34" s="3436"/>
      <c r="AI34" s="3436"/>
      <c r="AJ34" s="3436"/>
      <c r="AK34" s="3436"/>
      <c r="AL34" s="3436"/>
      <c r="AM34" s="3436"/>
      <c r="AN34" s="1324"/>
      <c r="AO34" s="179"/>
      <c r="AP34" s="179"/>
      <c r="AQ34" s="179"/>
      <c r="AR34" s="179"/>
      <c r="AS34" s="179"/>
      <c r="AT34" s="179"/>
    </row>
    <row r="35" spans="1:46" s="115" customFormat="1" ht="75" customHeight="1">
      <c r="A35" s="389"/>
      <c r="B35" s="3434"/>
      <c r="C35" s="3434"/>
      <c r="D35" s="3434"/>
      <c r="E35" s="3434"/>
      <c r="F35" s="3434"/>
      <c r="G35" s="3434"/>
      <c r="H35" s="3434"/>
      <c r="I35" s="3434"/>
      <c r="J35" s="3434"/>
      <c r="K35" s="3434"/>
      <c r="L35" s="3434"/>
      <c r="M35" s="3434"/>
      <c r="N35" s="3434"/>
      <c r="O35" s="3434"/>
      <c r="P35" s="3434"/>
      <c r="Q35" s="3434"/>
      <c r="R35" s="3434"/>
      <c r="S35" s="3434"/>
      <c r="T35" s="3434"/>
      <c r="U35" s="3434"/>
      <c r="V35" s="3434"/>
      <c r="W35" s="3434"/>
      <c r="X35" s="3434"/>
      <c r="Y35" s="3434"/>
      <c r="Z35" s="3434"/>
      <c r="AA35" s="3434"/>
      <c r="AB35" s="3434"/>
      <c r="AC35" s="3434"/>
      <c r="AD35" s="3434"/>
      <c r="AE35" s="3434"/>
      <c r="AF35" s="3434"/>
      <c r="AG35" s="3434"/>
      <c r="AH35" s="3434"/>
      <c r="AI35" s="3434"/>
      <c r="AJ35" s="3434"/>
      <c r="AK35" s="3434"/>
      <c r="AL35" s="3434"/>
      <c r="AM35" s="3435"/>
      <c r="AN35" s="1325"/>
      <c r="AO35" s="179"/>
      <c r="AP35" s="179"/>
      <c r="AQ35" s="179"/>
      <c r="AR35" s="179"/>
      <c r="AS35" s="179"/>
      <c r="AT35" s="179"/>
    </row>
    <row r="36" spans="1:46" s="115" customFormat="1" ht="54" customHeight="1">
      <c r="A36" s="389"/>
      <c r="B36" s="3431" t="s">
        <v>1995</v>
      </c>
      <c r="C36" s="3431"/>
      <c r="D36" s="3431"/>
      <c r="E36" s="3431"/>
      <c r="F36" s="3431"/>
      <c r="G36" s="3431"/>
      <c r="H36" s="3431"/>
      <c r="I36" s="3431"/>
      <c r="J36" s="3431"/>
      <c r="K36" s="3431"/>
      <c r="L36" s="3431"/>
      <c r="M36" s="3431"/>
      <c r="N36" s="3431"/>
      <c r="O36" s="3431"/>
      <c r="P36" s="3431"/>
      <c r="Q36" s="3431"/>
      <c r="R36" s="3431"/>
      <c r="S36" s="3431"/>
      <c r="T36" s="3431"/>
      <c r="U36" s="3431"/>
      <c r="V36" s="3431"/>
      <c r="W36" s="3431"/>
      <c r="X36" s="3431"/>
      <c r="Y36" s="3431"/>
      <c r="Z36" s="3431"/>
      <c r="AA36" s="3431"/>
      <c r="AB36" s="3431"/>
      <c r="AC36" s="3431"/>
      <c r="AD36" s="3431"/>
      <c r="AE36" s="3431"/>
      <c r="AF36" s="3431"/>
      <c r="AG36" s="3431"/>
      <c r="AH36" s="3431"/>
      <c r="AI36" s="3431"/>
      <c r="AJ36" s="3431"/>
      <c r="AK36" s="3431"/>
      <c r="AL36" s="3431"/>
      <c r="AM36" s="3431"/>
      <c r="AN36" s="1321"/>
    </row>
    <row r="37" spans="1:46" s="115" customFormat="1" ht="18" customHeight="1">
      <c r="A37" s="389"/>
      <c r="B37" s="3432" t="s">
        <v>1996</v>
      </c>
      <c r="C37" s="3432"/>
      <c r="D37" s="3432"/>
      <c r="E37" s="3432"/>
      <c r="F37" s="3432"/>
      <c r="G37" s="3432"/>
      <c r="H37" s="3432"/>
      <c r="I37" s="3432"/>
      <c r="J37" s="3432"/>
      <c r="K37" s="3432"/>
      <c r="L37" s="3432"/>
      <c r="M37" s="3432"/>
      <c r="N37" s="3432"/>
      <c r="O37" s="3432"/>
      <c r="P37" s="3432"/>
      <c r="Q37" s="3432"/>
      <c r="R37" s="3432"/>
      <c r="S37" s="3432"/>
      <c r="T37" s="3432"/>
      <c r="U37" s="3432"/>
      <c r="V37" s="3432"/>
      <c r="W37" s="3432"/>
      <c r="X37" s="3432"/>
      <c r="Y37" s="3432"/>
      <c r="Z37" s="3432"/>
      <c r="AA37" s="3432"/>
      <c r="AB37" s="3432"/>
      <c r="AC37" s="3432"/>
      <c r="AD37" s="3432"/>
      <c r="AE37" s="3432"/>
      <c r="AF37" s="3432"/>
      <c r="AG37" s="3432"/>
      <c r="AH37" s="3432"/>
      <c r="AI37" s="3432"/>
      <c r="AJ37" s="3432"/>
      <c r="AK37" s="3432"/>
      <c r="AL37" s="3432"/>
      <c r="AM37" s="3432"/>
      <c r="AN37" s="1325"/>
    </row>
    <row r="38" spans="1:46" s="115" customFormat="1" ht="36" customHeight="1">
      <c r="A38" s="389"/>
      <c r="B38" s="3434"/>
      <c r="C38" s="3434"/>
      <c r="D38" s="3434"/>
      <c r="E38" s="3434"/>
      <c r="F38" s="3434"/>
      <c r="G38" s="3434"/>
      <c r="H38" s="3434"/>
      <c r="I38" s="3434"/>
      <c r="J38" s="3434"/>
      <c r="K38" s="3434"/>
      <c r="L38" s="3434"/>
      <c r="M38" s="3434"/>
      <c r="N38" s="3434"/>
      <c r="O38" s="3434"/>
      <c r="P38" s="3434"/>
      <c r="Q38" s="3434"/>
      <c r="R38" s="3434"/>
      <c r="S38" s="3434"/>
      <c r="T38" s="3434"/>
      <c r="U38" s="3434"/>
      <c r="V38" s="3434"/>
      <c r="W38" s="3434"/>
      <c r="X38" s="3434"/>
      <c r="Y38" s="3434"/>
      <c r="Z38" s="3434"/>
      <c r="AA38" s="3434"/>
      <c r="AB38" s="3434"/>
      <c r="AC38" s="3434"/>
      <c r="AD38" s="3434"/>
      <c r="AE38" s="3434"/>
      <c r="AF38" s="3434"/>
      <c r="AG38" s="3434"/>
      <c r="AH38" s="3434"/>
      <c r="AI38" s="3434"/>
      <c r="AJ38" s="3434"/>
      <c r="AK38" s="3434"/>
      <c r="AL38" s="3434"/>
      <c r="AM38" s="3435"/>
      <c r="AN38" s="1326"/>
    </row>
    <row r="39" spans="1:46" s="115" customFormat="1" ht="18" customHeight="1">
      <c r="A39" s="389"/>
      <c r="B39" s="3501" t="s">
        <v>1997</v>
      </c>
      <c r="C39" s="3501"/>
      <c r="D39" s="3501"/>
      <c r="E39" s="3501"/>
      <c r="F39" s="3501"/>
      <c r="G39" s="3501"/>
      <c r="H39" s="3501"/>
      <c r="I39" s="3501"/>
      <c r="J39" s="3501"/>
      <c r="K39" s="3501"/>
      <c r="L39" s="3501"/>
      <c r="M39" s="3501"/>
      <c r="N39" s="3501"/>
      <c r="O39" s="3501"/>
      <c r="P39" s="3501"/>
      <c r="Q39" s="3501"/>
      <c r="R39" s="3501"/>
      <c r="S39" s="3501"/>
      <c r="T39" s="3501"/>
      <c r="U39" s="3501"/>
      <c r="V39" s="3501"/>
      <c r="W39" s="3501"/>
      <c r="X39" s="3501"/>
      <c r="Y39" s="3501"/>
      <c r="Z39" s="3501"/>
      <c r="AA39" s="3501"/>
      <c r="AB39" s="3501"/>
      <c r="AC39" s="3501"/>
      <c r="AD39" s="3501"/>
      <c r="AE39" s="3501"/>
      <c r="AF39" s="3501"/>
      <c r="AG39" s="3501"/>
      <c r="AH39" s="3501"/>
      <c r="AI39" s="3501"/>
      <c r="AJ39" s="3501"/>
      <c r="AK39" s="3501"/>
      <c r="AL39" s="3501"/>
      <c r="AM39" s="3501"/>
      <c r="AN39" s="1325"/>
    </row>
    <row r="40" spans="1:46" s="115" customFormat="1" ht="36" customHeight="1">
      <c r="A40" s="389"/>
      <c r="B40" s="3434"/>
      <c r="C40" s="3434"/>
      <c r="D40" s="3434"/>
      <c r="E40" s="3434"/>
      <c r="F40" s="3434"/>
      <c r="G40" s="3434"/>
      <c r="H40" s="3434"/>
      <c r="I40" s="3434"/>
      <c r="J40" s="3434"/>
      <c r="K40" s="3434"/>
      <c r="L40" s="3434"/>
      <c r="M40" s="3434"/>
      <c r="N40" s="3434"/>
      <c r="O40" s="3434"/>
      <c r="P40" s="3434"/>
      <c r="Q40" s="3434"/>
      <c r="R40" s="3434"/>
      <c r="S40" s="3434"/>
      <c r="T40" s="3434"/>
      <c r="U40" s="3434"/>
      <c r="V40" s="3434"/>
      <c r="W40" s="3434"/>
      <c r="X40" s="3434"/>
      <c r="Y40" s="3434"/>
      <c r="Z40" s="3434"/>
      <c r="AA40" s="3434"/>
      <c r="AB40" s="3434"/>
      <c r="AC40" s="3434"/>
      <c r="AD40" s="3434"/>
      <c r="AE40" s="3434"/>
      <c r="AF40" s="3434"/>
      <c r="AG40" s="3434"/>
      <c r="AH40" s="3434"/>
      <c r="AI40" s="3434"/>
      <c r="AJ40" s="3434"/>
      <c r="AK40" s="3434"/>
      <c r="AL40" s="3434"/>
      <c r="AM40" s="3435"/>
      <c r="AN40" s="1325"/>
    </row>
    <row r="41" spans="1:46" s="114" customFormat="1" ht="36" customHeight="1">
      <c r="A41" s="390"/>
      <c r="B41" s="3531" t="s">
        <v>1998</v>
      </c>
      <c r="C41" s="3531"/>
      <c r="D41" s="3531"/>
      <c r="E41" s="3531"/>
      <c r="F41" s="3531"/>
      <c r="G41" s="3531"/>
      <c r="H41" s="3531"/>
      <c r="I41" s="3531"/>
      <c r="J41" s="3531"/>
      <c r="K41" s="3531"/>
      <c r="L41" s="3531"/>
      <c r="M41" s="3531"/>
      <c r="N41" s="3531"/>
      <c r="O41" s="3531"/>
      <c r="P41" s="3531"/>
      <c r="Q41" s="3531"/>
      <c r="R41" s="3531"/>
      <c r="S41" s="3531"/>
      <c r="T41" s="3531"/>
      <c r="U41" s="3531"/>
      <c r="V41" s="3531"/>
      <c r="W41" s="3531"/>
      <c r="X41" s="3531"/>
      <c r="Y41" s="3531"/>
      <c r="Z41" s="3531"/>
      <c r="AA41" s="3531"/>
      <c r="AB41" s="3531"/>
      <c r="AC41" s="3531"/>
      <c r="AD41" s="3531"/>
      <c r="AE41" s="3531"/>
      <c r="AF41" s="3531"/>
      <c r="AG41" s="3531"/>
      <c r="AH41" s="3531"/>
      <c r="AI41" s="3531"/>
      <c r="AJ41" s="3531"/>
      <c r="AK41" s="3531"/>
      <c r="AL41" s="3531"/>
      <c r="AM41" s="3531"/>
      <c r="AN41" s="1325"/>
      <c r="AO41" s="3467"/>
      <c r="AP41" s="3467"/>
    </row>
    <row r="42" spans="1:46" s="115" customFormat="1" ht="36" customHeight="1">
      <c r="A42" s="389"/>
      <c r="B42" s="3434"/>
      <c r="C42" s="3434"/>
      <c r="D42" s="3434"/>
      <c r="E42" s="3434"/>
      <c r="F42" s="3434"/>
      <c r="G42" s="3434"/>
      <c r="H42" s="3434"/>
      <c r="I42" s="3434"/>
      <c r="J42" s="3434"/>
      <c r="K42" s="3434"/>
      <c r="L42" s="3434"/>
      <c r="M42" s="3434"/>
      <c r="N42" s="3434"/>
      <c r="O42" s="3434"/>
      <c r="P42" s="3434"/>
      <c r="Q42" s="3434"/>
      <c r="R42" s="3434"/>
      <c r="S42" s="3434"/>
      <c r="T42" s="3434"/>
      <c r="U42" s="3434"/>
      <c r="V42" s="3434"/>
      <c r="W42" s="3434"/>
      <c r="X42" s="3434"/>
      <c r="Y42" s="3434"/>
      <c r="Z42" s="3434"/>
      <c r="AA42" s="3434"/>
      <c r="AB42" s="3434"/>
      <c r="AC42" s="3434"/>
      <c r="AD42" s="3434"/>
      <c r="AE42" s="3434"/>
      <c r="AF42" s="3434"/>
      <c r="AG42" s="3434"/>
      <c r="AH42" s="3434"/>
      <c r="AI42" s="3434"/>
      <c r="AJ42" s="3434"/>
      <c r="AK42" s="3434"/>
      <c r="AL42" s="3434"/>
      <c r="AM42" s="3435"/>
      <c r="AN42" s="1325"/>
    </row>
    <row r="43" spans="1:46" s="116" customFormat="1" ht="18" customHeight="1">
      <c r="A43" s="1327"/>
      <c r="B43" s="3433" t="s">
        <v>1999</v>
      </c>
      <c r="C43" s="3433"/>
      <c r="D43" s="3433"/>
      <c r="E43" s="3433"/>
      <c r="F43" s="3433"/>
      <c r="G43" s="3433"/>
      <c r="H43" s="3433"/>
      <c r="I43" s="3433"/>
      <c r="J43" s="3433"/>
      <c r="K43" s="3433"/>
      <c r="L43" s="3433"/>
      <c r="M43" s="3433"/>
      <c r="N43" s="3433"/>
      <c r="O43" s="3433"/>
      <c r="P43" s="3433"/>
      <c r="Q43" s="3433"/>
      <c r="R43" s="3433"/>
      <c r="S43" s="3433"/>
      <c r="T43" s="3433"/>
      <c r="U43" s="3433"/>
      <c r="V43" s="3433"/>
      <c r="W43" s="3433"/>
      <c r="X43" s="3433"/>
      <c r="Y43" s="3433"/>
      <c r="Z43" s="3433"/>
      <c r="AA43" s="3433"/>
      <c r="AB43" s="3433"/>
      <c r="AC43" s="1533"/>
      <c r="AD43" s="1533"/>
      <c r="AE43" s="1533"/>
      <c r="AF43" s="1533"/>
      <c r="AG43" s="1533"/>
      <c r="AH43" s="1533"/>
      <c r="AI43" s="1533"/>
      <c r="AJ43" s="1533"/>
      <c r="AK43" s="1533"/>
      <c r="AL43" s="1533"/>
      <c r="AM43" s="1533"/>
      <c r="AN43" s="1325"/>
    </row>
    <row r="44" spans="1:46" s="115" customFormat="1" ht="18" customHeight="1">
      <c r="A44" s="389"/>
      <c r="B44" s="3436" t="s">
        <v>2000</v>
      </c>
      <c r="C44" s="3436"/>
      <c r="D44" s="3436"/>
      <c r="E44" s="3436"/>
      <c r="F44" s="3436"/>
      <c r="G44" s="3436"/>
      <c r="H44" s="3436"/>
      <c r="I44" s="3436"/>
      <c r="J44" s="3436"/>
      <c r="K44" s="3436"/>
      <c r="L44" s="3436"/>
      <c r="M44" s="3436"/>
      <c r="N44" s="3436"/>
      <c r="O44" s="3436"/>
      <c r="P44" s="3436"/>
      <c r="Q44" s="3436"/>
      <c r="R44" s="3436"/>
      <c r="S44" s="3436"/>
      <c r="T44" s="3436"/>
      <c r="U44" s="3436"/>
      <c r="V44" s="3436"/>
      <c r="W44" s="3436"/>
      <c r="X44" s="3436"/>
      <c r="Y44" s="3436"/>
      <c r="Z44" s="3436"/>
      <c r="AA44" s="3436"/>
      <c r="AB44" s="3436"/>
      <c r="AC44" s="3436"/>
      <c r="AD44" s="3436"/>
      <c r="AE44" s="3436"/>
      <c r="AF44" s="3436"/>
      <c r="AG44" s="3436"/>
      <c r="AH44" s="3436"/>
      <c r="AI44" s="3436"/>
      <c r="AJ44" s="3436"/>
      <c r="AK44" s="3436"/>
      <c r="AL44" s="3436"/>
      <c r="AM44" s="3436"/>
      <c r="AN44" s="1325"/>
    </row>
    <row r="45" spans="1:46" s="115" customFormat="1" ht="36" customHeight="1">
      <c r="A45" s="389"/>
      <c r="B45" s="3434"/>
      <c r="C45" s="3434"/>
      <c r="D45" s="3434"/>
      <c r="E45" s="3434"/>
      <c r="F45" s="3434"/>
      <c r="G45" s="3434"/>
      <c r="H45" s="3434"/>
      <c r="I45" s="3434"/>
      <c r="J45" s="3434"/>
      <c r="K45" s="3434"/>
      <c r="L45" s="3434"/>
      <c r="M45" s="3434"/>
      <c r="N45" s="3434"/>
      <c r="O45" s="3434"/>
      <c r="P45" s="3434"/>
      <c r="Q45" s="3434"/>
      <c r="R45" s="3434"/>
      <c r="S45" s="3434"/>
      <c r="T45" s="3434"/>
      <c r="U45" s="3434"/>
      <c r="V45" s="3434"/>
      <c r="W45" s="3434"/>
      <c r="X45" s="3434"/>
      <c r="Y45" s="3434"/>
      <c r="Z45" s="3434"/>
      <c r="AA45" s="3434"/>
      <c r="AB45" s="3434"/>
      <c r="AC45" s="3434"/>
      <c r="AD45" s="3434"/>
      <c r="AE45" s="3434"/>
      <c r="AF45" s="3434"/>
      <c r="AG45" s="3434"/>
      <c r="AH45" s="3434"/>
      <c r="AI45" s="3434"/>
      <c r="AJ45" s="3434"/>
      <c r="AK45" s="3434"/>
      <c r="AL45" s="3434"/>
      <c r="AM45" s="3435"/>
      <c r="AN45" s="1325"/>
    </row>
    <row r="46" spans="1:46" s="115" customFormat="1" ht="18" customHeight="1">
      <c r="A46" s="389"/>
      <c r="B46" s="3436" t="s">
        <v>2001</v>
      </c>
      <c r="C46" s="3436"/>
      <c r="D46" s="3436"/>
      <c r="E46" s="3436"/>
      <c r="F46" s="3436"/>
      <c r="G46" s="3436"/>
      <c r="H46" s="3436"/>
      <c r="I46" s="3436"/>
      <c r="J46" s="3436"/>
      <c r="K46" s="3436"/>
      <c r="L46" s="3436"/>
      <c r="M46" s="3436"/>
      <c r="N46" s="3436"/>
      <c r="O46" s="3436"/>
      <c r="P46" s="3436"/>
      <c r="Q46" s="3436"/>
      <c r="R46" s="3436"/>
      <c r="S46" s="3436"/>
      <c r="T46" s="3436"/>
      <c r="U46" s="3436"/>
      <c r="V46" s="3436"/>
      <c r="W46" s="3436"/>
      <c r="X46" s="3436"/>
      <c r="Y46" s="3436"/>
      <c r="Z46" s="3436"/>
      <c r="AA46" s="3436"/>
      <c r="AB46" s="3436"/>
      <c r="AC46" s="3436"/>
      <c r="AD46" s="3436"/>
      <c r="AE46" s="3436"/>
      <c r="AF46" s="3436"/>
      <c r="AG46" s="3436"/>
      <c r="AH46" s="3436"/>
      <c r="AI46" s="3436"/>
      <c r="AJ46" s="3436"/>
      <c r="AK46" s="3436"/>
      <c r="AL46" s="3436"/>
      <c r="AM46" s="3436"/>
      <c r="AN46" s="1325"/>
    </row>
    <row r="47" spans="1:46" s="115" customFormat="1" ht="36" customHeight="1">
      <c r="A47" s="389"/>
      <c r="B47" s="3434"/>
      <c r="C47" s="3434"/>
      <c r="D47" s="3434"/>
      <c r="E47" s="3434"/>
      <c r="F47" s="3434"/>
      <c r="G47" s="3434"/>
      <c r="H47" s="3434"/>
      <c r="I47" s="3434"/>
      <c r="J47" s="3434"/>
      <c r="K47" s="3434"/>
      <c r="L47" s="3434"/>
      <c r="M47" s="3434"/>
      <c r="N47" s="3434"/>
      <c r="O47" s="3434"/>
      <c r="P47" s="3434"/>
      <c r="Q47" s="3434"/>
      <c r="R47" s="3434"/>
      <c r="S47" s="3434"/>
      <c r="T47" s="3434"/>
      <c r="U47" s="3434"/>
      <c r="V47" s="3434"/>
      <c r="W47" s="3434"/>
      <c r="X47" s="3434"/>
      <c r="Y47" s="3434"/>
      <c r="Z47" s="3434"/>
      <c r="AA47" s="3434"/>
      <c r="AB47" s="3434"/>
      <c r="AC47" s="3434"/>
      <c r="AD47" s="3434"/>
      <c r="AE47" s="3434"/>
      <c r="AF47" s="3434"/>
      <c r="AG47" s="3434"/>
      <c r="AH47" s="3434"/>
      <c r="AI47" s="3434"/>
      <c r="AJ47" s="3434"/>
      <c r="AK47" s="3434"/>
      <c r="AL47" s="3434"/>
      <c r="AM47" s="3435"/>
      <c r="AN47" s="1325"/>
    </row>
    <row r="48" spans="1:46" s="115" customFormat="1" ht="36" customHeight="1">
      <c r="A48" s="389"/>
      <c r="B48" s="3436" t="s">
        <v>2002</v>
      </c>
      <c r="C48" s="3436"/>
      <c r="D48" s="3436"/>
      <c r="E48" s="3436"/>
      <c r="F48" s="3436"/>
      <c r="G48" s="3436"/>
      <c r="H48" s="3436"/>
      <c r="I48" s="3436"/>
      <c r="J48" s="3436"/>
      <c r="K48" s="3436"/>
      <c r="L48" s="3436"/>
      <c r="M48" s="3436"/>
      <c r="N48" s="3436"/>
      <c r="O48" s="3436"/>
      <c r="P48" s="3436"/>
      <c r="Q48" s="3436"/>
      <c r="R48" s="3436"/>
      <c r="S48" s="3436"/>
      <c r="T48" s="3436"/>
      <c r="U48" s="3436"/>
      <c r="V48" s="3436"/>
      <c r="W48" s="3436"/>
      <c r="X48" s="3436"/>
      <c r="Y48" s="3436"/>
      <c r="Z48" s="3436"/>
      <c r="AA48" s="3436"/>
      <c r="AB48" s="3436"/>
      <c r="AC48" s="3436"/>
      <c r="AD48" s="3436"/>
      <c r="AE48" s="3436"/>
      <c r="AF48" s="3436"/>
      <c r="AG48" s="3436"/>
      <c r="AH48" s="3436"/>
      <c r="AI48" s="3436"/>
      <c r="AJ48" s="3436"/>
      <c r="AK48" s="3436"/>
      <c r="AL48" s="3436"/>
      <c r="AM48" s="3436"/>
      <c r="AN48" s="1123"/>
    </row>
    <row r="49" spans="1:41" s="115" customFormat="1" ht="36" customHeight="1">
      <c r="A49" s="389"/>
      <c r="B49" s="3434"/>
      <c r="C49" s="3434"/>
      <c r="D49" s="3434"/>
      <c r="E49" s="3434"/>
      <c r="F49" s="3434"/>
      <c r="G49" s="3434"/>
      <c r="H49" s="3434"/>
      <c r="I49" s="3434"/>
      <c r="J49" s="3434"/>
      <c r="K49" s="3434"/>
      <c r="L49" s="3434"/>
      <c r="M49" s="3434"/>
      <c r="N49" s="3434"/>
      <c r="O49" s="3434"/>
      <c r="P49" s="3434"/>
      <c r="Q49" s="3434"/>
      <c r="R49" s="3434"/>
      <c r="S49" s="3434"/>
      <c r="T49" s="3434"/>
      <c r="U49" s="3434"/>
      <c r="V49" s="3434"/>
      <c r="W49" s="3434"/>
      <c r="X49" s="3434"/>
      <c r="Y49" s="3434"/>
      <c r="Z49" s="3434"/>
      <c r="AA49" s="3434"/>
      <c r="AB49" s="3434"/>
      <c r="AC49" s="3434"/>
      <c r="AD49" s="3434"/>
      <c r="AE49" s="3434"/>
      <c r="AF49" s="3434"/>
      <c r="AG49" s="3434"/>
      <c r="AH49" s="3434"/>
      <c r="AI49" s="3434"/>
      <c r="AJ49" s="3434"/>
      <c r="AK49" s="3434"/>
      <c r="AL49" s="3434"/>
      <c r="AM49" s="3435"/>
      <c r="AN49" s="1123"/>
    </row>
    <row r="50" spans="1:41" s="115" customFormat="1" ht="36" customHeight="1">
      <c r="A50" s="389"/>
      <c r="B50" s="3436" t="s">
        <v>2003</v>
      </c>
      <c r="C50" s="3436"/>
      <c r="D50" s="3436"/>
      <c r="E50" s="3436"/>
      <c r="F50" s="3436"/>
      <c r="G50" s="3436"/>
      <c r="H50" s="3436"/>
      <c r="I50" s="3436"/>
      <c r="J50" s="3436"/>
      <c r="K50" s="3436"/>
      <c r="L50" s="3436"/>
      <c r="M50" s="3436"/>
      <c r="N50" s="3436"/>
      <c r="O50" s="3436"/>
      <c r="P50" s="3436"/>
      <c r="Q50" s="3436"/>
      <c r="R50" s="3436"/>
      <c r="S50" s="3436"/>
      <c r="T50" s="3436"/>
      <c r="U50" s="3436"/>
      <c r="V50" s="3436"/>
      <c r="W50" s="3436"/>
      <c r="X50" s="3436"/>
      <c r="Y50" s="3436"/>
      <c r="Z50" s="3436"/>
      <c r="AA50" s="3436"/>
      <c r="AB50" s="3436"/>
      <c r="AC50" s="3436"/>
      <c r="AD50" s="3436"/>
      <c r="AE50" s="3436"/>
      <c r="AF50" s="3436"/>
      <c r="AG50" s="3436"/>
      <c r="AH50" s="3436"/>
      <c r="AI50" s="3436"/>
      <c r="AJ50" s="3436"/>
      <c r="AK50" s="3436"/>
      <c r="AL50" s="3436"/>
      <c r="AM50" s="3436"/>
      <c r="AN50" s="1123"/>
    </row>
    <row r="51" spans="1:41" s="115" customFormat="1" ht="36" customHeight="1">
      <c r="A51" s="389"/>
      <c r="B51" s="3434"/>
      <c r="C51" s="3434"/>
      <c r="D51" s="3434"/>
      <c r="E51" s="3434"/>
      <c r="F51" s="3434"/>
      <c r="G51" s="3434"/>
      <c r="H51" s="3434"/>
      <c r="I51" s="3434"/>
      <c r="J51" s="3434"/>
      <c r="K51" s="3434"/>
      <c r="L51" s="3434"/>
      <c r="M51" s="3434"/>
      <c r="N51" s="3434"/>
      <c r="O51" s="3434"/>
      <c r="P51" s="3434"/>
      <c r="Q51" s="3434"/>
      <c r="R51" s="3434"/>
      <c r="S51" s="3434"/>
      <c r="T51" s="3434"/>
      <c r="U51" s="3434"/>
      <c r="V51" s="3434"/>
      <c r="W51" s="3434"/>
      <c r="X51" s="3434"/>
      <c r="Y51" s="3434"/>
      <c r="Z51" s="3434"/>
      <c r="AA51" s="3434"/>
      <c r="AB51" s="3434"/>
      <c r="AC51" s="3434"/>
      <c r="AD51" s="3434"/>
      <c r="AE51" s="3434"/>
      <c r="AF51" s="3434"/>
      <c r="AG51" s="3434"/>
      <c r="AH51" s="3434"/>
      <c r="AI51" s="3434"/>
      <c r="AJ51" s="3434"/>
      <c r="AK51" s="3434"/>
      <c r="AL51" s="3434"/>
      <c r="AM51" s="3435"/>
      <c r="AN51" s="1123"/>
    </row>
    <row r="52" spans="1:41" ht="18" customHeight="1">
      <c r="A52" s="391"/>
      <c r="B52" s="3473" t="s">
        <v>2004</v>
      </c>
      <c r="C52" s="3473"/>
      <c r="D52" s="3473"/>
      <c r="E52" s="3473"/>
      <c r="F52" s="3473"/>
      <c r="G52" s="3473"/>
      <c r="H52" s="3473"/>
      <c r="I52" s="3473"/>
      <c r="J52" s="3473"/>
      <c r="K52" s="3473"/>
      <c r="L52" s="3473"/>
      <c r="M52" s="3473"/>
      <c r="N52" s="3473"/>
      <c r="O52" s="3473"/>
      <c r="P52" s="3473"/>
      <c r="Q52" s="3473"/>
      <c r="R52" s="3473"/>
      <c r="S52" s="3473"/>
      <c r="T52" s="3473"/>
      <c r="U52" s="3473"/>
      <c r="V52" s="3473"/>
      <c r="W52" s="3473"/>
      <c r="X52" s="3473"/>
      <c r="Y52" s="3473"/>
      <c r="Z52" s="3473"/>
      <c r="AA52" s="3473"/>
      <c r="AB52" s="3473"/>
      <c r="AC52" s="3473"/>
      <c r="AD52" s="3473"/>
      <c r="AE52" s="3473"/>
      <c r="AF52" s="3473"/>
      <c r="AG52" s="3473"/>
      <c r="AH52" s="3473"/>
      <c r="AI52" s="3473"/>
      <c r="AJ52" s="3473"/>
      <c r="AK52" s="3473"/>
      <c r="AL52" s="3473"/>
      <c r="AM52" s="3473"/>
      <c r="AN52" s="1123"/>
    </row>
    <row r="53" spans="1:41" ht="18" customHeight="1">
      <c r="A53" s="391"/>
      <c r="B53" s="3431" t="s">
        <v>2005</v>
      </c>
      <c r="C53" s="3431"/>
      <c r="D53" s="3431"/>
      <c r="E53" s="3431"/>
      <c r="F53" s="3431"/>
      <c r="G53" s="3431"/>
      <c r="H53" s="3431"/>
      <c r="I53" s="3431"/>
      <c r="J53" s="3431"/>
      <c r="K53" s="3431"/>
      <c r="L53" s="3431"/>
      <c r="M53" s="3431"/>
      <c r="N53" s="3431"/>
      <c r="O53" s="3431"/>
      <c r="P53" s="3431"/>
      <c r="Q53" s="3431"/>
      <c r="R53" s="3431"/>
      <c r="S53" s="3431"/>
      <c r="T53" s="3431"/>
      <c r="U53" s="3431"/>
      <c r="V53" s="3431"/>
      <c r="W53" s="3431"/>
      <c r="X53" s="3431"/>
      <c r="Y53" s="3431"/>
      <c r="Z53" s="3431"/>
      <c r="AA53" s="3431"/>
      <c r="AB53" s="3431"/>
      <c r="AC53" s="339"/>
      <c r="AD53" s="339"/>
      <c r="AE53" s="339"/>
      <c r="AF53" s="339"/>
      <c r="AG53" s="339"/>
      <c r="AH53" s="339"/>
      <c r="AI53" s="339"/>
      <c r="AJ53" s="339"/>
      <c r="AK53" s="339"/>
      <c r="AL53" s="339"/>
      <c r="AM53" s="339"/>
      <c r="AN53" s="1123"/>
    </row>
    <row r="54" spans="1:41" ht="18" customHeight="1">
      <c r="A54" s="391"/>
      <c r="B54" s="3457" t="s">
        <v>2006</v>
      </c>
      <c r="C54" s="3457"/>
      <c r="D54" s="3457"/>
      <c r="E54" s="3457"/>
      <c r="F54" s="3457"/>
      <c r="G54" s="3457"/>
      <c r="H54" s="3457"/>
      <c r="I54" s="3457"/>
      <c r="J54" s="3457"/>
      <c r="K54" s="3457"/>
      <c r="L54" s="3457"/>
      <c r="M54" s="3457"/>
      <c r="N54" s="3457"/>
      <c r="O54" s="3457"/>
      <c r="P54" s="3457"/>
      <c r="Q54" s="3457"/>
      <c r="R54" s="3457"/>
      <c r="S54" s="3457"/>
      <c r="T54" s="3457"/>
      <c r="U54" s="3457"/>
      <c r="V54" s="3457"/>
      <c r="W54" s="3457"/>
      <c r="X54" s="3457"/>
      <c r="Y54" s="1540"/>
      <c r="Z54" s="387"/>
      <c r="AA54" s="387"/>
      <c r="AB54" s="388"/>
      <c r="AC54" s="342"/>
      <c r="AD54" s="342"/>
      <c r="AE54" s="342"/>
      <c r="AF54" s="342"/>
      <c r="AG54" s="3428"/>
      <c r="AH54" s="3440"/>
      <c r="AI54" s="339"/>
      <c r="AJ54" s="339"/>
      <c r="AK54" s="339"/>
      <c r="AL54" s="339"/>
      <c r="AM54" s="339"/>
      <c r="AN54" s="1123"/>
    </row>
    <row r="55" spans="1:41" ht="18" customHeight="1">
      <c r="A55" s="391"/>
      <c r="B55" s="3688" t="s">
        <v>2007</v>
      </c>
      <c r="C55" s="3457"/>
      <c r="D55" s="3457"/>
      <c r="E55" s="3457"/>
      <c r="F55" s="3457"/>
      <c r="G55" s="3457"/>
      <c r="H55" s="3457"/>
      <c r="I55" s="3457"/>
      <c r="J55" s="3457"/>
      <c r="K55" s="3457"/>
      <c r="L55" s="3457"/>
      <c r="M55" s="3457"/>
      <c r="N55" s="3457"/>
      <c r="O55" s="3457"/>
      <c r="P55" s="3457"/>
      <c r="Q55" s="3457"/>
      <c r="R55" s="3457"/>
      <c r="S55" s="3457"/>
      <c r="T55" s="3457"/>
      <c r="U55" s="3457"/>
      <c r="V55" s="3457"/>
      <c r="W55" s="3457"/>
      <c r="X55" s="3457"/>
      <c r="Y55" s="3457"/>
      <c r="Z55" s="3457"/>
      <c r="AA55" s="3457"/>
      <c r="AB55" s="3457"/>
      <c r="AC55" s="3457"/>
      <c r="AD55" s="3457"/>
      <c r="AE55" s="3457"/>
      <c r="AF55" s="3689"/>
      <c r="AG55" s="3428"/>
      <c r="AH55" s="3440"/>
      <c r="AI55" s="339"/>
      <c r="AJ55" s="339"/>
      <c r="AK55" s="339"/>
      <c r="AL55" s="339"/>
      <c r="AM55" s="339"/>
      <c r="AN55" s="1325"/>
    </row>
    <row r="56" spans="1:41" ht="18" customHeight="1">
      <c r="A56" s="391"/>
      <c r="B56" s="3688" t="s">
        <v>2008</v>
      </c>
      <c r="C56" s="3457"/>
      <c r="D56" s="3457"/>
      <c r="E56" s="3457"/>
      <c r="F56" s="3457"/>
      <c r="G56" s="3457"/>
      <c r="H56" s="3457"/>
      <c r="I56" s="3457"/>
      <c r="J56" s="3457"/>
      <c r="K56" s="3457"/>
      <c r="L56" s="3457"/>
      <c r="M56" s="3457"/>
      <c r="N56" s="3457"/>
      <c r="O56" s="3457"/>
      <c r="P56" s="3457"/>
      <c r="Q56" s="3457"/>
      <c r="R56" s="3457"/>
      <c r="S56" s="3457"/>
      <c r="T56" s="3457"/>
      <c r="U56" s="3457"/>
      <c r="V56" s="3457"/>
      <c r="W56" s="3457"/>
      <c r="X56" s="3457"/>
      <c r="Y56" s="3457"/>
      <c r="Z56" s="3457"/>
      <c r="AA56" s="3457"/>
      <c r="AB56" s="3457"/>
      <c r="AC56" s="3457"/>
      <c r="AD56" s="3457"/>
      <c r="AE56" s="3457"/>
      <c r="AF56" s="3689"/>
      <c r="AG56" s="3428"/>
      <c r="AH56" s="3440"/>
      <c r="AI56" s="339"/>
      <c r="AJ56" s="339"/>
      <c r="AK56" s="339"/>
      <c r="AL56" s="339"/>
      <c r="AM56" s="339"/>
      <c r="AN56" s="1325"/>
    </row>
    <row r="57" spans="1:41" ht="18" customHeight="1">
      <c r="A57" s="391"/>
      <c r="B57" s="3688" t="s">
        <v>2009</v>
      </c>
      <c r="C57" s="3457"/>
      <c r="D57" s="3457"/>
      <c r="E57" s="3457"/>
      <c r="F57" s="3457"/>
      <c r="G57" s="3457"/>
      <c r="H57" s="3457"/>
      <c r="I57" s="3457"/>
      <c r="J57" s="3457"/>
      <c r="K57" s="3457"/>
      <c r="L57" s="3457"/>
      <c r="M57" s="3457"/>
      <c r="N57" s="3457"/>
      <c r="O57" s="3457"/>
      <c r="P57" s="3457"/>
      <c r="Q57" s="3457"/>
      <c r="R57" s="3457"/>
      <c r="S57" s="3457"/>
      <c r="T57" s="3457"/>
      <c r="U57" s="3457"/>
      <c r="V57" s="3457"/>
      <c r="W57" s="3457"/>
      <c r="X57" s="3457"/>
      <c r="Y57" s="3457"/>
      <c r="Z57" s="3457"/>
      <c r="AA57" s="3457"/>
      <c r="AB57" s="3457"/>
      <c r="AC57" s="3457"/>
      <c r="AD57" s="3457"/>
      <c r="AE57" s="3457"/>
      <c r="AF57" s="3689"/>
      <c r="AG57" s="3428"/>
      <c r="AH57" s="3440"/>
      <c r="AI57" s="339"/>
      <c r="AJ57" s="339"/>
      <c r="AK57" s="339"/>
      <c r="AL57" s="339"/>
      <c r="AM57" s="339"/>
      <c r="AN57" s="1123"/>
    </row>
    <row r="58" spans="1:41" ht="18" customHeight="1">
      <c r="A58" s="391"/>
      <c r="B58" s="3688" t="s">
        <v>2010</v>
      </c>
      <c r="C58" s="3457"/>
      <c r="D58" s="3457"/>
      <c r="E58" s="3457"/>
      <c r="F58" s="3457"/>
      <c r="G58" s="3457"/>
      <c r="H58" s="3457"/>
      <c r="I58" s="3457"/>
      <c r="J58" s="3457"/>
      <c r="K58" s="3457"/>
      <c r="L58" s="3457"/>
      <c r="M58" s="3457"/>
      <c r="N58" s="3457"/>
      <c r="O58" s="3457"/>
      <c r="P58" s="3457"/>
      <c r="Q58" s="3457"/>
      <c r="R58" s="3457"/>
      <c r="S58" s="3457"/>
      <c r="T58" s="3457"/>
      <c r="U58" s="3457"/>
      <c r="V58" s="3457"/>
      <c r="W58" s="3457"/>
      <c r="X58" s="3457"/>
      <c r="Y58" s="3457"/>
      <c r="Z58" s="3457"/>
      <c r="AA58" s="3457"/>
      <c r="AB58" s="3457"/>
      <c r="AC58" s="3457"/>
      <c r="AD58" s="3457"/>
      <c r="AE58" s="3457"/>
      <c r="AF58" s="3689"/>
      <c r="AG58" s="3428"/>
      <c r="AH58" s="3440"/>
      <c r="AI58" s="339"/>
      <c r="AJ58" s="339"/>
      <c r="AK58" s="339"/>
      <c r="AL58" s="339"/>
      <c r="AM58" s="339"/>
      <c r="AN58" s="1123"/>
    </row>
    <row r="59" spans="1:41" ht="36" customHeight="1">
      <c r="A59" s="391"/>
      <c r="B59" s="3431" t="s">
        <v>2011</v>
      </c>
      <c r="C59" s="3431"/>
      <c r="D59" s="3431"/>
      <c r="E59" s="3431"/>
      <c r="F59" s="3431"/>
      <c r="G59" s="3431"/>
      <c r="H59" s="3431"/>
      <c r="I59" s="3431"/>
      <c r="J59" s="3431"/>
      <c r="K59" s="3431"/>
      <c r="L59" s="3431"/>
      <c r="M59" s="3431"/>
      <c r="N59" s="3431"/>
      <c r="O59" s="3431"/>
      <c r="P59" s="3431"/>
      <c r="Q59" s="3431"/>
      <c r="R59" s="3431"/>
      <c r="S59" s="3431"/>
      <c r="T59" s="3431"/>
      <c r="U59" s="3431"/>
      <c r="V59" s="3431"/>
      <c r="W59" s="3431"/>
      <c r="X59" s="3431"/>
      <c r="Y59" s="3431"/>
      <c r="Z59" s="3431"/>
      <c r="AA59" s="3431"/>
      <c r="AB59" s="3431"/>
      <c r="AC59" s="3431"/>
      <c r="AD59" s="3431"/>
      <c r="AE59" s="3431"/>
      <c r="AF59" s="3431"/>
      <c r="AG59" s="3431"/>
      <c r="AH59" s="3431"/>
      <c r="AI59" s="3431"/>
      <c r="AJ59" s="3431"/>
      <c r="AK59" s="3431"/>
      <c r="AL59" s="3431"/>
      <c r="AM59" s="3431"/>
      <c r="AN59" s="1325"/>
    </row>
    <row r="60" spans="1:41" s="115" customFormat="1" ht="36" customHeight="1">
      <c r="A60" s="389"/>
      <c r="B60" s="3372"/>
      <c r="C60" s="3372"/>
      <c r="D60" s="3372"/>
      <c r="E60" s="3372"/>
      <c r="F60" s="3372"/>
      <c r="G60" s="3372"/>
      <c r="H60" s="3372"/>
      <c r="I60" s="3372"/>
      <c r="J60" s="3372"/>
      <c r="K60" s="3372"/>
      <c r="L60" s="3372"/>
      <c r="M60" s="3372"/>
      <c r="N60" s="3372"/>
      <c r="O60" s="3372"/>
      <c r="P60" s="3372"/>
      <c r="Q60" s="3372"/>
      <c r="R60" s="3372"/>
      <c r="S60" s="3372"/>
      <c r="T60" s="3372"/>
      <c r="U60" s="3372"/>
      <c r="V60" s="3372"/>
      <c r="W60" s="3372"/>
      <c r="X60" s="3372"/>
      <c r="Y60" s="3372"/>
      <c r="Z60" s="3372"/>
      <c r="AA60" s="3372"/>
      <c r="AB60" s="3372"/>
      <c r="AC60" s="3372"/>
      <c r="AD60" s="3372"/>
      <c r="AE60" s="3372"/>
      <c r="AF60" s="3372"/>
      <c r="AG60" s="3372"/>
      <c r="AH60" s="3372"/>
      <c r="AI60" s="3372"/>
      <c r="AJ60" s="3372"/>
      <c r="AK60" s="3372"/>
      <c r="AL60" s="3372"/>
      <c r="AM60" s="3373"/>
      <c r="AN60" s="1325"/>
    </row>
    <row r="61" spans="1:41" s="3" customFormat="1" ht="18" customHeight="1"/>
    <row r="62" spans="1:41" s="115" customFormat="1" ht="18" customHeight="1">
      <c r="A62" s="4"/>
      <c r="B62" s="3535" t="s">
        <v>2012</v>
      </c>
      <c r="C62" s="3535"/>
      <c r="D62" s="3535"/>
      <c r="E62" s="3535"/>
      <c r="F62" s="3535"/>
      <c r="G62" s="3535"/>
      <c r="H62" s="3535"/>
      <c r="I62" s="3535"/>
      <c r="J62" s="3535"/>
      <c r="K62" s="3535"/>
      <c r="L62" s="3535"/>
      <c r="M62" s="3535"/>
      <c r="N62" s="3535"/>
      <c r="O62" s="3535"/>
      <c r="P62" s="3535"/>
      <c r="Q62" s="3535"/>
      <c r="R62" s="3535"/>
      <c r="S62" s="3535"/>
      <c r="T62" s="3535"/>
      <c r="U62" s="3535"/>
      <c r="V62" s="3535"/>
      <c r="W62" s="3535"/>
      <c r="X62" s="3535"/>
      <c r="Y62" s="3535"/>
      <c r="Z62" s="3535"/>
      <c r="AA62" s="3535"/>
      <c r="AB62" s="3535"/>
      <c r="AC62" s="3535"/>
      <c r="AD62" s="3535"/>
      <c r="AE62" s="3535"/>
      <c r="AF62" s="3535"/>
      <c r="AG62" s="3535"/>
      <c r="AH62" s="3535"/>
      <c r="AI62" s="3535"/>
      <c r="AJ62" s="3535"/>
      <c r="AK62" s="3535"/>
      <c r="AL62" s="3535"/>
      <c r="AM62" s="3535"/>
      <c r="AN62" s="224"/>
      <c r="AO62" s="113">
        <v>1</v>
      </c>
    </row>
    <row r="63" spans="1:41" ht="18" customHeight="1">
      <c r="A63" s="391"/>
      <c r="B63" s="3483" t="s">
        <v>2013</v>
      </c>
      <c r="C63" s="3483"/>
      <c r="D63" s="3483"/>
      <c r="E63" s="3483"/>
      <c r="F63" s="3483"/>
      <c r="G63" s="3483"/>
      <c r="H63" s="3483"/>
      <c r="I63" s="3483"/>
      <c r="J63" s="3483"/>
      <c r="K63" s="3483"/>
      <c r="L63" s="3483"/>
      <c r="M63" s="3483"/>
      <c r="N63" s="3483"/>
      <c r="O63" s="3483"/>
      <c r="P63" s="3483"/>
      <c r="Q63" s="3483"/>
      <c r="R63" s="3483"/>
      <c r="S63" s="3483"/>
      <c r="T63" s="3483"/>
      <c r="U63" s="3483"/>
      <c r="V63" s="3483"/>
      <c r="W63" s="3483"/>
      <c r="X63" s="3483"/>
      <c r="Y63" s="3483"/>
      <c r="Z63" s="3483"/>
      <c r="AA63" s="3483"/>
      <c r="AB63" s="3483"/>
      <c r="AC63" s="339"/>
      <c r="AD63" s="339"/>
      <c r="AE63" s="339"/>
      <c r="AF63" s="339"/>
      <c r="AG63" s="339"/>
      <c r="AH63" s="339"/>
      <c r="AI63" s="339"/>
      <c r="AJ63" s="339"/>
      <c r="AK63" s="339"/>
      <c r="AL63" s="339"/>
      <c r="AM63" s="339"/>
      <c r="AN63" s="1123"/>
      <c r="AO63" s="113">
        <v>2</v>
      </c>
    </row>
    <row r="64" spans="1:41" ht="48" customHeight="1">
      <c r="A64" s="391"/>
      <c r="B64" s="3528" t="s">
        <v>2014</v>
      </c>
      <c r="C64" s="3528"/>
      <c r="D64" s="3528"/>
      <c r="E64" s="3528"/>
      <c r="F64" s="3528"/>
      <c r="G64" s="3528"/>
      <c r="H64" s="3528"/>
      <c r="I64" s="3528"/>
      <c r="J64" s="3528"/>
      <c r="K64" s="3528"/>
      <c r="L64" s="3528"/>
      <c r="M64" s="3528"/>
      <c r="N64" s="3528"/>
      <c r="O64" s="3528"/>
      <c r="P64" s="3528"/>
      <c r="Q64" s="3528"/>
      <c r="R64" s="3528"/>
      <c r="S64" s="3528"/>
      <c r="T64" s="3528"/>
      <c r="U64" s="3528"/>
      <c r="V64" s="3528"/>
      <c r="W64" s="3528"/>
      <c r="X64" s="3528"/>
      <c r="Y64" s="3528"/>
      <c r="Z64" s="3528"/>
      <c r="AA64" s="3528"/>
      <c r="AB64" s="3528"/>
      <c r="AC64" s="3528"/>
      <c r="AD64" s="3528"/>
      <c r="AE64" s="3528"/>
      <c r="AF64" s="3528"/>
      <c r="AG64" s="3528"/>
      <c r="AH64" s="3528"/>
      <c r="AI64" s="3528"/>
      <c r="AJ64" s="3528"/>
      <c r="AK64" s="3528"/>
      <c r="AL64" s="3528"/>
      <c r="AM64" s="3528"/>
      <c r="AN64" s="1123"/>
      <c r="AO64" s="113" t="s">
        <v>2015</v>
      </c>
    </row>
    <row r="65" spans="1:41" ht="18" customHeight="1">
      <c r="A65" s="391"/>
      <c r="B65" s="3530" t="s">
        <v>2016</v>
      </c>
      <c r="C65" s="3530"/>
      <c r="D65" s="3530"/>
      <c r="E65" s="3530"/>
      <c r="F65" s="3530"/>
      <c r="G65" s="3480"/>
      <c r="H65" s="3529"/>
      <c r="I65" s="3529"/>
      <c r="J65" s="3529"/>
      <c r="K65" s="3529"/>
      <c r="L65" s="3529"/>
      <c r="M65" s="3529"/>
      <c r="N65" s="3529"/>
      <c r="O65" s="3529"/>
      <c r="P65" s="3529"/>
      <c r="Q65" s="3529"/>
      <c r="R65" s="3529"/>
      <c r="S65" s="3529"/>
      <c r="T65" s="3529"/>
      <c r="U65" s="3529"/>
      <c r="V65" s="3529"/>
      <c r="W65" s="3529"/>
      <c r="X65" s="3529"/>
      <c r="Y65" s="3529"/>
      <c r="Z65" s="3529"/>
      <c r="AA65" s="3529"/>
      <c r="AB65" s="3444"/>
      <c r="AC65" s="339"/>
      <c r="AD65" s="339"/>
      <c r="AE65" s="339"/>
      <c r="AF65" s="339"/>
      <c r="AG65" s="339"/>
      <c r="AH65" s="339"/>
      <c r="AI65" s="339"/>
      <c r="AJ65" s="339"/>
      <c r="AK65" s="339"/>
      <c r="AL65" s="339"/>
      <c r="AM65" s="339"/>
      <c r="AN65" s="1123"/>
    </row>
    <row r="66" spans="1:41" ht="18" customHeight="1">
      <c r="A66" s="391"/>
      <c r="B66" s="3530" t="s">
        <v>2017</v>
      </c>
      <c r="C66" s="3530"/>
      <c r="D66" s="3530"/>
      <c r="E66" s="3530"/>
      <c r="F66" s="3530"/>
      <c r="G66" s="3530"/>
      <c r="H66" s="3480"/>
      <c r="I66" s="3529"/>
      <c r="J66" s="3529"/>
      <c r="K66" s="3529"/>
      <c r="L66" s="3529"/>
      <c r="M66" s="3529"/>
      <c r="N66" s="3529"/>
      <c r="O66" s="3529"/>
      <c r="P66" s="3529"/>
      <c r="Q66" s="3529"/>
      <c r="R66" s="3529"/>
      <c r="S66" s="3529"/>
      <c r="T66" s="3529"/>
      <c r="U66" s="3529"/>
      <c r="V66" s="3529"/>
      <c r="W66" s="3529"/>
      <c r="X66" s="3529"/>
      <c r="Y66" s="3529"/>
      <c r="Z66" s="3529"/>
      <c r="AA66" s="3529"/>
      <c r="AB66" s="3444"/>
      <c r="AC66" s="339"/>
      <c r="AD66" s="339"/>
      <c r="AE66" s="339"/>
      <c r="AF66" s="339"/>
      <c r="AG66" s="339"/>
      <c r="AH66" s="339"/>
      <c r="AI66" s="339"/>
      <c r="AJ66" s="339"/>
      <c r="AK66" s="339"/>
      <c r="AL66" s="339"/>
      <c r="AM66" s="339"/>
      <c r="AN66" s="1123"/>
      <c r="AO66" s="114" t="s">
        <v>2018</v>
      </c>
    </row>
    <row r="67" spans="1:41" s="1124" customFormat="1" ht="18" customHeight="1">
      <c r="B67" s="1125"/>
      <c r="AM67" s="1128"/>
      <c r="AO67" s="1127" t="s">
        <v>2019</v>
      </c>
    </row>
    <row r="68" spans="1:41" s="1124" customFormat="1" ht="18" customHeight="1">
      <c r="A68" s="1131"/>
      <c r="B68" s="3563" t="s">
        <v>2020</v>
      </c>
      <c r="C68" s="3564"/>
      <c r="D68" s="3564"/>
      <c r="E68" s="3564"/>
      <c r="F68" s="3564"/>
      <c r="G68" s="3564"/>
      <c r="H68" s="3564"/>
      <c r="I68" s="3564"/>
      <c r="J68" s="3564"/>
      <c r="K68" s="3564"/>
      <c r="L68" s="3564"/>
      <c r="M68" s="3564"/>
      <c r="N68" s="3564"/>
      <c r="O68" s="3564"/>
      <c r="P68" s="3564"/>
      <c r="Q68" s="3564"/>
      <c r="R68" s="3480" t="s">
        <v>2015</v>
      </c>
      <c r="S68" s="3529"/>
      <c r="T68" s="3529"/>
      <c r="U68" s="3529"/>
      <c r="V68" s="3444"/>
      <c r="AO68" s="1127"/>
    </row>
    <row r="69" spans="1:41" ht="18" customHeight="1">
      <c r="A69" s="1126"/>
      <c r="B69" s="3447" t="s">
        <v>2021</v>
      </c>
      <c r="C69" s="2162"/>
      <c r="D69" s="2162"/>
      <c r="E69" s="2162"/>
      <c r="F69" s="2162"/>
      <c r="G69" s="2162"/>
      <c r="H69" s="2162"/>
      <c r="I69" s="2162"/>
      <c r="J69" s="2162"/>
      <c r="K69" s="2162"/>
      <c r="L69" s="2162"/>
      <c r="M69" s="2162"/>
      <c r="N69" s="2162"/>
      <c r="O69" s="2162"/>
      <c r="P69" s="2162"/>
      <c r="Q69" s="3480" t="s">
        <v>2019</v>
      </c>
      <c r="R69" s="3529"/>
      <c r="S69" s="3529"/>
      <c r="T69" s="3529"/>
      <c r="U69" s="3444"/>
      <c r="V69" s="1481"/>
      <c r="W69" s="1481"/>
      <c r="X69" s="1481"/>
      <c r="AH69" s="339"/>
      <c r="AI69" s="339"/>
      <c r="AJ69" s="339"/>
      <c r="AK69" s="339"/>
      <c r="AL69" s="339"/>
      <c r="AM69" s="339"/>
      <c r="AN69" s="1123"/>
    </row>
    <row r="70" spans="1:41" s="1132" customFormat="1" ht="18" customHeight="1">
      <c r="A70" s="1131"/>
      <c r="B70" s="3563" t="s">
        <v>2022</v>
      </c>
      <c r="C70" s="3564"/>
      <c r="D70" s="3564"/>
      <c r="E70" s="3564"/>
      <c r="F70" s="3564"/>
      <c r="G70" s="3564"/>
      <c r="H70" s="3564"/>
      <c r="I70" s="3564"/>
      <c r="J70" s="3564"/>
      <c r="K70" s="3564"/>
      <c r="L70" s="3564"/>
      <c r="M70" s="3564"/>
      <c r="N70" s="3564"/>
      <c r="O70" s="3564"/>
      <c r="P70" s="3564"/>
      <c r="Q70" s="3564"/>
      <c r="R70" s="3564"/>
      <c r="S70" s="3564"/>
      <c r="T70" s="3564"/>
      <c r="U70" s="3564"/>
      <c r="V70" s="3564"/>
      <c r="W70" s="3564"/>
      <c r="X70" s="3564"/>
      <c r="Y70" s="3564"/>
      <c r="Z70" s="3564"/>
      <c r="AA70" s="3564"/>
      <c r="AB70" s="3564"/>
      <c r="AC70" s="3445" t="s">
        <v>2023</v>
      </c>
      <c r="AD70" s="3445"/>
      <c r="AE70" s="3445"/>
      <c r="AF70" s="3445"/>
      <c r="AG70" s="3445"/>
      <c r="AH70" s="3445"/>
    </row>
    <row r="71" spans="1:41" ht="18" customHeight="1">
      <c r="A71" s="1126"/>
      <c r="B71" s="3447" t="s">
        <v>2024</v>
      </c>
      <c r="C71" s="2162"/>
      <c r="D71" s="2162"/>
      <c r="E71" s="2162"/>
      <c r="F71" s="2162"/>
      <c r="G71" s="2162"/>
      <c r="H71" s="2162"/>
      <c r="I71" s="2162"/>
      <c r="J71" s="2162"/>
      <c r="K71" s="2162"/>
      <c r="L71" s="2162"/>
      <c r="M71" s="2162"/>
      <c r="N71" s="2162"/>
      <c r="O71" s="2162"/>
      <c r="P71" s="2162"/>
      <c r="Q71" s="2162"/>
      <c r="R71" s="2162"/>
      <c r="S71" s="2162"/>
      <c r="T71" s="2162"/>
      <c r="U71" s="2162"/>
      <c r="V71" s="3448"/>
      <c r="W71" s="3480" t="s">
        <v>2025</v>
      </c>
      <c r="X71" s="3529"/>
      <c r="Y71" s="3529"/>
      <c r="Z71" s="3444"/>
      <c r="AA71" s="1534"/>
      <c r="AB71" s="1481"/>
      <c r="AC71" s="1481"/>
      <c r="AD71" s="1481"/>
      <c r="AH71" s="339"/>
      <c r="AI71" s="339"/>
      <c r="AJ71" s="339"/>
      <c r="AK71" s="339"/>
      <c r="AL71" s="339"/>
      <c r="AM71" s="339"/>
      <c r="AN71" s="1123"/>
      <c r="AO71" s="113" t="s">
        <v>2026</v>
      </c>
    </row>
    <row r="72" spans="1:41" ht="18" customHeight="1">
      <c r="A72" s="1129"/>
      <c r="B72" s="3674" t="s">
        <v>2027</v>
      </c>
      <c r="C72" s="3675"/>
      <c r="D72" s="3675"/>
      <c r="E72" s="3675"/>
      <c r="F72" s="3675"/>
      <c r="G72" s="3675"/>
      <c r="H72" s="3675"/>
      <c r="I72" s="3675"/>
      <c r="J72" s="3675"/>
      <c r="K72" s="3675"/>
      <c r="L72" s="3675"/>
      <c r="M72" s="3675"/>
      <c r="N72" s="3675"/>
      <c r="O72" s="3675"/>
      <c r="P72" s="3675"/>
      <c r="Q72" s="3675"/>
      <c r="R72" s="3675"/>
      <c r="S72" s="3675"/>
      <c r="T72" s="3675"/>
      <c r="U72" s="3446">
        <v>4</v>
      </c>
      <c r="V72" s="3446"/>
      <c r="W72" s="1537"/>
      <c r="X72" s="1537"/>
      <c r="Y72" s="1537"/>
      <c r="Z72" s="1537"/>
      <c r="AA72" s="1537"/>
      <c r="AB72" s="1537"/>
      <c r="AC72" s="1537"/>
      <c r="AD72" s="1537"/>
      <c r="AE72" s="1537"/>
      <c r="AF72" s="1537"/>
      <c r="AG72" s="1537"/>
      <c r="AH72" s="1537"/>
      <c r="AI72" s="1537"/>
      <c r="AJ72" s="1537"/>
      <c r="AK72" s="1537"/>
      <c r="AL72" s="224"/>
      <c r="AN72" s="1123"/>
      <c r="AO72" s="114" t="s">
        <v>2028</v>
      </c>
    </row>
    <row r="73" spans="1:41" ht="31.5" customHeight="1">
      <c r="A73" s="1129"/>
      <c r="B73" s="2456" t="s">
        <v>676</v>
      </c>
      <c r="C73" s="2457"/>
      <c r="D73" s="2457"/>
      <c r="E73" s="3532" t="str">
        <f>'Document Checklist'!$E$178</f>
        <v>94. LSP List of projects or contracts</v>
      </c>
      <c r="F73" s="3533"/>
      <c r="G73" s="3533"/>
      <c r="H73" s="3533"/>
      <c r="I73" s="3533"/>
      <c r="J73" s="3533"/>
      <c r="K73" s="3533"/>
      <c r="L73" s="3533"/>
      <c r="M73" s="3533"/>
      <c r="N73" s="3532" t="str">
        <f>'Document Checklist'!$N$178</f>
        <v>Provide list of current and completed Projects or contracts when submitting application</v>
      </c>
      <c r="O73" s="3533"/>
      <c r="P73" s="3533"/>
      <c r="Q73" s="3533"/>
      <c r="R73" s="3533"/>
      <c r="S73" s="3533"/>
      <c r="T73" s="3533"/>
      <c r="U73" s="3533"/>
      <c r="V73" s="3533"/>
      <c r="W73" s="3533"/>
      <c r="X73" s="3533"/>
      <c r="Y73" s="3533"/>
      <c r="Z73" s="3533"/>
      <c r="AA73" s="3533"/>
      <c r="AB73" s="3533"/>
      <c r="AC73" s="3533"/>
      <c r="AD73" s="3533"/>
      <c r="AE73" s="3534"/>
      <c r="AF73" s="3464" t="s">
        <v>843</v>
      </c>
      <c r="AG73" s="3465"/>
      <c r="AH73" s="3465"/>
      <c r="AI73" s="3465"/>
      <c r="AJ73" s="3465"/>
      <c r="AK73" s="3466"/>
      <c r="AL73" s="3634"/>
      <c r="AM73" s="3634"/>
      <c r="AN73" s="1123"/>
      <c r="AO73" s="114" t="s">
        <v>2029</v>
      </c>
    </row>
    <row r="74" spans="1:41" ht="36" customHeight="1">
      <c r="A74" s="391"/>
      <c r="B74" s="2162" t="s">
        <v>2030</v>
      </c>
      <c r="C74" s="2162"/>
      <c r="D74" s="2162"/>
      <c r="E74" s="2162"/>
      <c r="F74" s="2162"/>
      <c r="G74" s="2162"/>
      <c r="H74" s="2162"/>
      <c r="I74" s="2162"/>
      <c r="J74" s="2162"/>
      <c r="K74" s="2162"/>
      <c r="L74" s="2162"/>
      <c r="M74" s="2162"/>
      <c r="N74" s="2162"/>
      <c r="O74" s="2162"/>
      <c r="P74" s="2162"/>
      <c r="Q74" s="2162"/>
      <c r="R74" s="2162"/>
      <c r="S74" s="2162"/>
      <c r="T74" s="2162"/>
      <c r="U74" s="2162"/>
      <c r="V74" s="2162"/>
      <c r="W74" s="2162"/>
      <c r="X74" s="2162"/>
      <c r="Y74" s="2162"/>
      <c r="Z74" s="2162"/>
      <c r="AA74" s="2162"/>
      <c r="AB74" s="2162"/>
      <c r="AC74" s="2162"/>
      <c r="AD74" s="2162"/>
      <c r="AE74" s="2162"/>
      <c r="AF74" s="2162"/>
      <c r="AG74" s="2162"/>
      <c r="AH74" s="2162"/>
      <c r="AI74" s="2162"/>
      <c r="AJ74" s="2162"/>
      <c r="AK74" s="2162"/>
      <c r="AL74" s="2162"/>
      <c r="AM74" s="2162"/>
      <c r="AN74" s="1326"/>
      <c r="AO74" s="114" t="s">
        <v>2025</v>
      </c>
    </row>
    <row r="75" spans="1:41" ht="18" customHeight="1">
      <c r="A75" s="391"/>
      <c r="B75" s="3411" t="s">
        <v>2031</v>
      </c>
      <c r="C75" s="3420"/>
      <c r="D75" s="3420"/>
      <c r="E75" s="3420"/>
      <c r="F75" s="3420"/>
      <c r="G75" s="3420"/>
      <c r="H75" s="3420"/>
      <c r="I75" s="3420"/>
      <c r="J75" s="3420"/>
      <c r="K75" s="3410" t="s">
        <v>2032</v>
      </c>
      <c r="L75" s="3415"/>
      <c r="M75" s="3415"/>
      <c r="N75" s="3415"/>
      <c r="O75" s="3415"/>
      <c r="P75" s="3415"/>
      <c r="Q75" s="3415"/>
      <c r="R75" s="3415"/>
      <c r="S75" s="3415"/>
      <c r="T75" s="3415"/>
      <c r="U75" s="3415"/>
      <c r="V75" s="3411"/>
      <c r="W75" s="3410" t="s">
        <v>2033</v>
      </c>
      <c r="X75" s="3415"/>
      <c r="Y75" s="3415"/>
      <c r="Z75" s="3415"/>
      <c r="AA75" s="3415"/>
      <c r="AB75" s="3415"/>
      <c r="AC75" s="3415"/>
      <c r="AD75" s="3415"/>
      <c r="AE75" s="3415"/>
      <c r="AF75" s="3415"/>
      <c r="AG75" s="3415"/>
      <c r="AH75" s="3415"/>
      <c r="AI75" s="3415"/>
      <c r="AJ75" s="3415"/>
      <c r="AK75" s="3415"/>
      <c r="AL75" s="3415"/>
      <c r="AM75" s="3415"/>
      <c r="AN75" s="1325"/>
    </row>
    <row r="76" spans="1:41" ht="18" customHeight="1">
      <c r="A76" s="391"/>
      <c r="B76" s="3444"/>
      <c r="C76" s="3445"/>
      <c r="D76" s="3445"/>
      <c r="E76" s="3445"/>
      <c r="F76" s="3445"/>
      <c r="G76" s="3445"/>
      <c r="H76" s="3445"/>
      <c r="I76" s="3445"/>
      <c r="J76" s="3445"/>
      <c r="K76" s="3480"/>
      <c r="L76" s="3529"/>
      <c r="M76" s="3529"/>
      <c r="N76" s="3529"/>
      <c r="O76" s="3529"/>
      <c r="P76" s="3529"/>
      <c r="Q76" s="3529"/>
      <c r="R76" s="3529"/>
      <c r="S76" s="3529"/>
      <c r="T76" s="3529"/>
      <c r="U76" s="3529"/>
      <c r="V76" s="3444"/>
      <c r="W76" s="3480"/>
      <c r="X76" s="3529"/>
      <c r="Y76" s="3529"/>
      <c r="Z76" s="3529"/>
      <c r="AA76" s="3529"/>
      <c r="AB76" s="3529"/>
      <c r="AC76" s="3529"/>
      <c r="AD76" s="3529"/>
      <c r="AE76" s="3529"/>
      <c r="AF76" s="3529"/>
      <c r="AG76" s="3529"/>
      <c r="AH76" s="3529"/>
      <c r="AI76" s="3529"/>
      <c r="AJ76" s="3529"/>
      <c r="AK76" s="3529"/>
      <c r="AL76" s="3529"/>
      <c r="AM76" s="3529"/>
      <c r="AN76" s="1325"/>
      <c r="AO76" s="1130" t="s">
        <v>2034</v>
      </c>
    </row>
    <row r="77" spans="1:41" ht="18" customHeight="1">
      <c r="A77" s="391"/>
      <c r="B77" s="3444"/>
      <c r="C77" s="3445"/>
      <c r="D77" s="3445"/>
      <c r="E77" s="3445"/>
      <c r="F77" s="3445"/>
      <c r="G77" s="3445"/>
      <c r="H77" s="3445"/>
      <c r="I77" s="3445"/>
      <c r="J77" s="3445"/>
      <c r="K77" s="3480"/>
      <c r="L77" s="3529"/>
      <c r="M77" s="3529"/>
      <c r="N77" s="3529"/>
      <c r="O77" s="3529"/>
      <c r="P77" s="3529"/>
      <c r="Q77" s="3529"/>
      <c r="R77" s="3529"/>
      <c r="S77" s="3529"/>
      <c r="T77" s="3529"/>
      <c r="U77" s="3529"/>
      <c r="V77" s="3444"/>
      <c r="W77" s="3480"/>
      <c r="X77" s="3529"/>
      <c r="Y77" s="3529"/>
      <c r="Z77" s="3529"/>
      <c r="AA77" s="3529"/>
      <c r="AB77" s="3529"/>
      <c r="AC77" s="3529"/>
      <c r="AD77" s="3529"/>
      <c r="AE77" s="3529"/>
      <c r="AF77" s="3529"/>
      <c r="AG77" s="3529"/>
      <c r="AH77" s="3529"/>
      <c r="AI77" s="3529"/>
      <c r="AJ77" s="3529"/>
      <c r="AK77" s="3529"/>
      <c r="AL77" s="3529"/>
      <c r="AM77" s="3529"/>
      <c r="AN77" s="1325"/>
      <c r="AO77" s="114" t="s">
        <v>2035</v>
      </c>
    </row>
    <row r="78" spans="1:41" ht="18" customHeight="1">
      <c r="A78" s="391"/>
      <c r="B78" s="3444"/>
      <c r="C78" s="3445"/>
      <c r="D78" s="3445"/>
      <c r="E78" s="3445"/>
      <c r="F78" s="3445"/>
      <c r="G78" s="3445"/>
      <c r="H78" s="3445"/>
      <c r="I78" s="3445"/>
      <c r="J78" s="3445"/>
      <c r="K78" s="3480"/>
      <c r="L78" s="3529"/>
      <c r="M78" s="3529"/>
      <c r="N78" s="3529"/>
      <c r="O78" s="3529"/>
      <c r="P78" s="3529"/>
      <c r="Q78" s="3529"/>
      <c r="R78" s="3529"/>
      <c r="S78" s="3529"/>
      <c r="T78" s="3529"/>
      <c r="U78" s="3529"/>
      <c r="V78" s="3444"/>
      <c r="W78" s="3480"/>
      <c r="X78" s="3529"/>
      <c r="Y78" s="3529"/>
      <c r="Z78" s="3529"/>
      <c r="AA78" s="3529"/>
      <c r="AB78" s="3529"/>
      <c r="AC78" s="3529"/>
      <c r="AD78" s="3529"/>
      <c r="AE78" s="3529"/>
      <c r="AF78" s="3529"/>
      <c r="AG78" s="3529"/>
      <c r="AH78" s="3529"/>
      <c r="AI78" s="3529"/>
      <c r="AJ78" s="3529"/>
      <c r="AK78" s="3529"/>
      <c r="AL78" s="3529"/>
      <c r="AM78" s="3529"/>
      <c r="AN78" s="1325"/>
      <c r="AO78" s="114" t="s">
        <v>2023</v>
      </c>
    </row>
    <row r="79" spans="1:41" s="116" customFormat="1" ht="18" customHeight="1">
      <c r="A79" s="1327"/>
      <c r="B79" s="3694" t="s">
        <v>1938</v>
      </c>
      <c r="C79" s="3695"/>
      <c r="D79" s="3695"/>
      <c r="E79" s="3695"/>
      <c r="F79" s="3695"/>
      <c r="G79" s="3695"/>
      <c r="H79" s="3695"/>
      <c r="I79" s="3695"/>
      <c r="J79" s="3695"/>
      <c r="K79" s="3695"/>
      <c r="L79" s="3695"/>
      <c r="M79" s="3695"/>
      <c r="N79" s="3695"/>
      <c r="O79" s="3695"/>
      <c r="P79" s="3695"/>
      <c r="Q79" s="3695"/>
      <c r="R79" s="3695"/>
      <c r="S79" s="3695"/>
      <c r="T79" s="3695"/>
      <c r="U79" s="3695"/>
      <c r="V79" s="3695"/>
      <c r="W79" s="3695"/>
      <c r="X79" s="3695"/>
      <c r="Y79" s="3695"/>
      <c r="Z79" s="3695"/>
      <c r="AA79" s="3695"/>
      <c r="AB79" s="3695"/>
      <c r="AC79" s="3695"/>
      <c r="AD79" s="3695"/>
      <c r="AE79" s="3695"/>
      <c r="AF79" s="3695"/>
      <c r="AG79" s="3695"/>
      <c r="AH79" s="3695"/>
      <c r="AI79" s="3695"/>
      <c r="AJ79" s="3695"/>
      <c r="AK79" s="3695"/>
      <c r="AL79" s="3695"/>
      <c r="AM79" s="3696"/>
      <c r="AN79" s="1325"/>
    </row>
    <row r="80" spans="1:41" s="115" customFormat="1" ht="54" customHeight="1">
      <c r="A80" s="389"/>
      <c r="B80" s="3691" t="s">
        <v>2036</v>
      </c>
      <c r="C80" s="3692"/>
      <c r="D80" s="3692"/>
      <c r="E80" s="3692"/>
      <c r="F80" s="3692"/>
      <c r="G80" s="3692"/>
      <c r="H80" s="3692"/>
      <c r="I80" s="3692"/>
      <c r="J80" s="3692"/>
      <c r="K80" s="3692"/>
      <c r="L80" s="3692"/>
      <c r="M80" s="3692"/>
      <c r="N80" s="3692"/>
      <c r="O80" s="3692"/>
      <c r="P80" s="3692"/>
      <c r="Q80" s="3692"/>
      <c r="R80" s="3692"/>
      <c r="S80" s="3692"/>
      <c r="T80" s="3692"/>
      <c r="U80" s="3692"/>
      <c r="V80" s="3692"/>
      <c r="W80" s="3692"/>
      <c r="X80" s="3692"/>
      <c r="Y80" s="3692"/>
      <c r="Z80" s="3692"/>
      <c r="AA80" s="3692"/>
      <c r="AB80" s="3692"/>
      <c r="AC80" s="3692"/>
      <c r="AD80" s="3692"/>
      <c r="AE80" s="3692"/>
      <c r="AF80" s="3692"/>
      <c r="AG80" s="3692"/>
      <c r="AH80" s="3692"/>
      <c r="AI80" s="3692"/>
      <c r="AJ80" s="3692"/>
      <c r="AK80" s="3692"/>
      <c r="AL80" s="3692"/>
      <c r="AM80" s="3693"/>
      <c r="AN80" s="1325"/>
    </row>
    <row r="81" spans="1:40" s="115" customFormat="1" ht="36" customHeight="1">
      <c r="A81" s="389"/>
      <c r="B81" s="3690" t="s">
        <v>2037</v>
      </c>
      <c r="C81" s="3449"/>
      <c r="D81" s="3449"/>
      <c r="E81" s="3449"/>
      <c r="F81" s="3449"/>
      <c r="G81" s="3449"/>
      <c r="H81" s="3449"/>
      <c r="I81" s="3449"/>
      <c r="J81" s="3449"/>
      <c r="K81" s="3449"/>
      <c r="L81" s="3449"/>
      <c r="M81" s="3449"/>
      <c r="N81" s="3449"/>
      <c r="O81" s="3449"/>
      <c r="P81" s="3449"/>
      <c r="Q81" s="3449"/>
      <c r="R81" s="3449"/>
      <c r="S81" s="3449"/>
      <c r="T81" s="3449"/>
      <c r="U81" s="3449"/>
      <c r="V81" s="3449"/>
      <c r="W81" s="3449"/>
      <c r="X81" s="3449"/>
      <c r="Y81" s="3449"/>
      <c r="Z81" s="3449"/>
      <c r="AA81" s="3449"/>
      <c r="AB81" s="3449"/>
      <c r="AC81" s="3449"/>
      <c r="AD81" s="3449"/>
      <c r="AE81" s="3449"/>
      <c r="AF81" s="3449"/>
      <c r="AG81" s="3449"/>
      <c r="AH81" s="3449"/>
      <c r="AI81" s="3449"/>
      <c r="AJ81" s="3449"/>
      <c r="AK81" s="3450"/>
      <c r="AL81" s="3471"/>
      <c r="AM81" s="3472"/>
      <c r="AN81" s="1325"/>
    </row>
    <row r="82" spans="1:40" s="115" customFormat="1" ht="36" customHeight="1">
      <c r="A82" s="389"/>
      <c r="B82" s="3371"/>
      <c r="C82" s="3372"/>
      <c r="D82" s="3372"/>
      <c r="E82" s="3372"/>
      <c r="F82" s="3372"/>
      <c r="G82" s="3372"/>
      <c r="H82" s="3372"/>
      <c r="I82" s="3372"/>
      <c r="J82" s="3372"/>
      <c r="K82" s="3372"/>
      <c r="L82" s="3372"/>
      <c r="M82" s="3372"/>
      <c r="N82" s="3372"/>
      <c r="O82" s="3372"/>
      <c r="P82" s="3372"/>
      <c r="Q82" s="3372"/>
      <c r="R82" s="3372"/>
      <c r="S82" s="3372"/>
      <c r="T82" s="3372"/>
      <c r="U82" s="3372"/>
      <c r="V82" s="3372"/>
      <c r="W82" s="3372"/>
      <c r="X82" s="3372"/>
      <c r="Y82" s="3372"/>
      <c r="Z82" s="3372"/>
      <c r="AA82" s="3372"/>
      <c r="AB82" s="3372"/>
      <c r="AC82" s="3372"/>
      <c r="AD82" s="3372"/>
      <c r="AE82" s="3372"/>
      <c r="AF82" s="3372"/>
      <c r="AG82" s="3372"/>
      <c r="AH82" s="3372"/>
      <c r="AI82" s="3372"/>
      <c r="AJ82" s="3372"/>
      <c r="AK82" s="3372"/>
      <c r="AL82" s="3372"/>
      <c r="AM82" s="3373"/>
      <c r="AN82" s="1325"/>
    </row>
    <row r="83" spans="1:40" s="115" customFormat="1" ht="18" customHeight="1">
      <c r="A83" s="389"/>
      <c r="B83" s="3458" t="s">
        <v>2038</v>
      </c>
      <c r="C83" s="3458"/>
      <c r="D83" s="3458"/>
      <c r="E83" s="3458"/>
      <c r="F83" s="3458"/>
      <c r="G83" s="3458"/>
      <c r="H83" s="3458"/>
      <c r="I83" s="3458"/>
      <c r="J83" s="3458"/>
      <c r="K83" s="3458"/>
      <c r="L83" s="3458"/>
      <c r="M83" s="3458"/>
      <c r="N83" s="3458"/>
      <c r="O83" s="3458"/>
      <c r="P83" s="3458"/>
      <c r="Q83" s="3458"/>
      <c r="R83" s="3458"/>
      <c r="S83" s="3458"/>
      <c r="T83" s="3458"/>
      <c r="U83" s="3458"/>
      <c r="V83" s="3458"/>
      <c r="W83" s="3458"/>
      <c r="X83" s="3458"/>
      <c r="Y83" s="3458"/>
      <c r="Z83" s="3458"/>
      <c r="AA83" s="3458"/>
      <c r="AB83" s="3458"/>
      <c r="AC83" s="3458"/>
      <c r="AD83" s="3458"/>
      <c r="AE83" s="3458"/>
      <c r="AF83" s="3458"/>
      <c r="AG83" s="3458"/>
      <c r="AH83" s="3458"/>
      <c r="AI83" s="3458"/>
      <c r="AJ83" s="3458"/>
      <c r="AK83" s="3459"/>
      <c r="AL83" s="3428"/>
      <c r="AM83" s="3429"/>
      <c r="AN83" s="1325"/>
    </row>
    <row r="84" spans="1:40" s="115" customFormat="1" ht="18" customHeight="1">
      <c r="A84" s="389"/>
      <c r="B84" s="3371"/>
      <c r="C84" s="3372"/>
      <c r="D84" s="3372"/>
      <c r="E84" s="3372"/>
      <c r="F84" s="3372"/>
      <c r="G84" s="3372"/>
      <c r="H84" s="3372"/>
      <c r="I84" s="3372"/>
      <c r="J84" s="3372"/>
      <c r="K84" s="3372"/>
      <c r="L84" s="3372"/>
      <c r="M84" s="3372"/>
      <c r="N84" s="3372"/>
      <c r="O84" s="3372"/>
      <c r="P84" s="3372"/>
      <c r="Q84" s="3372"/>
      <c r="R84" s="3372"/>
      <c r="S84" s="3372"/>
      <c r="T84" s="3372"/>
      <c r="U84" s="3372"/>
      <c r="V84" s="3372"/>
      <c r="W84" s="3372"/>
      <c r="X84" s="3372"/>
      <c r="Y84" s="3372"/>
      <c r="Z84" s="3372"/>
      <c r="AA84" s="3372"/>
      <c r="AB84" s="3372"/>
      <c r="AC84" s="3372"/>
      <c r="AD84" s="3372"/>
      <c r="AE84" s="3372"/>
      <c r="AF84" s="3372"/>
      <c r="AG84" s="3372"/>
      <c r="AH84" s="3372"/>
      <c r="AI84" s="3372"/>
      <c r="AJ84" s="3372"/>
      <c r="AK84" s="3372"/>
      <c r="AL84" s="3372"/>
      <c r="AM84" s="3373"/>
      <c r="AN84" s="1325"/>
    </row>
    <row r="85" spans="1:40" s="115" customFormat="1" ht="18" customHeight="1">
      <c r="A85" s="389"/>
      <c r="B85" s="3458" t="s">
        <v>2039</v>
      </c>
      <c r="C85" s="3458"/>
      <c r="D85" s="3458"/>
      <c r="E85" s="3458"/>
      <c r="F85" s="3458"/>
      <c r="G85" s="3458"/>
      <c r="H85" s="3458"/>
      <c r="I85" s="3458"/>
      <c r="J85" s="3458"/>
      <c r="K85" s="3458"/>
      <c r="L85" s="3458"/>
      <c r="M85" s="3458"/>
      <c r="N85" s="3458"/>
      <c r="O85" s="3458"/>
      <c r="P85" s="3458"/>
      <c r="Q85" s="3458"/>
      <c r="R85" s="3458"/>
      <c r="S85" s="3458"/>
      <c r="T85" s="3458"/>
      <c r="U85" s="3458"/>
      <c r="V85" s="3458"/>
      <c r="W85" s="3458"/>
      <c r="X85" s="3458"/>
      <c r="Y85" s="3458"/>
      <c r="Z85" s="3458"/>
      <c r="AA85" s="3458"/>
      <c r="AB85" s="3458"/>
      <c r="AC85" s="3458"/>
      <c r="AD85" s="3458"/>
      <c r="AE85" s="3458"/>
      <c r="AF85" s="3458"/>
      <c r="AG85" s="3458"/>
      <c r="AH85" s="3458"/>
      <c r="AI85" s="3458"/>
      <c r="AJ85" s="3458"/>
      <c r="AK85" s="3459"/>
      <c r="AL85" s="3428"/>
      <c r="AM85" s="3429"/>
      <c r="AN85" s="1325"/>
    </row>
    <row r="86" spans="1:40" s="115" customFormat="1" ht="18" customHeight="1">
      <c r="A86" s="389"/>
      <c r="B86" s="3371"/>
      <c r="C86" s="3372"/>
      <c r="D86" s="3372"/>
      <c r="E86" s="3372"/>
      <c r="F86" s="3372"/>
      <c r="G86" s="3372"/>
      <c r="H86" s="3372"/>
      <c r="I86" s="3372"/>
      <c r="J86" s="3372"/>
      <c r="K86" s="3372"/>
      <c r="L86" s="3372"/>
      <c r="M86" s="3372"/>
      <c r="N86" s="3372"/>
      <c r="O86" s="3372"/>
      <c r="P86" s="3372"/>
      <c r="Q86" s="3372"/>
      <c r="R86" s="3372"/>
      <c r="S86" s="3372"/>
      <c r="T86" s="3372"/>
      <c r="U86" s="3372"/>
      <c r="V86" s="3372"/>
      <c r="W86" s="3372"/>
      <c r="X86" s="3372"/>
      <c r="Y86" s="3372"/>
      <c r="Z86" s="3372"/>
      <c r="AA86" s="3372"/>
      <c r="AB86" s="3372"/>
      <c r="AC86" s="3372"/>
      <c r="AD86" s="3372"/>
      <c r="AE86" s="3372"/>
      <c r="AF86" s="3372"/>
      <c r="AG86" s="3372"/>
      <c r="AH86" s="3372"/>
      <c r="AI86" s="3372"/>
      <c r="AJ86" s="3372"/>
      <c r="AK86" s="3372"/>
      <c r="AL86" s="3372"/>
      <c r="AM86" s="3373"/>
      <c r="AN86" s="1325"/>
    </row>
    <row r="87" spans="1:40" s="115" customFormat="1" ht="18" customHeight="1">
      <c r="A87" s="389"/>
      <c r="B87" s="3458" t="s">
        <v>2040</v>
      </c>
      <c r="C87" s="3458"/>
      <c r="D87" s="3458"/>
      <c r="E87" s="3458"/>
      <c r="F87" s="3458"/>
      <c r="G87" s="3458"/>
      <c r="H87" s="3458"/>
      <c r="I87" s="3458"/>
      <c r="J87" s="3458"/>
      <c r="K87" s="3458"/>
      <c r="L87" s="3458"/>
      <c r="M87" s="3458"/>
      <c r="N87" s="3458"/>
      <c r="O87" s="3458"/>
      <c r="P87" s="3458"/>
      <c r="Q87" s="3458"/>
      <c r="R87" s="3458"/>
      <c r="S87" s="3458"/>
      <c r="T87" s="3458"/>
      <c r="U87" s="3458"/>
      <c r="V87" s="3458"/>
      <c r="W87" s="3458"/>
      <c r="X87" s="3458"/>
      <c r="Y87" s="3458"/>
      <c r="Z87" s="3458"/>
      <c r="AA87" s="3458"/>
      <c r="AB87" s="3458"/>
      <c r="AC87" s="3458"/>
      <c r="AD87" s="3458"/>
      <c r="AE87" s="3458"/>
      <c r="AF87" s="3458"/>
      <c r="AG87" s="3458"/>
      <c r="AH87" s="3458"/>
      <c r="AI87" s="3458"/>
      <c r="AJ87" s="3458"/>
      <c r="AK87" s="3459"/>
      <c r="AL87" s="3428"/>
      <c r="AM87" s="3429"/>
      <c r="AN87" s="1325"/>
    </row>
    <row r="88" spans="1:40" s="115" customFormat="1" ht="18" customHeight="1">
      <c r="A88" s="389"/>
      <c r="B88" s="3371"/>
      <c r="C88" s="3372"/>
      <c r="D88" s="3372"/>
      <c r="E88" s="3372"/>
      <c r="F88" s="3372"/>
      <c r="G88" s="3372"/>
      <c r="H88" s="3372"/>
      <c r="I88" s="3372"/>
      <c r="J88" s="3372"/>
      <c r="K88" s="3372"/>
      <c r="L88" s="3372"/>
      <c r="M88" s="3372"/>
      <c r="N88" s="3372"/>
      <c r="O88" s="3372"/>
      <c r="P88" s="3372"/>
      <c r="Q88" s="3372"/>
      <c r="R88" s="3372"/>
      <c r="S88" s="3372"/>
      <c r="T88" s="3372"/>
      <c r="U88" s="3372"/>
      <c r="V88" s="3372"/>
      <c r="W88" s="3372"/>
      <c r="X88" s="3372"/>
      <c r="Y88" s="3372"/>
      <c r="Z88" s="3372"/>
      <c r="AA88" s="3372"/>
      <c r="AB88" s="3372"/>
      <c r="AC88" s="3372"/>
      <c r="AD88" s="3372"/>
      <c r="AE88" s="3372"/>
      <c r="AF88" s="3372"/>
      <c r="AG88" s="3372"/>
      <c r="AH88" s="3372"/>
      <c r="AI88" s="3372"/>
      <c r="AJ88" s="3372"/>
      <c r="AK88" s="3372"/>
      <c r="AL88" s="3372"/>
      <c r="AM88" s="3373"/>
      <c r="AN88" s="1325"/>
    </row>
    <row r="89" spans="1:40" s="115" customFormat="1" ht="18" customHeight="1">
      <c r="A89" s="389"/>
      <c r="B89" s="3458" t="s">
        <v>2041</v>
      </c>
      <c r="C89" s="3458"/>
      <c r="D89" s="3458"/>
      <c r="E89" s="3458"/>
      <c r="F89" s="3458"/>
      <c r="G89" s="3458"/>
      <c r="H89" s="3458"/>
      <c r="I89" s="3458"/>
      <c r="J89" s="3458"/>
      <c r="K89" s="3458"/>
      <c r="L89" s="3458"/>
      <c r="M89" s="3458"/>
      <c r="N89" s="3458"/>
      <c r="O89" s="3458"/>
      <c r="P89" s="3458"/>
      <c r="Q89" s="3458"/>
      <c r="R89" s="3458"/>
      <c r="S89" s="3458"/>
      <c r="T89" s="3458"/>
      <c r="U89" s="3458"/>
      <c r="V89" s="3458"/>
      <c r="W89" s="3458"/>
      <c r="X89" s="3458"/>
      <c r="Y89" s="3458"/>
      <c r="Z89" s="3458"/>
      <c r="AA89" s="3458"/>
      <c r="AB89" s="3458"/>
      <c r="AC89" s="3458"/>
      <c r="AD89" s="3458"/>
      <c r="AE89" s="3458"/>
      <c r="AF89" s="3458"/>
      <c r="AG89" s="3458"/>
      <c r="AH89" s="3458"/>
      <c r="AI89" s="3458"/>
      <c r="AJ89" s="3458"/>
      <c r="AK89" s="3459"/>
      <c r="AL89" s="3428"/>
      <c r="AM89" s="3429"/>
      <c r="AN89" s="1325"/>
    </row>
    <row r="90" spans="1:40" s="115" customFormat="1" ht="18" customHeight="1">
      <c r="A90" s="389"/>
      <c r="B90" s="3371"/>
      <c r="C90" s="3372"/>
      <c r="D90" s="3372"/>
      <c r="E90" s="3372"/>
      <c r="F90" s="3372"/>
      <c r="G90" s="3372"/>
      <c r="H90" s="3372"/>
      <c r="I90" s="3372"/>
      <c r="J90" s="3372"/>
      <c r="K90" s="3372"/>
      <c r="L90" s="3372"/>
      <c r="M90" s="3372"/>
      <c r="N90" s="3372"/>
      <c r="O90" s="3372"/>
      <c r="P90" s="3372"/>
      <c r="Q90" s="3372"/>
      <c r="R90" s="3372"/>
      <c r="S90" s="3372"/>
      <c r="T90" s="3372"/>
      <c r="U90" s="3372"/>
      <c r="V90" s="3372"/>
      <c r="W90" s="3372"/>
      <c r="X90" s="3372"/>
      <c r="Y90" s="3372"/>
      <c r="Z90" s="3372"/>
      <c r="AA90" s="3372"/>
      <c r="AB90" s="3372"/>
      <c r="AC90" s="3372"/>
      <c r="AD90" s="3372"/>
      <c r="AE90" s="3372"/>
      <c r="AF90" s="3372"/>
      <c r="AG90" s="3372"/>
      <c r="AH90" s="3372"/>
      <c r="AI90" s="3372"/>
      <c r="AJ90" s="3372"/>
      <c r="AK90" s="3372"/>
      <c r="AL90" s="3372"/>
      <c r="AM90" s="3373"/>
      <c r="AN90" s="1325"/>
    </row>
    <row r="91" spans="1:40" s="115" customFormat="1" ht="18" customHeight="1">
      <c r="A91" s="389"/>
      <c r="B91" s="3458" t="s">
        <v>2042</v>
      </c>
      <c r="C91" s="3458"/>
      <c r="D91" s="3458"/>
      <c r="E91" s="3458"/>
      <c r="F91" s="3458"/>
      <c r="G91" s="3458"/>
      <c r="H91" s="3458"/>
      <c r="I91" s="3458"/>
      <c r="J91" s="3458"/>
      <c r="K91" s="3458"/>
      <c r="L91" s="3458"/>
      <c r="M91" s="3458"/>
      <c r="N91" s="3458"/>
      <c r="O91" s="3458"/>
      <c r="P91" s="3458"/>
      <c r="Q91" s="3458"/>
      <c r="R91" s="3458"/>
      <c r="S91" s="3458"/>
      <c r="T91" s="3458"/>
      <c r="U91" s="3458"/>
      <c r="V91" s="3458"/>
      <c r="W91" s="3458"/>
      <c r="X91" s="3458"/>
      <c r="Y91" s="3458"/>
      <c r="Z91" s="3458"/>
      <c r="AA91" s="3458"/>
      <c r="AB91" s="3458"/>
      <c r="AC91" s="3458"/>
      <c r="AD91" s="3458"/>
      <c r="AE91" s="3458"/>
      <c r="AF91" s="3458"/>
      <c r="AG91" s="3458"/>
      <c r="AH91" s="3458"/>
      <c r="AI91" s="3458"/>
      <c r="AJ91" s="3458"/>
      <c r="AK91" s="3459"/>
      <c r="AL91" s="3428"/>
      <c r="AM91" s="3429"/>
      <c r="AN91" s="1325"/>
    </row>
    <row r="92" spans="1:40" s="115" customFormat="1" ht="18" customHeight="1">
      <c r="A92" s="389"/>
      <c r="B92" s="3371"/>
      <c r="C92" s="3372"/>
      <c r="D92" s="3372"/>
      <c r="E92" s="3372"/>
      <c r="F92" s="3372"/>
      <c r="G92" s="3372"/>
      <c r="H92" s="3372"/>
      <c r="I92" s="3372"/>
      <c r="J92" s="3372"/>
      <c r="K92" s="3372"/>
      <c r="L92" s="3372"/>
      <c r="M92" s="3372"/>
      <c r="N92" s="3372"/>
      <c r="O92" s="3372"/>
      <c r="P92" s="3372"/>
      <c r="Q92" s="3372"/>
      <c r="R92" s="3372"/>
      <c r="S92" s="3372"/>
      <c r="T92" s="3372"/>
      <c r="U92" s="3372"/>
      <c r="V92" s="3372"/>
      <c r="W92" s="3372"/>
      <c r="X92" s="3372"/>
      <c r="Y92" s="3372"/>
      <c r="Z92" s="3372"/>
      <c r="AA92" s="3372"/>
      <c r="AB92" s="3372"/>
      <c r="AC92" s="3372"/>
      <c r="AD92" s="3372"/>
      <c r="AE92" s="3372"/>
      <c r="AF92" s="3372"/>
      <c r="AG92" s="3372"/>
      <c r="AH92" s="3372"/>
      <c r="AI92" s="3372"/>
      <c r="AJ92" s="3372"/>
      <c r="AK92" s="3372"/>
      <c r="AL92" s="3372"/>
      <c r="AM92" s="3373"/>
      <c r="AN92" s="1325"/>
    </row>
    <row r="93" spans="1:40" s="115" customFormat="1" ht="18" customHeight="1">
      <c r="A93" s="389"/>
      <c r="B93" s="3441" t="s">
        <v>2043</v>
      </c>
      <c r="C93" s="3442"/>
      <c r="D93" s="3442"/>
      <c r="E93" s="3442"/>
      <c r="F93" s="3442"/>
      <c r="G93" s="3442"/>
      <c r="H93" s="3442"/>
      <c r="I93" s="3442"/>
      <c r="J93" s="3442"/>
      <c r="K93" s="3442"/>
      <c r="L93" s="3442"/>
      <c r="M93" s="3442"/>
      <c r="N93" s="3442"/>
      <c r="O93" s="3442"/>
      <c r="P93" s="3442"/>
      <c r="Q93" s="3442"/>
      <c r="R93" s="3442"/>
      <c r="S93" s="3442"/>
      <c r="T93" s="3442"/>
      <c r="U93" s="3442"/>
      <c r="V93" s="3442"/>
      <c r="W93" s="3442"/>
      <c r="X93" s="3442"/>
      <c r="Y93" s="3442"/>
      <c r="Z93" s="3442"/>
      <c r="AA93" s="3442"/>
      <c r="AB93" s="3442"/>
      <c r="AC93" s="3442"/>
      <c r="AD93" s="3442"/>
      <c r="AE93" s="3442"/>
      <c r="AF93" s="3442"/>
      <c r="AG93" s="3442"/>
      <c r="AH93" s="3442"/>
      <c r="AI93" s="3442"/>
      <c r="AJ93" s="3442"/>
      <c r="AK93" s="3442"/>
      <c r="AL93" s="3442"/>
      <c r="AM93" s="3443"/>
      <c r="AN93" s="1325"/>
    </row>
    <row r="94" spans="1:40" s="115" customFormat="1" ht="18" customHeight="1">
      <c r="A94" s="389"/>
      <c r="B94" s="3449" t="s">
        <v>2044</v>
      </c>
      <c r="C94" s="3449"/>
      <c r="D94" s="3449"/>
      <c r="E94" s="3449"/>
      <c r="F94" s="3449"/>
      <c r="G94" s="3449"/>
      <c r="H94" s="3449"/>
      <c r="I94" s="3449"/>
      <c r="J94" s="3449"/>
      <c r="K94" s="3449"/>
      <c r="L94" s="3449"/>
      <c r="M94" s="3449"/>
      <c r="N94" s="3449"/>
      <c r="O94" s="3449"/>
      <c r="P94" s="3449"/>
      <c r="Q94" s="3449"/>
      <c r="R94" s="3449"/>
      <c r="S94" s="3449"/>
      <c r="T94" s="3449"/>
      <c r="U94" s="3449"/>
      <c r="V94" s="3449"/>
      <c r="W94" s="3449"/>
      <c r="X94" s="3449"/>
      <c r="Y94" s="3449"/>
      <c r="Z94" s="3449"/>
      <c r="AA94" s="3449"/>
      <c r="AB94" s="3449"/>
      <c r="AC94" s="3449"/>
      <c r="AD94" s="3449"/>
      <c r="AE94" s="3449"/>
      <c r="AF94" s="3449"/>
      <c r="AG94" s="3449"/>
      <c r="AH94" s="3449"/>
      <c r="AI94" s="3449"/>
      <c r="AJ94" s="3449"/>
      <c r="AK94" s="3450"/>
      <c r="AL94" s="3428"/>
      <c r="AM94" s="3429"/>
      <c r="AN94" s="1325"/>
    </row>
    <row r="95" spans="1:40" s="115" customFormat="1" ht="18" customHeight="1">
      <c r="A95" s="389"/>
      <c r="B95" s="3371"/>
      <c r="C95" s="3372"/>
      <c r="D95" s="3372"/>
      <c r="E95" s="3372"/>
      <c r="F95" s="3372"/>
      <c r="G95" s="3372"/>
      <c r="H95" s="3372"/>
      <c r="I95" s="3372"/>
      <c r="J95" s="3372"/>
      <c r="K95" s="3372"/>
      <c r="L95" s="3372"/>
      <c r="M95" s="3372"/>
      <c r="N95" s="3372"/>
      <c r="O95" s="3372"/>
      <c r="P95" s="3372"/>
      <c r="Q95" s="3372"/>
      <c r="R95" s="3372"/>
      <c r="S95" s="3372"/>
      <c r="T95" s="3372"/>
      <c r="U95" s="3372"/>
      <c r="V95" s="3372"/>
      <c r="W95" s="3372"/>
      <c r="X95" s="3372"/>
      <c r="Y95" s="3372"/>
      <c r="Z95" s="3372"/>
      <c r="AA95" s="3372"/>
      <c r="AB95" s="3372"/>
      <c r="AC95" s="3372"/>
      <c r="AD95" s="3372"/>
      <c r="AE95" s="3372"/>
      <c r="AF95" s="3372"/>
      <c r="AG95" s="3372"/>
      <c r="AH95" s="3372"/>
      <c r="AI95" s="3372"/>
      <c r="AJ95" s="3372"/>
      <c r="AK95" s="3372"/>
      <c r="AL95" s="3372"/>
      <c r="AM95" s="3373"/>
      <c r="AN95" s="1325"/>
    </row>
    <row r="96" spans="1:40" s="115" customFormat="1" ht="18" customHeight="1">
      <c r="A96" s="389"/>
      <c r="B96" s="3458" t="s">
        <v>2045</v>
      </c>
      <c r="C96" s="3458"/>
      <c r="D96" s="3458"/>
      <c r="E96" s="3458"/>
      <c r="F96" s="3458"/>
      <c r="G96" s="3458"/>
      <c r="H96" s="3458"/>
      <c r="I96" s="3458"/>
      <c r="J96" s="3458"/>
      <c r="K96" s="3458"/>
      <c r="L96" s="3458"/>
      <c r="M96" s="3458"/>
      <c r="N96" s="3458"/>
      <c r="O96" s="3458"/>
      <c r="P96" s="3458"/>
      <c r="Q96" s="3458"/>
      <c r="R96" s="3458"/>
      <c r="S96" s="3458"/>
      <c r="T96" s="3458"/>
      <c r="U96" s="3458"/>
      <c r="V96" s="3458"/>
      <c r="W96" s="3458"/>
      <c r="X96" s="3458"/>
      <c r="Y96" s="3458"/>
      <c r="Z96" s="3458"/>
      <c r="AA96" s="3458"/>
      <c r="AB96" s="3458"/>
      <c r="AC96" s="3458"/>
      <c r="AD96" s="3458"/>
      <c r="AE96" s="3458"/>
      <c r="AF96" s="3458"/>
      <c r="AG96" s="3458"/>
      <c r="AH96" s="3458"/>
      <c r="AI96" s="3458"/>
      <c r="AJ96" s="3458"/>
      <c r="AK96" s="3459"/>
      <c r="AL96" s="3428"/>
      <c r="AM96" s="3429"/>
      <c r="AN96" s="1325"/>
    </row>
    <row r="97" spans="1:42" s="115" customFormat="1" ht="18" customHeight="1">
      <c r="A97" s="389"/>
      <c r="B97" s="3371"/>
      <c r="C97" s="3372"/>
      <c r="D97" s="3372"/>
      <c r="E97" s="3372"/>
      <c r="F97" s="3372"/>
      <c r="G97" s="3372"/>
      <c r="H97" s="3372"/>
      <c r="I97" s="3372"/>
      <c r="J97" s="3372"/>
      <c r="K97" s="3372"/>
      <c r="L97" s="3372"/>
      <c r="M97" s="3372"/>
      <c r="N97" s="3372"/>
      <c r="O97" s="3372"/>
      <c r="P97" s="3372"/>
      <c r="Q97" s="3372"/>
      <c r="R97" s="3372"/>
      <c r="S97" s="3372"/>
      <c r="T97" s="3372"/>
      <c r="U97" s="3372"/>
      <c r="V97" s="3372"/>
      <c r="W97" s="3372"/>
      <c r="X97" s="3372"/>
      <c r="Y97" s="3372"/>
      <c r="Z97" s="3372"/>
      <c r="AA97" s="3372"/>
      <c r="AB97" s="3372"/>
      <c r="AC97" s="3372"/>
      <c r="AD97" s="3372"/>
      <c r="AE97" s="3372"/>
      <c r="AF97" s="3372"/>
      <c r="AG97" s="3372"/>
      <c r="AH97" s="3372"/>
      <c r="AI97" s="3372"/>
      <c r="AJ97" s="3372"/>
      <c r="AK97" s="3372"/>
      <c r="AL97" s="3372"/>
      <c r="AM97" s="3373"/>
      <c r="AN97" s="1325"/>
      <c r="AP97" s="114"/>
    </row>
    <row r="98" spans="1:42" s="115" customFormat="1" ht="18" customHeight="1">
      <c r="A98" s="389"/>
      <c r="B98" s="3449" t="s">
        <v>2046</v>
      </c>
      <c r="C98" s="3449"/>
      <c r="D98" s="3449"/>
      <c r="E98" s="3449"/>
      <c r="F98" s="3449"/>
      <c r="G98" s="3449"/>
      <c r="H98" s="3449"/>
      <c r="I98" s="3449"/>
      <c r="J98" s="3449"/>
      <c r="K98" s="3449"/>
      <c r="L98" s="3449"/>
      <c r="M98" s="3449"/>
      <c r="N98" s="3449"/>
      <c r="O98" s="3449"/>
      <c r="P98" s="3449"/>
      <c r="Q98" s="3449"/>
      <c r="R98" s="3449"/>
      <c r="S98" s="3449"/>
      <c r="T98" s="3449"/>
      <c r="U98" s="3449"/>
      <c r="V98" s="3449"/>
      <c r="W98" s="3449"/>
      <c r="X98" s="3449"/>
      <c r="Y98" s="3449"/>
      <c r="Z98" s="3449"/>
      <c r="AA98" s="3449"/>
      <c r="AB98" s="3449"/>
      <c r="AC98" s="3449"/>
      <c r="AD98" s="3449"/>
      <c r="AE98" s="3449"/>
      <c r="AF98" s="3449"/>
      <c r="AG98" s="3449"/>
      <c r="AH98" s="3449"/>
      <c r="AI98" s="3449"/>
      <c r="AJ98" s="3449"/>
      <c r="AK98" s="3450"/>
      <c r="AL98" s="3428"/>
      <c r="AM98" s="3429"/>
      <c r="AN98" s="1325"/>
    </row>
    <row r="99" spans="1:42" s="115" customFormat="1" ht="18" customHeight="1">
      <c r="A99" s="389"/>
      <c r="B99" s="3371"/>
      <c r="C99" s="3372"/>
      <c r="D99" s="3372"/>
      <c r="E99" s="3372"/>
      <c r="F99" s="3372"/>
      <c r="G99" s="3372"/>
      <c r="H99" s="3372"/>
      <c r="I99" s="3372"/>
      <c r="J99" s="3372"/>
      <c r="K99" s="3372"/>
      <c r="L99" s="3372"/>
      <c r="M99" s="3372"/>
      <c r="N99" s="3372"/>
      <c r="O99" s="3372"/>
      <c r="P99" s="3372"/>
      <c r="Q99" s="3372"/>
      <c r="R99" s="3372"/>
      <c r="S99" s="3372"/>
      <c r="T99" s="3372"/>
      <c r="U99" s="3372"/>
      <c r="V99" s="3372"/>
      <c r="W99" s="3372"/>
      <c r="X99" s="3372"/>
      <c r="Y99" s="3372"/>
      <c r="Z99" s="3372"/>
      <c r="AA99" s="3372"/>
      <c r="AB99" s="3372"/>
      <c r="AC99" s="3372"/>
      <c r="AD99" s="3372"/>
      <c r="AE99" s="3372"/>
      <c r="AF99" s="3372"/>
      <c r="AG99" s="3372"/>
      <c r="AH99" s="3372"/>
      <c r="AI99" s="3372"/>
      <c r="AJ99" s="3372"/>
      <c r="AK99" s="3372"/>
      <c r="AL99" s="3372"/>
      <c r="AM99" s="3373"/>
      <c r="AN99" s="1325"/>
    </row>
    <row r="100" spans="1:42" s="115" customFormat="1" ht="18" customHeight="1">
      <c r="A100" s="389"/>
      <c r="B100" s="3458" t="s">
        <v>2047</v>
      </c>
      <c r="C100" s="3458"/>
      <c r="D100" s="3458"/>
      <c r="E100" s="3458"/>
      <c r="F100" s="3458"/>
      <c r="G100" s="3458"/>
      <c r="H100" s="3458"/>
      <c r="I100" s="3458"/>
      <c r="J100" s="3458"/>
      <c r="K100" s="3458"/>
      <c r="L100" s="3458"/>
      <c r="M100" s="3458"/>
      <c r="N100" s="3458"/>
      <c r="O100" s="3458"/>
      <c r="P100" s="3458"/>
      <c r="Q100" s="3458"/>
      <c r="R100" s="3458"/>
      <c r="S100" s="3458"/>
      <c r="T100" s="3458"/>
      <c r="U100" s="3458"/>
      <c r="V100" s="3458"/>
      <c r="W100" s="3458"/>
      <c r="X100" s="3458"/>
      <c r="Y100" s="3458"/>
      <c r="Z100" s="3458"/>
      <c r="AA100" s="3458"/>
      <c r="AB100" s="3458"/>
      <c r="AC100" s="3458"/>
      <c r="AD100" s="3458"/>
      <c r="AE100" s="3458"/>
      <c r="AF100" s="3458"/>
      <c r="AG100" s="3458"/>
      <c r="AH100" s="3458"/>
      <c r="AI100" s="3458"/>
      <c r="AJ100" s="3458"/>
      <c r="AK100" s="3459"/>
      <c r="AL100" s="3428"/>
      <c r="AM100" s="3429"/>
      <c r="AN100" s="1325"/>
    </row>
    <row r="101" spans="1:42" s="115" customFormat="1" ht="18" customHeight="1">
      <c r="A101" s="389"/>
      <c r="B101" s="3371"/>
      <c r="C101" s="3372"/>
      <c r="D101" s="3372"/>
      <c r="E101" s="3372"/>
      <c r="F101" s="3372"/>
      <c r="G101" s="3372"/>
      <c r="H101" s="3372"/>
      <c r="I101" s="3372"/>
      <c r="J101" s="3372"/>
      <c r="K101" s="3372"/>
      <c r="L101" s="3372"/>
      <c r="M101" s="3372"/>
      <c r="N101" s="3372"/>
      <c r="O101" s="3372"/>
      <c r="P101" s="3372"/>
      <c r="Q101" s="3372"/>
      <c r="R101" s="3372"/>
      <c r="S101" s="3372"/>
      <c r="T101" s="3372"/>
      <c r="U101" s="3372"/>
      <c r="V101" s="3372"/>
      <c r="W101" s="3372"/>
      <c r="X101" s="3372"/>
      <c r="Y101" s="3372"/>
      <c r="Z101" s="3372"/>
      <c r="AA101" s="3372"/>
      <c r="AB101" s="3372"/>
      <c r="AC101" s="3372"/>
      <c r="AD101" s="3372"/>
      <c r="AE101" s="3372"/>
      <c r="AF101" s="3372"/>
      <c r="AG101" s="3372"/>
      <c r="AH101" s="3372"/>
      <c r="AI101" s="3372"/>
      <c r="AJ101" s="3372"/>
      <c r="AK101" s="3372"/>
      <c r="AL101" s="3372"/>
      <c r="AM101" s="3373"/>
      <c r="AN101" s="1325"/>
    </row>
    <row r="102" spans="1:42" s="115" customFormat="1" ht="18" customHeight="1">
      <c r="A102" s="389"/>
      <c r="B102" s="3458" t="s">
        <v>2048</v>
      </c>
      <c r="C102" s="3458"/>
      <c r="D102" s="3458"/>
      <c r="E102" s="3458"/>
      <c r="F102" s="3458"/>
      <c r="G102" s="3458"/>
      <c r="H102" s="3458"/>
      <c r="I102" s="3458"/>
      <c r="J102" s="3458"/>
      <c r="K102" s="3458"/>
      <c r="L102" s="3458"/>
      <c r="M102" s="3458"/>
      <c r="N102" s="3458"/>
      <c r="O102" s="3458"/>
      <c r="P102" s="3458"/>
      <c r="Q102" s="3458"/>
      <c r="R102" s="3458"/>
      <c r="S102" s="3458"/>
      <c r="T102" s="3458"/>
      <c r="U102" s="3458"/>
      <c r="V102" s="3458"/>
      <c r="W102" s="3458"/>
      <c r="X102" s="3458"/>
      <c r="Y102" s="3458"/>
      <c r="Z102" s="3458"/>
      <c r="AA102" s="3458"/>
      <c r="AB102" s="3458"/>
      <c r="AC102" s="3458"/>
      <c r="AD102" s="3458"/>
      <c r="AE102" s="3458"/>
      <c r="AF102" s="3458"/>
      <c r="AG102" s="3458"/>
      <c r="AH102" s="3458"/>
      <c r="AI102" s="3458"/>
      <c r="AJ102" s="3458"/>
      <c r="AK102" s="3459"/>
      <c r="AL102" s="3428"/>
      <c r="AM102" s="3429"/>
      <c r="AN102" s="1325"/>
    </row>
    <row r="103" spans="1:42" s="115" customFormat="1" ht="18" customHeight="1">
      <c r="A103" s="389"/>
      <c r="B103" s="3371"/>
      <c r="C103" s="3372"/>
      <c r="D103" s="3372"/>
      <c r="E103" s="3372"/>
      <c r="F103" s="3372"/>
      <c r="G103" s="3372"/>
      <c r="H103" s="3372"/>
      <c r="I103" s="3372"/>
      <c r="J103" s="3372"/>
      <c r="K103" s="3372"/>
      <c r="L103" s="3372"/>
      <c r="M103" s="3372"/>
      <c r="N103" s="3372"/>
      <c r="O103" s="3372"/>
      <c r="P103" s="3372"/>
      <c r="Q103" s="3372"/>
      <c r="R103" s="3372"/>
      <c r="S103" s="3372"/>
      <c r="T103" s="3372"/>
      <c r="U103" s="3372"/>
      <c r="V103" s="3372"/>
      <c r="W103" s="3372"/>
      <c r="X103" s="3372"/>
      <c r="Y103" s="3372"/>
      <c r="Z103" s="3372"/>
      <c r="AA103" s="3372"/>
      <c r="AB103" s="3372"/>
      <c r="AC103" s="3372"/>
      <c r="AD103" s="3372"/>
      <c r="AE103" s="3372"/>
      <c r="AF103" s="3372"/>
      <c r="AG103" s="3372"/>
      <c r="AH103" s="3372"/>
      <c r="AI103" s="3372"/>
      <c r="AJ103" s="3372"/>
      <c r="AK103" s="3372"/>
      <c r="AL103" s="3372"/>
      <c r="AM103" s="3373"/>
      <c r="AN103" s="1325"/>
    </row>
    <row r="104" spans="1:42" s="115" customFormat="1" ht="18" customHeight="1">
      <c r="A104" s="389"/>
      <c r="B104" s="3449" t="s">
        <v>2049</v>
      </c>
      <c r="C104" s="3449"/>
      <c r="D104" s="3449"/>
      <c r="E104" s="3449"/>
      <c r="F104" s="3449"/>
      <c r="G104" s="3449"/>
      <c r="H104" s="3449"/>
      <c r="I104" s="3449"/>
      <c r="J104" s="3449"/>
      <c r="K104" s="3449"/>
      <c r="L104" s="3449"/>
      <c r="M104" s="3449"/>
      <c r="N104" s="3449"/>
      <c r="O104" s="3449"/>
      <c r="P104" s="3449"/>
      <c r="Q104" s="3449"/>
      <c r="R104" s="3449"/>
      <c r="S104" s="3449"/>
      <c r="T104" s="3449"/>
      <c r="U104" s="3449"/>
      <c r="V104" s="3449"/>
      <c r="W104" s="3449"/>
      <c r="X104" s="3449"/>
      <c r="Y104" s="3449"/>
      <c r="Z104" s="3449"/>
      <c r="AA104" s="3449"/>
      <c r="AB104" s="3449"/>
      <c r="AC104" s="3449"/>
      <c r="AD104" s="3449"/>
      <c r="AE104" s="3449"/>
      <c r="AF104" s="3449"/>
      <c r="AG104" s="3449"/>
      <c r="AH104" s="3449"/>
      <c r="AI104" s="3449"/>
      <c r="AJ104" s="3449"/>
      <c r="AK104" s="3450"/>
      <c r="AL104" s="3428"/>
      <c r="AM104" s="3429"/>
      <c r="AN104" s="1325"/>
    </row>
    <row r="105" spans="1:42" s="115" customFormat="1" ht="18" customHeight="1">
      <c r="A105" s="389"/>
      <c r="B105" s="3371"/>
      <c r="C105" s="3372"/>
      <c r="D105" s="3372"/>
      <c r="E105" s="3372"/>
      <c r="F105" s="3372"/>
      <c r="G105" s="3372"/>
      <c r="H105" s="3372"/>
      <c r="I105" s="3372"/>
      <c r="J105" s="3372"/>
      <c r="K105" s="3372"/>
      <c r="L105" s="3372"/>
      <c r="M105" s="3372"/>
      <c r="N105" s="3372"/>
      <c r="O105" s="3372"/>
      <c r="P105" s="3372"/>
      <c r="Q105" s="3372"/>
      <c r="R105" s="3372"/>
      <c r="S105" s="3372"/>
      <c r="T105" s="3372"/>
      <c r="U105" s="3372"/>
      <c r="V105" s="3372"/>
      <c r="W105" s="3372"/>
      <c r="X105" s="3372"/>
      <c r="Y105" s="3372"/>
      <c r="Z105" s="3372"/>
      <c r="AA105" s="3372"/>
      <c r="AB105" s="3372"/>
      <c r="AC105" s="3372"/>
      <c r="AD105" s="3372"/>
      <c r="AE105" s="3372"/>
      <c r="AF105" s="3372"/>
      <c r="AG105" s="3372"/>
      <c r="AH105" s="3372"/>
      <c r="AI105" s="3372"/>
      <c r="AJ105" s="3372"/>
      <c r="AK105" s="3372"/>
      <c r="AL105" s="3372"/>
      <c r="AM105" s="3373"/>
      <c r="AN105" s="1325"/>
    </row>
    <row r="106" spans="1:42" s="115" customFormat="1" ht="18" customHeight="1">
      <c r="A106" s="389"/>
      <c r="B106" s="3449" t="s">
        <v>2050</v>
      </c>
      <c r="C106" s="3449"/>
      <c r="D106" s="3449"/>
      <c r="E106" s="3449"/>
      <c r="F106" s="3449"/>
      <c r="G106" s="3449"/>
      <c r="H106" s="3449"/>
      <c r="I106" s="3449"/>
      <c r="J106" s="3449"/>
      <c r="K106" s="3449"/>
      <c r="L106" s="3449"/>
      <c r="M106" s="3449"/>
      <c r="N106" s="3449"/>
      <c r="O106" s="3449"/>
      <c r="P106" s="3449"/>
      <c r="Q106" s="3449"/>
      <c r="R106" s="3449"/>
      <c r="S106" s="3449"/>
      <c r="T106" s="3449"/>
      <c r="U106" s="3449"/>
      <c r="V106" s="3449"/>
      <c r="W106" s="3449"/>
      <c r="X106" s="3449"/>
      <c r="Y106" s="3449"/>
      <c r="Z106" s="3449"/>
      <c r="AA106" s="3449"/>
      <c r="AB106" s="3449"/>
      <c r="AC106" s="3449"/>
      <c r="AD106" s="3449"/>
      <c r="AE106" s="3449"/>
      <c r="AF106" s="3449"/>
      <c r="AG106" s="3449"/>
      <c r="AH106" s="3449"/>
      <c r="AI106" s="3449"/>
      <c r="AJ106" s="3449"/>
      <c r="AK106" s="3450"/>
      <c r="AL106" s="3428"/>
      <c r="AM106" s="3429"/>
      <c r="AN106" s="1325"/>
    </row>
    <row r="107" spans="1:42" s="115" customFormat="1" ht="18" customHeight="1">
      <c r="A107" s="389"/>
      <c r="B107" s="3371"/>
      <c r="C107" s="3372"/>
      <c r="D107" s="3372"/>
      <c r="E107" s="3372"/>
      <c r="F107" s="3372"/>
      <c r="G107" s="3372"/>
      <c r="H107" s="3372"/>
      <c r="I107" s="3372"/>
      <c r="J107" s="3372"/>
      <c r="K107" s="3372"/>
      <c r="L107" s="3372"/>
      <c r="M107" s="3372"/>
      <c r="N107" s="3372"/>
      <c r="O107" s="3372"/>
      <c r="P107" s="3372"/>
      <c r="Q107" s="3372"/>
      <c r="R107" s="3372"/>
      <c r="S107" s="3372"/>
      <c r="T107" s="3372"/>
      <c r="U107" s="3372"/>
      <c r="V107" s="3372"/>
      <c r="W107" s="3372"/>
      <c r="X107" s="3372"/>
      <c r="Y107" s="3372"/>
      <c r="Z107" s="3372"/>
      <c r="AA107" s="3372"/>
      <c r="AB107" s="3372"/>
      <c r="AC107" s="3372"/>
      <c r="AD107" s="3372"/>
      <c r="AE107" s="3372"/>
      <c r="AF107" s="3372"/>
      <c r="AG107" s="3372"/>
      <c r="AH107" s="3372"/>
      <c r="AI107" s="3372"/>
      <c r="AJ107" s="3372"/>
      <c r="AK107" s="3372"/>
      <c r="AL107" s="3372"/>
      <c r="AM107" s="3373"/>
      <c r="AN107" s="1325"/>
    </row>
    <row r="108" spans="1:42" s="115" customFormat="1" ht="18" customHeight="1">
      <c r="A108" s="389"/>
      <c r="B108" s="3458" t="s">
        <v>2051</v>
      </c>
      <c r="C108" s="3458"/>
      <c r="D108" s="3458"/>
      <c r="E108" s="3458"/>
      <c r="F108" s="3458"/>
      <c r="G108" s="3458"/>
      <c r="H108" s="3458"/>
      <c r="I108" s="3458"/>
      <c r="J108" s="3458"/>
      <c r="K108" s="3458"/>
      <c r="L108" s="3458"/>
      <c r="M108" s="3458"/>
      <c r="N108" s="3458"/>
      <c r="O108" s="3458"/>
      <c r="P108" s="3458"/>
      <c r="Q108" s="3458"/>
      <c r="R108" s="3458"/>
      <c r="S108" s="3458"/>
      <c r="T108" s="3458"/>
      <c r="U108" s="3458"/>
      <c r="V108" s="3458"/>
      <c r="W108" s="3458"/>
      <c r="X108" s="3458"/>
      <c r="Y108" s="3458"/>
      <c r="Z108" s="3458"/>
      <c r="AA108" s="3458"/>
      <c r="AB108" s="3458"/>
      <c r="AC108" s="3458"/>
      <c r="AD108" s="3458"/>
      <c r="AE108" s="3458"/>
      <c r="AF108" s="3458"/>
      <c r="AG108" s="3458"/>
      <c r="AH108" s="3458"/>
      <c r="AI108" s="3458"/>
      <c r="AJ108" s="3458"/>
      <c r="AK108" s="3459"/>
      <c r="AL108" s="3428"/>
      <c r="AM108" s="3429"/>
      <c r="AN108" s="1325"/>
    </row>
    <row r="109" spans="1:42" s="115" customFormat="1" ht="18" customHeight="1">
      <c r="A109" s="389"/>
      <c r="B109" s="3371"/>
      <c r="C109" s="3372"/>
      <c r="D109" s="3372"/>
      <c r="E109" s="3372"/>
      <c r="F109" s="3372"/>
      <c r="G109" s="3372"/>
      <c r="H109" s="3372"/>
      <c r="I109" s="3372"/>
      <c r="J109" s="3372"/>
      <c r="K109" s="3372"/>
      <c r="L109" s="3372"/>
      <c r="M109" s="3372"/>
      <c r="N109" s="3372"/>
      <c r="O109" s="3372"/>
      <c r="P109" s="3372"/>
      <c r="Q109" s="3372"/>
      <c r="R109" s="3372"/>
      <c r="S109" s="3372"/>
      <c r="T109" s="3372"/>
      <c r="U109" s="3372"/>
      <c r="V109" s="3372"/>
      <c r="W109" s="3372"/>
      <c r="X109" s="3372"/>
      <c r="Y109" s="3372"/>
      <c r="Z109" s="3372"/>
      <c r="AA109" s="3372"/>
      <c r="AB109" s="3372"/>
      <c r="AC109" s="3372"/>
      <c r="AD109" s="3372"/>
      <c r="AE109" s="3372"/>
      <c r="AF109" s="3372"/>
      <c r="AG109" s="3372"/>
      <c r="AH109" s="3372"/>
      <c r="AI109" s="3372"/>
      <c r="AJ109" s="3372"/>
      <c r="AK109" s="3372"/>
      <c r="AL109" s="3372"/>
      <c r="AM109" s="3373"/>
      <c r="AN109" s="1325"/>
    </row>
    <row r="110" spans="1:42" s="115" customFormat="1" ht="18" customHeight="1">
      <c r="A110" s="389"/>
      <c r="B110" s="3458" t="s">
        <v>2052</v>
      </c>
      <c r="C110" s="3458"/>
      <c r="D110" s="3458"/>
      <c r="E110" s="3458"/>
      <c r="F110" s="3458"/>
      <c r="G110" s="3458"/>
      <c r="H110" s="3458"/>
      <c r="I110" s="3458"/>
      <c r="J110" s="3458"/>
      <c r="K110" s="3458"/>
      <c r="L110" s="3458"/>
      <c r="M110" s="3458"/>
      <c r="N110" s="3458"/>
      <c r="O110" s="3458"/>
      <c r="P110" s="3458"/>
      <c r="Q110" s="3458"/>
      <c r="R110" s="3458"/>
      <c r="S110" s="3458"/>
      <c r="T110" s="3458"/>
      <c r="U110" s="3458"/>
      <c r="V110" s="3458"/>
      <c r="W110" s="3458"/>
      <c r="X110" s="3458"/>
      <c r="Y110" s="3458"/>
      <c r="Z110" s="3458"/>
      <c r="AA110" s="3458"/>
      <c r="AB110" s="3458"/>
      <c r="AC110" s="3458"/>
      <c r="AD110" s="3458"/>
      <c r="AE110" s="3458"/>
      <c r="AF110" s="3458"/>
      <c r="AG110" s="3458"/>
      <c r="AH110" s="3458"/>
      <c r="AI110" s="3458"/>
      <c r="AJ110" s="3458"/>
      <c r="AK110" s="3459"/>
      <c r="AL110" s="3428"/>
      <c r="AM110" s="3429"/>
      <c r="AN110" s="1325"/>
    </row>
    <row r="111" spans="1:42" s="115" customFormat="1" ht="18" customHeight="1">
      <c r="A111" s="389"/>
      <c r="B111" s="3371"/>
      <c r="C111" s="3372"/>
      <c r="D111" s="3372"/>
      <c r="E111" s="3372"/>
      <c r="F111" s="3372"/>
      <c r="G111" s="3372"/>
      <c r="H111" s="3372"/>
      <c r="I111" s="3372"/>
      <c r="J111" s="3372"/>
      <c r="K111" s="3372"/>
      <c r="L111" s="3372"/>
      <c r="M111" s="3372"/>
      <c r="N111" s="3372"/>
      <c r="O111" s="3372"/>
      <c r="P111" s="3372"/>
      <c r="Q111" s="3372"/>
      <c r="R111" s="3372"/>
      <c r="S111" s="3372"/>
      <c r="T111" s="3372"/>
      <c r="U111" s="3372"/>
      <c r="V111" s="3372"/>
      <c r="W111" s="3372"/>
      <c r="X111" s="3372"/>
      <c r="Y111" s="3372"/>
      <c r="Z111" s="3372"/>
      <c r="AA111" s="3372"/>
      <c r="AB111" s="3372"/>
      <c r="AC111" s="3372"/>
      <c r="AD111" s="3372"/>
      <c r="AE111" s="3372"/>
      <c r="AF111" s="3372"/>
      <c r="AG111" s="3372"/>
      <c r="AH111" s="3372"/>
      <c r="AI111" s="3372"/>
      <c r="AJ111" s="3372"/>
      <c r="AK111" s="3372"/>
      <c r="AL111" s="3372"/>
      <c r="AM111" s="3373"/>
      <c r="AN111" s="1325"/>
    </row>
    <row r="112" spans="1:42" s="115" customFormat="1" ht="18" customHeight="1">
      <c r="A112" s="389"/>
      <c r="B112" s="3458" t="s">
        <v>2053</v>
      </c>
      <c r="C112" s="3458"/>
      <c r="D112" s="3458"/>
      <c r="E112" s="3458"/>
      <c r="F112" s="3458"/>
      <c r="G112" s="3458"/>
      <c r="H112" s="3458"/>
      <c r="I112" s="3458"/>
      <c r="J112" s="3458"/>
      <c r="K112" s="3458"/>
      <c r="L112" s="3458"/>
      <c r="M112" s="3458"/>
      <c r="N112" s="3458"/>
      <c r="O112" s="3458"/>
      <c r="P112" s="3458"/>
      <c r="Q112" s="3458"/>
      <c r="R112" s="3458"/>
      <c r="S112" s="3458"/>
      <c r="T112" s="3458"/>
      <c r="U112" s="3458"/>
      <c r="V112" s="3458"/>
      <c r="W112" s="3458"/>
      <c r="X112" s="3458"/>
      <c r="Y112" s="3458"/>
      <c r="Z112" s="3458"/>
      <c r="AA112" s="3458"/>
      <c r="AB112" s="3458"/>
      <c r="AC112" s="3458"/>
      <c r="AD112" s="3458"/>
      <c r="AE112" s="3458"/>
      <c r="AF112" s="3458"/>
      <c r="AG112" s="3458"/>
      <c r="AH112" s="3458"/>
      <c r="AI112" s="3458"/>
      <c r="AJ112" s="3458"/>
      <c r="AK112" s="3459"/>
      <c r="AL112" s="3428"/>
      <c r="AM112" s="3429"/>
      <c r="AN112" s="1325"/>
    </row>
    <row r="113" spans="1:40" s="115" customFormat="1" ht="18" customHeight="1">
      <c r="A113" s="389"/>
      <c r="B113" s="3371"/>
      <c r="C113" s="3372"/>
      <c r="D113" s="3372"/>
      <c r="E113" s="3372"/>
      <c r="F113" s="3372"/>
      <c r="G113" s="3372"/>
      <c r="H113" s="3372"/>
      <c r="I113" s="3372"/>
      <c r="J113" s="3372"/>
      <c r="K113" s="3372"/>
      <c r="L113" s="3372"/>
      <c r="M113" s="3372"/>
      <c r="N113" s="3372"/>
      <c r="O113" s="3372"/>
      <c r="P113" s="3372"/>
      <c r="Q113" s="3372"/>
      <c r="R113" s="3372"/>
      <c r="S113" s="3372"/>
      <c r="T113" s="3372"/>
      <c r="U113" s="3372"/>
      <c r="V113" s="3372"/>
      <c r="W113" s="3372"/>
      <c r="X113" s="3372"/>
      <c r="Y113" s="3372"/>
      <c r="Z113" s="3372"/>
      <c r="AA113" s="3372"/>
      <c r="AB113" s="3372"/>
      <c r="AC113" s="3372"/>
      <c r="AD113" s="3372"/>
      <c r="AE113" s="3372"/>
      <c r="AF113" s="3372"/>
      <c r="AG113" s="3372"/>
      <c r="AH113" s="3372"/>
      <c r="AI113" s="3372"/>
      <c r="AJ113" s="3372"/>
      <c r="AK113" s="3372"/>
      <c r="AL113" s="3372"/>
      <c r="AM113" s="3373"/>
      <c r="AN113" s="1123"/>
    </row>
    <row r="114" spans="1:40" s="115" customFormat="1" ht="18" customHeight="1">
      <c r="A114" s="389"/>
      <c r="B114" s="3458" t="s">
        <v>2054</v>
      </c>
      <c r="C114" s="3458"/>
      <c r="D114" s="3458"/>
      <c r="E114" s="3458"/>
      <c r="F114" s="3458"/>
      <c r="G114" s="3458"/>
      <c r="H114" s="3458"/>
      <c r="I114" s="3458"/>
      <c r="J114" s="3458"/>
      <c r="K114" s="3458"/>
      <c r="L114" s="3458"/>
      <c r="M114" s="3458"/>
      <c r="N114" s="3458"/>
      <c r="O114" s="3458"/>
      <c r="P114" s="3458"/>
      <c r="Q114" s="3458"/>
      <c r="R114" s="3458"/>
      <c r="S114" s="3458"/>
      <c r="T114" s="3458"/>
      <c r="U114" s="3458"/>
      <c r="V114" s="3458"/>
      <c r="W114" s="3458"/>
      <c r="X114" s="3458"/>
      <c r="Y114" s="3458"/>
      <c r="Z114" s="3458"/>
      <c r="AA114" s="3458"/>
      <c r="AB114" s="3458"/>
      <c r="AC114" s="3458"/>
      <c r="AD114" s="3458"/>
      <c r="AE114" s="3458"/>
      <c r="AF114" s="3458"/>
      <c r="AG114" s="3458"/>
      <c r="AH114" s="3458"/>
      <c r="AI114" s="3458"/>
      <c r="AJ114" s="3458"/>
      <c r="AK114" s="3459"/>
      <c r="AL114" s="3428"/>
      <c r="AM114" s="3429"/>
      <c r="AN114" s="1325"/>
    </row>
    <row r="115" spans="1:40" s="115" customFormat="1" ht="18" customHeight="1">
      <c r="A115" s="389"/>
      <c r="B115" s="3372"/>
      <c r="C115" s="3372"/>
      <c r="D115" s="3372"/>
      <c r="E115" s="3372"/>
      <c r="F115" s="3372"/>
      <c r="G115" s="3372"/>
      <c r="H115" s="3372"/>
      <c r="I115" s="3372"/>
      <c r="J115" s="3372"/>
      <c r="K115" s="3372"/>
      <c r="L115" s="3372"/>
      <c r="M115" s="3372"/>
      <c r="N115" s="3372"/>
      <c r="O115" s="3372"/>
      <c r="P115" s="3372"/>
      <c r="Q115" s="3372"/>
      <c r="R115" s="3372"/>
      <c r="S115" s="3372"/>
      <c r="T115" s="3372"/>
      <c r="U115" s="3372"/>
      <c r="V115" s="3372"/>
      <c r="W115" s="3372"/>
      <c r="X115" s="3372"/>
      <c r="Y115" s="3372"/>
      <c r="Z115" s="3372"/>
      <c r="AA115" s="3372"/>
      <c r="AB115" s="3372"/>
      <c r="AC115" s="3372"/>
      <c r="AD115" s="3372"/>
      <c r="AE115" s="3372"/>
      <c r="AF115" s="3372"/>
      <c r="AG115" s="3372"/>
      <c r="AH115" s="3372"/>
      <c r="AI115" s="3372"/>
      <c r="AJ115" s="3372"/>
      <c r="AK115" s="3372"/>
      <c r="AL115" s="3372"/>
      <c r="AM115" s="3373"/>
      <c r="AN115" s="1123"/>
    </row>
    <row r="116" spans="1:40" s="4" customFormat="1" ht="18" customHeight="1">
      <c r="AN116" s="224"/>
    </row>
    <row r="117" spans="1:40" s="115" customFormat="1" ht="18" customHeight="1">
      <c r="A117" s="4"/>
      <c r="B117" s="3535" t="s">
        <v>2055</v>
      </c>
      <c r="C117" s="3535"/>
      <c r="D117" s="3535"/>
      <c r="E117" s="3535"/>
      <c r="F117" s="3535"/>
      <c r="G117" s="3535"/>
      <c r="H117" s="3535"/>
      <c r="I117" s="3535"/>
      <c r="J117" s="3535"/>
      <c r="K117" s="3535"/>
      <c r="L117" s="3535"/>
      <c r="M117" s="3535"/>
      <c r="N117" s="3535"/>
      <c r="O117" s="3535"/>
      <c r="P117" s="3535"/>
      <c r="Q117" s="3535"/>
      <c r="R117" s="3535"/>
      <c r="S117" s="3535"/>
      <c r="T117" s="3535"/>
      <c r="U117" s="3535"/>
      <c r="V117" s="3535"/>
      <c r="W117" s="3535"/>
      <c r="X117" s="3535"/>
      <c r="Y117" s="3535"/>
      <c r="Z117" s="3535"/>
      <c r="AA117" s="3535"/>
      <c r="AB117" s="3535"/>
      <c r="AC117" s="3535"/>
      <c r="AD117" s="3535"/>
      <c r="AE117" s="3535"/>
      <c r="AF117" s="3535"/>
      <c r="AG117" s="3535"/>
      <c r="AH117" s="3535"/>
      <c r="AI117" s="3535"/>
      <c r="AJ117" s="3535"/>
      <c r="AK117" s="3535"/>
      <c r="AL117" s="3535"/>
      <c r="AM117" s="3535"/>
      <c r="AN117" s="224"/>
    </row>
    <row r="118" spans="1:40" s="115" customFormat="1" ht="18" customHeight="1">
      <c r="A118" s="389"/>
      <c r="B118" s="3537" t="s">
        <v>1944</v>
      </c>
      <c r="C118" s="3537"/>
      <c r="D118" s="3537"/>
      <c r="E118" s="3537"/>
      <c r="F118" s="3537"/>
      <c r="G118" s="3537"/>
      <c r="H118" s="3537"/>
      <c r="I118" s="3537"/>
      <c r="J118" s="3537"/>
      <c r="K118" s="3537"/>
      <c r="L118" s="3537"/>
      <c r="M118" s="3537"/>
      <c r="N118" s="3537"/>
      <c r="O118" s="3537"/>
      <c r="P118" s="3537"/>
      <c r="Q118" s="3537"/>
      <c r="R118" s="3537"/>
      <c r="S118" s="3537"/>
      <c r="T118" s="3537"/>
      <c r="U118" s="3537"/>
      <c r="V118" s="3537"/>
      <c r="W118" s="3537"/>
      <c r="X118" s="3537"/>
      <c r="Y118" s="3537"/>
      <c r="Z118" s="3537"/>
      <c r="AA118" s="3537"/>
      <c r="AB118" s="3537"/>
      <c r="AC118" s="3537"/>
      <c r="AD118" s="3537"/>
      <c r="AE118" s="3537"/>
      <c r="AF118" s="3537"/>
      <c r="AG118" s="3537"/>
      <c r="AH118" s="3537"/>
      <c r="AI118" s="3537"/>
      <c r="AJ118" s="3537"/>
      <c r="AK118" s="3537"/>
      <c r="AL118" s="3537"/>
      <c r="AM118" s="3537"/>
      <c r="AN118" s="1123"/>
    </row>
    <row r="119" spans="1:40" s="115" customFormat="1" ht="18" customHeight="1">
      <c r="A119" s="389"/>
      <c r="B119" s="3469" t="s">
        <v>2056</v>
      </c>
      <c r="C119" s="3469"/>
      <c r="D119" s="3469"/>
      <c r="E119" s="3469"/>
      <c r="F119" s="3469"/>
      <c r="G119" s="3469"/>
      <c r="H119" s="3469"/>
      <c r="I119" s="3469"/>
      <c r="J119" s="3469"/>
      <c r="K119" s="3469"/>
      <c r="L119" s="3469"/>
      <c r="M119" s="3469"/>
      <c r="N119" s="3469"/>
      <c r="O119" s="3469"/>
      <c r="P119" s="3469"/>
      <c r="Q119" s="3469"/>
      <c r="R119" s="3469"/>
      <c r="S119" s="3469"/>
      <c r="T119" s="3469"/>
      <c r="U119" s="3469"/>
      <c r="V119" s="3469"/>
      <c r="W119" s="3469"/>
      <c r="X119" s="3469"/>
      <c r="Y119" s="3469"/>
      <c r="Z119" s="3469"/>
      <c r="AA119" s="3469"/>
      <c r="AB119" s="3469"/>
      <c r="AC119" s="3469"/>
      <c r="AD119" s="3469"/>
      <c r="AE119" s="3469"/>
      <c r="AF119" s="3469"/>
      <c r="AG119" s="3469"/>
      <c r="AH119" s="3469"/>
      <c r="AI119" s="3469"/>
      <c r="AJ119" s="3469"/>
      <c r="AK119" s="3469"/>
      <c r="AL119" s="3469"/>
      <c r="AM119" s="3469"/>
      <c r="AN119" s="1325"/>
    </row>
    <row r="120" spans="1:40" s="114" customFormat="1" ht="36" customHeight="1">
      <c r="A120" s="390"/>
      <c r="B120" s="3541" t="s">
        <v>2057</v>
      </c>
      <c r="C120" s="3541"/>
      <c r="D120" s="3541"/>
      <c r="E120" s="3541"/>
      <c r="F120" s="3542"/>
      <c r="G120" s="3543" t="s">
        <v>2058</v>
      </c>
      <c r="H120" s="3544"/>
      <c r="I120" s="3544"/>
      <c r="J120" s="3544"/>
      <c r="K120" s="3544"/>
      <c r="L120" s="3544"/>
      <c r="M120" s="3544"/>
      <c r="N120" s="3544"/>
      <c r="O120" s="3544"/>
      <c r="P120" s="3544"/>
      <c r="Q120" s="3544"/>
      <c r="R120" s="3544"/>
      <c r="S120" s="3545"/>
      <c r="T120" s="3543" t="s">
        <v>2059</v>
      </c>
      <c r="U120" s="3544"/>
      <c r="V120" s="3544"/>
      <c r="W120" s="3544"/>
      <c r="X120" s="3544"/>
      <c r="Y120" s="3544"/>
      <c r="Z120" s="3545"/>
      <c r="AA120" s="3543" t="s">
        <v>2060</v>
      </c>
      <c r="AB120" s="3544"/>
      <c r="AC120" s="3544"/>
      <c r="AD120" s="3545"/>
      <c r="AE120" s="3543" t="s">
        <v>2061</v>
      </c>
      <c r="AF120" s="3544"/>
      <c r="AG120" s="3544"/>
      <c r="AH120" s="3545"/>
      <c r="AI120" s="3543" t="s">
        <v>2062</v>
      </c>
      <c r="AJ120" s="3544"/>
      <c r="AK120" s="3544"/>
      <c r="AL120" s="3544"/>
      <c r="AM120" s="3544"/>
      <c r="AN120" s="1325"/>
    </row>
    <row r="121" spans="1:40" s="115" customFormat="1" ht="126" customHeight="1">
      <c r="A121" s="389"/>
      <c r="B121" s="3538" t="s">
        <v>2063</v>
      </c>
      <c r="C121" s="3538"/>
      <c r="D121" s="3538"/>
      <c r="E121" s="3538"/>
      <c r="F121" s="3538"/>
      <c r="G121" s="3536" t="s">
        <v>2064</v>
      </c>
      <c r="H121" s="3536"/>
      <c r="I121" s="3536"/>
      <c r="J121" s="3536"/>
      <c r="K121" s="3536"/>
      <c r="L121" s="3536"/>
      <c r="M121" s="3536"/>
      <c r="N121" s="3536"/>
      <c r="O121" s="3536"/>
      <c r="P121" s="3536"/>
      <c r="Q121" s="3536"/>
      <c r="R121" s="3536"/>
      <c r="S121" s="3536"/>
      <c r="T121" s="3554" t="s">
        <v>2065</v>
      </c>
      <c r="U121" s="3554"/>
      <c r="V121" s="3554"/>
      <c r="W121" s="3554"/>
      <c r="X121" s="3554"/>
      <c r="Y121" s="3554"/>
      <c r="Z121" s="3554"/>
      <c r="AA121" s="3538" t="s">
        <v>2066</v>
      </c>
      <c r="AB121" s="3538"/>
      <c r="AC121" s="3538"/>
      <c r="AD121" s="3539"/>
      <c r="AE121" s="3540" t="s">
        <v>2067</v>
      </c>
      <c r="AF121" s="3538"/>
      <c r="AG121" s="3538"/>
      <c r="AH121" s="3539"/>
      <c r="AI121" s="3540" t="s">
        <v>2068</v>
      </c>
      <c r="AJ121" s="3538"/>
      <c r="AK121" s="3538"/>
      <c r="AL121" s="3538"/>
      <c r="AM121" s="3538"/>
      <c r="AN121" s="1325"/>
    </row>
    <row r="122" spans="1:40" ht="54" customHeight="1">
      <c r="A122" s="391"/>
      <c r="B122" s="2515" t="s">
        <v>2069</v>
      </c>
      <c r="C122" s="2507"/>
      <c r="D122" s="2507"/>
      <c r="E122" s="2507"/>
      <c r="F122" s="2507"/>
      <c r="G122" s="3445"/>
      <c r="H122" s="3445"/>
      <c r="I122" s="3445"/>
      <c r="J122" s="3445"/>
      <c r="K122" s="3445"/>
      <c r="L122" s="3445"/>
      <c r="M122" s="3445"/>
      <c r="N122" s="3445"/>
      <c r="O122" s="3445"/>
      <c r="P122" s="3445"/>
      <c r="Q122" s="3445"/>
      <c r="R122" s="3445"/>
      <c r="S122" s="3445"/>
      <c r="T122" s="3445"/>
      <c r="U122" s="3445"/>
      <c r="V122" s="3445"/>
      <c r="W122" s="3445"/>
      <c r="X122" s="3445"/>
      <c r="Y122" s="3445"/>
      <c r="Z122" s="3445"/>
      <c r="AA122" s="3446"/>
      <c r="AB122" s="3446"/>
      <c r="AC122" s="3446"/>
      <c r="AD122" s="3446"/>
      <c r="AE122" s="3446"/>
      <c r="AF122" s="3446"/>
      <c r="AG122" s="3446"/>
      <c r="AH122" s="3446"/>
      <c r="AI122" s="3446"/>
      <c r="AJ122" s="3446"/>
      <c r="AK122" s="3446"/>
      <c r="AL122" s="3446"/>
      <c r="AM122" s="3470"/>
      <c r="AN122" s="1325"/>
    </row>
    <row r="123" spans="1:40" s="115" customFormat="1" ht="36" customHeight="1">
      <c r="B123" s="2507" t="s">
        <v>2070</v>
      </c>
      <c r="C123" s="2507"/>
      <c r="D123" s="2507"/>
      <c r="E123" s="2507"/>
      <c r="F123" s="2507"/>
      <c r="G123" s="3445"/>
      <c r="H123" s="3445"/>
      <c r="I123" s="3445"/>
      <c r="J123" s="3445"/>
      <c r="K123" s="3445"/>
      <c r="L123" s="3445"/>
      <c r="M123" s="3445"/>
      <c r="N123" s="3445"/>
      <c r="O123" s="3445"/>
      <c r="P123" s="3445"/>
      <c r="Q123" s="3445"/>
      <c r="R123" s="3445"/>
      <c r="S123" s="3445"/>
      <c r="T123" s="3445"/>
      <c r="U123" s="3445"/>
      <c r="V123" s="3445"/>
      <c r="W123" s="3445"/>
      <c r="X123" s="3445"/>
      <c r="Y123" s="3445"/>
      <c r="Z123" s="3445"/>
      <c r="AA123" s="3446"/>
      <c r="AB123" s="3446"/>
      <c r="AC123" s="3446"/>
      <c r="AD123" s="3446"/>
      <c r="AE123" s="3446"/>
      <c r="AF123" s="3446"/>
      <c r="AG123" s="3446"/>
      <c r="AH123" s="3446"/>
      <c r="AI123" s="3446"/>
      <c r="AJ123" s="3446"/>
      <c r="AK123" s="3446"/>
      <c r="AL123" s="3446"/>
      <c r="AM123" s="3470"/>
      <c r="AN123" s="1325"/>
    </row>
    <row r="124" spans="1:40" s="115" customFormat="1" ht="18" customHeight="1">
      <c r="B124" s="2507" t="s">
        <v>2071</v>
      </c>
      <c r="C124" s="2507"/>
      <c r="D124" s="2507"/>
      <c r="E124" s="2507"/>
      <c r="F124" s="2507"/>
      <c r="G124" s="3445"/>
      <c r="H124" s="3445"/>
      <c r="I124" s="3445"/>
      <c r="J124" s="3445"/>
      <c r="K124" s="3445"/>
      <c r="L124" s="3445"/>
      <c r="M124" s="3445"/>
      <c r="N124" s="3445"/>
      <c r="O124" s="3445"/>
      <c r="P124" s="3445"/>
      <c r="Q124" s="3445"/>
      <c r="R124" s="3445"/>
      <c r="S124" s="3445"/>
      <c r="T124" s="3445"/>
      <c r="U124" s="3445"/>
      <c r="V124" s="3445"/>
      <c r="W124" s="3445"/>
      <c r="X124" s="3445"/>
      <c r="Y124" s="3445"/>
      <c r="Z124" s="3445"/>
      <c r="AA124" s="3446"/>
      <c r="AB124" s="3446"/>
      <c r="AC124" s="3446"/>
      <c r="AD124" s="3446"/>
      <c r="AE124" s="3446"/>
      <c r="AF124" s="3446"/>
      <c r="AG124" s="3446"/>
      <c r="AH124" s="3446"/>
      <c r="AI124" s="3446"/>
      <c r="AJ124" s="3446"/>
      <c r="AK124" s="3446"/>
      <c r="AL124" s="3446"/>
      <c r="AM124" s="3470"/>
      <c r="AN124" s="1325"/>
    </row>
    <row r="125" spans="1:40" s="115" customFormat="1" ht="18" customHeight="1">
      <c r="B125" s="2507" t="s">
        <v>2072</v>
      </c>
      <c r="C125" s="2507"/>
      <c r="D125" s="2507"/>
      <c r="E125" s="2507"/>
      <c r="F125" s="2507"/>
      <c r="G125" s="3445"/>
      <c r="H125" s="3445"/>
      <c r="I125" s="3445"/>
      <c r="J125" s="3445"/>
      <c r="K125" s="3445"/>
      <c r="L125" s="3445"/>
      <c r="M125" s="3445"/>
      <c r="N125" s="3445"/>
      <c r="O125" s="3445"/>
      <c r="P125" s="3445"/>
      <c r="Q125" s="3445"/>
      <c r="R125" s="3445"/>
      <c r="S125" s="3445"/>
      <c r="T125" s="3445"/>
      <c r="U125" s="3445"/>
      <c r="V125" s="3445"/>
      <c r="W125" s="3445"/>
      <c r="X125" s="3445"/>
      <c r="Y125" s="3445"/>
      <c r="Z125" s="3445"/>
      <c r="AA125" s="3446"/>
      <c r="AB125" s="3446"/>
      <c r="AC125" s="3446"/>
      <c r="AD125" s="3446"/>
      <c r="AE125" s="3446"/>
      <c r="AF125" s="3446"/>
      <c r="AG125" s="3446"/>
      <c r="AH125" s="3446"/>
      <c r="AI125" s="3446"/>
      <c r="AJ125" s="3446"/>
      <c r="AK125" s="3446"/>
      <c r="AL125" s="3446"/>
      <c r="AM125" s="3470"/>
      <c r="AN125" s="1325"/>
    </row>
    <row r="126" spans="1:40" s="115" customFormat="1" ht="36" customHeight="1">
      <c r="B126" s="2507" t="s">
        <v>2073</v>
      </c>
      <c r="C126" s="2507"/>
      <c r="D126" s="2507"/>
      <c r="E126" s="2507"/>
      <c r="F126" s="2507"/>
      <c r="G126" s="3445"/>
      <c r="H126" s="3445"/>
      <c r="I126" s="3445"/>
      <c r="J126" s="3445"/>
      <c r="K126" s="3445"/>
      <c r="L126" s="3445"/>
      <c r="M126" s="3445"/>
      <c r="N126" s="3445"/>
      <c r="O126" s="3445"/>
      <c r="P126" s="3445"/>
      <c r="Q126" s="3445"/>
      <c r="R126" s="3445"/>
      <c r="S126" s="3445"/>
      <c r="T126" s="3445"/>
      <c r="U126" s="3445"/>
      <c r="V126" s="3445"/>
      <c r="W126" s="3445"/>
      <c r="X126" s="3445"/>
      <c r="Y126" s="3445"/>
      <c r="Z126" s="3445"/>
      <c r="AA126" s="3446"/>
      <c r="AB126" s="3446"/>
      <c r="AC126" s="3446"/>
      <c r="AD126" s="3446"/>
      <c r="AE126" s="3446"/>
      <c r="AF126" s="3446"/>
      <c r="AG126" s="3446"/>
      <c r="AH126" s="3446"/>
      <c r="AI126" s="3446"/>
      <c r="AJ126" s="3446"/>
      <c r="AK126" s="3446"/>
      <c r="AL126" s="3446"/>
      <c r="AM126" s="3470"/>
      <c r="AN126" s="1123"/>
    </row>
    <row r="127" spans="1:40" s="51" customFormat="1" ht="36" customHeight="1">
      <c r="B127" s="2456" t="s">
        <v>676</v>
      </c>
      <c r="C127" s="2457"/>
      <c r="D127" s="2457"/>
      <c r="E127" s="3532" t="str">
        <f>'Document Checklist'!$E$104</f>
        <v>25. LSP NonSpon Contract Basic</v>
      </c>
      <c r="F127" s="3533"/>
      <c r="G127" s="3533"/>
      <c r="H127" s="3533"/>
      <c r="I127" s="3533"/>
      <c r="J127" s="3533"/>
      <c r="K127" s="3533"/>
      <c r="L127" s="3533"/>
      <c r="M127" s="3533"/>
      <c r="N127" s="3532" t="str">
        <f>'Document Checklist'!$N$104</f>
        <v>Lead Service Provider Contract, Agreement or Letter of Intent (non Sponsor provider).</v>
      </c>
      <c r="O127" s="3533"/>
      <c r="P127" s="3533"/>
      <c r="Q127" s="3533"/>
      <c r="R127" s="3533"/>
      <c r="S127" s="3533"/>
      <c r="T127" s="3533"/>
      <c r="U127" s="3533"/>
      <c r="V127" s="3533"/>
      <c r="W127" s="3533"/>
      <c r="X127" s="3533"/>
      <c r="Y127" s="3533"/>
      <c r="Z127" s="3533"/>
      <c r="AA127" s="3533"/>
      <c r="AB127" s="3533"/>
      <c r="AC127" s="3533"/>
      <c r="AD127" s="3533"/>
      <c r="AE127" s="3534"/>
      <c r="AF127" s="3464" t="s">
        <v>843</v>
      </c>
      <c r="AG127" s="3465"/>
      <c r="AH127" s="3465"/>
      <c r="AI127" s="3465"/>
      <c r="AJ127" s="3465"/>
      <c r="AK127" s="3466"/>
      <c r="AL127" s="3634"/>
      <c r="AM127" s="3635"/>
      <c r="AN127" s="1328"/>
    </row>
    <row r="128" spans="1:40" s="115" customFormat="1" ht="54" customHeight="1">
      <c r="B128" s="3552" t="s">
        <v>2074</v>
      </c>
      <c r="C128" s="3553"/>
      <c r="D128" s="3553"/>
      <c r="E128" s="3553"/>
      <c r="F128" s="3553"/>
      <c r="G128" s="3553"/>
      <c r="H128" s="3553"/>
      <c r="I128" s="3553"/>
      <c r="J128" s="3553"/>
      <c r="K128" s="3553"/>
      <c r="L128" s="3553"/>
      <c r="M128" s="3553"/>
      <c r="N128" s="3553"/>
      <c r="O128" s="3553"/>
      <c r="P128" s="3553"/>
      <c r="Q128" s="3553"/>
      <c r="R128" s="3553"/>
      <c r="S128" s="3553"/>
      <c r="T128" s="3553"/>
      <c r="U128" s="3553"/>
      <c r="V128" s="3553"/>
      <c r="W128" s="3553"/>
      <c r="X128" s="3553"/>
      <c r="Y128" s="3553"/>
      <c r="Z128" s="3553"/>
      <c r="AA128" s="3553"/>
      <c r="AB128" s="3553"/>
      <c r="AC128" s="3553"/>
      <c r="AD128" s="3553"/>
      <c r="AE128" s="3553"/>
      <c r="AF128" s="3553"/>
      <c r="AG128" s="3553"/>
      <c r="AH128" s="3553"/>
      <c r="AI128" s="3553"/>
      <c r="AJ128" s="3553"/>
      <c r="AK128" s="3553"/>
      <c r="AL128" s="3553"/>
      <c r="AM128" s="3553"/>
      <c r="AN128" s="1325"/>
    </row>
    <row r="129" spans="2:40" ht="36" customHeight="1">
      <c r="B129" s="3556" t="s">
        <v>2057</v>
      </c>
      <c r="C129" s="3541"/>
      <c r="D129" s="3541"/>
      <c r="E129" s="3541"/>
      <c r="F129" s="3542"/>
      <c r="G129" s="3543" t="s">
        <v>2058</v>
      </c>
      <c r="H129" s="3544"/>
      <c r="I129" s="3544"/>
      <c r="J129" s="3544"/>
      <c r="K129" s="3544"/>
      <c r="L129" s="3544"/>
      <c r="M129" s="3544"/>
      <c r="N129" s="3544"/>
      <c r="O129" s="3544"/>
      <c r="P129" s="3544"/>
      <c r="Q129" s="3544"/>
      <c r="R129" s="3544"/>
      <c r="S129" s="3545"/>
      <c r="T129" s="3543" t="s">
        <v>2059</v>
      </c>
      <c r="U129" s="3544"/>
      <c r="V129" s="3544"/>
      <c r="W129" s="3544"/>
      <c r="X129" s="3544"/>
      <c r="Y129" s="3544"/>
      <c r="Z129" s="3545"/>
      <c r="AA129" s="3543" t="s">
        <v>2060</v>
      </c>
      <c r="AB129" s="3544"/>
      <c r="AC129" s="3544"/>
      <c r="AD129" s="3545"/>
      <c r="AE129" s="3543" t="s">
        <v>2061</v>
      </c>
      <c r="AF129" s="3544"/>
      <c r="AG129" s="3544"/>
      <c r="AH129" s="3545"/>
      <c r="AI129" s="3543" t="s">
        <v>2062</v>
      </c>
      <c r="AJ129" s="3544"/>
      <c r="AK129" s="3544"/>
      <c r="AL129" s="3544"/>
      <c r="AM129" s="3544"/>
      <c r="AN129" s="1325"/>
    </row>
    <row r="130" spans="2:40" s="115" customFormat="1" ht="126" customHeight="1">
      <c r="B130" s="3555" t="s">
        <v>2063</v>
      </c>
      <c r="C130" s="3538"/>
      <c r="D130" s="3538"/>
      <c r="E130" s="3538"/>
      <c r="F130" s="3538"/>
      <c r="G130" s="3536" t="s">
        <v>2064</v>
      </c>
      <c r="H130" s="3536"/>
      <c r="I130" s="3536"/>
      <c r="J130" s="3536"/>
      <c r="K130" s="3536"/>
      <c r="L130" s="3536"/>
      <c r="M130" s="3536"/>
      <c r="N130" s="3536"/>
      <c r="O130" s="3536"/>
      <c r="P130" s="3536"/>
      <c r="Q130" s="3536"/>
      <c r="R130" s="3536"/>
      <c r="S130" s="3536"/>
      <c r="T130" s="3554" t="s">
        <v>2065</v>
      </c>
      <c r="U130" s="3554"/>
      <c r="V130" s="3554"/>
      <c r="W130" s="3554"/>
      <c r="X130" s="3554"/>
      <c r="Y130" s="3554"/>
      <c r="Z130" s="3554"/>
      <c r="AA130" s="3538" t="s">
        <v>2066</v>
      </c>
      <c r="AB130" s="3538"/>
      <c r="AC130" s="3538"/>
      <c r="AD130" s="3539"/>
      <c r="AE130" s="3540" t="s">
        <v>2067</v>
      </c>
      <c r="AF130" s="3538"/>
      <c r="AG130" s="3538"/>
      <c r="AH130" s="3539"/>
      <c r="AI130" s="3540" t="s">
        <v>2068</v>
      </c>
      <c r="AJ130" s="3538"/>
      <c r="AK130" s="3538"/>
      <c r="AL130" s="3538"/>
      <c r="AM130" s="3538"/>
      <c r="AN130" s="1325"/>
    </row>
    <row r="131" spans="2:40" s="115" customFormat="1" ht="108" customHeight="1">
      <c r="B131" s="3546" t="s">
        <v>2075</v>
      </c>
      <c r="C131" s="3547"/>
      <c r="D131" s="3547"/>
      <c r="E131" s="3547"/>
      <c r="F131" s="3548"/>
      <c r="G131" s="3445"/>
      <c r="H131" s="3445"/>
      <c r="I131" s="3445"/>
      <c r="J131" s="3445"/>
      <c r="K131" s="3445"/>
      <c r="L131" s="3445"/>
      <c r="M131" s="3445"/>
      <c r="N131" s="3445"/>
      <c r="O131" s="3445"/>
      <c r="P131" s="3445"/>
      <c r="Q131" s="3445"/>
      <c r="R131" s="3445"/>
      <c r="S131" s="3445"/>
      <c r="T131" s="3445"/>
      <c r="U131" s="3445"/>
      <c r="V131" s="3445"/>
      <c r="W131" s="3445"/>
      <c r="X131" s="3445"/>
      <c r="Y131" s="3445"/>
      <c r="Z131" s="3445"/>
      <c r="AA131" s="3372"/>
      <c r="AB131" s="3372"/>
      <c r="AC131" s="3372"/>
      <c r="AD131" s="3372"/>
      <c r="AE131" s="3372"/>
      <c r="AF131" s="3372"/>
      <c r="AG131" s="3372"/>
      <c r="AH131" s="3372"/>
      <c r="AI131" s="3372"/>
      <c r="AJ131" s="3372"/>
      <c r="AK131" s="3372"/>
      <c r="AL131" s="3372"/>
      <c r="AM131" s="3373"/>
      <c r="AN131" s="1325"/>
    </row>
    <row r="132" spans="2:40" s="115" customFormat="1" ht="120" customHeight="1">
      <c r="B132" s="3546" t="s">
        <v>2076</v>
      </c>
      <c r="C132" s="3547"/>
      <c r="D132" s="3547"/>
      <c r="E132" s="3547"/>
      <c r="F132" s="3548"/>
      <c r="G132" s="3445"/>
      <c r="H132" s="3445"/>
      <c r="I132" s="3445"/>
      <c r="J132" s="3445"/>
      <c r="K132" s="3445"/>
      <c r="L132" s="3445"/>
      <c r="M132" s="3445"/>
      <c r="N132" s="3445"/>
      <c r="O132" s="3445"/>
      <c r="P132" s="3445"/>
      <c r="Q132" s="3445"/>
      <c r="R132" s="3445"/>
      <c r="S132" s="3445"/>
      <c r="T132" s="3445"/>
      <c r="U132" s="3445"/>
      <c r="V132" s="3445"/>
      <c r="W132" s="3445"/>
      <c r="X132" s="3445"/>
      <c r="Y132" s="3445"/>
      <c r="Z132" s="3445"/>
      <c r="AA132" s="3372"/>
      <c r="AB132" s="3372"/>
      <c r="AC132" s="3372"/>
      <c r="AD132" s="3372"/>
      <c r="AE132" s="3372"/>
      <c r="AF132" s="3372"/>
      <c r="AG132" s="3372"/>
      <c r="AH132" s="3372"/>
      <c r="AI132" s="3372"/>
      <c r="AJ132" s="3372"/>
      <c r="AK132" s="3372"/>
      <c r="AL132" s="3372"/>
      <c r="AM132" s="3373"/>
      <c r="AN132" s="1325"/>
    </row>
    <row r="133" spans="2:40" s="115" customFormat="1" ht="108" customHeight="1">
      <c r="B133" s="3546" t="s">
        <v>2077</v>
      </c>
      <c r="C133" s="3547"/>
      <c r="D133" s="3547"/>
      <c r="E133" s="3547"/>
      <c r="F133" s="3548"/>
      <c r="G133" s="3445"/>
      <c r="H133" s="3445"/>
      <c r="I133" s="3445"/>
      <c r="J133" s="3445"/>
      <c r="K133" s="3445"/>
      <c r="L133" s="3445"/>
      <c r="M133" s="3445"/>
      <c r="N133" s="3445"/>
      <c r="O133" s="3445"/>
      <c r="P133" s="3445"/>
      <c r="Q133" s="3445"/>
      <c r="R133" s="3445"/>
      <c r="S133" s="3445"/>
      <c r="T133" s="3445"/>
      <c r="U133" s="3445"/>
      <c r="V133" s="3445"/>
      <c r="W133" s="3445"/>
      <c r="X133" s="3445"/>
      <c r="Y133" s="3445"/>
      <c r="Z133" s="3445"/>
      <c r="AA133" s="3372"/>
      <c r="AB133" s="3372"/>
      <c r="AC133" s="3372"/>
      <c r="AD133" s="3372"/>
      <c r="AE133" s="3372"/>
      <c r="AF133" s="3372"/>
      <c r="AG133" s="3372"/>
      <c r="AH133" s="3372"/>
      <c r="AI133" s="3372"/>
      <c r="AJ133" s="3372"/>
      <c r="AK133" s="3372"/>
      <c r="AL133" s="3372"/>
      <c r="AM133" s="3373"/>
      <c r="AN133" s="1325"/>
    </row>
    <row r="134" spans="2:40" s="115" customFormat="1" ht="108" customHeight="1">
      <c r="B134" s="3549" t="s">
        <v>2078</v>
      </c>
      <c r="C134" s="3550"/>
      <c r="D134" s="3550"/>
      <c r="E134" s="3550"/>
      <c r="F134" s="3551"/>
      <c r="G134" s="3445"/>
      <c r="H134" s="3445"/>
      <c r="I134" s="3445"/>
      <c r="J134" s="3445"/>
      <c r="K134" s="3445"/>
      <c r="L134" s="3445"/>
      <c r="M134" s="3445"/>
      <c r="N134" s="3445"/>
      <c r="O134" s="3445"/>
      <c r="P134" s="3445"/>
      <c r="Q134" s="3445"/>
      <c r="R134" s="3445"/>
      <c r="S134" s="3445"/>
      <c r="T134" s="3445"/>
      <c r="U134" s="3445"/>
      <c r="V134" s="3445"/>
      <c r="W134" s="3445"/>
      <c r="X134" s="3445"/>
      <c r="Y134" s="3445"/>
      <c r="Z134" s="3445"/>
      <c r="AA134" s="3372"/>
      <c r="AB134" s="3372"/>
      <c r="AC134" s="3372"/>
      <c r="AD134" s="3372"/>
      <c r="AE134" s="3372"/>
      <c r="AF134" s="3372"/>
      <c r="AG134" s="3372"/>
      <c r="AH134" s="3372"/>
      <c r="AI134" s="3372"/>
      <c r="AJ134" s="3372"/>
      <c r="AK134" s="3372"/>
      <c r="AL134" s="3372"/>
      <c r="AM134" s="3373"/>
      <c r="AN134" s="1325"/>
    </row>
    <row r="135" spans="2:40" s="115" customFormat="1" ht="120" customHeight="1">
      <c r="B135" s="3549" t="s">
        <v>2079</v>
      </c>
      <c r="C135" s="3550"/>
      <c r="D135" s="3550"/>
      <c r="E135" s="3550"/>
      <c r="F135" s="3551"/>
      <c r="G135" s="3445"/>
      <c r="H135" s="3445"/>
      <c r="I135" s="3445"/>
      <c r="J135" s="3445"/>
      <c r="K135" s="3445"/>
      <c r="L135" s="3445"/>
      <c r="M135" s="3445"/>
      <c r="N135" s="3445"/>
      <c r="O135" s="3445"/>
      <c r="P135" s="3445"/>
      <c r="Q135" s="3445"/>
      <c r="R135" s="3445"/>
      <c r="S135" s="3445"/>
      <c r="T135" s="3445"/>
      <c r="U135" s="3445"/>
      <c r="V135" s="3445"/>
      <c r="W135" s="3445"/>
      <c r="X135" s="3445"/>
      <c r="Y135" s="3445"/>
      <c r="Z135" s="3445"/>
      <c r="AA135" s="3372"/>
      <c r="AB135" s="3372"/>
      <c r="AC135" s="3372"/>
      <c r="AD135" s="3372"/>
      <c r="AE135" s="3372"/>
      <c r="AF135" s="3372"/>
      <c r="AG135" s="3372"/>
      <c r="AH135" s="3372"/>
      <c r="AI135" s="3372"/>
      <c r="AJ135" s="3372"/>
      <c r="AK135" s="3372"/>
      <c r="AL135" s="3372"/>
      <c r="AM135" s="3373"/>
      <c r="AN135" s="1325"/>
    </row>
    <row r="136" spans="2:40" s="115" customFormat="1" ht="108" customHeight="1">
      <c r="B136" s="3549" t="s">
        <v>2080</v>
      </c>
      <c r="C136" s="3550"/>
      <c r="D136" s="3550"/>
      <c r="E136" s="3550"/>
      <c r="F136" s="3551"/>
      <c r="G136" s="3445"/>
      <c r="H136" s="3445"/>
      <c r="I136" s="3445"/>
      <c r="J136" s="3445"/>
      <c r="K136" s="3445"/>
      <c r="L136" s="3445"/>
      <c r="M136" s="3445"/>
      <c r="N136" s="3445"/>
      <c r="O136" s="3445"/>
      <c r="P136" s="3445"/>
      <c r="Q136" s="3445"/>
      <c r="R136" s="3445"/>
      <c r="S136" s="3445"/>
      <c r="T136" s="3445"/>
      <c r="U136" s="3445"/>
      <c r="V136" s="3445"/>
      <c r="W136" s="3445"/>
      <c r="X136" s="3445"/>
      <c r="Y136" s="3445"/>
      <c r="Z136" s="3445"/>
      <c r="AA136" s="3372"/>
      <c r="AB136" s="3372"/>
      <c r="AC136" s="3372"/>
      <c r="AD136" s="3372"/>
      <c r="AE136" s="3372"/>
      <c r="AF136" s="3372"/>
      <c r="AG136" s="3372"/>
      <c r="AH136" s="3372"/>
      <c r="AI136" s="3372"/>
      <c r="AJ136" s="3372"/>
      <c r="AK136" s="3372"/>
      <c r="AL136" s="3372"/>
      <c r="AM136" s="3373"/>
      <c r="AN136" s="1325"/>
    </row>
    <row r="137" spans="2:40" s="115" customFormat="1" ht="108" customHeight="1">
      <c r="B137" s="3546" t="s">
        <v>2081</v>
      </c>
      <c r="C137" s="3547"/>
      <c r="D137" s="3547"/>
      <c r="E137" s="3547"/>
      <c r="F137" s="3548"/>
      <c r="G137" s="3445"/>
      <c r="H137" s="3445"/>
      <c r="I137" s="3445"/>
      <c r="J137" s="3445"/>
      <c r="K137" s="3445"/>
      <c r="L137" s="3445"/>
      <c r="M137" s="3445"/>
      <c r="N137" s="3445"/>
      <c r="O137" s="3445"/>
      <c r="P137" s="3445"/>
      <c r="Q137" s="3445"/>
      <c r="R137" s="3445"/>
      <c r="S137" s="3445"/>
      <c r="T137" s="3445"/>
      <c r="U137" s="3445"/>
      <c r="V137" s="3445"/>
      <c r="W137" s="3445"/>
      <c r="X137" s="3445"/>
      <c r="Y137" s="3445"/>
      <c r="Z137" s="3445"/>
      <c r="AA137" s="3372"/>
      <c r="AB137" s="3372"/>
      <c r="AC137" s="3372"/>
      <c r="AD137" s="3372"/>
      <c r="AE137" s="3372"/>
      <c r="AF137" s="3372"/>
      <c r="AG137" s="3372"/>
      <c r="AH137" s="3372"/>
      <c r="AI137" s="3372"/>
      <c r="AJ137" s="3372"/>
      <c r="AK137" s="3372"/>
      <c r="AL137" s="3372"/>
      <c r="AM137" s="3373"/>
      <c r="AN137" s="1325"/>
    </row>
    <row r="138" spans="2:40" s="115" customFormat="1" ht="90" customHeight="1">
      <c r="B138" s="3546" t="s">
        <v>2082</v>
      </c>
      <c r="C138" s="3547"/>
      <c r="D138" s="3547"/>
      <c r="E138" s="3547"/>
      <c r="F138" s="3548"/>
      <c r="G138" s="3445"/>
      <c r="H138" s="3445"/>
      <c r="I138" s="3445"/>
      <c r="J138" s="3445"/>
      <c r="K138" s="3445"/>
      <c r="L138" s="3445"/>
      <c r="M138" s="3445"/>
      <c r="N138" s="3445"/>
      <c r="O138" s="3445"/>
      <c r="P138" s="3445"/>
      <c r="Q138" s="3445"/>
      <c r="R138" s="3445"/>
      <c r="S138" s="3445"/>
      <c r="T138" s="3445"/>
      <c r="U138" s="3445"/>
      <c r="V138" s="3445"/>
      <c r="W138" s="3445"/>
      <c r="X138" s="3445"/>
      <c r="Y138" s="3445"/>
      <c r="Z138" s="3445"/>
      <c r="AA138" s="3372"/>
      <c r="AB138" s="3372"/>
      <c r="AC138" s="3372"/>
      <c r="AD138" s="3372"/>
      <c r="AE138" s="3372"/>
      <c r="AF138" s="3372"/>
      <c r="AG138" s="3372"/>
      <c r="AH138" s="3372"/>
      <c r="AI138" s="3372"/>
      <c r="AJ138" s="3372"/>
      <c r="AK138" s="3372"/>
      <c r="AL138" s="3372"/>
      <c r="AM138" s="3373"/>
      <c r="AN138" s="1325"/>
    </row>
    <row r="139" spans="2:40" s="115" customFormat="1" ht="135.75" customHeight="1">
      <c r="B139" s="3669" t="s">
        <v>2083</v>
      </c>
      <c r="C139" s="3670"/>
      <c r="D139" s="3670"/>
      <c r="E139" s="3670"/>
      <c r="F139" s="3671"/>
      <c r="G139" s="3478"/>
      <c r="H139" s="3478"/>
      <c r="I139" s="3478"/>
      <c r="J139" s="3478"/>
      <c r="K139" s="3478"/>
      <c r="L139" s="3478"/>
      <c r="M139" s="3478"/>
      <c r="N139" s="3478"/>
      <c r="O139" s="3478"/>
      <c r="P139" s="3478"/>
      <c r="Q139" s="3478"/>
      <c r="R139" s="3478"/>
      <c r="S139" s="3478"/>
      <c r="T139" s="3478"/>
      <c r="U139" s="3478"/>
      <c r="V139" s="3478"/>
      <c r="W139" s="3478"/>
      <c r="X139" s="3478"/>
      <c r="Y139" s="3478"/>
      <c r="Z139" s="3478"/>
      <c r="AA139" s="3662"/>
      <c r="AB139" s="3662"/>
      <c r="AC139" s="3662"/>
      <c r="AD139" s="3662"/>
      <c r="AE139" s="3662"/>
      <c r="AF139" s="3662"/>
      <c r="AG139" s="3662"/>
      <c r="AH139" s="3662"/>
      <c r="AI139" s="3662"/>
      <c r="AJ139" s="3662"/>
      <c r="AK139" s="3662"/>
      <c r="AL139" s="3662"/>
      <c r="AM139" s="3663"/>
      <c r="AN139" s="1123"/>
    </row>
    <row r="140" spans="2:40" s="115" customFormat="1" ht="72" customHeight="1">
      <c r="B140" s="3666" t="s">
        <v>2084</v>
      </c>
      <c r="C140" s="3667"/>
      <c r="D140" s="3667"/>
      <c r="E140" s="3667"/>
      <c r="F140" s="3668"/>
      <c r="G140" s="3445"/>
      <c r="H140" s="3445"/>
      <c r="I140" s="3445"/>
      <c r="J140" s="3445"/>
      <c r="K140" s="3445"/>
      <c r="L140" s="3445"/>
      <c r="M140" s="3445"/>
      <c r="N140" s="3445"/>
      <c r="O140" s="3445"/>
      <c r="P140" s="3445"/>
      <c r="Q140" s="3445"/>
      <c r="R140" s="3445"/>
      <c r="S140" s="3445"/>
      <c r="T140" s="3445"/>
      <c r="U140" s="3445"/>
      <c r="V140" s="3445"/>
      <c r="W140" s="3445"/>
      <c r="X140" s="3445"/>
      <c r="Y140" s="3445"/>
      <c r="Z140" s="3445"/>
      <c r="AA140" s="3372"/>
      <c r="AB140" s="3372"/>
      <c r="AC140" s="3372"/>
      <c r="AD140" s="3372"/>
      <c r="AE140" s="3372"/>
      <c r="AF140" s="3372"/>
      <c r="AG140" s="3372"/>
      <c r="AH140" s="3372"/>
      <c r="AI140" s="3372"/>
      <c r="AJ140" s="3372"/>
      <c r="AK140" s="3372"/>
      <c r="AL140" s="3372"/>
      <c r="AM140" s="3373"/>
      <c r="AN140" s="1325"/>
    </row>
    <row r="141" spans="2:40" s="115" customFormat="1" ht="72.75" customHeight="1">
      <c r="B141" s="3657"/>
      <c r="C141" s="3658"/>
      <c r="D141" s="3658"/>
      <c r="E141" s="3658"/>
      <c r="F141" s="3661"/>
      <c r="G141" s="3445"/>
      <c r="H141" s="3445"/>
      <c r="I141" s="3445"/>
      <c r="J141" s="3445"/>
      <c r="K141" s="3445"/>
      <c r="L141" s="3445"/>
      <c r="M141" s="3445"/>
      <c r="N141" s="3445"/>
      <c r="O141" s="3445"/>
      <c r="P141" s="3445"/>
      <c r="Q141" s="3445"/>
      <c r="R141" s="3445"/>
      <c r="S141" s="3445"/>
      <c r="T141" s="3445"/>
      <c r="U141" s="3445"/>
      <c r="V141" s="3445"/>
      <c r="W141" s="3445"/>
      <c r="X141" s="3445"/>
      <c r="Y141" s="3445"/>
      <c r="Z141" s="3445"/>
      <c r="AA141" s="3372"/>
      <c r="AB141" s="3372"/>
      <c r="AC141" s="3372"/>
      <c r="AD141" s="3372"/>
      <c r="AE141" s="3372"/>
      <c r="AF141" s="3372"/>
      <c r="AG141" s="3372"/>
      <c r="AH141" s="3372"/>
      <c r="AI141" s="3372"/>
      <c r="AJ141" s="3372"/>
      <c r="AK141" s="3372"/>
      <c r="AL141" s="3372"/>
      <c r="AM141" s="3373"/>
      <c r="AN141" s="1123"/>
    </row>
    <row r="142" spans="2:40" s="115" customFormat="1" ht="72.75" customHeight="1">
      <c r="B142" s="3657"/>
      <c r="C142" s="3658"/>
      <c r="D142" s="3658"/>
      <c r="E142" s="3659"/>
      <c r="F142" s="3660"/>
      <c r="G142" s="3478"/>
      <c r="H142" s="3478"/>
      <c r="I142" s="3478"/>
      <c r="J142" s="3478"/>
      <c r="K142" s="3478"/>
      <c r="L142" s="3478"/>
      <c r="M142" s="3478"/>
      <c r="N142" s="3478"/>
      <c r="O142" s="3478"/>
      <c r="P142" s="3478"/>
      <c r="Q142" s="3478"/>
      <c r="R142" s="3478"/>
      <c r="S142" s="3478"/>
      <c r="T142" s="3478"/>
      <c r="U142" s="3478"/>
      <c r="V142" s="3478"/>
      <c r="W142" s="3478"/>
      <c r="X142" s="3478"/>
      <c r="Y142" s="3478"/>
      <c r="Z142" s="3478"/>
      <c r="AA142" s="3662"/>
      <c r="AB142" s="3662"/>
      <c r="AC142" s="3662"/>
      <c r="AD142" s="3662"/>
      <c r="AE142" s="3662"/>
      <c r="AF142" s="3372"/>
      <c r="AG142" s="3372"/>
      <c r="AH142" s="3372"/>
      <c r="AI142" s="3372"/>
      <c r="AJ142" s="3372"/>
      <c r="AK142" s="3372"/>
      <c r="AL142" s="3372"/>
      <c r="AM142" s="3373"/>
      <c r="AN142" s="1325"/>
    </row>
    <row r="143" spans="2:40" s="51" customFormat="1" ht="36" customHeight="1">
      <c r="B143" s="3672" t="s">
        <v>676</v>
      </c>
      <c r="C143" s="3673"/>
      <c r="D143" s="3673"/>
      <c r="E143" s="2466" t="str">
        <f>'Document Checklist'!$E$105</f>
        <v>26. NonSpon SS Contract Enhanced</v>
      </c>
      <c r="F143" s="2466"/>
      <c r="G143" s="2466"/>
      <c r="H143" s="2466"/>
      <c r="I143" s="2466"/>
      <c r="J143" s="2466"/>
      <c r="K143" s="2466"/>
      <c r="L143" s="2466"/>
      <c r="M143" s="2466"/>
      <c r="N143" s="2466" t="str">
        <f>'Document Checklist'!$N$105</f>
        <v>Contract, Agreement or Letter of Intent to Provide Services (other non Sponsor providers).</v>
      </c>
      <c r="O143" s="2466"/>
      <c r="P143" s="2466"/>
      <c r="Q143" s="2466"/>
      <c r="R143" s="2466"/>
      <c r="S143" s="2466"/>
      <c r="T143" s="2466"/>
      <c r="U143" s="2466"/>
      <c r="V143" s="2466"/>
      <c r="W143" s="2466"/>
      <c r="X143" s="2466"/>
      <c r="Y143" s="2466"/>
      <c r="Z143" s="2466"/>
      <c r="AA143" s="2466"/>
      <c r="AB143" s="2466"/>
      <c r="AC143" s="2466"/>
      <c r="AD143" s="2466"/>
      <c r="AE143" s="2466"/>
      <c r="AF143" s="3464" t="s">
        <v>843</v>
      </c>
      <c r="AG143" s="3465"/>
      <c r="AH143" s="3465"/>
      <c r="AI143" s="3465"/>
      <c r="AJ143" s="3465"/>
      <c r="AK143" s="3466"/>
      <c r="AL143" s="3634"/>
      <c r="AM143" s="3635"/>
      <c r="AN143" s="1328"/>
    </row>
    <row r="144" spans="2:40" s="115" customFormat="1" ht="18" customHeight="1">
      <c r="B144" s="3652" t="s">
        <v>1947</v>
      </c>
      <c r="C144" s="3653"/>
      <c r="D144" s="3653"/>
      <c r="E144" s="3653"/>
      <c r="F144" s="3653"/>
      <c r="G144" s="3653"/>
      <c r="H144" s="3653"/>
      <c r="I144" s="3653"/>
      <c r="J144" s="3653"/>
      <c r="K144" s="3653"/>
      <c r="L144" s="3653"/>
      <c r="M144" s="3653"/>
      <c r="N144" s="3653"/>
      <c r="O144" s="3653"/>
      <c r="P144" s="3653"/>
      <c r="Q144" s="3653"/>
      <c r="R144" s="3653"/>
      <c r="S144" s="3653"/>
      <c r="T144" s="3653"/>
      <c r="U144" s="3653"/>
      <c r="V144" s="3653"/>
      <c r="W144" s="3653"/>
      <c r="X144" s="3653"/>
      <c r="Y144" s="3653"/>
      <c r="Z144" s="3653"/>
      <c r="AA144" s="3653"/>
      <c r="AB144" s="3653"/>
      <c r="AC144" s="3653"/>
      <c r="AD144" s="3653"/>
      <c r="AE144" s="3653"/>
      <c r="AF144" s="3653"/>
      <c r="AG144" s="3653"/>
      <c r="AH144" s="3653"/>
      <c r="AI144" s="3653"/>
      <c r="AJ144" s="3653"/>
      <c r="AK144" s="3653"/>
      <c r="AL144" s="3653"/>
      <c r="AM144" s="3653"/>
      <c r="AN144" s="1325"/>
    </row>
    <row r="145" spans="2:40" ht="90" customHeight="1">
      <c r="B145" s="3498" t="s">
        <v>2085</v>
      </c>
      <c r="C145" s="3499"/>
      <c r="D145" s="3499"/>
      <c r="E145" s="3499"/>
      <c r="F145" s="3499"/>
      <c r="G145" s="3499"/>
      <c r="H145" s="3499"/>
      <c r="I145" s="3499"/>
      <c r="J145" s="3499"/>
      <c r="K145" s="3499"/>
      <c r="L145" s="3499"/>
      <c r="M145" s="3499"/>
      <c r="N145" s="3499"/>
      <c r="O145" s="3499"/>
      <c r="P145" s="3499"/>
      <c r="Q145" s="3499"/>
      <c r="R145" s="3499"/>
      <c r="S145" s="3499"/>
      <c r="T145" s="3499"/>
      <c r="U145" s="3499"/>
      <c r="V145" s="3499"/>
      <c r="W145" s="3499"/>
      <c r="X145" s="3499"/>
      <c r="Y145" s="3499"/>
      <c r="Z145" s="3499"/>
      <c r="AA145" s="3499"/>
      <c r="AB145" s="3499"/>
      <c r="AC145" s="3499"/>
      <c r="AD145" s="3499"/>
      <c r="AE145" s="3499"/>
      <c r="AF145" s="3499"/>
      <c r="AG145" s="3499"/>
      <c r="AH145" s="3499"/>
      <c r="AI145" s="3499"/>
      <c r="AJ145" s="3499"/>
      <c r="AK145" s="3499"/>
      <c r="AL145" s="3499"/>
      <c r="AM145" s="3499"/>
      <c r="AN145" s="1325"/>
    </row>
    <row r="146" spans="2:40" s="115" customFormat="1" ht="36" customHeight="1">
      <c r="B146" s="3372"/>
      <c r="C146" s="3372"/>
      <c r="D146" s="3372"/>
      <c r="E146" s="3372"/>
      <c r="F146" s="3372"/>
      <c r="G146" s="3372"/>
      <c r="H146" s="3372"/>
      <c r="I146" s="3372"/>
      <c r="J146" s="3372"/>
      <c r="K146" s="3372"/>
      <c r="L146" s="3372"/>
      <c r="M146" s="3372"/>
      <c r="N146" s="3372"/>
      <c r="O146" s="3372"/>
      <c r="P146" s="3372"/>
      <c r="Q146" s="3372"/>
      <c r="R146" s="3372"/>
      <c r="S146" s="3372"/>
      <c r="T146" s="3372"/>
      <c r="U146" s="3372"/>
      <c r="V146" s="3372"/>
      <c r="W146" s="3372"/>
      <c r="X146" s="3372"/>
      <c r="Y146" s="3372"/>
      <c r="Z146" s="3372"/>
      <c r="AA146" s="3372"/>
      <c r="AB146" s="3372"/>
      <c r="AC146" s="3372"/>
      <c r="AD146" s="3372"/>
      <c r="AE146" s="3372"/>
      <c r="AF146" s="3372"/>
      <c r="AG146" s="3372"/>
      <c r="AH146" s="3372"/>
      <c r="AI146" s="3372"/>
      <c r="AJ146" s="3372"/>
      <c r="AK146" s="3372"/>
      <c r="AL146" s="3372"/>
      <c r="AM146" s="3373"/>
      <c r="AN146" s="1325"/>
    </row>
    <row r="147" spans="2:40" ht="18" customHeight="1">
      <c r="B147" s="3608" t="s">
        <v>2086</v>
      </c>
      <c r="C147" s="3531"/>
      <c r="D147" s="3531"/>
      <c r="E147" s="3531"/>
      <c r="F147" s="3531"/>
      <c r="G147" s="3531"/>
      <c r="H147" s="3531"/>
      <c r="I147" s="3531"/>
      <c r="J147" s="3531"/>
      <c r="K147" s="3531"/>
      <c r="L147" s="3531"/>
      <c r="M147" s="3531"/>
      <c r="N147" s="3531"/>
      <c r="O147" s="3531"/>
      <c r="P147" s="3531"/>
      <c r="Q147" s="3531"/>
      <c r="R147" s="3531"/>
      <c r="S147" s="3531"/>
      <c r="T147" s="3531"/>
      <c r="U147" s="3531"/>
      <c r="V147" s="3531"/>
      <c r="W147" s="3531"/>
      <c r="X147" s="3531"/>
      <c r="Y147" s="3531"/>
      <c r="Z147" s="3531"/>
      <c r="AA147" s="3531"/>
      <c r="AB147" s="3531"/>
      <c r="AC147" s="3531"/>
      <c r="AD147" s="3531"/>
      <c r="AE147" s="3531"/>
      <c r="AF147" s="3531"/>
      <c r="AG147" s="3531"/>
      <c r="AH147" s="3531"/>
      <c r="AI147" s="3531"/>
      <c r="AJ147" s="3531"/>
      <c r="AK147" s="3531"/>
      <c r="AL147" s="3531"/>
      <c r="AM147" s="3531"/>
      <c r="AN147" s="1123"/>
    </row>
    <row r="148" spans="2:40" s="115" customFormat="1" ht="36" customHeight="1">
      <c r="B148" s="3372"/>
      <c r="C148" s="3372"/>
      <c r="D148" s="3372"/>
      <c r="E148" s="3372"/>
      <c r="F148" s="3372"/>
      <c r="G148" s="3372"/>
      <c r="H148" s="3372"/>
      <c r="I148" s="3372"/>
      <c r="J148" s="3372"/>
      <c r="K148" s="3372"/>
      <c r="L148" s="3372"/>
      <c r="M148" s="3372"/>
      <c r="N148" s="3372"/>
      <c r="O148" s="3372"/>
      <c r="P148" s="3372"/>
      <c r="Q148" s="3372"/>
      <c r="R148" s="3372"/>
      <c r="S148" s="3372"/>
      <c r="T148" s="3372"/>
      <c r="U148" s="3372"/>
      <c r="V148" s="3372"/>
      <c r="W148" s="3372"/>
      <c r="X148" s="3372"/>
      <c r="Y148" s="3372"/>
      <c r="Z148" s="3372"/>
      <c r="AA148" s="3372"/>
      <c r="AB148" s="3372"/>
      <c r="AC148" s="3372"/>
      <c r="AD148" s="3372"/>
      <c r="AE148" s="3372"/>
      <c r="AF148" s="3372"/>
      <c r="AG148" s="3372"/>
      <c r="AH148" s="3372"/>
      <c r="AI148" s="3372"/>
      <c r="AJ148" s="3372"/>
      <c r="AK148" s="3372"/>
      <c r="AL148" s="3372"/>
      <c r="AM148" s="3373"/>
      <c r="AN148" s="1123"/>
    </row>
    <row r="149" spans="2:40" ht="18" customHeight="1">
      <c r="B149" s="3498" t="s">
        <v>2087</v>
      </c>
      <c r="C149" s="3499"/>
      <c r="D149" s="3499"/>
      <c r="E149" s="3499"/>
      <c r="F149" s="3499"/>
      <c r="G149" s="3499"/>
      <c r="H149" s="3499"/>
      <c r="I149" s="3499"/>
      <c r="J149" s="3499"/>
      <c r="K149" s="3499"/>
      <c r="L149" s="3499"/>
      <c r="M149" s="3499"/>
      <c r="N149" s="3499"/>
      <c r="O149" s="3499"/>
      <c r="P149" s="3499"/>
      <c r="Q149" s="3499"/>
      <c r="R149" s="3499"/>
      <c r="S149" s="3499"/>
      <c r="T149" s="3499"/>
      <c r="U149" s="3499"/>
      <c r="V149" s="3499"/>
      <c r="W149" s="3420" t="s">
        <v>2088</v>
      </c>
      <c r="X149" s="3420"/>
      <c r="Y149" s="2782"/>
      <c r="Z149" s="2782"/>
      <c r="AA149" s="1537"/>
      <c r="AB149" s="3420" t="s">
        <v>2089</v>
      </c>
      <c r="AC149" s="3420"/>
      <c r="AD149" s="2782"/>
      <c r="AE149" s="2782"/>
      <c r="AF149" s="339"/>
      <c r="AG149" s="339"/>
      <c r="AH149" s="339"/>
      <c r="AI149" s="339"/>
      <c r="AJ149" s="339"/>
      <c r="AK149" s="339"/>
      <c r="AL149" s="339"/>
      <c r="AM149" s="339"/>
      <c r="AN149" s="1123"/>
    </row>
    <row r="150" spans="2:40" ht="18" customHeight="1">
      <c r="B150" s="3652" t="s">
        <v>2090</v>
      </c>
      <c r="C150" s="3653"/>
      <c r="D150" s="3653"/>
      <c r="E150" s="3653"/>
      <c r="F150" s="3653"/>
      <c r="G150" s="3653"/>
      <c r="H150" s="3653"/>
      <c r="I150" s="3653"/>
      <c r="J150" s="3653"/>
      <c r="K150" s="3653"/>
      <c r="L150" s="3653"/>
      <c r="M150" s="3653"/>
      <c r="N150" s="3653"/>
      <c r="O150" s="3653"/>
      <c r="P150" s="3653"/>
      <c r="Q150" s="3653"/>
      <c r="R150" s="3653"/>
      <c r="S150" s="3653"/>
      <c r="T150" s="3653"/>
      <c r="U150" s="3653"/>
      <c r="V150" s="3653"/>
      <c r="W150" s="3653"/>
      <c r="X150" s="3653"/>
      <c r="Y150" s="3653"/>
      <c r="Z150" s="3653"/>
      <c r="AA150" s="3653"/>
      <c r="AB150" s="3653"/>
      <c r="AC150" s="3653"/>
      <c r="AD150" s="3653"/>
      <c r="AE150" s="3653"/>
      <c r="AF150" s="3653"/>
      <c r="AG150" s="3653"/>
      <c r="AH150" s="3653"/>
      <c r="AI150" s="3653"/>
      <c r="AJ150" s="3653"/>
      <c r="AK150" s="3653"/>
      <c r="AL150" s="3653"/>
      <c r="AM150" s="3653"/>
      <c r="AN150" s="1123"/>
    </row>
    <row r="151" spans="2:40" s="117" customFormat="1" ht="72" customHeight="1">
      <c r="B151" s="3615" t="s">
        <v>2091</v>
      </c>
      <c r="C151" s="3616"/>
      <c r="D151" s="3616"/>
      <c r="E151" s="3616"/>
      <c r="F151" s="3616"/>
      <c r="G151" s="3616"/>
      <c r="H151" s="3616"/>
      <c r="I151" s="3616"/>
      <c r="J151" s="3616"/>
      <c r="K151" s="3616"/>
      <c r="L151" s="3616"/>
      <c r="M151" s="3616"/>
      <c r="N151" s="3616"/>
      <c r="O151" s="3616"/>
      <c r="P151" s="3616"/>
      <c r="Q151" s="3616"/>
      <c r="R151" s="3616"/>
      <c r="S151" s="3616"/>
      <c r="T151" s="3616"/>
      <c r="U151" s="3616"/>
      <c r="V151" s="3616"/>
      <c r="W151" s="3616"/>
      <c r="X151" s="3616"/>
      <c r="Y151" s="3616"/>
      <c r="Z151" s="3616"/>
      <c r="AA151" s="3616"/>
      <c r="AB151" s="3616"/>
      <c r="AC151" s="3616"/>
      <c r="AD151" s="3616"/>
      <c r="AE151" s="3616"/>
      <c r="AF151" s="3616"/>
      <c r="AG151" s="3616"/>
      <c r="AH151" s="3616"/>
      <c r="AI151" s="3616"/>
      <c r="AJ151" s="3616"/>
      <c r="AK151" s="3616"/>
      <c r="AL151" s="3616"/>
      <c r="AM151" s="3616"/>
      <c r="AN151" s="1329"/>
    </row>
    <row r="152" spans="2:40" s="117" customFormat="1" ht="72" customHeight="1">
      <c r="B152" s="3664" t="s">
        <v>2092</v>
      </c>
      <c r="C152" s="3665"/>
      <c r="D152" s="3665"/>
      <c r="E152" s="3665"/>
      <c r="F152" s="3665"/>
      <c r="G152" s="3665"/>
      <c r="H152" s="3665"/>
      <c r="I152" s="3665"/>
      <c r="J152" s="3665"/>
      <c r="K152" s="3665"/>
      <c r="L152" s="3665"/>
      <c r="M152" s="3665"/>
      <c r="N152" s="3665"/>
      <c r="O152" s="3665"/>
      <c r="P152" s="3665"/>
      <c r="Q152" s="3665"/>
      <c r="R152" s="3665"/>
      <c r="S152" s="3665"/>
      <c r="T152" s="3665"/>
      <c r="U152" s="3665"/>
      <c r="V152" s="3665"/>
      <c r="W152" s="3665"/>
      <c r="X152" s="3665"/>
      <c r="Y152" s="3665"/>
      <c r="Z152" s="3665"/>
      <c r="AA152" s="3665"/>
      <c r="AB152" s="3665"/>
      <c r="AC152" s="3665"/>
      <c r="AD152" s="3665"/>
      <c r="AE152" s="3665"/>
      <c r="AF152" s="3665"/>
      <c r="AG152" s="3665"/>
      <c r="AH152" s="3665"/>
      <c r="AI152" s="3665"/>
      <c r="AJ152" s="3665"/>
      <c r="AK152" s="3665"/>
      <c r="AL152" s="3665"/>
      <c r="AM152" s="3665"/>
      <c r="AN152" s="1329"/>
    </row>
    <row r="153" spans="2:40" s="392" customFormat="1" ht="9" customHeight="1">
      <c r="B153" s="341"/>
      <c r="C153" s="341"/>
      <c r="D153" s="341"/>
      <c r="E153" s="341"/>
      <c r="F153" s="341"/>
      <c r="G153" s="341"/>
      <c r="H153" s="341"/>
      <c r="I153" s="341"/>
      <c r="J153" s="341"/>
      <c r="K153" s="341"/>
      <c r="L153" s="341"/>
      <c r="M153" s="341"/>
      <c r="N153" s="341"/>
      <c r="O153" s="341"/>
      <c r="P153" s="341"/>
      <c r="Q153" s="341"/>
      <c r="R153" s="341"/>
      <c r="S153" s="341"/>
      <c r="T153" s="341"/>
      <c r="U153" s="341"/>
      <c r="V153" s="341"/>
      <c r="W153" s="341"/>
      <c r="X153" s="341"/>
      <c r="Y153" s="341"/>
      <c r="Z153" s="341"/>
      <c r="AA153" s="341"/>
      <c r="AB153" s="341"/>
      <c r="AC153" s="341"/>
      <c r="AD153" s="341"/>
      <c r="AE153" s="341"/>
      <c r="AF153" s="341"/>
      <c r="AG153" s="341"/>
      <c r="AH153" s="341"/>
      <c r="AI153" s="341"/>
      <c r="AJ153" s="341"/>
      <c r="AK153" s="341"/>
      <c r="AL153" s="341"/>
      <c r="AM153" s="341"/>
    </row>
    <row r="154" spans="2:40" ht="18" customHeight="1">
      <c r="B154" s="3535" t="s">
        <v>2093</v>
      </c>
      <c r="C154" s="3535"/>
      <c r="D154" s="3535"/>
      <c r="E154" s="3535"/>
      <c r="F154" s="3535"/>
      <c r="G154" s="3535"/>
      <c r="H154" s="3535"/>
      <c r="I154" s="3535"/>
      <c r="J154" s="3535"/>
      <c r="K154" s="3535"/>
      <c r="L154" s="3535"/>
      <c r="M154" s="3535"/>
      <c r="N154" s="3535"/>
      <c r="O154" s="3535"/>
      <c r="P154" s="3535"/>
      <c r="Q154" s="3535"/>
      <c r="R154" s="3535"/>
      <c r="S154" s="3535"/>
      <c r="T154" s="3535"/>
      <c r="U154" s="3535"/>
      <c r="V154" s="3535"/>
      <c r="W154" s="3535"/>
      <c r="X154" s="3535"/>
      <c r="Y154" s="3535"/>
      <c r="Z154" s="3535"/>
      <c r="AA154" s="3535"/>
      <c r="AB154" s="3535"/>
      <c r="AC154" s="3535"/>
      <c r="AD154" s="3535"/>
      <c r="AE154" s="3535"/>
      <c r="AF154" s="3535"/>
      <c r="AG154" s="3535"/>
      <c r="AH154" s="3535"/>
      <c r="AI154" s="3535"/>
      <c r="AJ154" s="3535"/>
      <c r="AK154" s="3535"/>
      <c r="AL154" s="3535"/>
      <c r="AM154" s="3535"/>
      <c r="AN154" s="224"/>
    </row>
    <row r="155" spans="2:40" ht="18" customHeight="1">
      <c r="B155" s="3651" t="s">
        <v>1953</v>
      </c>
      <c r="C155" s="3483"/>
      <c r="D155" s="3483"/>
      <c r="E155" s="3483"/>
      <c r="F155" s="3483"/>
      <c r="G155" s="3483"/>
      <c r="H155" s="3483"/>
      <c r="I155" s="3483"/>
      <c r="J155" s="3483"/>
      <c r="K155" s="3483"/>
      <c r="L155" s="3483"/>
      <c r="M155" s="3483"/>
      <c r="N155" s="3483"/>
      <c r="O155" s="3483"/>
      <c r="P155" s="3483"/>
      <c r="Q155" s="3483"/>
      <c r="R155" s="3483"/>
      <c r="S155" s="3483"/>
      <c r="T155" s="3483"/>
      <c r="U155" s="3483"/>
      <c r="V155" s="3483"/>
      <c r="W155" s="3483"/>
      <c r="X155" s="3483"/>
      <c r="Y155" s="3483"/>
      <c r="Z155" s="3483"/>
      <c r="AA155" s="3483"/>
      <c r="AB155" s="3483"/>
      <c r="AC155" s="3483"/>
      <c r="AD155" s="3483"/>
      <c r="AE155" s="3483"/>
      <c r="AF155" s="3483"/>
      <c r="AG155" s="3483"/>
      <c r="AH155" s="3483"/>
      <c r="AI155" s="3483"/>
      <c r="AJ155" s="3483"/>
      <c r="AK155" s="3483"/>
      <c r="AL155" s="3483"/>
      <c r="AM155" s="3483"/>
      <c r="AN155" s="1123"/>
    </row>
    <row r="156" spans="2:40" ht="36" customHeight="1">
      <c r="B156" s="3484" t="s">
        <v>2094</v>
      </c>
      <c r="C156" s="3431"/>
      <c r="D156" s="3431"/>
      <c r="E156" s="3431"/>
      <c r="F156" s="3431"/>
      <c r="G156" s="3431"/>
      <c r="H156" s="3431"/>
      <c r="I156" s="3431"/>
      <c r="J156" s="3431"/>
      <c r="K156" s="3431"/>
      <c r="L156" s="3431"/>
      <c r="M156" s="3431"/>
      <c r="N156" s="3431"/>
      <c r="O156" s="3431"/>
      <c r="P156" s="3431"/>
      <c r="Q156" s="3431"/>
      <c r="R156" s="3431"/>
      <c r="S156" s="3431"/>
      <c r="T156" s="3431"/>
      <c r="U156" s="3431"/>
      <c r="V156" s="3431"/>
      <c r="W156" s="3431"/>
      <c r="X156" s="3431"/>
      <c r="Y156" s="3431"/>
      <c r="Z156" s="3431"/>
      <c r="AA156" s="3431"/>
      <c r="AB156" s="3431"/>
      <c r="AC156" s="3431"/>
      <c r="AD156" s="3431"/>
      <c r="AE156" s="3431"/>
      <c r="AF156" s="3431"/>
      <c r="AG156" s="3431"/>
      <c r="AH156" s="3431"/>
      <c r="AI156" s="3431"/>
      <c r="AJ156" s="3431"/>
      <c r="AK156" s="3431"/>
      <c r="AL156" s="3431"/>
      <c r="AM156" s="3431"/>
      <c r="AN156" s="1123"/>
    </row>
    <row r="157" spans="2:40" s="116" customFormat="1" ht="18" customHeight="1">
      <c r="B157" s="3655" t="s">
        <v>2095</v>
      </c>
      <c r="C157" s="3656"/>
      <c r="D157" s="3656"/>
      <c r="E157" s="3656"/>
      <c r="F157" s="3656"/>
      <c r="G157" s="3656"/>
      <c r="H157" s="3656"/>
      <c r="I157" s="3656"/>
      <c r="J157" s="3656"/>
      <c r="K157" s="3656"/>
      <c r="L157" s="3656"/>
      <c r="M157" s="3656"/>
      <c r="N157" s="3656"/>
      <c r="O157" s="3656"/>
      <c r="P157" s="3656"/>
      <c r="Q157" s="3656"/>
      <c r="R157" s="3656"/>
      <c r="S157" s="3656"/>
      <c r="T157" s="3656"/>
      <c r="U157" s="3656"/>
      <c r="V157" s="3656"/>
      <c r="W157" s="3656"/>
      <c r="X157" s="3656"/>
      <c r="Y157" s="3656"/>
      <c r="Z157" s="3656"/>
      <c r="AA157" s="3656"/>
      <c r="AB157" s="3656"/>
      <c r="AC157" s="3656"/>
      <c r="AD157" s="3656"/>
      <c r="AE157" s="3656"/>
      <c r="AF157" s="3656"/>
      <c r="AG157" s="3656"/>
      <c r="AH157" s="3656"/>
      <c r="AI157" s="3656"/>
      <c r="AJ157" s="3656"/>
      <c r="AK157" s="3656"/>
      <c r="AL157" s="3656"/>
      <c r="AM157" s="3656"/>
      <c r="AN157" s="1123"/>
    </row>
    <row r="158" spans="2:40" ht="18" customHeight="1">
      <c r="B158" s="3681" t="s">
        <v>2096</v>
      </c>
      <c r="C158" s="3682"/>
      <c r="D158" s="3682"/>
      <c r="E158" s="3682"/>
      <c r="F158" s="3682"/>
      <c r="G158" s="3682"/>
      <c r="H158" s="3682"/>
      <c r="I158" s="3682"/>
      <c r="J158" s="3682"/>
      <c r="K158" s="3682"/>
      <c r="L158" s="3683"/>
      <c r="M158" s="3428"/>
      <c r="N158" s="3440"/>
      <c r="O158" s="3681" t="s">
        <v>2097</v>
      </c>
      <c r="P158" s="3682"/>
      <c r="Q158" s="3682"/>
      <c r="R158" s="3682"/>
      <c r="S158" s="3683"/>
      <c r="T158" s="3428"/>
      <c r="U158" s="3440"/>
      <c r="V158" s="393"/>
      <c r="W158" s="3530" t="s">
        <v>2098</v>
      </c>
      <c r="X158" s="3530"/>
      <c r="Y158" s="3530"/>
      <c r="Z158" s="3530"/>
      <c r="AA158" s="3530"/>
      <c r="AB158" s="3530"/>
      <c r="AC158" s="3530"/>
      <c r="AD158" s="3530"/>
      <c r="AE158" s="3530"/>
      <c r="AF158" s="3530"/>
      <c r="AG158" s="3530"/>
      <c r="AH158" s="3530"/>
      <c r="AI158" s="3530"/>
      <c r="AJ158" s="3530"/>
      <c r="AK158" s="3684"/>
      <c r="AL158" s="3654"/>
      <c r="AM158" s="3428"/>
      <c r="AN158" s="1123"/>
    </row>
    <row r="159" spans="2:40" ht="18" customHeight="1">
      <c r="B159" s="3681" t="s">
        <v>2099</v>
      </c>
      <c r="C159" s="3682"/>
      <c r="D159" s="3682"/>
      <c r="E159" s="3682"/>
      <c r="F159" s="3682"/>
      <c r="G159" s="3682"/>
      <c r="H159" s="3682"/>
      <c r="I159" s="3682"/>
      <c r="J159" s="3682"/>
      <c r="K159" s="3682"/>
      <c r="L159" s="3683"/>
      <c r="M159" s="3428"/>
      <c r="N159" s="3440"/>
      <c r="O159" s="3681" t="s">
        <v>2100</v>
      </c>
      <c r="P159" s="3682"/>
      <c r="Q159" s="3682"/>
      <c r="R159" s="3682"/>
      <c r="S159" s="3683"/>
      <c r="T159" s="3428"/>
      <c r="U159" s="3440"/>
      <c r="V159" s="3685" t="s">
        <v>2101</v>
      </c>
      <c r="W159" s="3686"/>
      <c r="X159" s="3686"/>
      <c r="Y159" s="3686"/>
      <c r="Z159" s="3686"/>
      <c r="AA159" s="3686"/>
      <c r="AB159" s="3686"/>
      <c r="AC159" s="3686"/>
      <c r="AD159" s="3686"/>
      <c r="AE159" s="3686"/>
      <c r="AF159" s="3686"/>
      <c r="AG159" s="3686"/>
      <c r="AH159" s="3686"/>
      <c r="AI159" s="3686"/>
      <c r="AJ159" s="3686"/>
      <c r="AK159" s="3687"/>
      <c r="AL159" s="3654"/>
      <c r="AM159" s="3428"/>
      <c r="AN159" s="1123"/>
    </row>
    <row r="160" spans="2:40" ht="36" customHeight="1">
      <c r="B160" s="3597" t="s">
        <v>2102</v>
      </c>
      <c r="C160" s="3598"/>
      <c r="D160" s="3598"/>
      <c r="E160" s="3598"/>
      <c r="F160" s="3596" t="s">
        <v>2103</v>
      </c>
      <c r="G160" s="3596"/>
      <c r="H160" s="3596"/>
      <c r="I160" s="3596"/>
      <c r="J160" s="3480"/>
      <c r="K160" s="3529"/>
      <c r="L160" s="3529"/>
      <c r="M160" s="3529"/>
      <c r="N160" s="3529"/>
      <c r="O160" s="3529"/>
      <c r="P160" s="3529"/>
      <c r="Q160" s="3529"/>
      <c r="R160" s="3529"/>
      <c r="S160" s="3529"/>
      <c r="T160" s="3529"/>
      <c r="U160" s="3529"/>
      <c r="V160" s="3529"/>
      <c r="W160" s="3529"/>
      <c r="X160" s="3529"/>
      <c r="Y160" s="3529"/>
      <c r="Z160" s="3529"/>
      <c r="AA160" s="3529"/>
      <c r="AB160" s="3529"/>
      <c r="AC160" s="3529"/>
      <c r="AD160" s="3529"/>
      <c r="AE160" s="3529"/>
      <c r="AF160" s="3529"/>
      <c r="AG160" s="3529"/>
      <c r="AH160" s="3529"/>
      <c r="AI160" s="3529"/>
      <c r="AJ160" s="3529"/>
      <c r="AK160" s="3529"/>
      <c r="AL160" s="3529"/>
      <c r="AM160" s="3529"/>
      <c r="AN160" s="1325"/>
    </row>
    <row r="161" spans="2:40" s="115" customFormat="1" ht="36" customHeight="1">
      <c r="B161" s="3484" t="s">
        <v>2104</v>
      </c>
      <c r="C161" s="3431"/>
      <c r="D161" s="3431"/>
      <c r="E161" s="3431"/>
      <c r="F161" s="3431"/>
      <c r="G161" s="3431"/>
      <c r="H161" s="3431"/>
      <c r="I161" s="3431"/>
      <c r="J161" s="3431"/>
      <c r="K161" s="3431"/>
      <c r="L161" s="3431"/>
      <c r="M161" s="3431"/>
      <c r="N161" s="3431"/>
      <c r="O161" s="3431"/>
      <c r="P161" s="3431"/>
      <c r="Q161" s="3431"/>
      <c r="R161" s="3431"/>
      <c r="S161" s="3431"/>
      <c r="T161" s="3431"/>
      <c r="U161" s="3431"/>
      <c r="V161" s="3431"/>
      <c r="W161" s="3431"/>
      <c r="X161" s="3431"/>
      <c r="Y161" s="3431"/>
      <c r="Z161" s="3431"/>
      <c r="AA161" s="3431"/>
      <c r="AB161" s="3431"/>
      <c r="AC161" s="3431"/>
      <c r="AD161" s="3431"/>
      <c r="AE161" s="3431"/>
      <c r="AF161" s="3431"/>
      <c r="AG161" s="3431"/>
      <c r="AH161" s="3431"/>
      <c r="AI161" s="3431"/>
      <c r="AJ161" s="3431"/>
      <c r="AK161" s="3431"/>
      <c r="AL161" s="3431"/>
      <c r="AM161" s="3431"/>
      <c r="AN161" s="1325"/>
    </row>
    <row r="162" spans="2:40" s="115" customFormat="1" ht="36" customHeight="1">
      <c r="B162" s="3445"/>
      <c r="C162" s="3445"/>
      <c r="D162" s="3445"/>
      <c r="E162" s="3445"/>
      <c r="F162" s="3445"/>
      <c r="G162" s="3445"/>
      <c r="H162" s="3445"/>
      <c r="I162" s="3445"/>
      <c r="J162" s="3445"/>
      <c r="K162" s="3445"/>
      <c r="L162" s="3445"/>
      <c r="M162" s="3445"/>
      <c r="N162" s="3445"/>
      <c r="O162" s="3445"/>
      <c r="P162" s="3445"/>
      <c r="Q162" s="3445"/>
      <c r="R162" s="3445"/>
      <c r="S162" s="3445"/>
      <c r="T162" s="3445"/>
      <c r="U162" s="3445"/>
      <c r="V162" s="3445"/>
      <c r="W162" s="3445"/>
      <c r="X162" s="3445"/>
      <c r="Y162" s="3445"/>
      <c r="Z162" s="3445"/>
      <c r="AA162" s="3445"/>
      <c r="AB162" s="3445"/>
      <c r="AC162" s="3445"/>
      <c r="AD162" s="3445"/>
      <c r="AE162" s="3445"/>
      <c r="AF162" s="3445"/>
      <c r="AG162" s="3445"/>
      <c r="AH162" s="3445"/>
      <c r="AI162" s="3445"/>
      <c r="AJ162" s="3445"/>
      <c r="AK162" s="3445"/>
      <c r="AL162" s="3445"/>
      <c r="AM162" s="3480"/>
      <c r="AN162" s="1325"/>
    </row>
    <row r="163" spans="2:40" s="115" customFormat="1" ht="18" customHeight="1">
      <c r="B163" s="3484" t="s">
        <v>2105</v>
      </c>
      <c r="C163" s="3431"/>
      <c r="D163" s="3431"/>
      <c r="E163" s="3431"/>
      <c r="F163" s="3431"/>
      <c r="G163" s="3431"/>
      <c r="H163" s="3431"/>
      <c r="I163" s="3431"/>
      <c r="J163" s="3431"/>
      <c r="K163" s="3431"/>
      <c r="L163" s="3431"/>
      <c r="M163" s="3431"/>
      <c r="N163" s="3431"/>
      <c r="O163" s="3431"/>
      <c r="P163" s="3431"/>
      <c r="Q163" s="3431"/>
      <c r="R163" s="3431"/>
      <c r="S163" s="3431"/>
      <c r="T163" s="3431"/>
      <c r="U163" s="3431"/>
      <c r="V163" s="3431"/>
      <c r="W163" s="3431"/>
      <c r="X163" s="3431"/>
      <c r="Y163" s="3431"/>
      <c r="Z163" s="3431"/>
      <c r="AA163" s="3431"/>
      <c r="AB163" s="3431"/>
      <c r="AC163" s="3431"/>
      <c r="AD163" s="3431"/>
      <c r="AE163" s="3431"/>
      <c r="AF163" s="3431"/>
      <c r="AG163" s="3431"/>
      <c r="AH163" s="3431"/>
      <c r="AI163" s="3431"/>
      <c r="AJ163" s="3431"/>
      <c r="AK163" s="3431"/>
      <c r="AL163" s="3431"/>
      <c r="AM163" s="3431"/>
      <c r="AN163" s="1325"/>
    </row>
    <row r="164" spans="2:40" s="115" customFormat="1" ht="36" customHeight="1">
      <c r="B164" s="3445"/>
      <c r="C164" s="3445"/>
      <c r="D164" s="3445"/>
      <c r="E164" s="3445"/>
      <c r="F164" s="3445"/>
      <c r="G164" s="3445"/>
      <c r="H164" s="3445"/>
      <c r="I164" s="3445"/>
      <c r="J164" s="3445"/>
      <c r="K164" s="3445"/>
      <c r="L164" s="3445"/>
      <c r="M164" s="3445"/>
      <c r="N164" s="3445"/>
      <c r="O164" s="3445"/>
      <c r="P164" s="3445"/>
      <c r="Q164" s="3445"/>
      <c r="R164" s="3445"/>
      <c r="S164" s="3445"/>
      <c r="T164" s="3445"/>
      <c r="U164" s="3445"/>
      <c r="V164" s="3445"/>
      <c r="W164" s="3445"/>
      <c r="X164" s="3445"/>
      <c r="Y164" s="3445"/>
      <c r="Z164" s="3445"/>
      <c r="AA164" s="3445"/>
      <c r="AB164" s="3445"/>
      <c r="AC164" s="3445"/>
      <c r="AD164" s="3445"/>
      <c r="AE164" s="3445"/>
      <c r="AF164" s="3445"/>
      <c r="AG164" s="3445"/>
      <c r="AH164" s="3445"/>
      <c r="AI164" s="3445"/>
      <c r="AJ164" s="3445"/>
      <c r="AK164" s="3445"/>
      <c r="AL164" s="3445"/>
      <c r="AM164" s="3480"/>
      <c r="AN164" s="1325"/>
    </row>
    <row r="165" spans="2:40" s="115" customFormat="1" ht="18" customHeight="1">
      <c r="B165" s="3484" t="s">
        <v>2106</v>
      </c>
      <c r="C165" s="3431"/>
      <c r="D165" s="3431"/>
      <c r="E165" s="3431"/>
      <c r="F165" s="3431"/>
      <c r="G165" s="3431"/>
      <c r="H165" s="3431"/>
      <c r="I165" s="3431"/>
      <c r="J165" s="3431"/>
      <c r="K165" s="3431"/>
      <c r="L165" s="3431"/>
      <c r="M165" s="3431"/>
      <c r="N165" s="3431"/>
      <c r="O165" s="3431"/>
      <c r="P165" s="3431"/>
      <c r="Q165" s="3431"/>
      <c r="R165" s="3431"/>
      <c r="S165" s="3431"/>
      <c r="T165" s="3431"/>
      <c r="U165" s="3431"/>
      <c r="V165" s="3431"/>
      <c r="W165" s="3431"/>
      <c r="X165" s="3431"/>
      <c r="Y165" s="3431"/>
      <c r="Z165" s="3431"/>
      <c r="AA165" s="3431"/>
      <c r="AB165" s="3431"/>
      <c r="AC165" s="3431"/>
      <c r="AD165" s="3431"/>
      <c r="AE165" s="3431"/>
      <c r="AF165" s="3431"/>
      <c r="AG165" s="3431"/>
      <c r="AH165" s="3431"/>
      <c r="AI165" s="3431"/>
      <c r="AJ165" s="3431"/>
      <c r="AK165" s="3431"/>
      <c r="AL165" s="3431"/>
      <c r="AM165" s="3431"/>
      <c r="AN165" s="1321"/>
    </row>
    <row r="166" spans="2:40" s="115" customFormat="1" ht="36" customHeight="1">
      <c r="B166" s="3445"/>
      <c r="C166" s="3445"/>
      <c r="D166" s="3445"/>
      <c r="E166" s="3445"/>
      <c r="F166" s="3445"/>
      <c r="G166" s="3445"/>
      <c r="H166" s="3445"/>
      <c r="I166" s="3445"/>
      <c r="J166" s="3445"/>
      <c r="K166" s="3445"/>
      <c r="L166" s="3445"/>
      <c r="M166" s="3445"/>
      <c r="N166" s="3445"/>
      <c r="O166" s="3445"/>
      <c r="P166" s="3445"/>
      <c r="Q166" s="3445"/>
      <c r="R166" s="3445"/>
      <c r="S166" s="3445"/>
      <c r="T166" s="3445"/>
      <c r="U166" s="3445"/>
      <c r="V166" s="3445"/>
      <c r="W166" s="3445"/>
      <c r="X166" s="3445"/>
      <c r="Y166" s="3445"/>
      <c r="Z166" s="3445"/>
      <c r="AA166" s="3445"/>
      <c r="AB166" s="3445"/>
      <c r="AC166" s="3445"/>
      <c r="AD166" s="3445"/>
      <c r="AE166" s="3445"/>
      <c r="AF166" s="3445"/>
      <c r="AG166" s="3445"/>
      <c r="AH166" s="3445"/>
      <c r="AI166" s="3445"/>
      <c r="AJ166" s="3445"/>
      <c r="AK166" s="3445"/>
      <c r="AL166" s="3445"/>
      <c r="AM166" s="3480"/>
      <c r="AN166" s="1325"/>
    </row>
    <row r="167" spans="2:40" s="115" customFormat="1" ht="36" customHeight="1">
      <c r="B167" s="3484" t="s">
        <v>2107</v>
      </c>
      <c r="C167" s="3431"/>
      <c r="D167" s="3431"/>
      <c r="E167" s="3431"/>
      <c r="F167" s="3431"/>
      <c r="G167" s="3431"/>
      <c r="H167" s="3431"/>
      <c r="I167" s="3431"/>
      <c r="J167" s="3431"/>
      <c r="K167" s="3431"/>
      <c r="L167" s="3431"/>
      <c r="M167" s="3431"/>
      <c r="N167" s="3431"/>
      <c r="O167" s="3431"/>
      <c r="P167" s="3431"/>
      <c r="Q167" s="3431"/>
      <c r="R167" s="3431"/>
      <c r="S167" s="3431"/>
      <c r="T167" s="3431"/>
      <c r="U167" s="3431"/>
      <c r="V167" s="3431"/>
      <c r="W167" s="3431"/>
      <c r="X167" s="3431"/>
      <c r="Y167" s="3431"/>
      <c r="Z167" s="3431"/>
      <c r="AA167" s="3431"/>
      <c r="AB167" s="3431"/>
      <c r="AC167" s="3431"/>
      <c r="AD167" s="3431"/>
      <c r="AE167" s="3431"/>
      <c r="AF167" s="3431"/>
      <c r="AG167" s="3431"/>
      <c r="AH167" s="3431"/>
      <c r="AI167" s="3431"/>
      <c r="AJ167" s="3431"/>
      <c r="AK167" s="3431"/>
      <c r="AL167" s="3431"/>
      <c r="AM167" s="3431"/>
      <c r="AN167" s="1325"/>
    </row>
    <row r="168" spans="2:40" s="115" customFormat="1" ht="36" customHeight="1">
      <c r="B168" s="3445"/>
      <c r="C168" s="3445"/>
      <c r="D168" s="3445"/>
      <c r="E168" s="3445"/>
      <c r="F168" s="3445"/>
      <c r="G168" s="3445"/>
      <c r="H168" s="3445"/>
      <c r="I168" s="3445"/>
      <c r="J168" s="3445"/>
      <c r="K168" s="3445"/>
      <c r="L168" s="3445"/>
      <c r="M168" s="3445"/>
      <c r="N168" s="3445"/>
      <c r="O168" s="3445"/>
      <c r="P168" s="3445"/>
      <c r="Q168" s="3445"/>
      <c r="R168" s="3445"/>
      <c r="S168" s="3445"/>
      <c r="T168" s="3445"/>
      <c r="U168" s="3445"/>
      <c r="V168" s="3445"/>
      <c r="W168" s="3445"/>
      <c r="X168" s="3445"/>
      <c r="Y168" s="3445"/>
      <c r="Z168" s="3445"/>
      <c r="AA168" s="3445"/>
      <c r="AB168" s="3445"/>
      <c r="AC168" s="3445"/>
      <c r="AD168" s="3445"/>
      <c r="AE168" s="3445"/>
      <c r="AF168" s="3445"/>
      <c r="AG168" s="3445"/>
      <c r="AH168" s="3445"/>
      <c r="AI168" s="3445"/>
      <c r="AJ168" s="3445"/>
      <c r="AK168" s="3445"/>
      <c r="AL168" s="3445"/>
      <c r="AM168" s="3480"/>
      <c r="AN168" s="1325"/>
    </row>
    <row r="169" spans="2:40" s="115" customFormat="1" ht="36" customHeight="1">
      <c r="B169" s="3484" t="s">
        <v>2108</v>
      </c>
      <c r="C169" s="3431"/>
      <c r="D169" s="3431"/>
      <c r="E169" s="3431"/>
      <c r="F169" s="3431"/>
      <c r="G169" s="3431"/>
      <c r="H169" s="3431"/>
      <c r="I169" s="3431"/>
      <c r="J169" s="3431"/>
      <c r="K169" s="3431"/>
      <c r="L169" s="3431"/>
      <c r="M169" s="3431"/>
      <c r="N169" s="3431"/>
      <c r="O169" s="3431"/>
      <c r="P169" s="3431"/>
      <c r="Q169" s="3431"/>
      <c r="R169" s="3431"/>
      <c r="S169" s="3431"/>
      <c r="T169" s="3431"/>
      <c r="U169" s="3431"/>
      <c r="V169" s="3431"/>
      <c r="W169" s="3431"/>
      <c r="X169" s="3431"/>
      <c r="Y169" s="3431"/>
      <c r="Z169" s="3431"/>
      <c r="AA169" s="3431"/>
      <c r="AB169" s="3431"/>
      <c r="AC169" s="3431"/>
      <c r="AD169" s="3431"/>
      <c r="AE169" s="3431"/>
      <c r="AF169" s="3431"/>
      <c r="AG169" s="3431"/>
      <c r="AH169" s="3431"/>
      <c r="AI169" s="3431"/>
      <c r="AJ169" s="3431"/>
      <c r="AK169" s="3431"/>
      <c r="AL169" s="3431"/>
      <c r="AM169" s="3431"/>
      <c r="AN169" s="1325"/>
    </row>
    <row r="170" spans="2:40" s="115" customFormat="1" ht="36" customHeight="1">
      <c r="B170" s="3445"/>
      <c r="C170" s="3445"/>
      <c r="D170" s="3445"/>
      <c r="E170" s="3445"/>
      <c r="F170" s="3445"/>
      <c r="G170" s="3445"/>
      <c r="H170" s="3445"/>
      <c r="I170" s="3445"/>
      <c r="J170" s="3445"/>
      <c r="K170" s="3445"/>
      <c r="L170" s="3445"/>
      <c r="M170" s="3445"/>
      <c r="N170" s="3445"/>
      <c r="O170" s="3445"/>
      <c r="P170" s="3445"/>
      <c r="Q170" s="3445"/>
      <c r="R170" s="3445"/>
      <c r="S170" s="3445"/>
      <c r="T170" s="3445"/>
      <c r="U170" s="3445"/>
      <c r="V170" s="3445"/>
      <c r="W170" s="3445"/>
      <c r="X170" s="3445"/>
      <c r="Y170" s="3445"/>
      <c r="Z170" s="3445"/>
      <c r="AA170" s="3445"/>
      <c r="AB170" s="3445"/>
      <c r="AC170" s="3445"/>
      <c r="AD170" s="3445"/>
      <c r="AE170" s="3445"/>
      <c r="AF170" s="3445"/>
      <c r="AG170" s="3445"/>
      <c r="AH170" s="3445"/>
      <c r="AI170" s="3445"/>
      <c r="AJ170" s="3445"/>
      <c r="AK170" s="3445"/>
      <c r="AL170" s="3445"/>
      <c r="AM170" s="3480"/>
      <c r="AN170" s="1325"/>
    </row>
    <row r="171" spans="2:40" s="115" customFormat="1" ht="18" customHeight="1">
      <c r="B171" s="3652" t="s">
        <v>1954</v>
      </c>
      <c r="C171" s="3653"/>
      <c r="D171" s="3653"/>
      <c r="E171" s="3653"/>
      <c r="F171" s="3653"/>
      <c r="G171" s="3653"/>
      <c r="H171" s="3653"/>
      <c r="I171" s="3653"/>
      <c r="J171" s="3653"/>
      <c r="K171" s="3653"/>
      <c r="L171" s="3653"/>
      <c r="M171" s="3653"/>
      <c r="N171" s="3653"/>
      <c r="O171" s="3653"/>
      <c r="P171" s="3653"/>
      <c r="Q171" s="3653"/>
      <c r="R171" s="3653"/>
      <c r="S171" s="3653"/>
      <c r="T171" s="3653"/>
      <c r="U171" s="3653"/>
      <c r="V171" s="3653"/>
      <c r="W171" s="3653"/>
      <c r="X171" s="3653"/>
      <c r="Y171" s="3653"/>
      <c r="Z171" s="3653"/>
      <c r="AA171" s="3653"/>
      <c r="AB171" s="3653"/>
      <c r="AC171" s="3653"/>
      <c r="AD171" s="3653"/>
      <c r="AE171" s="3653"/>
      <c r="AF171" s="3653"/>
      <c r="AG171" s="3653"/>
      <c r="AH171" s="3653"/>
      <c r="AI171" s="3653"/>
      <c r="AJ171" s="3653"/>
      <c r="AK171" s="3653"/>
      <c r="AL171" s="3653"/>
      <c r="AM171" s="3653"/>
      <c r="AN171" s="1321"/>
    </row>
    <row r="172" spans="2:40" s="114" customFormat="1" ht="18" customHeight="1">
      <c r="B172" s="2507" t="s">
        <v>2109</v>
      </c>
      <c r="C172" s="2507"/>
      <c r="D172" s="2507"/>
      <c r="E172" s="2507"/>
      <c r="F172" s="2507"/>
      <c r="G172" s="2507"/>
      <c r="H172" s="2507"/>
      <c r="I172" s="2507"/>
      <c r="J172" s="2507"/>
      <c r="K172" s="2507"/>
      <c r="L172" s="2507"/>
      <c r="M172" s="2507"/>
      <c r="N172" s="2507"/>
      <c r="O172" s="2507"/>
      <c r="P172" s="2507"/>
      <c r="Q172" s="2507"/>
      <c r="R172" s="2507"/>
      <c r="S172" s="2507"/>
      <c r="T172" s="2507"/>
      <c r="U172" s="2507"/>
      <c r="V172" s="2507"/>
      <c r="W172" s="2507"/>
      <c r="X172" s="2507"/>
      <c r="Y172" s="2507"/>
      <c r="Z172" s="2507"/>
      <c r="AA172" s="2507"/>
      <c r="AB172" s="2507"/>
      <c r="AC172" s="2507"/>
      <c r="AD172" s="2507"/>
      <c r="AE172" s="2507"/>
      <c r="AF172" s="2507"/>
      <c r="AG172" s="2507"/>
      <c r="AH172" s="2507"/>
      <c r="AI172" s="2507"/>
      <c r="AJ172" s="2507"/>
      <c r="AK172" s="2507"/>
      <c r="AL172" s="2507"/>
      <c r="AM172" s="2513"/>
      <c r="AN172" s="1325"/>
    </row>
    <row r="173" spans="2:40" s="115" customFormat="1" ht="36" customHeight="1">
      <c r="B173" s="3445"/>
      <c r="C173" s="3445"/>
      <c r="D173" s="3445"/>
      <c r="E173" s="3445"/>
      <c r="F173" s="3445"/>
      <c r="G173" s="3445"/>
      <c r="H173" s="3445"/>
      <c r="I173" s="3445"/>
      <c r="J173" s="3445"/>
      <c r="K173" s="3445"/>
      <c r="L173" s="3445"/>
      <c r="M173" s="3445"/>
      <c r="N173" s="3445"/>
      <c r="O173" s="3445"/>
      <c r="P173" s="3445"/>
      <c r="Q173" s="3445"/>
      <c r="R173" s="3445"/>
      <c r="S173" s="3445"/>
      <c r="T173" s="3445"/>
      <c r="U173" s="3445"/>
      <c r="V173" s="3445"/>
      <c r="W173" s="3445"/>
      <c r="X173" s="3445"/>
      <c r="Y173" s="3445"/>
      <c r="Z173" s="3445"/>
      <c r="AA173" s="3445"/>
      <c r="AB173" s="3445"/>
      <c r="AC173" s="3445"/>
      <c r="AD173" s="3445"/>
      <c r="AE173" s="3445"/>
      <c r="AF173" s="3445"/>
      <c r="AG173" s="3445"/>
      <c r="AH173" s="3445"/>
      <c r="AI173" s="3445"/>
      <c r="AJ173" s="3445"/>
      <c r="AK173" s="3445"/>
      <c r="AL173" s="3445"/>
      <c r="AM173" s="3480"/>
      <c r="AN173" s="1321"/>
    </row>
    <row r="174" spans="2:40" s="115" customFormat="1" ht="18" customHeight="1">
      <c r="B174" s="2513" t="s">
        <v>2110</v>
      </c>
      <c r="C174" s="2514"/>
      <c r="D174" s="2514"/>
      <c r="E174" s="2514"/>
      <c r="F174" s="2514"/>
      <c r="G174" s="2514"/>
      <c r="H174" s="2514"/>
      <c r="I174" s="2514"/>
      <c r="J174" s="2514"/>
      <c r="K174" s="2514"/>
      <c r="L174" s="2514"/>
      <c r="M174" s="2514"/>
      <c r="N174" s="2514"/>
      <c r="O174" s="2514"/>
      <c r="P174" s="2514"/>
      <c r="Q174" s="2514"/>
      <c r="R174" s="2514"/>
      <c r="S174" s="2514"/>
      <c r="T174" s="2514"/>
      <c r="U174" s="2514"/>
      <c r="V174" s="2514"/>
      <c r="W174" s="2514"/>
      <c r="X174" s="2514"/>
      <c r="Y174" s="2514"/>
      <c r="Z174" s="2514"/>
      <c r="AA174" s="2514"/>
      <c r="AB174" s="2514"/>
      <c r="AC174" s="2514"/>
      <c r="AD174" s="2514"/>
      <c r="AE174" s="2514"/>
      <c r="AF174" s="2514"/>
      <c r="AG174" s="2514"/>
      <c r="AH174" s="2514"/>
      <c r="AI174" s="2514"/>
      <c r="AJ174" s="2514"/>
      <c r="AK174" s="2514"/>
      <c r="AL174" s="2514"/>
      <c r="AM174" s="2514"/>
      <c r="AN174" s="1325"/>
    </row>
    <row r="175" spans="2:40" s="115" customFormat="1" ht="36" customHeight="1">
      <c r="B175" s="3445"/>
      <c r="C175" s="3445"/>
      <c r="D175" s="3445"/>
      <c r="E175" s="3445"/>
      <c r="F175" s="3445"/>
      <c r="G175" s="3445"/>
      <c r="H175" s="3445"/>
      <c r="I175" s="3445"/>
      <c r="J175" s="3445"/>
      <c r="K175" s="3445"/>
      <c r="L175" s="3445"/>
      <c r="M175" s="3445"/>
      <c r="N175" s="3445"/>
      <c r="O175" s="3445"/>
      <c r="P175" s="3445"/>
      <c r="Q175" s="3445"/>
      <c r="R175" s="3445"/>
      <c r="S175" s="3445"/>
      <c r="T175" s="3445"/>
      <c r="U175" s="3445"/>
      <c r="V175" s="3445"/>
      <c r="W175" s="3445"/>
      <c r="X175" s="3445"/>
      <c r="Y175" s="3445"/>
      <c r="Z175" s="3445"/>
      <c r="AA175" s="3445"/>
      <c r="AB175" s="3445"/>
      <c r="AC175" s="3445"/>
      <c r="AD175" s="3445"/>
      <c r="AE175" s="3445"/>
      <c r="AF175" s="3445"/>
      <c r="AG175" s="3445"/>
      <c r="AH175" s="3445"/>
      <c r="AI175" s="3445"/>
      <c r="AJ175" s="3445"/>
      <c r="AK175" s="3445"/>
      <c r="AL175" s="3445"/>
      <c r="AM175" s="3480"/>
      <c r="AN175" s="1321"/>
    </row>
    <row r="176" spans="2:40" s="114" customFormat="1" ht="18" customHeight="1">
      <c r="B176" s="3498" t="s">
        <v>2111</v>
      </c>
      <c r="C176" s="3499"/>
      <c r="D176" s="3499"/>
      <c r="E176" s="3499"/>
      <c r="F176" s="3499"/>
      <c r="G176" s="3499"/>
      <c r="H176" s="3499"/>
      <c r="I176" s="3499"/>
      <c r="J176" s="3499"/>
      <c r="K176" s="3499"/>
      <c r="L176" s="3499"/>
      <c r="M176" s="3499"/>
      <c r="N176" s="3499"/>
      <c r="O176" s="3499"/>
      <c r="P176" s="3499"/>
      <c r="Q176" s="3499"/>
      <c r="R176" s="3499"/>
      <c r="S176" s="3499"/>
      <c r="T176" s="3499"/>
      <c r="U176" s="3499"/>
      <c r="V176" s="3499"/>
      <c r="W176" s="3499"/>
      <c r="X176" s="3499"/>
      <c r="Y176" s="3499"/>
      <c r="Z176" s="3499"/>
      <c r="AA176" s="3499"/>
      <c r="AB176" s="3499"/>
      <c r="AC176" s="3499"/>
      <c r="AD176" s="3499"/>
      <c r="AE176" s="3499"/>
      <c r="AF176" s="3499"/>
      <c r="AG176" s="3499"/>
      <c r="AH176" s="3499"/>
      <c r="AI176" s="3499"/>
      <c r="AJ176" s="3499"/>
      <c r="AK176" s="3499"/>
      <c r="AL176" s="3499"/>
      <c r="AM176" s="3499"/>
      <c r="AN176" s="1325"/>
    </row>
    <row r="177" spans="2:40" s="115" customFormat="1" ht="36" customHeight="1">
      <c r="B177" s="3445"/>
      <c r="C177" s="3445"/>
      <c r="D177" s="3445"/>
      <c r="E177" s="3445"/>
      <c r="F177" s="3445"/>
      <c r="G177" s="3445"/>
      <c r="H177" s="3445"/>
      <c r="I177" s="3445"/>
      <c r="J177" s="3445"/>
      <c r="K177" s="3445"/>
      <c r="L177" s="3445"/>
      <c r="M177" s="3445"/>
      <c r="N177" s="3445"/>
      <c r="O177" s="3445"/>
      <c r="P177" s="3445"/>
      <c r="Q177" s="3445"/>
      <c r="R177" s="3445"/>
      <c r="S177" s="3445"/>
      <c r="T177" s="3445"/>
      <c r="U177" s="3445"/>
      <c r="V177" s="3445"/>
      <c r="W177" s="3445"/>
      <c r="X177" s="3445"/>
      <c r="Y177" s="3445"/>
      <c r="Z177" s="3445"/>
      <c r="AA177" s="3445"/>
      <c r="AB177" s="3445"/>
      <c r="AC177" s="3445"/>
      <c r="AD177" s="3445"/>
      <c r="AE177" s="3445"/>
      <c r="AF177" s="3445"/>
      <c r="AG177" s="3445"/>
      <c r="AH177" s="3445"/>
      <c r="AI177" s="3445"/>
      <c r="AJ177" s="3445"/>
      <c r="AK177" s="3445"/>
      <c r="AL177" s="3445"/>
      <c r="AM177" s="3480"/>
      <c r="AN177" s="1321"/>
    </row>
    <row r="178" spans="2:40" s="114" customFormat="1" ht="18" customHeight="1">
      <c r="B178" s="3498" t="s">
        <v>2112</v>
      </c>
      <c r="C178" s="3499"/>
      <c r="D178" s="3499"/>
      <c r="E178" s="3499"/>
      <c r="F178" s="3499"/>
      <c r="G178" s="3499"/>
      <c r="H178" s="3499"/>
      <c r="I178" s="3499"/>
      <c r="J178" s="3499"/>
      <c r="K178" s="3499"/>
      <c r="L178" s="3499"/>
      <c r="M178" s="3499"/>
      <c r="N178" s="3499"/>
      <c r="O178" s="3499"/>
      <c r="P178" s="3499"/>
      <c r="Q178" s="3499"/>
      <c r="R178" s="3499"/>
      <c r="S178" s="3499"/>
      <c r="T178" s="3499"/>
      <c r="U178" s="3499"/>
      <c r="V178" s="3499"/>
      <c r="W178" s="3499"/>
      <c r="X178" s="3499"/>
      <c r="Y178" s="3499"/>
      <c r="Z178" s="3499"/>
      <c r="AA178" s="3499"/>
      <c r="AB178" s="3499"/>
      <c r="AC178" s="3499"/>
      <c r="AD178" s="3499"/>
      <c r="AE178" s="3499"/>
      <c r="AF178" s="3499"/>
      <c r="AG178" s="3499"/>
      <c r="AH178" s="3499"/>
      <c r="AI178" s="3499"/>
      <c r="AJ178" s="3499"/>
      <c r="AK178" s="3499"/>
      <c r="AL178" s="3499"/>
      <c r="AM178" s="3499"/>
      <c r="AN178" s="1325"/>
    </row>
    <row r="179" spans="2:40" s="115" customFormat="1" ht="36" customHeight="1">
      <c r="B179" s="3445"/>
      <c r="C179" s="3445"/>
      <c r="D179" s="3445"/>
      <c r="E179" s="3445"/>
      <c r="F179" s="3445"/>
      <c r="G179" s="3445"/>
      <c r="H179" s="3445"/>
      <c r="I179" s="3445"/>
      <c r="J179" s="3445"/>
      <c r="K179" s="3445"/>
      <c r="L179" s="3445"/>
      <c r="M179" s="3445"/>
      <c r="N179" s="3445"/>
      <c r="O179" s="3445"/>
      <c r="P179" s="3445"/>
      <c r="Q179" s="3445"/>
      <c r="R179" s="3445"/>
      <c r="S179" s="3445"/>
      <c r="T179" s="3445"/>
      <c r="U179" s="3445"/>
      <c r="V179" s="3445"/>
      <c r="W179" s="3445"/>
      <c r="X179" s="3445"/>
      <c r="Y179" s="3445"/>
      <c r="Z179" s="3445"/>
      <c r="AA179" s="3445"/>
      <c r="AB179" s="3445"/>
      <c r="AC179" s="3445"/>
      <c r="AD179" s="3445"/>
      <c r="AE179" s="3445"/>
      <c r="AF179" s="3445"/>
      <c r="AG179" s="3445"/>
      <c r="AH179" s="3445"/>
      <c r="AI179" s="3445"/>
      <c r="AJ179" s="3445"/>
      <c r="AK179" s="3445"/>
      <c r="AL179" s="3445"/>
      <c r="AM179" s="3480"/>
      <c r="AN179" s="1321"/>
    </row>
    <row r="180" spans="2:40" s="114" customFormat="1" ht="18" customHeight="1">
      <c r="B180" s="3498" t="s">
        <v>2113</v>
      </c>
      <c r="C180" s="3499"/>
      <c r="D180" s="3499"/>
      <c r="E180" s="3499"/>
      <c r="F180" s="3499"/>
      <c r="G180" s="3499"/>
      <c r="H180" s="3499"/>
      <c r="I180" s="3499"/>
      <c r="J180" s="3499"/>
      <c r="K180" s="3499"/>
      <c r="L180" s="3499"/>
      <c r="M180" s="3499"/>
      <c r="N180" s="3499"/>
      <c r="O180" s="3499"/>
      <c r="P180" s="3499"/>
      <c r="Q180" s="3499"/>
      <c r="R180" s="3499"/>
      <c r="S180" s="3499"/>
      <c r="T180" s="3499"/>
      <c r="U180" s="3499"/>
      <c r="V180" s="3499"/>
      <c r="W180" s="3499"/>
      <c r="X180" s="3499"/>
      <c r="Y180" s="3499"/>
      <c r="Z180" s="3499"/>
      <c r="AA180" s="3499"/>
      <c r="AB180" s="3499"/>
      <c r="AC180" s="3499"/>
      <c r="AD180" s="3499"/>
      <c r="AE180" s="3499"/>
      <c r="AF180" s="3499"/>
      <c r="AG180" s="3499"/>
      <c r="AH180" s="3499"/>
      <c r="AI180" s="3499"/>
      <c r="AJ180" s="3499"/>
      <c r="AK180" s="3499"/>
      <c r="AL180" s="3499"/>
      <c r="AM180" s="3499"/>
      <c r="AN180" s="1325"/>
    </row>
    <row r="181" spans="2:40" s="115" customFormat="1" ht="36" customHeight="1">
      <c r="B181" s="3445"/>
      <c r="C181" s="3445"/>
      <c r="D181" s="3445"/>
      <c r="E181" s="3445"/>
      <c r="F181" s="3445"/>
      <c r="G181" s="3445"/>
      <c r="H181" s="3445"/>
      <c r="I181" s="3445"/>
      <c r="J181" s="3445"/>
      <c r="K181" s="3445"/>
      <c r="L181" s="3445"/>
      <c r="M181" s="3445"/>
      <c r="N181" s="3445"/>
      <c r="O181" s="3445"/>
      <c r="P181" s="3445"/>
      <c r="Q181" s="3445"/>
      <c r="R181" s="3445"/>
      <c r="S181" s="3445"/>
      <c r="T181" s="3445"/>
      <c r="U181" s="3445"/>
      <c r="V181" s="3445"/>
      <c r="W181" s="3445"/>
      <c r="X181" s="3445"/>
      <c r="Y181" s="3445"/>
      <c r="Z181" s="3445"/>
      <c r="AA181" s="3445"/>
      <c r="AB181" s="3445"/>
      <c r="AC181" s="3445"/>
      <c r="AD181" s="3445"/>
      <c r="AE181" s="3445"/>
      <c r="AF181" s="3445"/>
      <c r="AG181" s="3445"/>
      <c r="AH181" s="3445"/>
      <c r="AI181" s="3445"/>
      <c r="AJ181" s="3445"/>
      <c r="AK181" s="3445"/>
      <c r="AL181" s="3445"/>
      <c r="AM181" s="3480"/>
      <c r="AN181" s="1325"/>
    </row>
    <row r="182" spans="2:40" s="114" customFormat="1" ht="18" customHeight="1">
      <c r="B182" s="3498" t="s">
        <v>2114</v>
      </c>
      <c r="C182" s="3499"/>
      <c r="D182" s="3499"/>
      <c r="E182" s="3499"/>
      <c r="F182" s="3499"/>
      <c r="G182" s="3499"/>
      <c r="H182" s="3499"/>
      <c r="I182" s="3499"/>
      <c r="J182" s="3499"/>
      <c r="K182" s="3499"/>
      <c r="L182" s="3499"/>
      <c r="M182" s="3499"/>
      <c r="N182" s="3499"/>
      <c r="O182" s="3499"/>
      <c r="P182" s="3499"/>
      <c r="Q182" s="3499"/>
      <c r="R182" s="3499"/>
      <c r="S182" s="3499"/>
      <c r="T182" s="3499"/>
      <c r="U182" s="3499"/>
      <c r="V182" s="3499"/>
      <c r="W182" s="3499"/>
      <c r="X182" s="3499"/>
      <c r="Y182" s="3499"/>
      <c r="Z182" s="3499"/>
      <c r="AA182" s="3499"/>
      <c r="AB182" s="3499"/>
      <c r="AC182" s="3499"/>
      <c r="AD182" s="3499"/>
      <c r="AE182" s="3499"/>
      <c r="AF182" s="3499"/>
      <c r="AG182" s="3499"/>
      <c r="AH182" s="3499"/>
      <c r="AI182" s="3499"/>
      <c r="AJ182" s="3499"/>
      <c r="AK182" s="3499"/>
      <c r="AL182" s="3499"/>
      <c r="AM182" s="3499"/>
      <c r="AN182" s="1123"/>
    </row>
    <row r="183" spans="2:40" s="115" customFormat="1" ht="36" customHeight="1">
      <c r="B183" s="3445"/>
      <c r="C183" s="3445"/>
      <c r="D183" s="3445"/>
      <c r="E183" s="3445"/>
      <c r="F183" s="3445"/>
      <c r="G183" s="3445"/>
      <c r="H183" s="3445"/>
      <c r="I183" s="3445"/>
      <c r="J183" s="3445"/>
      <c r="K183" s="3445"/>
      <c r="L183" s="3445"/>
      <c r="M183" s="3445"/>
      <c r="N183" s="3445"/>
      <c r="O183" s="3445"/>
      <c r="P183" s="3445"/>
      <c r="Q183" s="3445"/>
      <c r="R183" s="3445"/>
      <c r="S183" s="3445"/>
      <c r="T183" s="3445"/>
      <c r="U183" s="3445"/>
      <c r="V183" s="3445"/>
      <c r="W183" s="3445"/>
      <c r="X183" s="3445"/>
      <c r="Y183" s="3445"/>
      <c r="Z183" s="3445"/>
      <c r="AA183" s="3445"/>
      <c r="AB183" s="3445"/>
      <c r="AC183" s="3445"/>
      <c r="AD183" s="3445"/>
      <c r="AE183" s="3445"/>
      <c r="AF183" s="3445"/>
      <c r="AG183" s="3445"/>
      <c r="AH183" s="3445"/>
      <c r="AI183" s="3445"/>
      <c r="AJ183" s="3445"/>
      <c r="AK183" s="3445"/>
      <c r="AL183" s="3445"/>
      <c r="AM183" s="3480"/>
      <c r="AN183" s="1123"/>
    </row>
    <row r="184" spans="2:40" s="114" customFormat="1" ht="18" customHeight="1">
      <c r="B184" s="3498" t="s">
        <v>2115</v>
      </c>
      <c r="C184" s="3499"/>
      <c r="D184" s="3499"/>
      <c r="E184" s="3499"/>
      <c r="F184" s="3499"/>
      <c r="G184" s="3499"/>
      <c r="H184" s="3499"/>
      <c r="I184" s="3499"/>
      <c r="J184" s="3499"/>
      <c r="K184" s="3499"/>
      <c r="L184" s="3499"/>
      <c r="M184" s="3499"/>
      <c r="N184" s="3499"/>
      <c r="O184" s="3499"/>
      <c r="P184" s="3499"/>
      <c r="Q184" s="3499"/>
      <c r="R184" s="3499"/>
      <c r="S184" s="3499"/>
      <c r="T184" s="3499"/>
      <c r="U184" s="3499"/>
      <c r="V184" s="3499"/>
      <c r="W184" s="3499"/>
      <c r="X184" s="3499"/>
      <c r="Y184" s="3499"/>
      <c r="Z184" s="3499"/>
      <c r="AA184" s="3499"/>
      <c r="AB184" s="3499"/>
      <c r="AC184" s="3499"/>
      <c r="AD184" s="3499"/>
      <c r="AE184" s="3499"/>
      <c r="AF184" s="3499"/>
      <c r="AG184" s="3499"/>
      <c r="AH184" s="3499"/>
      <c r="AI184" s="3499"/>
      <c r="AJ184" s="3499"/>
      <c r="AK184" s="3499"/>
      <c r="AL184" s="3499"/>
      <c r="AM184" s="3499"/>
      <c r="AN184" s="1123"/>
    </row>
    <row r="185" spans="2:40" s="115" customFormat="1" ht="36" customHeight="1">
      <c r="B185" s="3445"/>
      <c r="C185" s="3445"/>
      <c r="D185" s="3445"/>
      <c r="E185" s="3445"/>
      <c r="F185" s="3445"/>
      <c r="G185" s="3445"/>
      <c r="H185" s="3445"/>
      <c r="I185" s="3445"/>
      <c r="J185" s="3445"/>
      <c r="K185" s="3445"/>
      <c r="L185" s="3445"/>
      <c r="M185" s="3445"/>
      <c r="N185" s="3445"/>
      <c r="O185" s="3445"/>
      <c r="P185" s="3445"/>
      <c r="Q185" s="3445"/>
      <c r="R185" s="3445"/>
      <c r="S185" s="3445"/>
      <c r="T185" s="3445"/>
      <c r="U185" s="3445"/>
      <c r="V185" s="3445"/>
      <c r="W185" s="3445"/>
      <c r="X185" s="3445"/>
      <c r="Y185" s="3445"/>
      <c r="Z185" s="3445"/>
      <c r="AA185" s="3445"/>
      <c r="AB185" s="3445"/>
      <c r="AC185" s="3445"/>
      <c r="AD185" s="3445"/>
      <c r="AE185" s="3445"/>
      <c r="AF185" s="3445"/>
      <c r="AG185" s="3445"/>
      <c r="AH185" s="3445"/>
      <c r="AI185" s="3445"/>
      <c r="AJ185" s="3445"/>
      <c r="AK185" s="3445"/>
      <c r="AL185" s="3445"/>
      <c r="AM185" s="3480"/>
      <c r="AN185" s="1123"/>
    </row>
    <row r="186" spans="2:40" s="4" customFormat="1" ht="18" customHeight="1">
      <c r="AN186" s="224"/>
    </row>
    <row r="187" spans="2:40" s="115" customFormat="1" ht="18" customHeight="1">
      <c r="B187" s="3650" t="s">
        <v>2116</v>
      </c>
      <c r="C187" s="3650"/>
      <c r="D187" s="3650"/>
      <c r="E187" s="3650"/>
      <c r="F187" s="3650"/>
      <c r="G187" s="3650"/>
      <c r="H187" s="3650"/>
      <c r="I187" s="3650"/>
      <c r="J187" s="3650"/>
      <c r="K187" s="3650"/>
      <c r="L187" s="3650"/>
      <c r="M187" s="3650"/>
      <c r="N187" s="3650"/>
      <c r="O187" s="3650"/>
      <c r="P187" s="3650"/>
      <c r="Q187" s="3650"/>
      <c r="R187" s="3650"/>
      <c r="S187" s="3650"/>
      <c r="T187" s="3650"/>
      <c r="U187" s="3650"/>
      <c r="V187" s="3650"/>
      <c r="W187" s="3650"/>
      <c r="X187" s="3650"/>
      <c r="Y187" s="3650"/>
      <c r="Z187" s="3650"/>
      <c r="AA187" s="3650"/>
      <c r="AB187" s="3650"/>
      <c r="AC187" s="3650"/>
      <c r="AD187" s="3650"/>
      <c r="AE187" s="3650"/>
      <c r="AF187" s="3650"/>
      <c r="AG187" s="3650"/>
      <c r="AH187" s="3650"/>
      <c r="AI187" s="3650"/>
      <c r="AJ187" s="3650"/>
      <c r="AK187" s="3650"/>
      <c r="AL187" s="3650"/>
      <c r="AM187" s="3650"/>
      <c r="AN187" s="425"/>
    </row>
    <row r="188" spans="2:40" s="116" customFormat="1" ht="18" customHeight="1">
      <c r="B188" s="3607" t="s">
        <v>2117</v>
      </c>
      <c r="C188" s="3607"/>
      <c r="D188" s="3607"/>
      <c r="E188" s="3607"/>
      <c r="F188" s="3607"/>
      <c r="G188" s="3607"/>
      <c r="H188" s="3607"/>
      <c r="I188" s="3607"/>
      <c r="J188" s="3607"/>
      <c r="K188" s="3607"/>
      <c r="L188" s="3607"/>
      <c r="M188" s="3607"/>
      <c r="N188" s="3607"/>
      <c r="O188" s="3607"/>
      <c r="P188" s="3607"/>
      <c r="Q188" s="3607"/>
      <c r="R188" s="3607"/>
      <c r="S188" s="3607"/>
      <c r="T188" s="3607"/>
      <c r="U188" s="3607"/>
      <c r="V188" s="3607"/>
      <c r="W188" s="3607"/>
      <c r="X188" s="3607"/>
      <c r="Y188" s="3607"/>
      <c r="Z188" s="3607"/>
      <c r="AA188" s="3607"/>
      <c r="AB188" s="3607"/>
      <c r="AC188" s="3607"/>
      <c r="AD188" s="3607"/>
      <c r="AE188" s="3607"/>
      <c r="AF188" s="3607"/>
      <c r="AG188" s="3607"/>
      <c r="AH188" s="3607"/>
      <c r="AI188" s="3607"/>
      <c r="AJ188" s="3607"/>
      <c r="AK188" s="3607"/>
      <c r="AL188" s="3607"/>
      <c r="AM188" s="3481"/>
      <c r="AN188" s="1326"/>
    </row>
    <row r="189" spans="2:40" s="116" customFormat="1" ht="72" customHeight="1">
      <c r="B189" s="2507" t="s">
        <v>2118</v>
      </c>
      <c r="C189" s="2507"/>
      <c r="D189" s="2507"/>
      <c r="E189" s="2507"/>
      <c r="F189" s="2507"/>
      <c r="G189" s="2507"/>
      <c r="H189" s="2507"/>
      <c r="I189" s="2507"/>
      <c r="J189" s="2507"/>
      <c r="K189" s="2507"/>
      <c r="L189" s="2507"/>
      <c r="M189" s="2507"/>
      <c r="N189" s="2507"/>
      <c r="O189" s="2507"/>
      <c r="P189" s="2507"/>
      <c r="Q189" s="2507"/>
      <c r="R189" s="2507"/>
      <c r="S189" s="2507"/>
      <c r="T189" s="2507"/>
      <c r="U189" s="2507"/>
      <c r="V189" s="2507"/>
      <c r="W189" s="2507"/>
      <c r="X189" s="2507"/>
      <c r="Y189" s="2507"/>
      <c r="Z189" s="2507"/>
      <c r="AA189" s="2507"/>
      <c r="AB189" s="2507"/>
      <c r="AC189" s="2507"/>
      <c r="AD189" s="2507"/>
      <c r="AE189" s="2507"/>
      <c r="AF189" s="2507"/>
      <c r="AG189" s="2507"/>
      <c r="AH189" s="2507"/>
      <c r="AI189" s="2507"/>
      <c r="AJ189" s="2507"/>
      <c r="AK189" s="2507"/>
      <c r="AL189" s="2507"/>
      <c r="AM189" s="2513"/>
      <c r="AN189" s="1326"/>
    </row>
    <row r="190" spans="2:40" s="116" customFormat="1" ht="54" customHeight="1">
      <c r="B190" s="3484" t="s">
        <v>2119</v>
      </c>
      <c r="C190" s="3431"/>
      <c r="D190" s="3431"/>
      <c r="E190" s="3431"/>
      <c r="F190" s="3431"/>
      <c r="G190" s="3431"/>
      <c r="H190" s="3431"/>
      <c r="I190" s="3431"/>
      <c r="J190" s="3431"/>
      <c r="K190" s="3431"/>
      <c r="L190" s="3431"/>
      <c r="M190" s="3431"/>
      <c r="N190" s="3431"/>
      <c r="O190" s="3431"/>
      <c r="P190" s="3431"/>
      <c r="Q190" s="3431"/>
      <c r="R190" s="3431"/>
      <c r="S190" s="3431"/>
      <c r="T190" s="3431"/>
      <c r="U190" s="3431"/>
      <c r="V190" s="3431"/>
      <c r="W190" s="3431"/>
      <c r="X190" s="3431"/>
      <c r="Y190" s="3431"/>
      <c r="Z190" s="3431"/>
      <c r="AA190" s="3431"/>
      <c r="AB190" s="3431"/>
      <c r="AC190" s="3431"/>
      <c r="AD190" s="3431"/>
      <c r="AE190" s="3431"/>
      <c r="AF190" s="3431"/>
      <c r="AG190" s="3431"/>
      <c r="AH190" s="3431"/>
      <c r="AI190" s="3431"/>
      <c r="AJ190" s="3431"/>
      <c r="AK190" s="3431"/>
      <c r="AL190" s="3431"/>
      <c r="AM190" s="3431"/>
      <c r="AN190" s="1326"/>
    </row>
    <row r="191" spans="2:40" s="116" customFormat="1" ht="36" customHeight="1">
      <c r="B191" s="3599" t="s">
        <v>2120</v>
      </c>
      <c r="C191" s="3575"/>
      <c r="D191" s="3575"/>
      <c r="E191" s="3575"/>
      <c r="F191" s="3591" t="s">
        <v>2121</v>
      </c>
      <c r="G191" s="3592"/>
      <c r="H191" s="3592"/>
      <c r="I191" s="3592"/>
      <c r="J191" s="3592"/>
      <c r="K191" s="3592"/>
      <c r="L191" s="3592"/>
      <c r="M191" s="3592"/>
      <c r="N191" s="3592"/>
      <c r="O191" s="3592"/>
      <c r="P191" s="3592"/>
      <c r="Q191" s="3592"/>
      <c r="R191" s="3592"/>
      <c r="S191" s="3592"/>
      <c r="T191" s="3592"/>
      <c r="U191" s="3592"/>
      <c r="V191" s="3611"/>
      <c r="W191" s="3600" t="s">
        <v>2122</v>
      </c>
      <c r="X191" s="3600"/>
      <c r="Y191" s="3609">
        <f>SUM($W$193:$Z$202)</f>
        <v>0</v>
      </c>
      <c r="Z191" s="3610"/>
      <c r="AA191" s="3600" t="s">
        <v>2122</v>
      </c>
      <c r="AB191" s="3600"/>
      <c r="AC191" s="3609">
        <f>SUM($AA$193:$AD$202)</f>
        <v>0</v>
      </c>
      <c r="AD191" s="3610"/>
      <c r="AE191" s="3612" t="s">
        <v>2123</v>
      </c>
      <c r="AF191" s="3541"/>
      <c r="AG191" s="3541"/>
      <c r="AH191" s="3541"/>
      <c r="AI191" s="3541"/>
      <c r="AJ191" s="3542"/>
      <c r="AK191" s="3543" t="s">
        <v>2124</v>
      </c>
      <c r="AL191" s="3544"/>
      <c r="AM191" s="3544"/>
      <c r="AN191" s="1326"/>
    </row>
    <row r="192" spans="2:40" s="116" customFormat="1" ht="90" customHeight="1">
      <c r="B192" s="3601" t="s">
        <v>2125</v>
      </c>
      <c r="C192" s="3602"/>
      <c r="D192" s="3602"/>
      <c r="E192" s="3602"/>
      <c r="F192" s="3604" t="s">
        <v>2126</v>
      </c>
      <c r="G192" s="3605"/>
      <c r="H192" s="3605"/>
      <c r="I192" s="3605"/>
      <c r="J192" s="3605"/>
      <c r="K192" s="3605"/>
      <c r="L192" s="3605"/>
      <c r="M192" s="3605"/>
      <c r="N192" s="3605"/>
      <c r="O192" s="3605"/>
      <c r="P192" s="3605"/>
      <c r="Q192" s="3605"/>
      <c r="R192" s="3605"/>
      <c r="S192" s="3605"/>
      <c r="T192" s="3605"/>
      <c r="U192" s="3605"/>
      <c r="V192" s="3606"/>
      <c r="W192" s="3601" t="s">
        <v>2127</v>
      </c>
      <c r="X192" s="3602"/>
      <c r="Y192" s="3602"/>
      <c r="Z192" s="3603"/>
      <c r="AA192" s="3617" t="s">
        <v>2128</v>
      </c>
      <c r="AB192" s="3602"/>
      <c r="AC192" s="3602"/>
      <c r="AD192" s="3603"/>
      <c r="AE192" s="3540" t="s">
        <v>2129</v>
      </c>
      <c r="AF192" s="3538"/>
      <c r="AG192" s="3538"/>
      <c r="AH192" s="3538"/>
      <c r="AI192" s="3538"/>
      <c r="AJ192" s="3539"/>
      <c r="AK192" s="3617" t="s">
        <v>2130</v>
      </c>
      <c r="AL192" s="3602"/>
      <c r="AM192" s="3602"/>
      <c r="AN192" s="1326"/>
    </row>
    <row r="193" spans="2:40" s="116" customFormat="1" ht="54" customHeight="1">
      <c r="B193" s="3613"/>
      <c r="C193" s="3614"/>
      <c r="D193" s="3614"/>
      <c r="E193" s="3614"/>
      <c r="F193" s="3374"/>
      <c r="G193" s="3375"/>
      <c r="H193" s="3375"/>
      <c r="I193" s="3375"/>
      <c r="J193" s="3375"/>
      <c r="K193" s="3375"/>
      <c r="L193" s="3375"/>
      <c r="M193" s="3375"/>
      <c r="N193" s="3375"/>
      <c r="O193" s="3375"/>
      <c r="P193" s="3375"/>
      <c r="Q193" s="3375"/>
      <c r="R193" s="3375"/>
      <c r="S193" s="3375"/>
      <c r="T193" s="3375"/>
      <c r="U193" s="3375"/>
      <c r="V193" s="3376"/>
      <c r="W193" s="3377"/>
      <c r="X193" s="3378"/>
      <c r="Y193" s="3378"/>
      <c r="Z193" s="3379"/>
      <c r="AA193" s="3515"/>
      <c r="AB193" s="3378"/>
      <c r="AC193" s="3378"/>
      <c r="AD193" s="3379"/>
      <c r="AE193" s="3595"/>
      <c r="AF193" s="3595"/>
      <c r="AG193" s="3595"/>
      <c r="AH193" s="3595"/>
      <c r="AI193" s="3595"/>
      <c r="AJ193" s="3595"/>
      <c r="AK193" s="3515"/>
      <c r="AL193" s="3378"/>
      <c r="AM193" s="3378"/>
      <c r="AN193" s="1326"/>
    </row>
    <row r="194" spans="2:40" s="116" customFormat="1" ht="54" customHeight="1">
      <c r="B194" s="3613"/>
      <c r="C194" s="3614"/>
      <c r="D194" s="3614"/>
      <c r="E194" s="3614"/>
      <c r="F194" s="3374"/>
      <c r="G194" s="3375"/>
      <c r="H194" s="3375"/>
      <c r="I194" s="3375"/>
      <c r="J194" s="3375"/>
      <c r="K194" s="3375"/>
      <c r="L194" s="3375"/>
      <c r="M194" s="3375"/>
      <c r="N194" s="3375"/>
      <c r="O194" s="3375"/>
      <c r="P194" s="3375"/>
      <c r="Q194" s="3375"/>
      <c r="R194" s="3375"/>
      <c r="S194" s="3375"/>
      <c r="T194" s="3375"/>
      <c r="U194" s="3375"/>
      <c r="V194" s="3376"/>
      <c r="W194" s="3377"/>
      <c r="X194" s="3378"/>
      <c r="Y194" s="3378"/>
      <c r="Z194" s="3379"/>
      <c r="AA194" s="3515"/>
      <c r="AB194" s="3378"/>
      <c r="AC194" s="3378"/>
      <c r="AD194" s="3379"/>
      <c r="AE194" s="3595"/>
      <c r="AF194" s="3595"/>
      <c r="AG194" s="3595"/>
      <c r="AH194" s="3595"/>
      <c r="AI194" s="3595"/>
      <c r="AJ194" s="3595"/>
      <c r="AK194" s="3515"/>
      <c r="AL194" s="3378"/>
      <c r="AM194" s="3378"/>
      <c r="AN194" s="1326"/>
    </row>
    <row r="195" spans="2:40" s="116" customFormat="1" ht="54" customHeight="1">
      <c r="B195" s="3613"/>
      <c r="C195" s="3614"/>
      <c r="D195" s="3614"/>
      <c r="E195" s="3614"/>
      <c r="F195" s="3374"/>
      <c r="G195" s="3375"/>
      <c r="H195" s="3375"/>
      <c r="I195" s="3375"/>
      <c r="J195" s="3375"/>
      <c r="K195" s="3375"/>
      <c r="L195" s="3375"/>
      <c r="M195" s="3375"/>
      <c r="N195" s="3375"/>
      <c r="O195" s="3375"/>
      <c r="P195" s="3375"/>
      <c r="Q195" s="3375"/>
      <c r="R195" s="3375"/>
      <c r="S195" s="3375"/>
      <c r="T195" s="3375"/>
      <c r="U195" s="3375"/>
      <c r="V195" s="3376"/>
      <c r="W195" s="3377"/>
      <c r="X195" s="3378"/>
      <c r="Y195" s="3378"/>
      <c r="Z195" s="3379"/>
      <c r="AA195" s="3515"/>
      <c r="AB195" s="3378"/>
      <c r="AC195" s="3378"/>
      <c r="AD195" s="3379"/>
      <c r="AE195" s="3595"/>
      <c r="AF195" s="3595"/>
      <c r="AG195" s="3595"/>
      <c r="AH195" s="3595"/>
      <c r="AI195" s="3595"/>
      <c r="AJ195" s="3595"/>
      <c r="AK195" s="3515"/>
      <c r="AL195" s="3378"/>
      <c r="AM195" s="3378"/>
      <c r="AN195" s="1326"/>
    </row>
    <row r="196" spans="2:40" s="116" customFormat="1" ht="54" customHeight="1">
      <c r="B196" s="3613"/>
      <c r="C196" s="3614"/>
      <c r="D196" s="3614"/>
      <c r="E196" s="3614"/>
      <c r="F196" s="3374"/>
      <c r="G196" s="3375"/>
      <c r="H196" s="3375"/>
      <c r="I196" s="3375"/>
      <c r="J196" s="3375"/>
      <c r="K196" s="3375"/>
      <c r="L196" s="3375"/>
      <c r="M196" s="3375"/>
      <c r="N196" s="3375"/>
      <c r="O196" s="3375"/>
      <c r="P196" s="3375"/>
      <c r="Q196" s="3375"/>
      <c r="R196" s="3375"/>
      <c r="S196" s="3375"/>
      <c r="T196" s="3375"/>
      <c r="U196" s="3375"/>
      <c r="V196" s="3376"/>
      <c r="W196" s="3377"/>
      <c r="X196" s="3378"/>
      <c r="Y196" s="3378"/>
      <c r="Z196" s="3379"/>
      <c r="AA196" s="3515"/>
      <c r="AB196" s="3378"/>
      <c r="AC196" s="3378"/>
      <c r="AD196" s="3379"/>
      <c r="AE196" s="3595"/>
      <c r="AF196" s="3595"/>
      <c r="AG196" s="3595"/>
      <c r="AH196" s="3595"/>
      <c r="AI196" s="3595"/>
      <c r="AJ196" s="3595"/>
      <c r="AK196" s="3515"/>
      <c r="AL196" s="3378"/>
      <c r="AM196" s="3378"/>
      <c r="AN196" s="1326"/>
    </row>
    <row r="197" spans="2:40" s="116" customFormat="1" ht="54" customHeight="1">
      <c r="B197" s="3613"/>
      <c r="C197" s="3614"/>
      <c r="D197" s="3614"/>
      <c r="E197" s="3614"/>
      <c r="F197" s="3374"/>
      <c r="G197" s="3375"/>
      <c r="H197" s="3375"/>
      <c r="I197" s="3375"/>
      <c r="J197" s="3375"/>
      <c r="K197" s="3375"/>
      <c r="L197" s="3375"/>
      <c r="M197" s="3375"/>
      <c r="N197" s="3375"/>
      <c r="O197" s="3375"/>
      <c r="P197" s="3375"/>
      <c r="Q197" s="3375"/>
      <c r="R197" s="3375"/>
      <c r="S197" s="3375"/>
      <c r="T197" s="3375"/>
      <c r="U197" s="3375"/>
      <c r="V197" s="3376"/>
      <c r="W197" s="3377"/>
      <c r="X197" s="3378"/>
      <c r="Y197" s="3378"/>
      <c r="Z197" s="3379"/>
      <c r="AA197" s="3618"/>
      <c r="AB197" s="3619"/>
      <c r="AC197" s="3619"/>
      <c r="AD197" s="3620"/>
      <c r="AE197" s="3595"/>
      <c r="AF197" s="3595"/>
      <c r="AG197" s="3595"/>
      <c r="AH197" s="3595"/>
      <c r="AI197" s="3595"/>
      <c r="AJ197" s="3595"/>
      <c r="AK197" s="3515"/>
      <c r="AL197" s="3378"/>
      <c r="AM197" s="3378"/>
      <c r="AN197" s="1326"/>
    </row>
    <row r="198" spans="2:40" s="116" customFormat="1" ht="54" customHeight="1">
      <c r="B198" s="3613"/>
      <c r="C198" s="3614"/>
      <c r="D198" s="3614"/>
      <c r="E198" s="3614"/>
      <c r="F198" s="3374"/>
      <c r="G198" s="3375"/>
      <c r="H198" s="3375"/>
      <c r="I198" s="3375"/>
      <c r="J198" s="3375"/>
      <c r="K198" s="3375"/>
      <c r="L198" s="3375"/>
      <c r="M198" s="3375"/>
      <c r="N198" s="3375"/>
      <c r="O198" s="3375"/>
      <c r="P198" s="3375"/>
      <c r="Q198" s="3375"/>
      <c r="R198" s="3375"/>
      <c r="S198" s="3375"/>
      <c r="T198" s="3375"/>
      <c r="U198" s="3375"/>
      <c r="V198" s="3376"/>
      <c r="W198" s="3377"/>
      <c r="X198" s="3378"/>
      <c r="Y198" s="3378"/>
      <c r="Z198" s="3379"/>
      <c r="AA198" s="3515"/>
      <c r="AB198" s="3378"/>
      <c r="AC198" s="3378"/>
      <c r="AD198" s="3379"/>
      <c r="AE198" s="3595"/>
      <c r="AF198" s="3595"/>
      <c r="AG198" s="3595"/>
      <c r="AH198" s="3595"/>
      <c r="AI198" s="3595"/>
      <c r="AJ198" s="3595"/>
      <c r="AK198" s="3515"/>
      <c r="AL198" s="3378"/>
      <c r="AM198" s="3378"/>
      <c r="AN198" s="1326"/>
    </row>
    <row r="199" spans="2:40" s="116" customFormat="1" ht="54" customHeight="1">
      <c r="B199" s="3613"/>
      <c r="C199" s="3614"/>
      <c r="D199" s="3614"/>
      <c r="E199" s="3614"/>
      <c r="F199" s="3374"/>
      <c r="G199" s="3375"/>
      <c r="H199" s="3375"/>
      <c r="I199" s="3375"/>
      <c r="J199" s="3375"/>
      <c r="K199" s="3375"/>
      <c r="L199" s="3375"/>
      <c r="M199" s="3375"/>
      <c r="N199" s="3375"/>
      <c r="O199" s="3375"/>
      <c r="P199" s="3375"/>
      <c r="Q199" s="3375"/>
      <c r="R199" s="3375"/>
      <c r="S199" s="3375"/>
      <c r="T199" s="3375"/>
      <c r="U199" s="3375"/>
      <c r="V199" s="3376"/>
      <c r="W199" s="3377"/>
      <c r="X199" s="3378"/>
      <c r="Y199" s="3378"/>
      <c r="Z199" s="3379"/>
      <c r="AA199" s="3515"/>
      <c r="AB199" s="3378"/>
      <c r="AC199" s="3378"/>
      <c r="AD199" s="3379"/>
      <c r="AE199" s="3595"/>
      <c r="AF199" s="3595"/>
      <c r="AG199" s="3595"/>
      <c r="AH199" s="3595"/>
      <c r="AI199" s="3595"/>
      <c r="AJ199" s="3595"/>
      <c r="AK199" s="3515"/>
      <c r="AL199" s="3378"/>
      <c r="AM199" s="3378"/>
      <c r="AN199" s="1326"/>
    </row>
    <row r="200" spans="2:40" s="116" customFormat="1" ht="54" customHeight="1">
      <c r="B200" s="3613"/>
      <c r="C200" s="3614"/>
      <c r="D200" s="3614"/>
      <c r="E200" s="3614"/>
      <c r="F200" s="3374"/>
      <c r="G200" s="3375"/>
      <c r="H200" s="3375"/>
      <c r="I200" s="3375"/>
      <c r="J200" s="3375"/>
      <c r="K200" s="3375"/>
      <c r="L200" s="3375"/>
      <c r="M200" s="3375"/>
      <c r="N200" s="3375"/>
      <c r="O200" s="3375"/>
      <c r="P200" s="3375"/>
      <c r="Q200" s="3375"/>
      <c r="R200" s="3375"/>
      <c r="S200" s="3375"/>
      <c r="T200" s="3375"/>
      <c r="U200" s="3375"/>
      <c r="V200" s="3376"/>
      <c r="W200" s="3377"/>
      <c r="X200" s="3378"/>
      <c r="Y200" s="3378"/>
      <c r="Z200" s="3379"/>
      <c r="AA200" s="3515"/>
      <c r="AB200" s="3378"/>
      <c r="AC200" s="3378"/>
      <c r="AD200" s="3379"/>
      <c r="AE200" s="3595"/>
      <c r="AF200" s="3595"/>
      <c r="AG200" s="3595"/>
      <c r="AH200" s="3595"/>
      <c r="AI200" s="3595"/>
      <c r="AJ200" s="3595"/>
      <c r="AK200" s="3515"/>
      <c r="AL200" s="3378"/>
      <c r="AM200" s="3378"/>
      <c r="AN200" s="1326"/>
    </row>
    <row r="201" spans="2:40" s="116" customFormat="1" ht="54" customHeight="1">
      <c r="B201" s="3613"/>
      <c r="C201" s="3614"/>
      <c r="D201" s="3614"/>
      <c r="E201" s="3614"/>
      <c r="F201" s="3374"/>
      <c r="G201" s="3375"/>
      <c r="H201" s="3375"/>
      <c r="I201" s="3375"/>
      <c r="J201" s="3375"/>
      <c r="K201" s="3375"/>
      <c r="L201" s="3375"/>
      <c r="M201" s="3375"/>
      <c r="N201" s="3375"/>
      <c r="O201" s="3375"/>
      <c r="P201" s="3375"/>
      <c r="Q201" s="3375"/>
      <c r="R201" s="3375"/>
      <c r="S201" s="3375"/>
      <c r="T201" s="3375"/>
      <c r="U201" s="3375"/>
      <c r="V201" s="3376"/>
      <c r="W201" s="3377"/>
      <c r="X201" s="3378"/>
      <c r="Y201" s="3378"/>
      <c r="Z201" s="3379"/>
      <c r="AA201" s="3515"/>
      <c r="AB201" s="3378"/>
      <c r="AC201" s="3378"/>
      <c r="AD201" s="3379"/>
      <c r="AE201" s="3595"/>
      <c r="AF201" s="3595"/>
      <c r="AG201" s="3595"/>
      <c r="AH201" s="3595"/>
      <c r="AI201" s="3595"/>
      <c r="AJ201" s="3595"/>
      <c r="AK201" s="3515"/>
      <c r="AL201" s="3378"/>
      <c r="AM201" s="3378"/>
      <c r="AN201" s="1326"/>
    </row>
    <row r="202" spans="2:40" s="116" customFormat="1" ht="54" customHeight="1">
      <c r="B202" s="3622"/>
      <c r="C202" s="3623"/>
      <c r="D202" s="3623"/>
      <c r="E202" s="3623"/>
      <c r="F202" s="3374"/>
      <c r="G202" s="3375"/>
      <c r="H202" s="3375"/>
      <c r="I202" s="3375"/>
      <c r="J202" s="3375"/>
      <c r="K202" s="3375"/>
      <c r="L202" s="3375"/>
      <c r="M202" s="3375"/>
      <c r="N202" s="3375"/>
      <c r="O202" s="3375"/>
      <c r="P202" s="3375"/>
      <c r="Q202" s="3375"/>
      <c r="R202" s="3375"/>
      <c r="S202" s="3375"/>
      <c r="T202" s="3375"/>
      <c r="U202" s="3375"/>
      <c r="V202" s="3376"/>
      <c r="W202" s="3520"/>
      <c r="X202" s="3521"/>
      <c r="Y202" s="3521"/>
      <c r="Z202" s="3522"/>
      <c r="AA202" s="3571"/>
      <c r="AB202" s="3521"/>
      <c r="AC202" s="3521"/>
      <c r="AD202" s="3522"/>
      <c r="AE202" s="3624"/>
      <c r="AF202" s="3595"/>
      <c r="AG202" s="3595"/>
      <c r="AH202" s="3595"/>
      <c r="AI202" s="3595"/>
      <c r="AJ202" s="3595"/>
      <c r="AK202" s="3515"/>
      <c r="AL202" s="3378"/>
      <c r="AM202" s="3378"/>
      <c r="AN202" s="1326"/>
    </row>
    <row r="203" spans="2:40" s="51" customFormat="1" ht="36" customHeight="1">
      <c r="B203" s="3704" t="s">
        <v>676</v>
      </c>
      <c r="C203" s="3704"/>
      <c r="D203" s="3704"/>
      <c r="E203" s="3705" t="str">
        <f>'Document Checklist'!$E$106</f>
        <v>27. Duty Stmt1, Duty Stmt2, Duty
      Stmt3, Duty Stmt4</v>
      </c>
      <c r="F203" s="3705"/>
      <c r="G203" s="3705"/>
      <c r="H203" s="3705"/>
      <c r="I203" s="3705"/>
      <c r="J203" s="3705"/>
      <c r="K203" s="3705"/>
      <c r="L203" s="3705"/>
      <c r="M203" s="3705"/>
      <c r="N203" s="3705" t="str">
        <f>'Document Checklist'!$N$106</f>
        <v>Staff Duty Statements (all providers).</v>
      </c>
      <c r="O203" s="3705"/>
      <c r="P203" s="3705"/>
      <c r="Q203" s="3705"/>
      <c r="R203" s="3705"/>
      <c r="S203" s="3705"/>
      <c r="T203" s="3705"/>
      <c r="U203" s="3705"/>
      <c r="V203" s="3705"/>
      <c r="W203" s="3705"/>
      <c r="X203" s="3705"/>
      <c r="Y203" s="3705"/>
      <c r="Z203" s="3705"/>
      <c r="AA203" s="3705"/>
      <c r="AB203" s="3705"/>
      <c r="AC203" s="3705"/>
      <c r="AD203" s="3705"/>
      <c r="AE203" s="3705"/>
      <c r="AF203" s="3698" t="s">
        <v>843</v>
      </c>
      <c r="AG203" s="3699"/>
      <c r="AH203" s="3699"/>
      <c r="AI203" s="3699"/>
      <c r="AJ203" s="3699"/>
      <c r="AK203" s="3700"/>
      <c r="AL203" s="3702"/>
      <c r="AM203" s="3703"/>
      <c r="AN203" s="1328"/>
    </row>
    <row r="204" spans="2:40" ht="18" customHeight="1">
      <c r="B204" s="3504" t="s">
        <v>2131</v>
      </c>
      <c r="C204" s="3505"/>
      <c r="D204" s="3505"/>
      <c r="E204" s="3505"/>
      <c r="F204" s="3505"/>
      <c r="G204" s="3505"/>
      <c r="H204" s="3505"/>
      <c r="I204" s="3505"/>
      <c r="J204" s="3505"/>
      <c r="K204" s="3505"/>
      <c r="L204" s="3505"/>
      <c r="M204" s="3505"/>
      <c r="N204" s="3505"/>
      <c r="O204" s="3505"/>
      <c r="P204" s="3505"/>
      <c r="Q204" s="3505"/>
      <c r="R204" s="3505"/>
      <c r="S204" s="3505"/>
      <c r="T204" s="3505"/>
      <c r="U204" s="3505"/>
      <c r="V204" s="3505"/>
      <c r="W204" s="3505"/>
      <c r="X204" s="3505"/>
      <c r="Y204" s="3505"/>
      <c r="Z204" s="3505"/>
      <c r="AA204" s="3505"/>
      <c r="AB204" s="3505"/>
      <c r="AC204" s="3505"/>
      <c r="AD204" s="3505"/>
      <c r="AE204" s="3505"/>
      <c r="AF204" s="3505"/>
      <c r="AG204" s="3505"/>
      <c r="AH204" s="3505"/>
      <c r="AI204" s="3505"/>
      <c r="AJ204" s="3505"/>
      <c r="AK204" s="3505"/>
      <c r="AL204" s="3505"/>
      <c r="AM204" s="3506"/>
      <c r="AN204" s="1123"/>
    </row>
    <row r="205" spans="2:40" ht="18" customHeight="1">
      <c r="B205" s="3421" t="s">
        <v>2132</v>
      </c>
      <c r="C205" s="3421"/>
      <c r="D205" s="3421"/>
      <c r="E205" s="3421"/>
      <c r="F205" s="3421"/>
      <c r="G205" s="3421"/>
      <c r="H205" s="3421"/>
      <c r="I205" s="3421"/>
      <c r="J205" s="3421"/>
      <c r="K205" s="3421"/>
      <c r="L205" s="3421"/>
      <c r="M205" s="3421"/>
      <c r="N205" s="3421"/>
      <c r="O205" s="3421"/>
      <c r="P205" s="3421"/>
      <c r="Q205" s="3421"/>
      <c r="R205" s="3421"/>
      <c r="S205" s="3421"/>
      <c r="T205" s="3421"/>
      <c r="U205" s="3421"/>
      <c r="V205" s="3421"/>
      <c r="W205" s="3421"/>
      <c r="X205" s="3421"/>
      <c r="Y205" s="3421"/>
      <c r="Z205" s="3421"/>
      <c r="AA205" s="3421"/>
      <c r="AB205" s="3421"/>
      <c r="AC205" s="3421"/>
      <c r="AD205" s="3421"/>
      <c r="AE205" s="3421"/>
      <c r="AF205" s="3421"/>
      <c r="AG205" s="3421"/>
      <c r="AH205" s="3421"/>
      <c r="AI205" s="3421"/>
      <c r="AJ205" s="3421"/>
      <c r="AK205" s="3421"/>
      <c r="AL205" s="3421"/>
      <c r="AM205" s="3416"/>
      <c r="AN205" s="1123"/>
    </row>
    <row r="206" spans="2:40" ht="18" customHeight="1">
      <c r="B206" s="3625" t="s">
        <v>2133</v>
      </c>
      <c r="C206" s="3625"/>
      <c r="D206" s="3701" t="s">
        <v>2134</v>
      </c>
      <c r="E206" s="3701"/>
      <c r="F206" s="3701"/>
      <c r="G206" s="3701"/>
      <c r="H206" s="3701"/>
      <c r="I206" s="3701"/>
      <c r="J206" s="3701"/>
      <c r="K206" s="3701"/>
      <c r="L206" s="3701"/>
      <c r="M206" s="3701"/>
      <c r="N206" s="3701"/>
      <c r="O206" s="3701"/>
      <c r="P206" s="3701"/>
      <c r="Q206" s="3701"/>
      <c r="R206" s="3701"/>
      <c r="S206" s="3701"/>
      <c r="T206" s="3701"/>
      <c r="U206" s="3701"/>
      <c r="V206" s="3701"/>
      <c r="W206" s="3701"/>
      <c r="X206" s="3701"/>
      <c r="Y206" s="3701"/>
      <c r="Z206" s="3701"/>
      <c r="AA206" s="3701"/>
      <c r="AB206" s="3701"/>
      <c r="AC206" s="3701"/>
      <c r="AD206" s="3701"/>
      <c r="AE206" s="3701"/>
      <c r="AF206" s="3701"/>
      <c r="AG206" s="3701"/>
      <c r="AH206" s="3701"/>
      <c r="AI206" s="3701"/>
      <c r="AJ206" s="3701"/>
      <c r="AK206" s="3507" t="e">
        <f>#REF!-#REF!-#REF!-#REF!</f>
        <v>#REF!</v>
      </c>
      <c r="AL206" s="3507"/>
      <c r="AM206" s="3508"/>
      <c r="AN206" s="1123"/>
    </row>
    <row r="207" spans="2:40" ht="18" customHeight="1">
      <c r="B207" s="3625" t="s">
        <v>2135</v>
      </c>
      <c r="C207" s="3625"/>
      <c r="D207" s="3701" t="s">
        <v>2136</v>
      </c>
      <c r="E207" s="3701"/>
      <c r="F207" s="3701"/>
      <c r="G207" s="3701"/>
      <c r="H207" s="3701"/>
      <c r="I207" s="3701"/>
      <c r="J207" s="3701"/>
      <c r="K207" s="3701"/>
      <c r="L207" s="3701"/>
      <c r="M207" s="3701"/>
      <c r="N207" s="3701"/>
      <c r="O207" s="3701"/>
      <c r="P207" s="3701"/>
      <c r="Q207" s="3701"/>
      <c r="R207" s="3701"/>
      <c r="S207" s="3701"/>
      <c r="T207" s="3701"/>
      <c r="U207" s="3701"/>
      <c r="V207" s="3701"/>
      <c r="W207" s="3701"/>
      <c r="X207" s="3701"/>
      <c r="Y207" s="3701"/>
      <c r="Z207" s="3701"/>
      <c r="AA207" s="3701"/>
      <c r="AB207" s="3701"/>
      <c r="AC207" s="3701"/>
      <c r="AD207" s="3701"/>
      <c r="AE207" s="3701"/>
      <c r="AF207" s="3701"/>
      <c r="AG207" s="3701"/>
      <c r="AH207" s="3701"/>
      <c r="AI207" s="3701"/>
      <c r="AJ207" s="3701"/>
      <c r="AK207" s="3509"/>
      <c r="AL207" s="3509"/>
      <c r="AM207" s="3510"/>
      <c r="AN207" s="1123"/>
    </row>
    <row r="208" spans="2:40" ht="18" customHeight="1">
      <c r="B208" s="3625" t="s">
        <v>2137</v>
      </c>
      <c r="C208" s="3625"/>
      <c r="D208" s="3697" t="s">
        <v>2138</v>
      </c>
      <c r="E208" s="3697"/>
      <c r="F208" s="3697"/>
      <c r="G208" s="3697"/>
      <c r="H208" s="3697"/>
      <c r="I208" s="3697"/>
      <c r="J208" s="3697"/>
      <c r="K208" s="3697"/>
      <c r="L208" s="3697"/>
      <c r="M208" s="3697"/>
      <c r="N208" s="3697"/>
      <c r="O208" s="3697"/>
      <c r="P208" s="3697"/>
      <c r="Q208" s="3697"/>
      <c r="R208" s="3697"/>
      <c r="S208" s="3697"/>
      <c r="T208" s="3697"/>
      <c r="U208" s="3697"/>
      <c r="V208" s="3697"/>
      <c r="W208" s="3697"/>
      <c r="X208" s="3697"/>
      <c r="Y208" s="3697"/>
      <c r="Z208" s="3697"/>
      <c r="AA208" s="3697"/>
      <c r="AB208" s="3697"/>
      <c r="AC208" s="3697"/>
      <c r="AD208" s="3697"/>
      <c r="AE208" s="3697"/>
      <c r="AF208" s="3697"/>
      <c r="AG208" s="3697"/>
      <c r="AH208" s="3697"/>
      <c r="AI208" s="3697"/>
      <c r="AJ208" s="3697"/>
      <c r="AK208" s="3511">
        <f>IF($AK$207=0,0,$AK$206/$AK$207)</f>
        <v>0</v>
      </c>
      <c r="AL208" s="3511"/>
      <c r="AM208" s="3512"/>
      <c r="AN208" s="1123"/>
    </row>
    <row r="209" spans="2:45" ht="36" customHeight="1">
      <c r="B209" s="3642" t="s">
        <v>2139</v>
      </c>
      <c r="C209" s="3642"/>
      <c r="D209" s="3642"/>
      <c r="E209" s="3642"/>
      <c r="F209" s="3642"/>
      <c r="G209" s="3642"/>
      <c r="H209" s="3642"/>
      <c r="I209" s="3642"/>
      <c r="J209" s="3642"/>
      <c r="K209" s="3642"/>
      <c r="L209" s="3642"/>
      <c r="M209" s="3642"/>
      <c r="N209" s="3642"/>
      <c r="O209" s="3642"/>
      <c r="P209" s="3642"/>
      <c r="Q209" s="3642"/>
      <c r="R209" s="3642"/>
      <c r="S209" s="3642"/>
      <c r="T209" s="3642"/>
      <c r="U209" s="3642"/>
      <c r="V209" s="3642"/>
      <c r="W209" s="3642"/>
      <c r="X209" s="3642"/>
      <c r="Y209" s="3642"/>
      <c r="Z209" s="3642"/>
      <c r="AA209" s="3642"/>
      <c r="AB209" s="3642"/>
      <c r="AC209" s="3642"/>
      <c r="AD209" s="3642"/>
      <c r="AE209" s="3642"/>
      <c r="AF209" s="3642"/>
      <c r="AG209" s="3642"/>
      <c r="AH209" s="3642"/>
      <c r="AI209" s="3642"/>
      <c r="AJ209" s="3642"/>
      <c r="AK209" s="3642"/>
      <c r="AL209" s="3642"/>
      <c r="AM209" s="3643"/>
      <c r="AN209" s="1123"/>
    </row>
    <row r="210" spans="2:45" ht="18" customHeight="1">
      <c r="B210" s="3621" t="s">
        <v>2140</v>
      </c>
      <c r="C210" s="3621"/>
      <c r="D210" s="3621"/>
      <c r="E210" s="3621"/>
      <c r="F210" s="3621"/>
      <c r="G210" s="3621"/>
      <c r="H210" s="3621"/>
      <c r="I210" s="3621"/>
      <c r="J210" s="3621"/>
      <c r="K210" s="3621"/>
      <c r="L210" s="3621"/>
      <c r="M210" s="3621"/>
      <c r="N210" s="3621"/>
      <c r="O210" s="3621" t="s">
        <v>2141</v>
      </c>
      <c r="P210" s="3621"/>
      <c r="Q210" s="3621"/>
      <c r="R210" s="3621"/>
      <c r="S210" s="3621"/>
      <c r="T210" s="3621"/>
      <c r="U210" s="3621"/>
      <c r="V210" s="3621"/>
      <c r="W210" s="3621"/>
      <c r="X210" s="3621" t="s">
        <v>2142</v>
      </c>
      <c r="Y210" s="3621"/>
      <c r="Z210" s="3621"/>
      <c r="AA210" s="3621"/>
      <c r="AB210" s="3621"/>
      <c r="AC210" s="3621"/>
      <c r="AD210" s="3621"/>
      <c r="AE210" s="3621"/>
      <c r="AF210" s="3621" t="s">
        <v>2143</v>
      </c>
      <c r="AG210" s="3621"/>
      <c r="AH210" s="3621"/>
      <c r="AI210" s="3621"/>
      <c r="AJ210" s="3621"/>
      <c r="AK210" s="3621"/>
      <c r="AL210" s="3621"/>
      <c r="AM210" s="3621"/>
      <c r="AN210" s="1123"/>
    </row>
    <row r="211" spans="2:45" ht="18" customHeight="1">
      <c r="B211" s="3647" t="s">
        <v>2144</v>
      </c>
      <c r="C211" s="3647"/>
      <c r="D211" s="3647"/>
      <c r="E211" s="3647"/>
      <c r="F211" s="3647"/>
      <c r="G211" s="3647"/>
      <c r="H211" s="3647"/>
      <c r="I211" s="3647"/>
      <c r="J211" s="3647"/>
      <c r="K211" s="3647"/>
      <c r="L211" s="3647"/>
      <c r="M211" s="3647"/>
      <c r="N211" s="3647"/>
      <c r="O211" s="3640" t="s">
        <v>2145</v>
      </c>
      <c r="P211" s="3640"/>
      <c r="Q211" s="3640"/>
      <c r="R211" s="3640"/>
      <c r="S211" s="3640"/>
      <c r="T211" s="3640"/>
      <c r="U211" s="3640"/>
      <c r="V211" s="3640"/>
      <c r="W211" s="3640"/>
      <c r="X211" s="3640" t="s">
        <v>2146</v>
      </c>
      <c r="Y211" s="3640"/>
      <c r="Z211" s="3640"/>
      <c r="AA211" s="3640"/>
      <c r="AB211" s="3640"/>
      <c r="AC211" s="3640"/>
      <c r="AD211" s="3640"/>
      <c r="AE211" s="3640"/>
      <c r="AF211" s="3646" t="s">
        <v>2147</v>
      </c>
      <c r="AG211" s="3646"/>
      <c r="AH211" s="3646"/>
      <c r="AI211" s="3646"/>
      <c r="AJ211" s="3646"/>
      <c r="AK211" s="3646"/>
      <c r="AL211" s="3646"/>
      <c r="AM211" s="3646"/>
      <c r="AN211" s="1123"/>
    </row>
    <row r="212" spans="2:45" ht="18" customHeight="1">
      <c r="B212" s="3645" t="s">
        <v>2148</v>
      </c>
      <c r="C212" s="3645"/>
      <c r="D212" s="3645"/>
      <c r="E212" s="3645"/>
      <c r="F212" s="3645"/>
      <c r="G212" s="3645"/>
      <c r="H212" s="3645"/>
      <c r="I212" s="3645"/>
      <c r="J212" s="3645"/>
      <c r="K212" s="3645"/>
      <c r="L212" s="3645"/>
      <c r="M212" s="3645"/>
      <c r="N212" s="3645"/>
      <c r="O212" s="3645"/>
      <c r="P212" s="3645"/>
      <c r="Q212" s="3645"/>
      <c r="R212" s="3645"/>
      <c r="S212" s="3645"/>
      <c r="T212" s="3645"/>
      <c r="U212" s="3645"/>
      <c r="V212" s="3645"/>
      <c r="W212" s="3645"/>
      <c r="X212" s="3645"/>
      <c r="Y212" s="3645"/>
      <c r="Z212" s="3645"/>
      <c r="AA212" s="3645"/>
      <c r="AB212" s="3645"/>
      <c r="AC212" s="3645"/>
      <c r="AD212" s="3645"/>
      <c r="AE212" s="3645"/>
      <c r="AF212" s="3645"/>
      <c r="AG212" s="3645"/>
      <c r="AH212" s="3645"/>
      <c r="AI212" s="3645"/>
      <c r="AJ212" s="3645"/>
      <c r="AK212" s="3645"/>
      <c r="AL212" s="3645"/>
      <c r="AM212" s="3645"/>
      <c r="AN212" s="1123"/>
    </row>
    <row r="213" spans="2:45" ht="18" customHeight="1">
      <c r="B213" s="3625" t="s">
        <v>2149</v>
      </c>
      <c r="C213" s="3625"/>
      <c r="D213" s="2507" t="s">
        <v>2150</v>
      </c>
      <c r="E213" s="2507"/>
      <c r="F213" s="2507"/>
      <c r="G213" s="2507"/>
      <c r="H213" s="2507"/>
      <c r="I213" s="2507"/>
      <c r="J213" s="2507"/>
      <c r="K213" s="2507"/>
      <c r="L213" s="2507"/>
      <c r="M213" s="2507"/>
      <c r="N213" s="2507"/>
      <c r="O213" s="2507"/>
      <c r="P213" s="2507"/>
      <c r="Q213" s="2507"/>
      <c r="R213" s="2507"/>
      <c r="S213" s="2507"/>
      <c r="T213" s="2507"/>
      <c r="U213" s="2507"/>
      <c r="V213" s="2507"/>
      <c r="W213" s="2507"/>
      <c r="X213" s="2507"/>
      <c r="Y213" s="2507"/>
      <c r="Z213" s="2507"/>
      <c r="AA213" s="2507"/>
      <c r="AB213" s="2507"/>
      <c r="AC213" s="2507"/>
      <c r="AD213" s="2507"/>
      <c r="AE213" s="2507"/>
      <c r="AF213" s="2507"/>
      <c r="AG213" s="2507"/>
      <c r="AH213" s="2507"/>
      <c r="AI213" s="2507"/>
      <c r="AJ213" s="2507"/>
      <c r="AK213" s="3509"/>
      <c r="AL213" s="3509"/>
      <c r="AM213" s="3509"/>
      <c r="AN213" s="1123"/>
    </row>
    <row r="214" spans="2:45" ht="18" customHeight="1">
      <c r="B214" s="3625" t="s">
        <v>2151</v>
      </c>
      <c r="C214" s="3625"/>
      <c r="D214" s="3421" t="s">
        <v>2152</v>
      </c>
      <c r="E214" s="3421"/>
      <c r="F214" s="3421"/>
      <c r="G214" s="3421"/>
      <c r="H214" s="3421"/>
      <c r="I214" s="3421"/>
      <c r="J214" s="3421"/>
      <c r="K214" s="3421"/>
      <c r="L214" s="3421"/>
      <c r="M214" s="3421"/>
      <c r="N214" s="3421"/>
      <c r="O214" s="3421"/>
      <c r="P214" s="3421"/>
      <c r="Q214" s="3421"/>
      <c r="R214" s="3421"/>
      <c r="S214" s="3421"/>
      <c r="T214" s="3421"/>
      <c r="U214" s="3421"/>
      <c r="V214" s="3421"/>
      <c r="W214" s="3421"/>
      <c r="X214" s="3421"/>
      <c r="Y214" s="3421"/>
      <c r="Z214" s="3421"/>
      <c r="AA214" s="3421"/>
      <c r="AB214" s="3421"/>
      <c r="AC214" s="3421"/>
      <c r="AD214" s="3421"/>
      <c r="AE214" s="3421"/>
      <c r="AF214" s="3421"/>
      <c r="AG214" s="3421"/>
      <c r="AH214" s="3421"/>
      <c r="AI214" s="3421"/>
      <c r="AJ214" s="3421"/>
      <c r="AK214" s="3509"/>
      <c r="AL214" s="3509"/>
      <c r="AM214" s="3509"/>
      <c r="AN214" s="1123"/>
    </row>
    <row r="215" spans="2:45" ht="18" customHeight="1">
      <c r="B215" s="3585" t="s">
        <v>2153</v>
      </c>
      <c r="C215" s="3585"/>
      <c r="D215" s="2507" t="s">
        <v>2154</v>
      </c>
      <c r="E215" s="2507"/>
      <c r="F215" s="2507"/>
      <c r="G215" s="2507"/>
      <c r="H215" s="2507"/>
      <c r="I215" s="2507"/>
      <c r="J215" s="2507"/>
      <c r="K215" s="2507"/>
      <c r="L215" s="2507"/>
      <c r="M215" s="2507"/>
      <c r="N215" s="2507"/>
      <c r="O215" s="2507"/>
      <c r="P215" s="2507"/>
      <c r="Q215" s="2507"/>
      <c r="R215" s="2507"/>
      <c r="S215" s="2507"/>
      <c r="T215" s="2507"/>
      <c r="U215" s="2507"/>
      <c r="V215" s="2507"/>
      <c r="W215" s="2507"/>
      <c r="X215" s="2507"/>
      <c r="Y215" s="2507"/>
      <c r="Z215" s="2507"/>
      <c r="AA215" s="2507"/>
      <c r="AB215" s="2507"/>
      <c r="AC215" s="2507"/>
      <c r="AD215" s="2507"/>
      <c r="AE215" s="2507"/>
      <c r="AF215" s="2507"/>
      <c r="AG215" s="2507"/>
      <c r="AH215" s="2507"/>
      <c r="AI215" s="2507"/>
      <c r="AJ215" s="2507"/>
      <c r="AK215" s="3511">
        <f>IF($AK$214=0,0,$AK$213/$AK$214)</f>
        <v>0</v>
      </c>
      <c r="AL215" s="3511"/>
      <c r="AM215" s="3511"/>
      <c r="AN215" s="1123"/>
    </row>
    <row r="216" spans="2:45" ht="18" customHeight="1">
      <c r="B216" s="3645" t="s">
        <v>2155</v>
      </c>
      <c r="C216" s="3645"/>
      <c r="D216" s="3645"/>
      <c r="E216" s="3645"/>
      <c r="F216" s="3645"/>
      <c r="G216" s="3645"/>
      <c r="H216" s="3645"/>
      <c r="I216" s="3645"/>
      <c r="J216" s="3645"/>
      <c r="K216" s="3645"/>
      <c r="L216" s="3645"/>
      <c r="M216" s="3645"/>
      <c r="N216" s="3645"/>
      <c r="O216" s="3645"/>
      <c r="P216" s="3645"/>
      <c r="Q216" s="3645"/>
      <c r="R216" s="3645"/>
      <c r="S216" s="3645"/>
      <c r="T216" s="3645"/>
      <c r="U216" s="3645"/>
      <c r="V216" s="3645"/>
      <c r="W216" s="3645"/>
      <c r="X216" s="3645"/>
      <c r="Y216" s="3645"/>
      <c r="Z216" s="3645"/>
      <c r="AA216" s="3645"/>
      <c r="AB216" s="3645"/>
      <c r="AC216" s="3645"/>
      <c r="AD216" s="3645"/>
      <c r="AE216" s="3645"/>
      <c r="AF216" s="3645"/>
      <c r="AG216" s="3645"/>
      <c r="AH216" s="3645"/>
      <c r="AI216" s="3645"/>
      <c r="AJ216" s="3645"/>
      <c r="AK216" s="3645"/>
      <c r="AL216" s="3645"/>
      <c r="AM216" s="3645"/>
      <c r="AN216" s="1123"/>
    </row>
    <row r="217" spans="2:45" ht="18" customHeight="1">
      <c r="B217" s="3625" t="s">
        <v>2156</v>
      </c>
      <c r="C217" s="3625"/>
      <c r="D217" s="2507" t="s">
        <v>2157</v>
      </c>
      <c r="E217" s="2507"/>
      <c r="F217" s="2507"/>
      <c r="G217" s="2507"/>
      <c r="H217" s="2507"/>
      <c r="I217" s="2507"/>
      <c r="J217" s="2507"/>
      <c r="K217" s="2507"/>
      <c r="L217" s="2507"/>
      <c r="M217" s="2507"/>
      <c r="N217" s="2507"/>
      <c r="O217" s="2507"/>
      <c r="P217" s="2507"/>
      <c r="Q217" s="2507"/>
      <c r="R217" s="2507"/>
      <c r="S217" s="2507"/>
      <c r="T217" s="2507"/>
      <c r="U217" s="2507"/>
      <c r="V217" s="2507"/>
      <c r="W217" s="2507"/>
      <c r="X217" s="2507"/>
      <c r="Y217" s="2507"/>
      <c r="Z217" s="2507"/>
      <c r="AA217" s="2507"/>
      <c r="AB217" s="2507"/>
      <c r="AC217" s="2507"/>
      <c r="AD217" s="2507"/>
      <c r="AE217" s="2507"/>
      <c r="AF217" s="2507"/>
      <c r="AG217" s="2507"/>
      <c r="AH217" s="2507"/>
      <c r="AI217" s="2507"/>
      <c r="AJ217" s="2507"/>
      <c r="AK217" s="3509"/>
      <c r="AL217" s="3509"/>
      <c r="AM217" s="3509"/>
      <c r="AN217" s="1123"/>
    </row>
    <row r="218" spans="2:45" ht="18" customHeight="1">
      <c r="B218" s="3625" t="s">
        <v>2158</v>
      </c>
      <c r="C218" s="3625"/>
      <c r="D218" s="3421" t="s">
        <v>2159</v>
      </c>
      <c r="E218" s="3421"/>
      <c r="F218" s="3421"/>
      <c r="G218" s="3421"/>
      <c r="H218" s="3421"/>
      <c r="I218" s="3421"/>
      <c r="J218" s="3421"/>
      <c r="K218" s="3421"/>
      <c r="L218" s="3421"/>
      <c r="M218" s="3421"/>
      <c r="N218" s="3421"/>
      <c r="O218" s="3421"/>
      <c r="P218" s="3421"/>
      <c r="Q218" s="3421"/>
      <c r="R218" s="3421"/>
      <c r="S218" s="3421"/>
      <c r="T218" s="3421"/>
      <c r="U218" s="3421"/>
      <c r="V218" s="3421"/>
      <c r="W218" s="3421"/>
      <c r="X218" s="3421"/>
      <c r="Y218" s="3421"/>
      <c r="Z218" s="3421"/>
      <c r="AA218" s="3421"/>
      <c r="AB218" s="3421"/>
      <c r="AC218" s="3421"/>
      <c r="AD218" s="3421"/>
      <c r="AE218" s="3421"/>
      <c r="AF218" s="3421"/>
      <c r="AG218" s="3421"/>
      <c r="AH218" s="3421"/>
      <c r="AI218" s="3421"/>
      <c r="AJ218" s="3421"/>
      <c r="AK218" s="3509"/>
      <c r="AL218" s="3509"/>
      <c r="AM218" s="3509"/>
      <c r="AN218" s="1123"/>
    </row>
    <row r="219" spans="2:45" s="118" customFormat="1" ht="18" customHeight="1">
      <c r="B219" s="3644" t="s">
        <v>2160</v>
      </c>
      <c r="C219" s="3644"/>
      <c r="D219" s="2507" t="s">
        <v>2161</v>
      </c>
      <c r="E219" s="2507"/>
      <c r="F219" s="2507"/>
      <c r="G219" s="2507"/>
      <c r="H219" s="2507"/>
      <c r="I219" s="2507"/>
      <c r="J219" s="2507"/>
      <c r="K219" s="2507"/>
      <c r="L219" s="2507"/>
      <c r="M219" s="2507"/>
      <c r="N219" s="2507"/>
      <c r="O219" s="2507"/>
      <c r="P219" s="2507"/>
      <c r="Q219" s="2507"/>
      <c r="R219" s="2507"/>
      <c r="S219" s="2507"/>
      <c r="T219" s="2507"/>
      <c r="U219" s="2507"/>
      <c r="V219" s="2507"/>
      <c r="W219" s="2507"/>
      <c r="X219" s="2507"/>
      <c r="Y219" s="2507"/>
      <c r="Z219" s="2507"/>
      <c r="AA219" s="2507"/>
      <c r="AB219" s="2507"/>
      <c r="AC219" s="2507"/>
      <c r="AD219" s="2507"/>
      <c r="AE219" s="2507"/>
      <c r="AF219" s="2507"/>
      <c r="AG219" s="2507"/>
      <c r="AH219" s="2507"/>
      <c r="AI219" s="2507"/>
      <c r="AJ219" s="2507"/>
      <c r="AK219" s="3511">
        <f>IFERROR(($AK$217/$AK$218),0)</f>
        <v>0</v>
      </c>
      <c r="AL219" s="3511"/>
      <c r="AM219" s="3511"/>
      <c r="AN219" s="1330"/>
    </row>
    <row r="220" spans="2:45" s="118" customFormat="1" ht="18" customHeight="1">
      <c r="B220" s="3649" t="s">
        <v>2162</v>
      </c>
      <c r="C220" s="3649"/>
      <c r="D220" s="3649"/>
      <c r="E220" s="3649"/>
      <c r="F220" s="3649"/>
      <c r="G220" s="3649"/>
      <c r="H220" s="3649"/>
      <c r="I220" s="3649"/>
      <c r="J220" s="3649"/>
      <c r="K220" s="3649"/>
      <c r="L220" s="3649"/>
      <c r="M220" s="3649"/>
      <c r="N220" s="3649"/>
      <c r="O220" s="3649"/>
      <c r="P220" s="3649"/>
      <c r="Q220" s="3649"/>
      <c r="R220" s="3649"/>
      <c r="S220" s="3649"/>
      <c r="T220" s="3649"/>
      <c r="U220" s="3649"/>
      <c r="V220" s="3649"/>
      <c r="W220" s="3649"/>
      <c r="X220" s="3649"/>
      <c r="Y220" s="3649"/>
      <c r="Z220" s="3649"/>
      <c r="AA220" s="3649"/>
      <c r="AB220" s="3649"/>
      <c r="AC220" s="3649"/>
      <c r="AD220" s="3649"/>
      <c r="AE220" s="3649"/>
      <c r="AF220" s="3649"/>
      <c r="AG220" s="3649"/>
      <c r="AH220" s="3649"/>
      <c r="AI220" s="3649"/>
      <c r="AJ220" s="3649"/>
      <c r="AK220" s="3649"/>
      <c r="AL220" s="3649"/>
      <c r="AM220" s="3649"/>
      <c r="AN220" s="1330"/>
    </row>
    <row r="221" spans="2:45" ht="18" customHeight="1">
      <c r="B221" s="3625" t="s">
        <v>2163</v>
      </c>
      <c r="C221" s="3625"/>
      <c r="D221" s="2507" t="s">
        <v>2164</v>
      </c>
      <c r="E221" s="2507"/>
      <c r="F221" s="2507"/>
      <c r="G221" s="2507"/>
      <c r="H221" s="2507"/>
      <c r="I221" s="2507"/>
      <c r="J221" s="2507"/>
      <c r="K221" s="2507"/>
      <c r="L221" s="2507"/>
      <c r="M221" s="2507"/>
      <c r="N221" s="2507"/>
      <c r="O221" s="2507"/>
      <c r="P221" s="2507"/>
      <c r="Q221" s="2507"/>
      <c r="R221" s="2507"/>
      <c r="S221" s="2507"/>
      <c r="T221" s="2507"/>
      <c r="U221" s="2507"/>
      <c r="V221" s="2507"/>
      <c r="W221" s="2507"/>
      <c r="X221" s="2507"/>
      <c r="Y221" s="2507"/>
      <c r="Z221" s="2507"/>
      <c r="AA221" s="2507"/>
      <c r="AB221" s="2507"/>
      <c r="AC221" s="2507"/>
      <c r="AD221" s="2507"/>
      <c r="AE221" s="2507"/>
      <c r="AF221" s="2507"/>
      <c r="AG221" s="2507"/>
      <c r="AH221" s="2507"/>
      <c r="AI221" s="2507"/>
      <c r="AJ221" s="2507"/>
      <c r="AK221" s="3509"/>
      <c r="AL221" s="3509"/>
      <c r="AM221" s="3509"/>
      <c r="AN221" s="1123"/>
    </row>
    <row r="222" spans="2:45" ht="18" customHeight="1">
      <c r="B222" s="3625" t="s">
        <v>2165</v>
      </c>
      <c r="C222" s="3625"/>
      <c r="D222" s="3421" t="s">
        <v>2159</v>
      </c>
      <c r="E222" s="3421"/>
      <c r="F222" s="3421"/>
      <c r="G222" s="3421"/>
      <c r="H222" s="3421"/>
      <c r="I222" s="3421"/>
      <c r="J222" s="3421"/>
      <c r="K222" s="3421"/>
      <c r="L222" s="3421"/>
      <c r="M222" s="3421"/>
      <c r="N222" s="3421"/>
      <c r="O222" s="3421"/>
      <c r="P222" s="3421"/>
      <c r="Q222" s="3421"/>
      <c r="R222" s="3421"/>
      <c r="S222" s="3421"/>
      <c r="T222" s="3421"/>
      <c r="U222" s="3421"/>
      <c r="V222" s="3421"/>
      <c r="W222" s="3421"/>
      <c r="X222" s="3421"/>
      <c r="Y222" s="3421"/>
      <c r="Z222" s="3421"/>
      <c r="AA222" s="3421"/>
      <c r="AB222" s="3421"/>
      <c r="AC222" s="3421"/>
      <c r="AD222" s="3421"/>
      <c r="AE222" s="3421"/>
      <c r="AF222" s="3421"/>
      <c r="AG222" s="3421"/>
      <c r="AH222" s="3421"/>
      <c r="AI222" s="3421"/>
      <c r="AJ222" s="3421"/>
      <c r="AK222" s="3509"/>
      <c r="AL222" s="3509"/>
      <c r="AM222" s="3509"/>
      <c r="AN222" s="1123"/>
      <c r="AS222" s="116"/>
    </row>
    <row r="223" spans="2:45" s="118" customFormat="1" ht="18" customHeight="1">
      <c r="B223" s="3644" t="s">
        <v>808</v>
      </c>
      <c r="C223" s="3644"/>
      <c r="D223" s="2507" t="s">
        <v>2166</v>
      </c>
      <c r="E223" s="2507"/>
      <c r="F223" s="2507"/>
      <c r="G223" s="2507"/>
      <c r="H223" s="2507"/>
      <c r="I223" s="2507"/>
      <c r="J223" s="2507"/>
      <c r="K223" s="2507"/>
      <c r="L223" s="2507"/>
      <c r="M223" s="2507"/>
      <c r="N223" s="2507"/>
      <c r="O223" s="2507"/>
      <c r="P223" s="2507"/>
      <c r="Q223" s="2507"/>
      <c r="R223" s="2507"/>
      <c r="S223" s="2507"/>
      <c r="T223" s="2507"/>
      <c r="U223" s="2507"/>
      <c r="V223" s="2507"/>
      <c r="W223" s="2507"/>
      <c r="X223" s="2507"/>
      <c r="Y223" s="2507"/>
      <c r="Z223" s="2507"/>
      <c r="AA223" s="2507"/>
      <c r="AB223" s="2507"/>
      <c r="AC223" s="2507"/>
      <c r="AD223" s="2507"/>
      <c r="AE223" s="2507"/>
      <c r="AF223" s="2507"/>
      <c r="AG223" s="2507"/>
      <c r="AH223" s="2507"/>
      <c r="AI223" s="2507"/>
      <c r="AJ223" s="2507"/>
      <c r="AK223" s="3511">
        <f>IFERROR(($AK$221/$AK$222),0)</f>
        <v>0</v>
      </c>
      <c r="AL223" s="3511"/>
      <c r="AM223" s="3511"/>
      <c r="AN223" s="1330"/>
      <c r="AS223" s="113"/>
    </row>
    <row r="224" spans="2:45" s="396" customFormat="1" ht="18" customHeight="1">
      <c r="B224" s="394"/>
      <c r="C224" s="394"/>
      <c r="D224" s="1536"/>
      <c r="E224" s="1536"/>
      <c r="F224" s="1536"/>
      <c r="G224" s="1536"/>
      <c r="H224" s="1536"/>
      <c r="I224" s="1536"/>
      <c r="J224" s="1536"/>
      <c r="K224" s="1536"/>
      <c r="L224" s="1536"/>
      <c r="M224" s="1536"/>
      <c r="N224" s="1536"/>
      <c r="O224" s="1536"/>
      <c r="P224" s="1536"/>
      <c r="Q224" s="1536"/>
      <c r="R224" s="1536"/>
      <c r="S224" s="1536"/>
      <c r="T224" s="1536"/>
      <c r="U224" s="1536"/>
      <c r="V224" s="1536"/>
      <c r="W224" s="1536"/>
      <c r="X224" s="1536"/>
      <c r="Y224" s="1536"/>
      <c r="Z224" s="1536"/>
      <c r="AA224" s="1536"/>
      <c r="AB224" s="1536"/>
      <c r="AC224" s="1536"/>
      <c r="AD224" s="1536"/>
      <c r="AE224" s="1536"/>
      <c r="AF224" s="1536"/>
      <c r="AG224" s="1536"/>
      <c r="AH224" s="1536"/>
      <c r="AI224" s="1536"/>
      <c r="AJ224" s="1536"/>
      <c r="AK224" s="395"/>
      <c r="AL224" s="395"/>
      <c r="AM224" s="395"/>
      <c r="AS224" s="224"/>
    </row>
    <row r="225" spans="2:45" s="116" customFormat="1" ht="18" customHeight="1">
      <c r="B225" s="3483" t="s">
        <v>2167</v>
      </c>
      <c r="C225" s="3483"/>
      <c r="D225" s="3483"/>
      <c r="E225" s="3483"/>
      <c r="F225" s="3483"/>
      <c r="G225" s="3483"/>
      <c r="H225" s="3483"/>
      <c r="I225" s="3483"/>
      <c r="J225" s="3483"/>
      <c r="K225" s="3483"/>
      <c r="L225" s="3483"/>
      <c r="M225" s="3483"/>
      <c r="N225" s="3483"/>
      <c r="O225" s="3483"/>
      <c r="P225" s="3483"/>
      <c r="Q225" s="3483"/>
      <c r="R225" s="3483"/>
      <c r="S225" s="3483"/>
      <c r="T225" s="3483"/>
      <c r="U225" s="3483"/>
      <c r="V225" s="3483"/>
      <c r="W225" s="3483"/>
      <c r="X225" s="3483"/>
      <c r="Y225" s="3483"/>
      <c r="Z225" s="3483"/>
      <c r="AA225" s="3483"/>
      <c r="AB225" s="3483"/>
      <c r="AC225" s="3483"/>
      <c r="AD225" s="3483"/>
      <c r="AE225" s="3483"/>
      <c r="AF225" s="3483"/>
      <c r="AG225" s="3483"/>
      <c r="AH225" s="3483"/>
      <c r="AI225" s="3483"/>
      <c r="AJ225" s="3483"/>
      <c r="AK225" s="3483"/>
      <c r="AL225" s="3483"/>
      <c r="AM225" s="3483"/>
      <c r="AN225" s="425"/>
      <c r="AS225" s="113"/>
    </row>
    <row r="226" spans="2:45" s="116" customFormat="1" ht="72" customHeight="1">
      <c r="B226" s="3416" t="s">
        <v>2168</v>
      </c>
      <c r="C226" s="3412"/>
      <c r="D226" s="3412"/>
      <c r="E226" s="3412"/>
      <c r="F226" s="3412"/>
      <c r="G226" s="3412"/>
      <c r="H226" s="3412"/>
      <c r="I226" s="3412"/>
      <c r="J226" s="3412"/>
      <c r="K226" s="3412"/>
      <c r="L226" s="3412"/>
      <c r="M226" s="3412"/>
      <c r="N226" s="3412"/>
      <c r="O226" s="3412"/>
      <c r="P226" s="3412"/>
      <c r="Q226" s="3412"/>
      <c r="R226" s="3412"/>
      <c r="S226" s="3412"/>
      <c r="T226" s="3412"/>
      <c r="U226" s="3412"/>
      <c r="V226" s="3412"/>
      <c r="W226" s="3412"/>
      <c r="X226" s="3412"/>
      <c r="Y226" s="3412"/>
      <c r="Z226" s="3412"/>
      <c r="AA226" s="3412"/>
      <c r="AB226" s="3412"/>
      <c r="AC226" s="3412"/>
      <c r="AD226" s="3412"/>
      <c r="AE226" s="3412"/>
      <c r="AF226" s="3412"/>
      <c r="AG226" s="3412"/>
      <c r="AH226" s="3412"/>
      <c r="AI226" s="3412"/>
      <c r="AJ226" s="3412"/>
      <c r="AK226" s="3412"/>
      <c r="AL226" s="3412"/>
      <c r="AM226" s="3417"/>
      <c r="AN226" s="1326"/>
      <c r="AS226" s="113"/>
    </row>
    <row r="227" spans="2:45" ht="54" customHeight="1">
      <c r="B227" s="3484" t="s">
        <v>2169</v>
      </c>
      <c r="C227" s="3431"/>
      <c r="D227" s="3431"/>
      <c r="E227" s="3431"/>
      <c r="F227" s="3431"/>
      <c r="G227" s="3431"/>
      <c r="H227" s="3431"/>
      <c r="I227" s="3431"/>
      <c r="J227" s="3431"/>
      <c r="K227" s="3431"/>
      <c r="L227" s="3431"/>
      <c r="M227" s="3431"/>
      <c r="N227" s="3431"/>
      <c r="O227" s="3431"/>
      <c r="P227" s="3431"/>
      <c r="Q227" s="3431"/>
      <c r="R227" s="3431"/>
      <c r="S227" s="3431"/>
      <c r="T227" s="3431"/>
      <c r="U227" s="3431"/>
      <c r="V227" s="3431"/>
      <c r="W227" s="3431"/>
      <c r="X227" s="3431"/>
      <c r="Y227" s="3431"/>
      <c r="Z227" s="3431"/>
      <c r="AA227" s="3431"/>
      <c r="AB227" s="3431"/>
      <c r="AC227" s="3431"/>
      <c r="AD227" s="3431"/>
      <c r="AE227" s="3431"/>
      <c r="AF227" s="3431"/>
      <c r="AG227" s="3431"/>
      <c r="AH227" s="3431"/>
      <c r="AI227" s="3431"/>
      <c r="AJ227" s="3431"/>
      <c r="AK227" s="3431"/>
      <c r="AL227" s="3431"/>
      <c r="AM227" s="3431"/>
      <c r="AN227" s="1123"/>
    </row>
    <row r="228" spans="2:45" ht="36" customHeight="1">
      <c r="B228" s="3648" t="s">
        <v>2170</v>
      </c>
      <c r="C228" s="3648"/>
      <c r="D228" s="3648"/>
      <c r="E228" s="3648"/>
      <c r="F228" s="3648"/>
      <c r="G228" s="3648"/>
      <c r="H228" s="3648"/>
      <c r="I228" s="3648"/>
      <c r="J228" s="3648"/>
      <c r="K228" s="3648"/>
      <c r="L228" s="3648"/>
      <c r="M228" s="3648"/>
      <c r="N228" s="3648"/>
      <c r="O228" s="3648"/>
      <c r="P228" s="3648"/>
      <c r="Q228" s="3648"/>
      <c r="R228" s="3648"/>
      <c r="S228" s="3648"/>
      <c r="T228" s="3648"/>
      <c r="U228" s="3648"/>
      <c r="V228" s="3648"/>
      <c r="W228" s="3648"/>
      <c r="X228" s="3541" t="s">
        <v>2171</v>
      </c>
      <c r="Y228" s="3541"/>
      <c r="Z228" s="3541"/>
      <c r="AA228" s="3612" t="s">
        <v>2172</v>
      </c>
      <c r="AB228" s="3541"/>
      <c r="AC228" s="3542"/>
      <c r="AD228" s="3612" t="s">
        <v>2173</v>
      </c>
      <c r="AE228" s="3541"/>
      <c r="AF228" s="3541"/>
      <c r="AG228" s="3541"/>
      <c r="AH228" s="3541"/>
      <c r="AI228" s="3542"/>
      <c r="AJ228" s="3612" t="s">
        <v>2174</v>
      </c>
      <c r="AK228" s="3541"/>
      <c r="AL228" s="3541"/>
      <c r="AM228" s="3541"/>
      <c r="AN228" s="1123"/>
    </row>
    <row r="229" spans="2:45" ht="18" customHeight="1">
      <c r="B229" s="3630"/>
      <c r="C229" s="3630"/>
      <c r="D229" s="3630"/>
      <c r="E229" s="3630"/>
      <c r="F229" s="3630"/>
      <c r="G229" s="3630"/>
      <c r="H229" s="3630"/>
      <c r="I229" s="3630"/>
      <c r="J229" s="3630"/>
      <c r="K229" s="3630"/>
      <c r="L229" s="3630"/>
      <c r="M229" s="3630"/>
      <c r="N229" s="3630"/>
      <c r="O229" s="3630"/>
      <c r="P229" s="3630"/>
      <c r="Q229" s="3630"/>
      <c r="R229" s="3630"/>
      <c r="S229" s="3630"/>
      <c r="T229" s="3630"/>
      <c r="U229" s="3630"/>
      <c r="V229" s="3630"/>
      <c r="W229" s="3630"/>
      <c r="X229" s="3514"/>
      <c r="Y229" s="3514"/>
      <c r="Z229" s="3514"/>
      <c r="AA229" s="3515"/>
      <c r="AB229" s="3378"/>
      <c r="AC229" s="3378"/>
      <c r="AD229" s="3515"/>
      <c r="AE229" s="3378"/>
      <c r="AF229" s="3378"/>
      <c r="AG229" s="3378"/>
      <c r="AH229" s="3378"/>
      <c r="AI229" s="3378"/>
      <c r="AJ229" s="3516">
        <f>IF($X$233=0,0,X229/$X$233)</f>
        <v>0</v>
      </c>
      <c r="AK229" s="3517"/>
      <c r="AL229" s="3517"/>
      <c r="AM229" s="3517"/>
      <c r="AN229" s="1123"/>
    </row>
    <row r="230" spans="2:45" ht="18" customHeight="1">
      <c r="B230" s="3630"/>
      <c r="C230" s="3630"/>
      <c r="D230" s="3630"/>
      <c r="E230" s="3630"/>
      <c r="F230" s="3630"/>
      <c r="G230" s="3630"/>
      <c r="H230" s="3630"/>
      <c r="I230" s="3630"/>
      <c r="J230" s="3630"/>
      <c r="K230" s="3630"/>
      <c r="L230" s="3630"/>
      <c r="M230" s="3630"/>
      <c r="N230" s="3630"/>
      <c r="O230" s="3630"/>
      <c r="P230" s="3630"/>
      <c r="Q230" s="3630"/>
      <c r="R230" s="3630"/>
      <c r="S230" s="3630"/>
      <c r="T230" s="3630"/>
      <c r="U230" s="3630"/>
      <c r="V230" s="3630"/>
      <c r="W230" s="3630"/>
      <c r="X230" s="3514"/>
      <c r="Y230" s="3514"/>
      <c r="Z230" s="3514"/>
      <c r="AA230" s="3515"/>
      <c r="AB230" s="3378"/>
      <c r="AC230" s="3378"/>
      <c r="AD230" s="3515"/>
      <c r="AE230" s="3378"/>
      <c r="AF230" s="3378"/>
      <c r="AG230" s="3378"/>
      <c r="AH230" s="3378"/>
      <c r="AI230" s="3378"/>
      <c r="AJ230" s="3516">
        <f>IF($X$233=0,0,X230/$X$233)</f>
        <v>0</v>
      </c>
      <c r="AK230" s="3517"/>
      <c r="AL230" s="3517"/>
      <c r="AM230" s="3517"/>
      <c r="AN230" s="1123"/>
    </row>
    <row r="231" spans="2:45" ht="18" customHeight="1">
      <c r="B231" s="3630"/>
      <c r="C231" s="3630"/>
      <c r="D231" s="3630"/>
      <c r="E231" s="3630"/>
      <c r="F231" s="3630"/>
      <c r="G231" s="3630"/>
      <c r="H231" s="3630"/>
      <c r="I231" s="3630"/>
      <c r="J231" s="3630"/>
      <c r="K231" s="3630"/>
      <c r="L231" s="3630"/>
      <c r="M231" s="3630"/>
      <c r="N231" s="3630"/>
      <c r="O231" s="3630"/>
      <c r="P231" s="3630"/>
      <c r="Q231" s="3630"/>
      <c r="R231" s="3630"/>
      <c r="S231" s="3630"/>
      <c r="T231" s="3630"/>
      <c r="U231" s="3630"/>
      <c r="V231" s="3630"/>
      <c r="W231" s="3630"/>
      <c r="X231" s="3514"/>
      <c r="Y231" s="3514"/>
      <c r="Z231" s="3514"/>
      <c r="AA231" s="3515"/>
      <c r="AB231" s="3378"/>
      <c r="AC231" s="3378"/>
      <c r="AD231" s="3515"/>
      <c r="AE231" s="3378"/>
      <c r="AF231" s="3378"/>
      <c r="AG231" s="3378"/>
      <c r="AH231" s="3378"/>
      <c r="AI231" s="3378"/>
      <c r="AJ231" s="3516">
        <f>IF($X$233=0,0,X231/$X$233)</f>
        <v>0</v>
      </c>
      <c r="AK231" s="3517"/>
      <c r="AL231" s="3517"/>
      <c r="AM231" s="3517"/>
      <c r="AN231" s="1123"/>
    </row>
    <row r="232" spans="2:45" ht="18" customHeight="1">
      <c r="B232" s="3630"/>
      <c r="C232" s="3630"/>
      <c r="D232" s="3630"/>
      <c r="E232" s="3630"/>
      <c r="F232" s="3630"/>
      <c r="G232" s="3630"/>
      <c r="H232" s="3630"/>
      <c r="I232" s="3630"/>
      <c r="J232" s="3630"/>
      <c r="K232" s="3630"/>
      <c r="L232" s="3630"/>
      <c r="M232" s="3630"/>
      <c r="N232" s="3630"/>
      <c r="O232" s="3630"/>
      <c r="P232" s="3630"/>
      <c r="Q232" s="3630"/>
      <c r="R232" s="3630"/>
      <c r="S232" s="3630"/>
      <c r="T232" s="3630"/>
      <c r="U232" s="3630"/>
      <c r="V232" s="3630"/>
      <c r="W232" s="3630"/>
      <c r="X232" s="3514"/>
      <c r="Y232" s="3514"/>
      <c r="Z232" s="3514"/>
      <c r="AA232" s="3515"/>
      <c r="AB232" s="3378"/>
      <c r="AC232" s="3378"/>
      <c r="AD232" s="3515"/>
      <c r="AE232" s="3378"/>
      <c r="AF232" s="3378"/>
      <c r="AG232" s="3378"/>
      <c r="AH232" s="3378"/>
      <c r="AI232" s="3378"/>
      <c r="AJ232" s="3516">
        <f>IF($X$233=0,0,X232/$X$233)</f>
        <v>0</v>
      </c>
      <c r="AK232" s="3517"/>
      <c r="AL232" s="3517"/>
      <c r="AM232" s="3517"/>
      <c r="AN232" s="1123"/>
    </row>
    <row r="233" spans="2:45" ht="18" customHeight="1">
      <c r="B233" s="3626" t="s">
        <v>2175</v>
      </c>
      <c r="C233" s="3627"/>
      <c r="D233" s="3627"/>
      <c r="E233" s="3627"/>
      <c r="F233" s="3627"/>
      <c r="G233" s="3627"/>
      <c r="H233" s="3627"/>
      <c r="I233" s="3627"/>
      <c r="J233" s="3627"/>
      <c r="K233" s="3627"/>
      <c r="L233" s="3627"/>
      <c r="M233" s="3627"/>
      <c r="N233" s="3627"/>
      <c r="O233" s="3627"/>
      <c r="P233" s="3627"/>
      <c r="Q233" s="3627"/>
      <c r="R233" s="3627"/>
      <c r="S233" s="3627"/>
      <c r="T233" s="3627"/>
      <c r="U233" s="3627"/>
      <c r="V233" s="3627"/>
      <c r="W233" s="3628"/>
      <c r="X233" s="3577">
        <f>SUM($X$229:$Z$232)</f>
        <v>0</v>
      </c>
      <c r="Y233" s="3568"/>
      <c r="Z233" s="3568"/>
      <c r="AA233" s="3574"/>
      <c r="AB233" s="3575"/>
      <c r="AC233" s="3575"/>
      <c r="AD233" s="3575"/>
      <c r="AE233" s="3575"/>
      <c r="AF233" s="3575"/>
      <c r="AG233" s="3575"/>
      <c r="AH233" s="3575"/>
      <c r="AI233" s="3576"/>
      <c r="AJ233" s="3581">
        <f>SUM($AJ$229:$AM$232)</f>
        <v>0</v>
      </c>
      <c r="AK233" s="3582"/>
      <c r="AL233" s="3582"/>
      <c r="AM233" s="3582"/>
      <c r="AN233" s="1123"/>
    </row>
    <row r="234" spans="2:45" ht="36" customHeight="1">
      <c r="B234" s="3629" t="s">
        <v>2176</v>
      </c>
      <c r="C234" s="3629"/>
      <c r="D234" s="3629"/>
      <c r="E234" s="3629"/>
      <c r="F234" s="3629"/>
      <c r="G234" s="3629"/>
      <c r="H234" s="3629"/>
      <c r="I234" s="3629"/>
      <c r="J234" s="3629"/>
      <c r="K234" s="3629"/>
      <c r="L234" s="3629"/>
      <c r="M234" s="3629"/>
      <c r="N234" s="3629"/>
      <c r="O234" s="3629"/>
      <c r="P234" s="3629"/>
      <c r="Q234" s="3629"/>
      <c r="R234" s="3629"/>
      <c r="S234" s="3629"/>
      <c r="T234" s="3629"/>
      <c r="U234" s="3629"/>
      <c r="V234" s="3629"/>
      <c r="W234" s="3629"/>
      <c r="X234" s="3541" t="s">
        <v>2171</v>
      </c>
      <c r="Y234" s="3541"/>
      <c r="Z234" s="3541"/>
      <c r="AA234" s="3612" t="s">
        <v>2172</v>
      </c>
      <c r="AB234" s="3541"/>
      <c r="AC234" s="3542"/>
      <c r="AD234" s="3612" t="s">
        <v>2173</v>
      </c>
      <c r="AE234" s="3541"/>
      <c r="AF234" s="3541"/>
      <c r="AG234" s="3541"/>
      <c r="AH234" s="3541"/>
      <c r="AI234" s="3542"/>
      <c r="AJ234" s="3612" t="s">
        <v>2174</v>
      </c>
      <c r="AK234" s="3541"/>
      <c r="AL234" s="3541"/>
      <c r="AM234" s="3541"/>
      <c r="AN234" s="1123"/>
    </row>
    <row r="235" spans="2:45" ht="18" customHeight="1">
      <c r="B235" s="3484" t="s">
        <v>2177</v>
      </c>
      <c r="C235" s="3431"/>
      <c r="D235" s="3431"/>
      <c r="E235" s="3431"/>
      <c r="F235" s="3431"/>
      <c r="G235" s="3431"/>
      <c r="H235" s="3431"/>
      <c r="I235" s="3431"/>
      <c r="J235" s="3431"/>
      <c r="K235" s="3431"/>
      <c r="L235" s="3431"/>
      <c r="M235" s="3431"/>
      <c r="N235" s="3431"/>
      <c r="O235" s="3431"/>
      <c r="P235" s="3431"/>
      <c r="Q235" s="3431"/>
      <c r="R235" s="3431"/>
      <c r="S235" s="3431"/>
      <c r="T235" s="3431"/>
      <c r="U235" s="3431"/>
      <c r="V235" s="3431"/>
      <c r="W235" s="3641"/>
      <c r="X235" s="3572"/>
      <c r="Y235" s="3573"/>
      <c r="Z235" s="3573"/>
      <c r="AA235" s="3573"/>
      <c r="AB235" s="3573"/>
      <c r="AC235" s="3573"/>
      <c r="AD235" s="3573"/>
      <c r="AE235" s="3573"/>
      <c r="AF235" s="3573"/>
      <c r="AG235" s="3573"/>
      <c r="AH235" s="3573"/>
      <c r="AI235" s="3573"/>
      <c r="AJ235" s="3573"/>
      <c r="AK235" s="3573"/>
      <c r="AL235" s="3573"/>
      <c r="AM235" s="3573"/>
      <c r="AN235" s="1123"/>
    </row>
    <row r="236" spans="2:45" ht="18" customHeight="1">
      <c r="B236" s="3368" t="s">
        <v>2178</v>
      </c>
      <c r="C236" s="3369"/>
      <c r="D236" s="3369"/>
      <c r="E236" s="3369"/>
      <c r="F236" s="3369"/>
      <c r="G236" s="3369"/>
      <c r="H236" s="3369"/>
      <c r="I236" s="3369"/>
      <c r="J236" s="3369"/>
      <c r="K236" s="3369"/>
      <c r="L236" s="3369"/>
      <c r="M236" s="3369"/>
      <c r="N236" s="3369"/>
      <c r="O236" s="3369"/>
      <c r="P236" s="3369"/>
      <c r="Q236" s="3369"/>
      <c r="R236" s="3369"/>
      <c r="S236" s="3370"/>
      <c r="T236" s="3567" t="s">
        <v>2179</v>
      </c>
      <c r="U236" s="3567"/>
      <c r="V236" s="3513"/>
      <c r="W236" s="3513"/>
      <c r="X236" s="3514"/>
      <c r="Y236" s="3514"/>
      <c r="Z236" s="3514"/>
      <c r="AA236" s="3515"/>
      <c r="AB236" s="3378"/>
      <c r="AC236" s="3378"/>
      <c r="AD236" s="3515"/>
      <c r="AE236" s="3378"/>
      <c r="AF236" s="3378"/>
      <c r="AG236" s="3378"/>
      <c r="AH236" s="3378"/>
      <c r="AI236" s="3378"/>
      <c r="AJ236" s="3516">
        <f t="shared" ref="AJ236:AJ258" si="0">IF($X$259=0,0,X236/$X$259)</f>
        <v>0</v>
      </c>
      <c r="AK236" s="3517"/>
      <c r="AL236" s="3517"/>
      <c r="AM236" s="3517"/>
      <c r="AN236" s="1123"/>
    </row>
    <row r="237" spans="2:45" ht="18" customHeight="1">
      <c r="B237" s="3368" t="s">
        <v>2178</v>
      </c>
      <c r="C237" s="3369"/>
      <c r="D237" s="3369"/>
      <c r="E237" s="3369"/>
      <c r="F237" s="3369"/>
      <c r="G237" s="3369"/>
      <c r="H237" s="3369"/>
      <c r="I237" s="3369"/>
      <c r="J237" s="3369"/>
      <c r="K237" s="3369"/>
      <c r="L237" s="3369"/>
      <c r="M237" s="3369"/>
      <c r="N237" s="3369"/>
      <c r="O237" s="3369"/>
      <c r="P237" s="3369"/>
      <c r="Q237" s="3369"/>
      <c r="R237" s="3369"/>
      <c r="S237" s="3370"/>
      <c r="T237" s="3567" t="s">
        <v>2179</v>
      </c>
      <c r="U237" s="3567"/>
      <c r="V237" s="3513"/>
      <c r="W237" s="3513"/>
      <c r="X237" s="3514"/>
      <c r="Y237" s="3514"/>
      <c r="Z237" s="3514"/>
      <c r="AA237" s="3515"/>
      <c r="AB237" s="3378"/>
      <c r="AC237" s="3378"/>
      <c r="AD237" s="3515"/>
      <c r="AE237" s="3378"/>
      <c r="AF237" s="3378"/>
      <c r="AG237" s="3378"/>
      <c r="AH237" s="3378"/>
      <c r="AI237" s="3378"/>
      <c r="AJ237" s="3516">
        <f t="shared" si="0"/>
        <v>0</v>
      </c>
      <c r="AK237" s="3517"/>
      <c r="AL237" s="3517"/>
      <c r="AM237" s="3517"/>
      <c r="AN237" s="1123"/>
    </row>
    <row r="238" spans="2:45" ht="18" customHeight="1">
      <c r="B238" s="3368" t="s">
        <v>2178</v>
      </c>
      <c r="C238" s="3369"/>
      <c r="D238" s="3369"/>
      <c r="E238" s="3369"/>
      <c r="F238" s="3369"/>
      <c r="G238" s="3369"/>
      <c r="H238" s="3369"/>
      <c r="I238" s="3369"/>
      <c r="J238" s="3369"/>
      <c r="K238" s="3369"/>
      <c r="L238" s="3369"/>
      <c r="M238" s="3369"/>
      <c r="N238" s="3369"/>
      <c r="O238" s="3369"/>
      <c r="P238" s="3369"/>
      <c r="Q238" s="3369"/>
      <c r="R238" s="3369"/>
      <c r="S238" s="3370"/>
      <c r="T238" s="3567" t="s">
        <v>2179</v>
      </c>
      <c r="U238" s="3567"/>
      <c r="V238" s="3513"/>
      <c r="W238" s="3513"/>
      <c r="X238" s="3514"/>
      <c r="Y238" s="3514"/>
      <c r="Z238" s="3514"/>
      <c r="AA238" s="3515"/>
      <c r="AB238" s="3378"/>
      <c r="AC238" s="3378"/>
      <c r="AD238" s="3515"/>
      <c r="AE238" s="3378"/>
      <c r="AF238" s="3378"/>
      <c r="AG238" s="3378"/>
      <c r="AH238" s="3378"/>
      <c r="AI238" s="3378"/>
      <c r="AJ238" s="3516">
        <f>IF($X$259=0,0,X238/$X$259)</f>
        <v>0</v>
      </c>
      <c r="AK238" s="3517"/>
      <c r="AL238" s="3517"/>
      <c r="AM238" s="3517"/>
      <c r="AN238" s="1123"/>
    </row>
    <row r="239" spans="2:45" ht="18" customHeight="1">
      <c r="B239" s="3368" t="s">
        <v>2178</v>
      </c>
      <c r="C239" s="3369"/>
      <c r="D239" s="3369"/>
      <c r="E239" s="3369"/>
      <c r="F239" s="3369"/>
      <c r="G239" s="3369"/>
      <c r="H239" s="3369"/>
      <c r="I239" s="3369"/>
      <c r="J239" s="3369"/>
      <c r="K239" s="3369"/>
      <c r="L239" s="3369"/>
      <c r="M239" s="3369"/>
      <c r="N239" s="3369"/>
      <c r="O239" s="3369"/>
      <c r="P239" s="3369"/>
      <c r="Q239" s="3369"/>
      <c r="R239" s="3369"/>
      <c r="S239" s="3370"/>
      <c r="T239" s="3567" t="s">
        <v>2179</v>
      </c>
      <c r="U239" s="3567"/>
      <c r="V239" s="3513"/>
      <c r="W239" s="3513"/>
      <c r="X239" s="3514"/>
      <c r="Y239" s="3514"/>
      <c r="Z239" s="3514"/>
      <c r="AA239" s="3515"/>
      <c r="AB239" s="3378"/>
      <c r="AC239" s="3378"/>
      <c r="AD239" s="3515"/>
      <c r="AE239" s="3378"/>
      <c r="AF239" s="3378"/>
      <c r="AG239" s="3378"/>
      <c r="AH239" s="3378"/>
      <c r="AI239" s="3378"/>
      <c r="AJ239" s="3516">
        <f>IF($X$259=0,0,X239/$X$259)</f>
        <v>0</v>
      </c>
      <c r="AK239" s="3517"/>
      <c r="AL239" s="3517"/>
      <c r="AM239" s="3517"/>
      <c r="AN239" s="1123"/>
    </row>
    <row r="240" spans="2:45" ht="18" customHeight="1">
      <c r="B240" s="3368" t="s">
        <v>2178</v>
      </c>
      <c r="C240" s="3369"/>
      <c r="D240" s="3369"/>
      <c r="E240" s="3369"/>
      <c r="F240" s="3369"/>
      <c r="G240" s="3369"/>
      <c r="H240" s="3369"/>
      <c r="I240" s="3369"/>
      <c r="J240" s="3369"/>
      <c r="K240" s="3369"/>
      <c r="L240" s="3369"/>
      <c r="M240" s="3369"/>
      <c r="N240" s="3369"/>
      <c r="O240" s="3369"/>
      <c r="P240" s="3369"/>
      <c r="Q240" s="3369"/>
      <c r="R240" s="3369"/>
      <c r="S240" s="3370"/>
      <c r="T240" s="3567" t="s">
        <v>2179</v>
      </c>
      <c r="U240" s="3567"/>
      <c r="V240" s="3513"/>
      <c r="W240" s="3513"/>
      <c r="X240" s="3514"/>
      <c r="Y240" s="3514"/>
      <c r="Z240" s="3514"/>
      <c r="AA240" s="3515"/>
      <c r="AB240" s="3378"/>
      <c r="AC240" s="3378"/>
      <c r="AD240" s="3515"/>
      <c r="AE240" s="3378"/>
      <c r="AF240" s="3378"/>
      <c r="AG240" s="3378"/>
      <c r="AH240" s="3378"/>
      <c r="AI240" s="3378"/>
      <c r="AJ240" s="3516">
        <f t="shared" si="0"/>
        <v>0</v>
      </c>
      <c r="AK240" s="3517"/>
      <c r="AL240" s="3517"/>
      <c r="AM240" s="3517"/>
      <c r="AN240" s="1123"/>
    </row>
    <row r="241" spans="2:40" ht="18" customHeight="1">
      <c r="B241" s="3368" t="s">
        <v>2178</v>
      </c>
      <c r="C241" s="3369"/>
      <c r="D241" s="3369"/>
      <c r="E241" s="3369"/>
      <c r="F241" s="3369"/>
      <c r="G241" s="3369"/>
      <c r="H241" s="3369"/>
      <c r="I241" s="3369"/>
      <c r="J241" s="3369"/>
      <c r="K241" s="3369"/>
      <c r="L241" s="3369"/>
      <c r="M241" s="3369"/>
      <c r="N241" s="3369"/>
      <c r="O241" s="3369"/>
      <c r="P241" s="3369"/>
      <c r="Q241" s="3369"/>
      <c r="R241" s="3369"/>
      <c r="S241" s="3370"/>
      <c r="T241" s="3567" t="s">
        <v>2179</v>
      </c>
      <c r="U241" s="3567"/>
      <c r="V241" s="3513"/>
      <c r="W241" s="3513"/>
      <c r="X241" s="3514"/>
      <c r="Y241" s="3514"/>
      <c r="Z241" s="3514"/>
      <c r="AA241" s="3515"/>
      <c r="AB241" s="3378"/>
      <c r="AC241" s="3378"/>
      <c r="AD241" s="3515"/>
      <c r="AE241" s="3378"/>
      <c r="AF241" s="3378"/>
      <c r="AG241" s="3378"/>
      <c r="AH241" s="3378"/>
      <c r="AI241" s="3378"/>
      <c r="AJ241" s="3516">
        <f t="shared" si="0"/>
        <v>0</v>
      </c>
      <c r="AK241" s="3517"/>
      <c r="AL241" s="3517"/>
      <c r="AM241" s="3517"/>
      <c r="AN241" s="1123"/>
    </row>
    <row r="242" spans="2:40" ht="18" customHeight="1">
      <c r="B242" s="3368" t="s">
        <v>2178</v>
      </c>
      <c r="C242" s="3369"/>
      <c r="D242" s="3369"/>
      <c r="E242" s="3369"/>
      <c r="F242" s="3369"/>
      <c r="G242" s="3369"/>
      <c r="H242" s="3369"/>
      <c r="I242" s="3369"/>
      <c r="J242" s="3369"/>
      <c r="K242" s="3369"/>
      <c r="L242" s="3369"/>
      <c r="M242" s="3369"/>
      <c r="N242" s="3369"/>
      <c r="O242" s="3369"/>
      <c r="P242" s="3369"/>
      <c r="Q242" s="3369"/>
      <c r="R242" s="3369"/>
      <c r="S242" s="3370"/>
      <c r="T242" s="3567" t="s">
        <v>2179</v>
      </c>
      <c r="U242" s="3567"/>
      <c r="V242" s="3513"/>
      <c r="W242" s="3513"/>
      <c r="X242" s="3514"/>
      <c r="Y242" s="3514"/>
      <c r="Z242" s="3514"/>
      <c r="AA242" s="3515"/>
      <c r="AB242" s="3378"/>
      <c r="AC242" s="3378"/>
      <c r="AD242" s="3515"/>
      <c r="AE242" s="3378"/>
      <c r="AF242" s="3378"/>
      <c r="AG242" s="3378"/>
      <c r="AH242" s="3378"/>
      <c r="AI242" s="3378"/>
      <c r="AJ242" s="3516">
        <f>IF($X$259=0,0,X242/$X$259)</f>
        <v>0</v>
      </c>
      <c r="AK242" s="3517"/>
      <c r="AL242" s="3517"/>
      <c r="AM242" s="3517"/>
      <c r="AN242" s="1123"/>
    </row>
    <row r="243" spans="2:40" ht="18" customHeight="1">
      <c r="B243" s="3368" t="s">
        <v>2178</v>
      </c>
      <c r="C243" s="3369"/>
      <c r="D243" s="3369"/>
      <c r="E243" s="3369"/>
      <c r="F243" s="3369"/>
      <c r="G243" s="3369"/>
      <c r="H243" s="3369"/>
      <c r="I243" s="3369"/>
      <c r="J243" s="3369"/>
      <c r="K243" s="3369"/>
      <c r="L243" s="3369"/>
      <c r="M243" s="3369"/>
      <c r="N243" s="3369"/>
      <c r="O243" s="3369"/>
      <c r="P243" s="3369"/>
      <c r="Q243" s="3369"/>
      <c r="R243" s="3369"/>
      <c r="S243" s="3370"/>
      <c r="T243" s="3567" t="s">
        <v>2179</v>
      </c>
      <c r="U243" s="3567"/>
      <c r="V243" s="3513"/>
      <c r="W243" s="3513"/>
      <c r="X243" s="3514"/>
      <c r="Y243" s="3514"/>
      <c r="Z243" s="3514"/>
      <c r="AA243" s="3515"/>
      <c r="AB243" s="3378"/>
      <c r="AC243" s="3378"/>
      <c r="AD243" s="3515"/>
      <c r="AE243" s="3378"/>
      <c r="AF243" s="3378"/>
      <c r="AG243" s="3378"/>
      <c r="AH243" s="3378"/>
      <c r="AI243" s="3378"/>
      <c r="AJ243" s="3516">
        <f>IF($X$259=0,0,X243/$X$259)</f>
        <v>0</v>
      </c>
      <c r="AK243" s="3517"/>
      <c r="AL243" s="3517"/>
      <c r="AM243" s="3517"/>
      <c r="AN243" s="1123"/>
    </row>
    <row r="244" spans="2:40" ht="18" customHeight="1">
      <c r="B244" s="3368" t="s">
        <v>2178</v>
      </c>
      <c r="C244" s="3369"/>
      <c r="D244" s="3369"/>
      <c r="E244" s="3369"/>
      <c r="F244" s="3369"/>
      <c r="G244" s="3369"/>
      <c r="H244" s="3369"/>
      <c r="I244" s="3369"/>
      <c r="J244" s="3369"/>
      <c r="K244" s="3369"/>
      <c r="L244" s="3369"/>
      <c r="M244" s="3369"/>
      <c r="N244" s="3369"/>
      <c r="O244" s="3369"/>
      <c r="P244" s="3369"/>
      <c r="Q244" s="3369"/>
      <c r="R244" s="3369"/>
      <c r="S244" s="3370"/>
      <c r="T244" s="3567" t="s">
        <v>2179</v>
      </c>
      <c r="U244" s="3567"/>
      <c r="V244" s="3513"/>
      <c r="W244" s="3513"/>
      <c r="X244" s="3514"/>
      <c r="Y244" s="3514"/>
      <c r="Z244" s="3514"/>
      <c r="AA244" s="3515"/>
      <c r="AB244" s="3378"/>
      <c r="AC244" s="3378"/>
      <c r="AD244" s="3515"/>
      <c r="AE244" s="3378"/>
      <c r="AF244" s="3378"/>
      <c r="AG244" s="3378"/>
      <c r="AH244" s="3378"/>
      <c r="AI244" s="3378"/>
      <c r="AJ244" s="3516">
        <f>IF($X$259=0,0,X244/$X$259)</f>
        <v>0</v>
      </c>
      <c r="AK244" s="3517"/>
      <c r="AL244" s="3517"/>
      <c r="AM244" s="3517"/>
      <c r="AN244" s="1123"/>
    </row>
    <row r="245" spans="2:40" ht="18" customHeight="1">
      <c r="B245" s="3368" t="s">
        <v>2178</v>
      </c>
      <c r="C245" s="3369"/>
      <c r="D245" s="3369"/>
      <c r="E245" s="3369"/>
      <c r="F245" s="3369"/>
      <c r="G245" s="3369"/>
      <c r="H245" s="3369"/>
      <c r="I245" s="3369"/>
      <c r="J245" s="3369"/>
      <c r="K245" s="3369"/>
      <c r="L245" s="3369"/>
      <c r="M245" s="3369"/>
      <c r="N245" s="3369"/>
      <c r="O245" s="3369"/>
      <c r="P245" s="3369"/>
      <c r="Q245" s="3369"/>
      <c r="R245" s="3369"/>
      <c r="S245" s="3370"/>
      <c r="T245" s="3567" t="s">
        <v>2179</v>
      </c>
      <c r="U245" s="3567"/>
      <c r="V245" s="3513"/>
      <c r="W245" s="3513"/>
      <c r="X245" s="3514"/>
      <c r="Y245" s="3514"/>
      <c r="Z245" s="3514"/>
      <c r="AA245" s="3515"/>
      <c r="AB245" s="3378"/>
      <c r="AC245" s="3378"/>
      <c r="AD245" s="3515"/>
      <c r="AE245" s="3378"/>
      <c r="AF245" s="3378"/>
      <c r="AG245" s="3378"/>
      <c r="AH245" s="3378"/>
      <c r="AI245" s="3378"/>
      <c r="AJ245" s="3516">
        <f>IF($X$259=0,0,X245/$X$259)</f>
        <v>0</v>
      </c>
      <c r="AK245" s="3517"/>
      <c r="AL245" s="3517"/>
      <c r="AM245" s="3517"/>
      <c r="AN245" s="1123"/>
    </row>
    <row r="246" spans="2:40" ht="18" customHeight="1">
      <c r="B246" s="3636" t="s">
        <v>2180</v>
      </c>
      <c r="C246" s="3636"/>
      <c r="D246" s="3636"/>
      <c r="E246" s="3636"/>
      <c r="F246" s="3636"/>
      <c r="G246" s="3636"/>
      <c r="H246" s="3636"/>
      <c r="I246" s="3636"/>
      <c r="J246" s="3636"/>
      <c r="K246" s="3636"/>
      <c r="L246" s="3636"/>
      <c r="M246" s="3636"/>
      <c r="N246" s="3636"/>
      <c r="O246" s="3636"/>
      <c r="P246" s="3636"/>
      <c r="Q246" s="3636"/>
      <c r="R246" s="3636"/>
      <c r="S246" s="3636"/>
      <c r="T246" s="3636"/>
      <c r="U246" s="3636"/>
      <c r="V246" s="3636"/>
      <c r="W246" s="3636"/>
      <c r="X246" s="3514"/>
      <c r="Y246" s="3514"/>
      <c r="Z246" s="3514"/>
      <c r="AA246" s="3515"/>
      <c r="AB246" s="3378"/>
      <c r="AC246" s="3378"/>
      <c r="AD246" s="3515"/>
      <c r="AE246" s="3378"/>
      <c r="AF246" s="3378"/>
      <c r="AG246" s="3378"/>
      <c r="AH246" s="3378"/>
      <c r="AI246" s="3378"/>
      <c r="AJ246" s="3516">
        <f t="shared" si="0"/>
        <v>0</v>
      </c>
      <c r="AK246" s="3517"/>
      <c r="AL246" s="3517"/>
      <c r="AM246" s="3517"/>
      <c r="AN246" s="1123"/>
    </row>
    <row r="247" spans="2:40" ht="18" customHeight="1">
      <c r="B247" s="3558" t="s">
        <v>2181</v>
      </c>
      <c r="C247" s="3558"/>
      <c r="D247" s="3558"/>
      <c r="E247" s="3558"/>
      <c r="F247" s="3558"/>
      <c r="G247" s="3558"/>
      <c r="H247" s="3558"/>
      <c r="I247" s="3558"/>
      <c r="J247" s="3558"/>
      <c r="K247" s="3558"/>
      <c r="L247" s="3558"/>
      <c r="M247" s="3558"/>
      <c r="N247" s="3558"/>
      <c r="O247" s="3558"/>
      <c r="P247" s="3558"/>
      <c r="Q247" s="3558"/>
      <c r="R247" s="3558"/>
      <c r="S247" s="3558"/>
      <c r="T247" s="3558"/>
      <c r="U247" s="3558"/>
      <c r="V247" s="3558"/>
      <c r="W247" s="3558"/>
      <c r="X247" s="3568">
        <f>SUM(X236:Z246)</f>
        <v>0</v>
      </c>
      <c r="Y247" s="3568"/>
      <c r="Z247" s="3568"/>
      <c r="AA247" s="8"/>
      <c r="AB247" s="9"/>
      <c r="AC247" s="9"/>
      <c r="AD247" s="9"/>
      <c r="AE247" s="9"/>
      <c r="AF247" s="9"/>
      <c r="AG247" s="9"/>
      <c r="AH247" s="9"/>
      <c r="AI247" s="10"/>
      <c r="AJ247" s="3593">
        <f t="shared" si="0"/>
        <v>0</v>
      </c>
      <c r="AK247" s="3594"/>
      <c r="AL247" s="3594"/>
      <c r="AM247" s="3594"/>
      <c r="AN247" s="1123"/>
    </row>
    <row r="248" spans="2:40" ht="18" customHeight="1">
      <c r="B248" s="3430" t="s">
        <v>2182</v>
      </c>
      <c r="C248" s="3430"/>
      <c r="D248" s="3430"/>
      <c r="E248" s="3430"/>
      <c r="F248" s="3430"/>
      <c r="G248" s="3430"/>
      <c r="H248" s="3430"/>
      <c r="I248" s="3430"/>
      <c r="J248" s="3430"/>
      <c r="K248" s="3430"/>
      <c r="L248" s="3430"/>
      <c r="M248" s="3430"/>
      <c r="N248" s="3430"/>
      <c r="O248" s="3430"/>
      <c r="P248" s="3430"/>
      <c r="Q248" s="3430"/>
      <c r="R248" s="3430"/>
      <c r="S248" s="3430"/>
      <c r="T248" s="3430"/>
      <c r="U248" s="3430"/>
      <c r="V248" s="3430"/>
      <c r="W248" s="3430"/>
      <c r="X248" s="3514"/>
      <c r="Y248" s="3514"/>
      <c r="Z248" s="3514"/>
      <c r="AA248" s="3515"/>
      <c r="AB248" s="3378"/>
      <c r="AC248" s="3378"/>
      <c r="AD248" s="3515"/>
      <c r="AE248" s="3378"/>
      <c r="AF248" s="3378"/>
      <c r="AG248" s="3378"/>
      <c r="AH248" s="3378"/>
      <c r="AI248" s="3378"/>
      <c r="AJ248" s="3516">
        <f t="shared" si="0"/>
        <v>0</v>
      </c>
      <c r="AK248" s="3517"/>
      <c r="AL248" s="3517"/>
      <c r="AM248" s="3517"/>
      <c r="AN248" s="1123"/>
    </row>
    <row r="249" spans="2:40" ht="18" customHeight="1">
      <c r="B249" s="3430" t="s">
        <v>2183</v>
      </c>
      <c r="C249" s="3430"/>
      <c r="D249" s="3430"/>
      <c r="E249" s="3430"/>
      <c r="F249" s="3430"/>
      <c r="G249" s="3430"/>
      <c r="H249" s="3430"/>
      <c r="I249" s="3430"/>
      <c r="J249" s="3430"/>
      <c r="K249" s="3430"/>
      <c r="L249" s="3430"/>
      <c r="M249" s="3430"/>
      <c r="N249" s="3430"/>
      <c r="O249" s="3430"/>
      <c r="P249" s="3430"/>
      <c r="Q249" s="3430"/>
      <c r="R249" s="3430"/>
      <c r="S249" s="3430"/>
      <c r="T249" s="3430"/>
      <c r="U249" s="3430"/>
      <c r="V249" s="3430"/>
      <c r="W249" s="3430"/>
      <c r="X249" s="3514"/>
      <c r="Y249" s="3514"/>
      <c r="Z249" s="3514"/>
      <c r="AA249" s="3515"/>
      <c r="AB249" s="3378"/>
      <c r="AC249" s="3378"/>
      <c r="AD249" s="3515"/>
      <c r="AE249" s="3378"/>
      <c r="AF249" s="3378"/>
      <c r="AG249" s="3378"/>
      <c r="AH249" s="3378"/>
      <c r="AI249" s="3378"/>
      <c r="AJ249" s="3516">
        <f t="shared" si="0"/>
        <v>0</v>
      </c>
      <c r="AK249" s="3517"/>
      <c r="AL249" s="3517"/>
      <c r="AM249" s="3517"/>
      <c r="AN249" s="1123"/>
    </row>
    <row r="250" spans="2:40" ht="18" customHeight="1">
      <c r="B250" s="3430" t="s">
        <v>2184</v>
      </c>
      <c r="C250" s="3430"/>
      <c r="D250" s="3430"/>
      <c r="E250" s="3430"/>
      <c r="F250" s="3430"/>
      <c r="G250" s="3430"/>
      <c r="H250" s="3430"/>
      <c r="I250" s="3430"/>
      <c r="J250" s="3430"/>
      <c r="K250" s="3430"/>
      <c r="L250" s="3430"/>
      <c r="M250" s="3430"/>
      <c r="N250" s="3430"/>
      <c r="O250" s="3430"/>
      <c r="P250" s="3430"/>
      <c r="Q250" s="3430"/>
      <c r="R250" s="3430"/>
      <c r="S250" s="3430"/>
      <c r="T250" s="3430"/>
      <c r="U250" s="3430"/>
      <c r="V250" s="3430"/>
      <c r="W250" s="3430"/>
      <c r="X250" s="3677"/>
      <c r="Y250" s="3677"/>
      <c r="Z250" s="3677"/>
      <c r="AA250" s="3571"/>
      <c r="AB250" s="3521"/>
      <c r="AC250" s="3521"/>
      <c r="AD250" s="3571"/>
      <c r="AE250" s="3521"/>
      <c r="AF250" s="3521"/>
      <c r="AG250" s="3521"/>
      <c r="AH250" s="3521"/>
      <c r="AI250" s="3521"/>
      <c r="AJ250" s="3569">
        <f t="shared" si="0"/>
        <v>0</v>
      </c>
      <c r="AK250" s="3570"/>
      <c r="AL250" s="3570"/>
      <c r="AM250" s="3570"/>
      <c r="AN250" s="1123"/>
    </row>
    <row r="251" spans="2:40" ht="18" customHeight="1">
      <c r="B251" s="3430" t="s">
        <v>2185</v>
      </c>
      <c r="C251" s="3430"/>
      <c r="D251" s="3430"/>
      <c r="E251" s="3430"/>
      <c r="F251" s="3430"/>
      <c r="G251" s="3430"/>
      <c r="H251" s="3430"/>
      <c r="I251" s="3430"/>
      <c r="J251" s="3430"/>
      <c r="K251" s="3430"/>
      <c r="L251" s="3430"/>
      <c r="M251" s="3430"/>
      <c r="N251" s="3430"/>
      <c r="O251" s="3430"/>
      <c r="P251" s="3430"/>
      <c r="Q251" s="3430"/>
      <c r="R251" s="3430"/>
      <c r="S251" s="3430"/>
      <c r="T251" s="3430"/>
      <c r="U251" s="3430"/>
      <c r="V251" s="3430"/>
      <c r="W251" s="3430"/>
      <c r="X251" s="3637"/>
      <c r="Y251" s="3637"/>
      <c r="Z251" s="3637"/>
      <c r="AA251" s="3638"/>
      <c r="AB251" s="3639"/>
      <c r="AC251" s="3639"/>
      <c r="AD251" s="3638"/>
      <c r="AE251" s="3639"/>
      <c r="AF251" s="3639"/>
      <c r="AG251" s="3639"/>
      <c r="AH251" s="3639"/>
      <c r="AI251" s="3639"/>
      <c r="AJ251" s="3586">
        <f t="shared" si="0"/>
        <v>0</v>
      </c>
      <c r="AK251" s="3587"/>
      <c r="AL251" s="3587"/>
      <c r="AM251" s="3587"/>
      <c r="AN251" s="1123"/>
    </row>
    <row r="252" spans="2:40" ht="18" customHeight="1">
      <c r="B252" s="3421" t="s">
        <v>2186</v>
      </c>
      <c r="C252" s="3421"/>
      <c r="D252" s="3421"/>
      <c r="E252" s="3421"/>
      <c r="F252" s="3421"/>
      <c r="G252" s="3421"/>
      <c r="H252" s="3421"/>
      <c r="I252" s="3421"/>
      <c r="J252" s="3421"/>
      <c r="K252" s="3421"/>
      <c r="L252" s="3421"/>
      <c r="M252" s="3421"/>
      <c r="N252" s="3421"/>
      <c r="O252" s="3421"/>
      <c r="P252" s="3421"/>
      <c r="Q252" s="3421"/>
      <c r="R252" s="3421"/>
      <c r="S252" s="3421"/>
      <c r="T252" s="3421"/>
      <c r="U252" s="3421"/>
      <c r="V252" s="3421"/>
      <c r="W252" s="3421"/>
      <c r="X252" s="3514"/>
      <c r="Y252" s="3514"/>
      <c r="Z252" s="3514"/>
      <c r="AA252" s="3515"/>
      <c r="AB252" s="3378"/>
      <c r="AC252" s="3378"/>
      <c r="AD252" s="3515"/>
      <c r="AE252" s="3378"/>
      <c r="AF252" s="3378"/>
      <c r="AG252" s="3378"/>
      <c r="AH252" s="3378"/>
      <c r="AI252" s="3378"/>
      <c r="AJ252" s="3516">
        <f t="shared" si="0"/>
        <v>0</v>
      </c>
      <c r="AK252" s="3517"/>
      <c r="AL252" s="3517"/>
      <c r="AM252" s="3517"/>
      <c r="AN252" s="1123"/>
    </row>
    <row r="253" spans="2:40" ht="18" customHeight="1">
      <c r="B253" s="3430" t="s">
        <v>2187</v>
      </c>
      <c r="C253" s="3430"/>
      <c r="D253" s="3430"/>
      <c r="E253" s="3430"/>
      <c r="F253" s="3430"/>
      <c r="G253" s="3430"/>
      <c r="H253" s="3430"/>
      <c r="I253" s="3430"/>
      <c r="J253" s="3430"/>
      <c r="K253" s="3430"/>
      <c r="L253" s="3430"/>
      <c r="M253" s="3430"/>
      <c r="N253" s="3430"/>
      <c r="O253" s="3430"/>
      <c r="P253" s="3430"/>
      <c r="Q253" s="3430"/>
      <c r="R253" s="3430"/>
      <c r="S253" s="3430"/>
      <c r="T253" s="3430"/>
      <c r="U253" s="3430"/>
      <c r="V253" s="3430"/>
      <c r="W253" s="3430"/>
      <c r="X253" s="3514"/>
      <c r="Y253" s="3514"/>
      <c r="Z253" s="3514"/>
      <c r="AA253" s="3515"/>
      <c r="AB253" s="3378"/>
      <c r="AC253" s="3378"/>
      <c r="AD253" s="3515"/>
      <c r="AE253" s="3378"/>
      <c r="AF253" s="3378"/>
      <c r="AG253" s="3378"/>
      <c r="AH253" s="3378"/>
      <c r="AI253" s="3378"/>
      <c r="AJ253" s="3516">
        <f t="shared" si="0"/>
        <v>0</v>
      </c>
      <c r="AK253" s="3517"/>
      <c r="AL253" s="3517"/>
      <c r="AM253" s="3517"/>
      <c r="AN253" s="1123"/>
    </row>
    <row r="254" spans="2:40" ht="18" customHeight="1">
      <c r="B254" s="3630" t="s">
        <v>2188</v>
      </c>
      <c r="C254" s="3630"/>
      <c r="D254" s="3630"/>
      <c r="E254" s="3630"/>
      <c r="F254" s="3630"/>
      <c r="G254" s="3630"/>
      <c r="H254" s="3630"/>
      <c r="I254" s="3630"/>
      <c r="J254" s="3630"/>
      <c r="K254" s="3630"/>
      <c r="L254" s="3630"/>
      <c r="M254" s="3630"/>
      <c r="N254" s="3630"/>
      <c r="O254" s="3630"/>
      <c r="P254" s="3630"/>
      <c r="Q254" s="3630"/>
      <c r="R254" s="3630"/>
      <c r="S254" s="3630"/>
      <c r="T254" s="3630"/>
      <c r="U254" s="3630"/>
      <c r="V254" s="3630"/>
      <c r="W254" s="3630"/>
      <c r="X254" s="3514"/>
      <c r="Y254" s="3514"/>
      <c r="Z254" s="3514"/>
      <c r="AA254" s="3515"/>
      <c r="AB254" s="3378"/>
      <c r="AC254" s="3378"/>
      <c r="AD254" s="3515"/>
      <c r="AE254" s="3378"/>
      <c r="AF254" s="3378"/>
      <c r="AG254" s="3378"/>
      <c r="AH254" s="3378"/>
      <c r="AI254" s="3378"/>
      <c r="AJ254" s="3516">
        <f t="shared" si="0"/>
        <v>0</v>
      </c>
      <c r="AK254" s="3517"/>
      <c r="AL254" s="3517"/>
      <c r="AM254" s="3517"/>
      <c r="AN254" s="1123"/>
    </row>
    <row r="255" spans="2:40" ht="18" customHeight="1">
      <c r="B255" s="3445" t="s">
        <v>2189</v>
      </c>
      <c r="C255" s="3445"/>
      <c r="D255" s="3445"/>
      <c r="E255" s="3445"/>
      <c r="F255" s="3445"/>
      <c r="G255" s="3445"/>
      <c r="H255" s="3445"/>
      <c r="I255" s="3445"/>
      <c r="J255" s="3445"/>
      <c r="K255" s="3445"/>
      <c r="L255" s="3445"/>
      <c r="M255" s="3445"/>
      <c r="N255" s="3445"/>
      <c r="O255" s="3445"/>
      <c r="P255" s="3445"/>
      <c r="Q255" s="3445"/>
      <c r="R255" s="3445"/>
      <c r="S255" s="3445"/>
      <c r="T255" s="3445"/>
      <c r="U255" s="3445"/>
      <c r="V255" s="3445"/>
      <c r="W255" s="3445"/>
      <c r="X255" s="3514"/>
      <c r="Y255" s="3514"/>
      <c r="Z255" s="3514"/>
      <c r="AA255" s="3515"/>
      <c r="AB255" s="3378"/>
      <c r="AC255" s="3378"/>
      <c r="AD255" s="3515"/>
      <c r="AE255" s="3378"/>
      <c r="AF255" s="3378"/>
      <c r="AG255" s="3378"/>
      <c r="AH255" s="3378"/>
      <c r="AI255" s="3378"/>
      <c r="AJ255" s="3516">
        <f t="shared" si="0"/>
        <v>0</v>
      </c>
      <c r="AK255" s="3517"/>
      <c r="AL255" s="3517"/>
      <c r="AM255" s="3517"/>
      <c r="AN255" s="1123"/>
    </row>
    <row r="256" spans="2:40" ht="18" customHeight="1">
      <c r="B256" s="3630" t="s">
        <v>2190</v>
      </c>
      <c r="C256" s="3630"/>
      <c r="D256" s="3630"/>
      <c r="E256" s="3630"/>
      <c r="F256" s="3630"/>
      <c r="G256" s="3630"/>
      <c r="H256" s="3630"/>
      <c r="I256" s="3630"/>
      <c r="J256" s="3630"/>
      <c r="K256" s="3630"/>
      <c r="L256" s="3630"/>
      <c r="M256" s="3630"/>
      <c r="N256" s="3630"/>
      <c r="O256" s="3630"/>
      <c r="P256" s="3630"/>
      <c r="Q256" s="3630"/>
      <c r="R256" s="3630"/>
      <c r="S256" s="3630"/>
      <c r="T256" s="3630"/>
      <c r="U256" s="3630"/>
      <c r="V256" s="3630"/>
      <c r="W256" s="3630"/>
      <c r="X256" s="3514"/>
      <c r="Y256" s="3514"/>
      <c r="Z256" s="3514"/>
      <c r="AA256" s="3515"/>
      <c r="AB256" s="3378"/>
      <c r="AC256" s="3378"/>
      <c r="AD256" s="3515"/>
      <c r="AE256" s="3378"/>
      <c r="AF256" s="3378"/>
      <c r="AG256" s="3378"/>
      <c r="AH256" s="3378"/>
      <c r="AI256" s="3378"/>
      <c r="AJ256" s="3516">
        <f t="shared" si="0"/>
        <v>0</v>
      </c>
      <c r="AK256" s="3517"/>
      <c r="AL256" s="3517"/>
      <c r="AM256" s="3517"/>
      <c r="AN256" s="1123"/>
    </row>
    <row r="257" spans="2:45" ht="18" customHeight="1">
      <c r="B257" s="3630" t="s">
        <v>2190</v>
      </c>
      <c r="C257" s="3630"/>
      <c r="D257" s="3630"/>
      <c r="E257" s="3630"/>
      <c r="F257" s="3630"/>
      <c r="G257" s="3630"/>
      <c r="H257" s="3630"/>
      <c r="I257" s="3630"/>
      <c r="J257" s="3630"/>
      <c r="K257" s="3630"/>
      <c r="L257" s="3630"/>
      <c r="M257" s="3630"/>
      <c r="N257" s="3630"/>
      <c r="O257" s="3630"/>
      <c r="P257" s="3630"/>
      <c r="Q257" s="3630"/>
      <c r="R257" s="3630"/>
      <c r="S257" s="3630"/>
      <c r="T257" s="3630"/>
      <c r="U257" s="3630"/>
      <c r="V257" s="3630"/>
      <c r="W257" s="3630"/>
      <c r="X257" s="3514"/>
      <c r="Y257" s="3514"/>
      <c r="Z257" s="3514"/>
      <c r="AA257" s="3515"/>
      <c r="AB257" s="3378"/>
      <c r="AC257" s="3378"/>
      <c r="AD257" s="3515"/>
      <c r="AE257" s="3378"/>
      <c r="AF257" s="3378"/>
      <c r="AG257" s="3378"/>
      <c r="AH257" s="3378"/>
      <c r="AI257" s="3378"/>
      <c r="AJ257" s="3516">
        <f t="shared" si="0"/>
        <v>0</v>
      </c>
      <c r="AK257" s="3517"/>
      <c r="AL257" s="3517"/>
      <c r="AM257" s="3517"/>
      <c r="AN257" s="1123"/>
    </row>
    <row r="258" spans="2:45" ht="18" customHeight="1">
      <c r="B258" s="3630" t="s">
        <v>2190</v>
      </c>
      <c r="C258" s="3630"/>
      <c r="D258" s="3630"/>
      <c r="E258" s="3630"/>
      <c r="F258" s="3630"/>
      <c r="G258" s="3630"/>
      <c r="H258" s="3630"/>
      <c r="I258" s="3630"/>
      <c r="J258" s="3630"/>
      <c r="K258" s="3630"/>
      <c r="L258" s="3630"/>
      <c r="M258" s="3630"/>
      <c r="N258" s="3630"/>
      <c r="O258" s="3630"/>
      <c r="P258" s="3630"/>
      <c r="Q258" s="3630"/>
      <c r="R258" s="3630"/>
      <c r="S258" s="3630"/>
      <c r="T258" s="3630"/>
      <c r="U258" s="3630"/>
      <c r="V258" s="3630"/>
      <c r="W258" s="3630"/>
      <c r="X258" s="3631"/>
      <c r="Y258" s="3631"/>
      <c r="Z258" s="3631"/>
      <c r="AA258" s="3515"/>
      <c r="AB258" s="3378"/>
      <c r="AC258" s="3378"/>
      <c r="AD258" s="3515"/>
      <c r="AE258" s="3378"/>
      <c r="AF258" s="3378"/>
      <c r="AG258" s="3378"/>
      <c r="AH258" s="3378"/>
      <c r="AI258" s="3378"/>
      <c r="AJ258" s="3516">
        <f t="shared" si="0"/>
        <v>0</v>
      </c>
      <c r="AK258" s="3517"/>
      <c r="AL258" s="3517"/>
      <c r="AM258" s="3517"/>
      <c r="AN258" s="1123"/>
    </row>
    <row r="259" spans="2:45" ht="18" customHeight="1">
      <c r="B259" s="3558" t="s">
        <v>467</v>
      </c>
      <c r="C259" s="3558"/>
      <c r="D259" s="3558"/>
      <c r="E259" s="3558"/>
      <c r="F259" s="3558"/>
      <c r="G259" s="3558"/>
      <c r="H259" s="3558"/>
      <c r="I259" s="3558"/>
      <c r="J259" s="3558"/>
      <c r="K259" s="3558"/>
      <c r="L259" s="3558"/>
      <c r="M259" s="3558"/>
      <c r="N259" s="3558"/>
      <c r="O259" s="3558"/>
      <c r="P259" s="3558"/>
      <c r="Q259" s="3558"/>
      <c r="R259" s="3558"/>
      <c r="S259" s="3558"/>
      <c r="T259" s="3558"/>
      <c r="U259" s="3558"/>
      <c r="V259" s="3558"/>
      <c r="W259" s="3558"/>
      <c r="X259" s="3578">
        <f>SUM(X247:Z258)</f>
        <v>0</v>
      </c>
      <c r="Y259" s="3579"/>
      <c r="Z259" s="3580"/>
      <c r="AA259" s="339"/>
      <c r="AB259" s="339"/>
      <c r="AC259" s="339"/>
      <c r="AD259" s="339"/>
      <c r="AE259" s="339"/>
      <c r="AF259" s="339"/>
      <c r="AG259" s="339"/>
      <c r="AH259" s="339"/>
      <c r="AI259" s="339"/>
      <c r="AJ259" s="3581">
        <f>SUM(AJ247:AM258)</f>
        <v>0</v>
      </c>
      <c r="AK259" s="3582"/>
      <c r="AL259" s="3582"/>
      <c r="AM259" s="3582"/>
      <c r="AN259" s="1123"/>
    </row>
    <row r="260" spans="2:45" ht="54" customHeight="1">
      <c r="B260" s="3484" t="s">
        <v>2191</v>
      </c>
      <c r="C260" s="3431"/>
      <c r="D260" s="3431"/>
      <c r="E260" s="3431"/>
      <c r="F260" s="3431"/>
      <c r="G260" s="3431"/>
      <c r="H260" s="3431"/>
      <c r="I260" s="3431"/>
      <c r="J260" s="3431"/>
      <c r="K260" s="3431"/>
      <c r="L260" s="3431"/>
      <c r="M260" s="3431"/>
      <c r="N260" s="3431"/>
      <c r="O260" s="3431"/>
      <c r="P260" s="3431"/>
      <c r="Q260" s="3431"/>
      <c r="R260" s="3431"/>
      <c r="S260" s="3431"/>
      <c r="T260" s="3431"/>
      <c r="U260" s="3431"/>
      <c r="V260" s="3431"/>
      <c r="W260" s="3431"/>
      <c r="X260" s="3431"/>
      <c r="Y260" s="3431"/>
      <c r="Z260" s="3431"/>
      <c r="AA260" s="3431"/>
      <c r="AB260" s="3431"/>
      <c r="AC260" s="3431"/>
      <c r="AD260" s="3431"/>
      <c r="AE260" s="3431"/>
      <c r="AF260" s="3431"/>
      <c r="AG260" s="3431"/>
      <c r="AH260" s="3431"/>
      <c r="AI260" s="3431"/>
      <c r="AJ260" s="3431"/>
      <c r="AK260" s="3431"/>
      <c r="AL260" s="3431"/>
      <c r="AM260" s="3431"/>
      <c r="AN260" s="1123"/>
    </row>
    <row r="261" spans="2:45" ht="18" customHeight="1">
      <c r="B261" s="3591" t="s">
        <v>2192</v>
      </c>
      <c r="C261" s="3592"/>
      <c r="D261" s="3592"/>
      <c r="E261" s="3592"/>
      <c r="F261" s="3592"/>
      <c r="G261" s="3592"/>
      <c r="H261" s="3592"/>
      <c r="I261" s="3592"/>
      <c r="J261" s="3592"/>
      <c r="K261" s="3592"/>
      <c r="L261" s="3592"/>
      <c r="M261" s="3592"/>
      <c r="N261" s="3592"/>
      <c r="O261" s="3592"/>
      <c r="P261" s="3592"/>
      <c r="Q261" s="3592"/>
      <c r="R261" s="3592"/>
      <c r="S261" s="3592"/>
      <c r="T261" s="3592"/>
      <c r="U261" s="3592"/>
      <c r="V261" s="3592"/>
      <c r="W261" s="3592"/>
      <c r="X261" s="3592"/>
      <c r="Y261" s="3592"/>
      <c r="Z261" s="3592"/>
      <c r="AA261" s="3592"/>
      <c r="AB261" s="3592"/>
      <c r="AC261" s="3592"/>
      <c r="AD261" s="3592"/>
      <c r="AE261" s="3592"/>
      <c r="AF261" s="3592"/>
      <c r="AG261" s="3592"/>
      <c r="AH261" s="3592"/>
      <c r="AI261" s="3592"/>
      <c r="AJ261" s="3592"/>
      <c r="AK261" s="3592"/>
      <c r="AL261" s="3592"/>
      <c r="AM261" s="3592"/>
      <c r="AN261" s="1123"/>
    </row>
    <row r="262" spans="2:45" ht="18" customHeight="1">
      <c r="B262" s="3425" t="s">
        <v>2193</v>
      </c>
      <c r="C262" s="3426"/>
      <c r="D262" s="3426"/>
      <c r="E262" s="3426"/>
      <c r="F262" s="3426"/>
      <c r="G262" s="3426"/>
      <c r="H262" s="3426"/>
      <c r="I262" s="3426"/>
      <c r="J262" s="3426"/>
      <c r="K262" s="3426"/>
      <c r="L262" s="3426"/>
      <c r="M262" s="3426"/>
      <c r="N262" s="3426"/>
      <c r="O262" s="3426"/>
      <c r="P262" s="3426"/>
      <c r="Q262" s="3426"/>
      <c r="R262" s="3426"/>
      <c r="S262" s="3426"/>
      <c r="T262" s="3426"/>
      <c r="U262" s="3426"/>
      <c r="V262" s="3426"/>
      <c r="W262" s="3426"/>
      <c r="X262" s="3426"/>
      <c r="Y262" s="3426"/>
      <c r="Z262" s="3426"/>
      <c r="AA262" s="3426"/>
      <c r="AB262" s="3426"/>
      <c r="AC262" s="3426"/>
      <c r="AD262" s="3426"/>
      <c r="AE262" s="3426"/>
      <c r="AF262" s="3426"/>
      <c r="AG262" s="3426"/>
      <c r="AH262" s="3426"/>
      <c r="AI262" s="3426"/>
      <c r="AJ262" s="3426"/>
      <c r="AK262" s="3426"/>
      <c r="AL262" s="3426"/>
      <c r="AM262" s="3426"/>
      <c r="AN262" s="1123"/>
    </row>
    <row r="263" spans="2:45" ht="18" customHeight="1">
      <c r="B263" s="3420" t="s">
        <v>2133</v>
      </c>
      <c r="C263" s="3420"/>
      <c r="D263" s="3421" t="s">
        <v>2194</v>
      </c>
      <c r="E263" s="3421"/>
      <c r="F263" s="3421"/>
      <c r="G263" s="3421"/>
      <c r="H263" s="3421"/>
      <c r="I263" s="3421"/>
      <c r="J263" s="3421"/>
      <c r="K263" s="3421"/>
      <c r="L263" s="3421"/>
      <c r="M263" s="3421"/>
      <c r="N263" s="3421"/>
      <c r="O263" s="3421"/>
      <c r="P263" s="3421"/>
      <c r="Q263" s="3421"/>
      <c r="R263" s="3421"/>
      <c r="S263" s="3421"/>
      <c r="T263" s="3421"/>
      <c r="U263" s="3421"/>
      <c r="V263" s="3421"/>
      <c r="W263" s="3421"/>
      <c r="X263" s="3421"/>
      <c r="Y263" s="3421"/>
      <c r="Z263" s="3421"/>
      <c r="AA263" s="3421"/>
      <c r="AB263" s="3421"/>
      <c r="AC263" s="3421"/>
      <c r="AD263" s="3421"/>
      <c r="AE263" s="3421"/>
      <c r="AF263" s="3421"/>
      <c r="AG263" s="3421"/>
      <c r="AH263" s="3421"/>
      <c r="AI263" s="3421"/>
      <c r="AJ263" s="3421"/>
      <c r="AK263" s="3422">
        <f>MIN(SUM('Unit Mix'!L8,'Unit Mix'!M8,'Unit Mix'!N8),'Unit Mix'!Z8)</f>
        <v>0</v>
      </c>
      <c r="AL263" s="3423"/>
      <c r="AM263" s="3424"/>
      <c r="AN263" s="1123"/>
    </row>
    <row r="264" spans="2:45" ht="18" customHeight="1">
      <c r="B264" s="3420" t="s">
        <v>2135</v>
      </c>
      <c r="C264" s="3420"/>
      <c r="D264" s="3421" t="s">
        <v>2195</v>
      </c>
      <c r="E264" s="3421"/>
      <c r="F264" s="3421"/>
      <c r="G264" s="3421"/>
      <c r="H264" s="3421"/>
      <c r="I264" s="3421"/>
      <c r="J264" s="3421"/>
      <c r="K264" s="3421"/>
      <c r="L264" s="3421"/>
      <c r="M264" s="3421"/>
      <c r="N264" s="3421"/>
      <c r="O264" s="3421"/>
      <c r="P264" s="3421"/>
      <c r="Q264" s="3421"/>
      <c r="R264" s="3421"/>
      <c r="S264" s="3421"/>
      <c r="T264" s="3421"/>
      <c r="U264" s="3421"/>
      <c r="V264" s="3421"/>
      <c r="W264" s="3421"/>
      <c r="X264" s="3421"/>
      <c r="Y264" s="3421"/>
      <c r="Z264" s="3421"/>
      <c r="AA264" s="3421"/>
      <c r="AB264" s="3421"/>
      <c r="AC264" s="3421"/>
      <c r="AD264" s="3421"/>
      <c r="AE264" s="3421"/>
      <c r="AF264" s="3421"/>
      <c r="AG264" s="3421"/>
      <c r="AH264" s="3421"/>
      <c r="AI264" s="3421"/>
      <c r="AJ264" s="3421"/>
      <c r="AK264" s="3422">
        <f>MIN(SUM('Unit Mix'!O8,'Unit Mix'!P8,'Unit Mix'!Q8),'Unit Mix'!Z8)</f>
        <v>0</v>
      </c>
      <c r="AL264" s="3423"/>
      <c r="AM264" s="3424"/>
      <c r="AN264" s="1123"/>
    </row>
    <row r="265" spans="2:45" ht="18" customHeight="1">
      <c r="B265" s="3420" t="s">
        <v>2137</v>
      </c>
      <c r="C265" s="3420"/>
      <c r="D265" s="3421" t="s">
        <v>2196</v>
      </c>
      <c r="E265" s="3421"/>
      <c r="F265" s="3421"/>
      <c r="G265" s="3421"/>
      <c r="H265" s="3421"/>
      <c r="I265" s="3421"/>
      <c r="J265" s="3421"/>
      <c r="K265" s="3421"/>
      <c r="L265" s="3421"/>
      <c r="M265" s="3421"/>
      <c r="N265" s="3421"/>
      <c r="O265" s="3421"/>
      <c r="P265" s="3421"/>
      <c r="Q265" s="3421"/>
      <c r="R265" s="3421"/>
      <c r="S265" s="3421"/>
      <c r="T265" s="3421"/>
      <c r="U265" s="3421"/>
      <c r="V265" s="3421"/>
      <c r="W265" s="3421"/>
      <c r="X265" s="3421"/>
      <c r="Y265" s="3421"/>
      <c r="Z265" s="3421"/>
      <c r="AA265" s="3421"/>
      <c r="AB265" s="3421"/>
      <c r="AC265" s="3421"/>
      <c r="AD265" s="3421"/>
      <c r="AE265" s="3421"/>
      <c r="AF265" s="3421"/>
      <c r="AG265" s="3421"/>
      <c r="AH265" s="3421"/>
      <c r="AI265" s="3421"/>
      <c r="AJ265" s="3421"/>
      <c r="AK265" s="3422">
        <f>AK263+AK264</f>
        <v>0</v>
      </c>
      <c r="AL265" s="3423"/>
      <c r="AM265" s="3424"/>
      <c r="AN265" s="1123"/>
      <c r="AO265" s="3419"/>
      <c r="AP265" s="3419"/>
      <c r="AQ265" s="3419"/>
      <c r="AR265" s="230"/>
      <c r="AS265" s="226"/>
    </row>
    <row r="266" spans="2:45" ht="18" customHeight="1">
      <c r="B266" s="3410" t="s">
        <v>2197</v>
      </c>
      <c r="C266" s="3411"/>
      <c r="D266" s="3412" t="s">
        <v>2198</v>
      </c>
      <c r="E266" s="3412"/>
      <c r="F266" s="3412"/>
      <c r="G266" s="3412"/>
      <c r="H266" s="3412"/>
      <c r="I266" s="3412"/>
      <c r="J266" s="3412"/>
      <c r="K266" s="3412"/>
      <c r="L266" s="3412"/>
      <c r="M266" s="3412"/>
      <c r="N266" s="3412"/>
      <c r="O266" s="3412"/>
      <c r="P266" s="3412"/>
      <c r="Q266" s="3412"/>
      <c r="R266" s="3412"/>
      <c r="S266" s="3412"/>
      <c r="T266" s="3412"/>
      <c r="U266" s="3412"/>
      <c r="V266" s="3412"/>
      <c r="W266" s="3412"/>
      <c r="X266" s="3412"/>
      <c r="Y266" s="3412"/>
      <c r="Z266" s="3412"/>
      <c r="AA266" s="3412"/>
      <c r="AB266" s="3412"/>
      <c r="AC266" s="3412"/>
      <c r="AD266" s="3412"/>
      <c r="AE266" s="3412"/>
      <c r="AF266" s="3412"/>
      <c r="AG266" s="3412"/>
      <c r="AH266" s="3412"/>
      <c r="AI266" s="3412"/>
      <c r="AJ266" s="3412"/>
      <c r="AK266" s="3413">
        <f>X259</f>
        <v>0</v>
      </c>
      <c r="AL266" s="3414"/>
      <c r="AM266" s="3414"/>
      <c r="AN266" s="1123"/>
      <c r="AO266" s="3418"/>
      <c r="AP266" s="3418"/>
      <c r="AQ266" s="3418"/>
      <c r="AR266" s="231"/>
      <c r="AS266" s="226"/>
    </row>
    <row r="267" spans="2:45" ht="18" customHeight="1">
      <c r="B267" s="3410" t="s">
        <v>2199</v>
      </c>
      <c r="C267" s="3415"/>
      <c r="D267" s="3416" t="s">
        <v>2200</v>
      </c>
      <c r="E267" s="3412"/>
      <c r="F267" s="3412"/>
      <c r="G267" s="3412"/>
      <c r="H267" s="3412"/>
      <c r="I267" s="3412"/>
      <c r="J267" s="3412"/>
      <c r="K267" s="3412"/>
      <c r="L267" s="3412"/>
      <c r="M267" s="3412"/>
      <c r="N267" s="3412"/>
      <c r="O267" s="3412"/>
      <c r="P267" s="3412"/>
      <c r="Q267" s="3412"/>
      <c r="R267" s="3412"/>
      <c r="S267" s="3412"/>
      <c r="T267" s="3412"/>
      <c r="U267" s="3412"/>
      <c r="V267" s="3412"/>
      <c r="W267" s="3412"/>
      <c r="X267" s="3412"/>
      <c r="Y267" s="3412"/>
      <c r="Z267" s="3412"/>
      <c r="AA267" s="3412"/>
      <c r="AB267" s="3412"/>
      <c r="AC267" s="3412"/>
      <c r="AD267" s="3412"/>
      <c r="AE267" s="3412"/>
      <c r="AF267" s="3412"/>
      <c r="AG267" s="3412"/>
      <c r="AH267" s="3412"/>
      <c r="AI267" s="3412"/>
      <c r="AJ267" s="3417"/>
      <c r="AK267" s="3413">
        <f>IFERROR(AK266/AK265,0)</f>
        <v>0</v>
      </c>
      <c r="AL267" s="3414"/>
      <c r="AM267" s="3414"/>
      <c r="AN267" s="1123"/>
      <c r="AO267" s="3419"/>
      <c r="AP267" s="3419"/>
      <c r="AQ267" s="3419"/>
      <c r="AR267" s="232"/>
      <c r="AS267" s="226"/>
    </row>
    <row r="268" spans="2:45" ht="18" customHeight="1">
      <c r="B268" s="3425" t="s">
        <v>2201</v>
      </c>
      <c r="C268" s="3426"/>
      <c r="D268" s="3426"/>
      <c r="E268" s="3426"/>
      <c r="F268" s="3426"/>
      <c r="G268" s="3426"/>
      <c r="H268" s="3426"/>
      <c r="I268" s="3426"/>
      <c r="J268" s="3426"/>
      <c r="K268" s="3426"/>
      <c r="L268" s="3426"/>
      <c r="M268" s="3426"/>
      <c r="N268" s="3426"/>
      <c r="O268" s="3426"/>
      <c r="P268" s="3426"/>
      <c r="Q268" s="3426"/>
      <c r="R268" s="3426"/>
      <c r="S268" s="3426"/>
      <c r="T268" s="3426"/>
      <c r="U268" s="3426"/>
      <c r="V268" s="3426"/>
      <c r="W268" s="3426"/>
      <c r="X268" s="3426"/>
      <c r="Y268" s="3426"/>
      <c r="Z268" s="3426"/>
      <c r="AA268" s="3426"/>
      <c r="AB268" s="3426"/>
      <c r="AC268" s="3426"/>
      <c r="AD268" s="3426"/>
      <c r="AE268" s="3426"/>
      <c r="AF268" s="3426"/>
      <c r="AG268" s="3426"/>
      <c r="AH268" s="3426"/>
      <c r="AI268" s="3426"/>
      <c r="AJ268" s="3426"/>
      <c r="AK268" s="3426"/>
      <c r="AL268" s="3426"/>
      <c r="AM268" s="3426"/>
      <c r="AN268" s="1123"/>
      <c r="AO268" s="3427"/>
      <c r="AP268" s="3427"/>
      <c r="AQ268" s="3427"/>
      <c r="AR268" s="233"/>
      <c r="AS268" s="227"/>
    </row>
    <row r="269" spans="2:45" ht="18" customHeight="1">
      <c r="B269" s="3420" t="s">
        <v>2202</v>
      </c>
      <c r="C269" s="3420"/>
      <c r="D269" s="3421" t="s">
        <v>2203</v>
      </c>
      <c r="E269" s="3421"/>
      <c r="F269" s="3421"/>
      <c r="G269" s="3421"/>
      <c r="H269" s="3421"/>
      <c r="I269" s="3421"/>
      <c r="J269" s="3421"/>
      <c r="K269" s="3421"/>
      <c r="L269" s="3421"/>
      <c r="M269" s="3421"/>
      <c r="N269" s="3421"/>
      <c r="O269" s="3421"/>
      <c r="P269" s="3421"/>
      <c r="Q269" s="3421"/>
      <c r="R269" s="3421"/>
      <c r="S269" s="3421"/>
      <c r="T269" s="3421"/>
      <c r="U269" s="3421"/>
      <c r="V269" s="3421"/>
      <c r="W269" s="3421"/>
      <c r="X269" s="3421"/>
      <c r="Y269" s="3421"/>
      <c r="Z269" s="3421"/>
      <c r="AA269" s="3421"/>
      <c r="AB269" s="3421"/>
      <c r="AC269" s="3421"/>
      <c r="AD269" s="3421"/>
      <c r="AE269" s="3421"/>
      <c r="AF269" s="3421"/>
      <c r="AG269" s="3421"/>
      <c r="AH269" s="3421"/>
      <c r="AI269" s="3421"/>
      <c r="AJ269" s="3421"/>
      <c r="AK269" s="3422">
        <f>AK263</f>
        <v>0</v>
      </c>
      <c r="AL269" s="3423"/>
      <c r="AM269" s="3424"/>
      <c r="AN269" s="1123"/>
      <c r="AO269" s="3409"/>
      <c r="AP269" s="3409"/>
      <c r="AQ269" s="3409"/>
      <c r="AR269" s="234"/>
      <c r="AS269" s="228"/>
    </row>
    <row r="270" spans="2:45" ht="18" customHeight="1">
      <c r="B270" s="3420" t="s">
        <v>2163</v>
      </c>
      <c r="C270" s="3420"/>
      <c r="D270" s="3421" t="s">
        <v>2195</v>
      </c>
      <c r="E270" s="3421"/>
      <c r="F270" s="3421"/>
      <c r="G270" s="3421"/>
      <c r="H270" s="3421"/>
      <c r="I270" s="3421"/>
      <c r="J270" s="3421"/>
      <c r="K270" s="3421"/>
      <c r="L270" s="3421"/>
      <c r="M270" s="3421"/>
      <c r="N270" s="3421"/>
      <c r="O270" s="3421"/>
      <c r="P270" s="3421"/>
      <c r="Q270" s="3421"/>
      <c r="R270" s="3421"/>
      <c r="S270" s="3421"/>
      <c r="T270" s="3421"/>
      <c r="U270" s="3421"/>
      <c r="V270" s="3421"/>
      <c r="W270" s="3421"/>
      <c r="X270" s="3421"/>
      <c r="Y270" s="3421"/>
      <c r="Z270" s="3421"/>
      <c r="AA270" s="3421"/>
      <c r="AB270" s="3421"/>
      <c r="AC270" s="3421"/>
      <c r="AD270" s="3421"/>
      <c r="AE270" s="3421"/>
      <c r="AF270" s="3421"/>
      <c r="AG270" s="3421"/>
      <c r="AH270" s="3421"/>
      <c r="AI270" s="3421"/>
      <c r="AJ270" s="3421"/>
      <c r="AK270" s="3422">
        <f>AK264</f>
        <v>0</v>
      </c>
      <c r="AL270" s="3423"/>
      <c r="AM270" s="3424"/>
      <c r="AN270" s="1123"/>
      <c r="AO270" s="3409"/>
      <c r="AP270" s="3409"/>
      <c r="AQ270" s="3409"/>
      <c r="AR270" s="234"/>
      <c r="AS270" s="229"/>
    </row>
    <row r="271" spans="2:45" ht="18" customHeight="1">
      <c r="B271" s="3554" t="s">
        <v>2165</v>
      </c>
      <c r="C271" s="3554"/>
      <c r="D271" s="3588" t="s">
        <v>2204</v>
      </c>
      <c r="E271" s="3588"/>
      <c r="F271" s="3588"/>
      <c r="G271" s="3588"/>
      <c r="H271" s="3588"/>
      <c r="I271" s="3588"/>
      <c r="J271" s="3588"/>
      <c r="K271" s="3588"/>
      <c r="L271" s="3588"/>
      <c r="M271" s="3588"/>
      <c r="N271" s="3588"/>
      <c r="O271" s="3588"/>
      <c r="P271" s="3588"/>
      <c r="Q271" s="3588"/>
      <c r="R271" s="3588"/>
      <c r="S271" s="3588"/>
      <c r="T271" s="3588"/>
      <c r="U271" s="3588"/>
      <c r="V271" s="3588"/>
      <c r="W271" s="3588"/>
      <c r="X271" s="3588"/>
      <c r="Y271" s="3588"/>
      <c r="Z271" s="3588"/>
      <c r="AA271" s="3588"/>
      <c r="AB271" s="3588"/>
      <c r="AC271" s="3588"/>
      <c r="AD271" s="3588"/>
      <c r="AE271" s="3588"/>
      <c r="AF271" s="3588"/>
      <c r="AG271" s="3588"/>
      <c r="AH271" s="3588"/>
      <c r="AI271" s="3588"/>
      <c r="AJ271" s="3588"/>
      <c r="AK271" s="3589">
        <f>'Unit Mix'!Z8</f>
        <v>0</v>
      </c>
      <c r="AL271" s="3590"/>
      <c r="AM271" s="3494"/>
      <c r="AN271" s="1123"/>
      <c r="AS271" s="218"/>
    </row>
    <row r="272" spans="2:45" ht="18" customHeight="1">
      <c r="B272" s="3420" t="s">
        <v>2205</v>
      </c>
      <c r="C272" s="3420"/>
      <c r="D272" s="3416" t="s">
        <v>2206</v>
      </c>
      <c r="E272" s="3412"/>
      <c r="F272" s="3412"/>
      <c r="G272" s="3412"/>
      <c r="H272" s="3412"/>
      <c r="I272" s="3412"/>
      <c r="J272" s="3412"/>
      <c r="K272" s="3412"/>
      <c r="L272" s="3412"/>
      <c r="M272" s="3412"/>
      <c r="N272" s="3412"/>
      <c r="O272" s="3412"/>
      <c r="P272" s="3412"/>
      <c r="Q272" s="3412"/>
      <c r="R272" s="3412"/>
      <c r="S272" s="3412"/>
      <c r="T272" s="3412"/>
      <c r="U272" s="3412"/>
      <c r="V272" s="3412"/>
      <c r="W272" s="3412"/>
      <c r="X272" s="3412"/>
      <c r="Y272" s="3412"/>
      <c r="Z272" s="3412"/>
      <c r="AA272" s="3412"/>
      <c r="AB272" s="3412"/>
      <c r="AC272" s="3412"/>
      <c r="AD272" s="3412"/>
      <c r="AE272" s="3412"/>
      <c r="AF272" s="3412"/>
      <c r="AG272" s="3412"/>
      <c r="AH272" s="3412"/>
      <c r="AI272" s="3412"/>
      <c r="AJ272" s="3417"/>
      <c r="AK272" s="3523">
        <f>IFERROR(AK271/AK265,0)</f>
        <v>0</v>
      </c>
      <c r="AL272" s="3524"/>
      <c r="AM272" s="3524"/>
      <c r="AN272" s="1123"/>
      <c r="AS272" s="218"/>
    </row>
    <row r="273" spans="2:45" ht="18" customHeight="1">
      <c r="B273" s="3410" t="s">
        <v>2207</v>
      </c>
      <c r="C273" s="3411"/>
      <c r="D273" s="3412" t="s">
        <v>2208</v>
      </c>
      <c r="E273" s="3412"/>
      <c r="F273" s="3412"/>
      <c r="G273" s="3412"/>
      <c r="H273" s="3412"/>
      <c r="I273" s="3412"/>
      <c r="J273" s="3412"/>
      <c r="K273" s="3412"/>
      <c r="L273" s="3412"/>
      <c r="M273" s="3412"/>
      <c r="N273" s="3412"/>
      <c r="O273" s="3412"/>
      <c r="P273" s="3412"/>
      <c r="Q273" s="3412"/>
      <c r="R273" s="3412"/>
      <c r="S273" s="3412"/>
      <c r="T273" s="3412"/>
      <c r="U273" s="3412"/>
      <c r="V273" s="3412"/>
      <c r="W273" s="3412"/>
      <c r="X273" s="3412"/>
      <c r="Y273" s="3412"/>
      <c r="Z273" s="3412"/>
      <c r="AA273" s="3412"/>
      <c r="AB273" s="3412"/>
      <c r="AC273" s="3412"/>
      <c r="AD273" s="3412"/>
      <c r="AE273" s="3412"/>
      <c r="AF273" s="3412"/>
      <c r="AG273" s="3412"/>
      <c r="AH273" s="3412"/>
      <c r="AI273" s="3412"/>
      <c r="AJ273" s="3412"/>
      <c r="AK273" s="3413">
        <f>AK266*AK272</f>
        <v>0</v>
      </c>
      <c r="AL273" s="3414"/>
      <c r="AM273" s="3414"/>
      <c r="AN273" s="1123"/>
      <c r="AS273" s="218"/>
    </row>
    <row r="274" spans="2:45" ht="18" customHeight="1">
      <c r="B274" s="1331"/>
      <c r="C274" s="397"/>
      <c r="D274" s="397"/>
      <c r="E274" s="397"/>
      <c r="F274" s="397"/>
      <c r="G274" s="397"/>
      <c r="H274" s="397"/>
      <c r="I274" s="397"/>
      <c r="J274" s="397"/>
      <c r="K274" s="397"/>
      <c r="L274" s="397"/>
      <c r="M274" s="397"/>
      <c r="N274" s="397"/>
      <c r="O274" s="397"/>
      <c r="P274" s="397"/>
      <c r="Q274" s="397"/>
      <c r="R274" s="397"/>
      <c r="S274" s="397"/>
      <c r="T274" s="397"/>
      <c r="U274" s="397"/>
      <c r="V274" s="397"/>
      <c r="W274" s="397"/>
      <c r="X274" s="397"/>
      <c r="Y274" s="397"/>
      <c r="Z274" s="225"/>
      <c r="AA274" s="225"/>
      <c r="AB274" s="225"/>
      <c r="AC274" s="1541"/>
      <c r="AD274" s="1541"/>
      <c r="AE274" s="1541"/>
      <c r="AF274" s="1541"/>
      <c r="AG274" s="1541"/>
      <c r="AH274" s="1541"/>
      <c r="AI274" s="1541"/>
      <c r="AJ274" s="1541"/>
      <c r="AK274" s="1541"/>
      <c r="AL274" s="1541"/>
      <c r="AM274" s="1541"/>
      <c r="AN274" s="1123"/>
      <c r="AS274" s="115"/>
    </row>
    <row r="275" spans="2:45" ht="18" customHeight="1">
      <c r="B275" s="3559" t="s">
        <v>1974</v>
      </c>
      <c r="C275" s="3560"/>
      <c r="D275" s="3560"/>
      <c r="E275" s="3560"/>
      <c r="F275" s="3560"/>
      <c r="G275" s="3560"/>
      <c r="H275" s="3560"/>
      <c r="I275" s="3560"/>
      <c r="J275" s="3560"/>
      <c r="K275" s="3560"/>
      <c r="L275" s="3560"/>
      <c r="M275" s="3560"/>
      <c r="N275" s="3560"/>
      <c r="O275" s="3560"/>
      <c r="P275" s="3560"/>
      <c r="Q275" s="3560"/>
      <c r="R275" s="3560"/>
      <c r="S275" s="3560"/>
      <c r="T275" s="3560"/>
      <c r="U275" s="3560"/>
      <c r="V275" s="3560"/>
      <c r="W275" s="3560"/>
      <c r="X275" s="3560"/>
      <c r="Y275" s="3560"/>
      <c r="Z275" s="3560"/>
      <c r="AA275" s="3560"/>
      <c r="AB275" s="3560"/>
      <c r="AC275" s="3560"/>
      <c r="AD275" s="3560"/>
      <c r="AE275" s="3560"/>
      <c r="AF275" s="3560"/>
      <c r="AG275" s="3560"/>
      <c r="AH275" s="3560"/>
      <c r="AI275" s="3560"/>
      <c r="AJ275" s="3560"/>
      <c r="AK275" s="3560"/>
      <c r="AL275" s="3560"/>
      <c r="AM275" s="3560"/>
      <c r="AN275" s="1326"/>
      <c r="AS275" s="115"/>
    </row>
    <row r="276" spans="2:45" ht="18" customHeight="1">
      <c r="B276" s="3632" t="s">
        <v>2209</v>
      </c>
      <c r="C276" s="3633"/>
      <c r="D276" s="3633"/>
      <c r="E276" s="3633"/>
      <c r="F276" s="3633"/>
      <c r="G276" s="3633"/>
      <c r="H276" s="3633"/>
      <c r="I276" s="3633"/>
      <c r="J276" s="3633"/>
      <c r="K276" s="3633"/>
      <c r="L276" s="3633"/>
      <c r="M276" s="3633"/>
      <c r="N276" s="3633"/>
      <c r="O276" s="3633"/>
      <c r="P276" s="3633"/>
      <c r="Q276" s="3633"/>
      <c r="R276" s="3633"/>
      <c r="S276" s="3633"/>
      <c r="T276" s="3633"/>
      <c r="U276" s="3633"/>
      <c r="V276" s="3633"/>
      <c r="W276" s="3633"/>
      <c r="X276" s="3633"/>
      <c r="Y276" s="3633"/>
      <c r="Z276" s="3633"/>
      <c r="AA276" s="3633"/>
      <c r="AB276" s="3633"/>
      <c r="AC276" s="3633"/>
      <c r="AD276" s="3633"/>
      <c r="AE276" s="3633"/>
      <c r="AF276" s="3633"/>
      <c r="AG276" s="3633"/>
      <c r="AH276" s="3633"/>
      <c r="AI276" s="3633"/>
      <c r="AJ276" s="3633"/>
      <c r="AK276" s="3633"/>
      <c r="AL276" s="3633"/>
      <c r="AM276" s="3633"/>
      <c r="AN276" s="1123"/>
    </row>
    <row r="277" spans="2:45" s="115" customFormat="1" ht="36" customHeight="1">
      <c r="B277" s="3445"/>
      <c r="C277" s="3445"/>
      <c r="D277" s="3445"/>
      <c r="E277" s="3445"/>
      <c r="F277" s="3445"/>
      <c r="G277" s="3445"/>
      <c r="H277" s="3445"/>
      <c r="I277" s="3445"/>
      <c r="J277" s="3445"/>
      <c r="K277" s="3445"/>
      <c r="L277" s="3445"/>
      <c r="M277" s="3445"/>
      <c r="N277" s="3445"/>
      <c r="O277" s="3445"/>
      <c r="P277" s="3445"/>
      <c r="Q277" s="3445"/>
      <c r="R277" s="3445"/>
      <c r="S277" s="3445"/>
      <c r="T277" s="3445"/>
      <c r="U277" s="3445"/>
      <c r="V277" s="3445"/>
      <c r="W277" s="3445"/>
      <c r="X277" s="3445"/>
      <c r="Y277" s="3445"/>
      <c r="Z277" s="3445"/>
      <c r="AA277" s="3445"/>
      <c r="AB277" s="3445"/>
      <c r="AC277" s="3445"/>
      <c r="AD277" s="3445"/>
      <c r="AE277" s="3445"/>
      <c r="AF277" s="3445"/>
      <c r="AG277" s="3445"/>
      <c r="AH277" s="3445"/>
      <c r="AI277" s="3445"/>
      <c r="AJ277" s="3445"/>
      <c r="AK277" s="3445"/>
      <c r="AL277" s="3445"/>
      <c r="AM277" s="3480"/>
      <c r="AN277" s="1325"/>
      <c r="AS277" s="51"/>
    </row>
    <row r="278" spans="2:45" s="115" customFormat="1" ht="36" customHeight="1">
      <c r="B278" s="3484" t="s">
        <v>2210</v>
      </c>
      <c r="C278" s="3431"/>
      <c r="D278" s="3431"/>
      <c r="E278" s="3431"/>
      <c r="F278" s="3431"/>
      <c r="G278" s="3431"/>
      <c r="H278" s="3431"/>
      <c r="I278" s="3431"/>
      <c r="J278" s="3431"/>
      <c r="K278" s="3431"/>
      <c r="L278" s="3431"/>
      <c r="M278" s="3431"/>
      <c r="N278" s="3431"/>
      <c r="O278" s="3431"/>
      <c r="P278" s="3431"/>
      <c r="Q278" s="3431"/>
      <c r="R278" s="3431"/>
      <c r="S278" s="3431"/>
      <c r="T278" s="3431"/>
      <c r="U278" s="3431"/>
      <c r="V278" s="3431"/>
      <c r="W278" s="3431"/>
      <c r="X278" s="3431"/>
      <c r="Y278" s="3431"/>
      <c r="Z278" s="3431"/>
      <c r="AA278" s="3431"/>
      <c r="AB278" s="3431"/>
      <c r="AC278" s="3431"/>
      <c r="AD278" s="3431"/>
      <c r="AE278" s="3431"/>
      <c r="AF278" s="3431"/>
      <c r="AG278" s="3431"/>
      <c r="AH278" s="3431"/>
      <c r="AI278" s="3431"/>
      <c r="AJ278" s="3431"/>
      <c r="AK278" s="3431"/>
      <c r="AL278" s="3431"/>
      <c r="AM278" s="3431"/>
      <c r="AN278" s="1325"/>
      <c r="AS278" s="113"/>
    </row>
    <row r="279" spans="2:45" ht="36" customHeight="1">
      <c r="B279" s="3498" t="s">
        <v>2211</v>
      </c>
      <c r="C279" s="3499"/>
      <c r="D279" s="3499"/>
      <c r="E279" s="3499"/>
      <c r="F279" s="3499"/>
      <c r="G279" s="3499"/>
      <c r="H279" s="3499"/>
      <c r="I279" s="3499"/>
      <c r="J279" s="3499"/>
      <c r="K279" s="3499"/>
      <c r="L279" s="3499"/>
      <c r="M279" s="3499"/>
      <c r="N279" s="3499"/>
      <c r="O279" s="3499"/>
      <c r="P279" s="3499"/>
      <c r="Q279" s="3499"/>
      <c r="R279" s="3499"/>
      <c r="S279" s="3499"/>
      <c r="T279" s="3499"/>
      <c r="U279" s="3499"/>
      <c r="V279" s="3499"/>
      <c r="W279" s="3499"/>
      <c r="X279" s="3499"/>
      <c r="Y279" s="3499"/>
      <c r="Z279" s="3499"/>
      <c r="AA279" s="3499"/>
      <c r="AB279" s="3499"/>
      <c r="AC279" s="3499"/>
      <c r="AD279" s="3499"/>
      <c r="AE279" s="3499"/>
      <c r="AF279" s="3499"/>
      <c r="AG279" s="3499"/>
      <c r="AH279" s="3499"/>
      <c r="AI279" s="3499"/>
      <c r="AJ279" s="3499"/>
      <c r="AK279" s="3499"/>
      <c r="AL279" s="3499"/>
      <c r="AM279" s="3499"/>
      <c r="AN279" s="1325"/>
      <c r="AS279" s="115"/>
    </row>
    <row r="280" spans="2:45" s="51" customFormat="1" ht="69.900000000000006" customHeight="1">
      <c r="B280" s="3676" t="s">
        <v>676</v>
      </c>
      <c r="C280" s="3676"/>
      <c r="D280" s="3676"/>
      <c r="E280" s="2466" t="str">
        <f>'Document Checklist'!$E$109</f>
        <v>30. SS Fund Ltr1, SS Fund Ltr2, SS
      Fund Ltr3, etc.</v>
      </c>
      <c r="F280" s="2466"/>
      <c r="G280" s="2466"/>
      <c r="H280" s="2466"/>
      <c r="I280" s="2466"/>
      <c r="J280" s="2466"/>
      <c r="K280" s="2466"/>
      <c r="L280" s="2466"/>
      <c r="M280" s="2466"/>
      <c r="N280" s="2466" t="str">
        <f>'Document Checklist'!$N$109</f>
        <v xml:space="preserve">Services funding commitment letters; Include: Project name; description of services; dollar value of funds or in-kind services; if cash is provided, state funding source; funding term; description &amp; history of agency/org. providing funding or services. </v>
      </c>
      <c r="O280" s="2466"/>
      <c r="P280" s="2466"/>
      <c r="Q280" s="2466"/>
      <c r="R280" s="2466"/>
      <c r="S280" s="2466"/>
      <c r="T280" s="2466"/>
      <c r="U280" s="2466"/>
      <c r="V280" s="2466"/>
      <c r="W280" s="2466"/>
      <c r="X280" s="2466"/>
      <c r="Y280" s="2466"/>
      <c r="Z280" s="2466"/>
      <c r="AA280" s="2466"/>
      <c r="AB280" s="2466"/>
      <c r="AC280" s="2466"/>
      <c r="AD280" s="2466"/>
      <c r="AE280" s="2466"/>
      <c r="AF280" s="3561" t="s">
        <v>843</v>
      </c>
      <c r="AG280" s="3562"/>
      <c r="AH280" s="3562"/>
      <c r="AI280" s="3562"/>
      <c r="AJ280" s="3562"/>
      <c r="AK280" s="3562"/>
      <c r="AL280" s="3634"/>
      <c r="AM280" s="3635"/>
      <c r="AN280" s="1328"/>
      <c r="AS280" s="115"/>
    </row>
    <row r="281" spans="2:45" ht="18" customHeight="1">
      <c r="B281" s="3563" t="s">
        <v>2212</v>
      </c>
      <c r="C281" s="3564"/>
      <c r="D281" s="3564"/>
      <c r="E281" s="3564"/>
      <c r="F281" s="3564"/>
      <c r="G281" s="3564"/>
      <c r="H281" s="3564"/>
      <c r="I281" s="3564"/>
      <c r="J281" s="3564"/>
      <c r="K281" s="3564"/>
      <c r="L281" s="3564"/>
      <c r="M281" s="3564"/>
      <c r="N281" s="3564"/>
      <c r="O281" s="3564"/>
      <c r="P281" s="3564"/>
      <c r="Q281" s="3564"/>
      <c r="R281" s="3564"/>
      <c r="S281" s="3564"/>
      <c r="T281" s="3564"/>
      <c r="U281" s="3564"/>
      <c r="V281" s="3564"/>
      <c r="W281" s="3564"/>
      <c r="X281" s="3564"/>
      <c r="Y281" s="3564"/>
      <c r="Z281" s="3564"/>
      <c r="AA281" s="3564"/>
      <c r="AB281" s="3564"/>
      <c r="AC281" s="3564"/>
      <c r="AD281" s="3564"/>
      <c r="AE281" s="3564"/>
      <c r="AF281" s="3564"/>
      <c r="AG281" s="3564"/>
      <c r="AH281" s="3564"/>
      <c r="AI281" s="3564"/>
      <c r="AJ281" s="3564"/>
      <c r="AK281" s="3564"/>
      <c r="AL281" s="3564"/>
      <c r="AM281" s="3564"/>
      <c r="AN281" s="1123"/>
      <c r="AS281" s="115"/>
    </row>
    <row r="282" spans="2:45" s="115" customFormat="1" ht="36" customHeight="1">
      <c r="B282" s="3445"/>
      <c r="C282" s="3445"/>
      <c r="D282" s="3445"/>
      <c r="E282" s="3445"/>
      <c r="F282" s="3445"/>
      <c r="G282" s="3445"/>
      <c r="H282" s="3445"/>
      <c r="I282" s="3445"/>
      <c r="J282" s="3445"/>
      <c r="K282" s="3445"/>
      <c r="L282" s="3445"/>
      <c r="M282" s="3445"/>
      <c r="N282" s="3445"/>
      <c r="O282" s="3445"/>
      <c r="P282" s="3445"/>
      <c r="Q282" s="3445"/>
      <c r="R282" s="3445"/>
      <c r="S282" s="3445"/>
      <c r="T282" s="3445"/>
      <c r="U282" s="3445"/>
      <c r="V282" s="3445"/>
      <c r="W282" s="3445"/>
      <c r="X282" s="3445"/>
      <c r="Y282" s="3445"/>
      <c r="Z282" s="3445"/>
      <c r="AA282" s="3445"/>
      <c r="AB282" s="3445"/>
      <c r="AC282" s="3445"/>
      <c r="AD282" s="3445"/>
      <c r="AE282" s="3445"/>
      <c r="AF282" s="3445"/>
      <c r="AG282" s="3445"/>
      <c r="AH282" s="3445"/>
      <c r="AI282" s="3445"/>
      <c r="AJ282" s="3445"/>
      <c r="AK282" s="3445"/>
      <c r="AL282" s="3445"/>
      <c r="AM282" s="3480"/>
      <c r="AN282" s="1123"/>
    </row>
    <row r="283" spans="2:45" s="398" customFormat="1" ht="36" customHeight="1">
      <c r="B283" s="3484" t="s">
        <v>2213</v>
      </c>
      <c r="C283" s="3431"/>
      <c r="D283" s="3431"/>
      <c r="E283" s="3431"/>
      <c r="F283" s="3431"/>
      <c r="G283" s="3431"/>
      <c r="H283" s="3431"/>
      <c r="I283" s="3431"/>
      <c r="J283" s="3431"/>
      <c r="K283" s="3431"/>
      <c r="L283" s="3431"/>
      <c r="M283" s="3431"/>
      <c r="N283" s="3431"/>
      <c r="O283" s="3431"/>
      <c r="P283" s="3431"/>
      <c r="Q283" s="3431"/>
      <c r="R283" s="3431"/>
      <c r="S283" s="3431"/>
      <c r="T283" s="3431"/>
      <c r="U283" s="3431"/>
      <c r="V283" s="3431"/>
      <c r="W283" s="3431"/>
      <c r="X283" s="3431"/>
      <c r="Y283" s="3431"/>
      <c r="Z283" s="3431"/>
      <c r="AA283" s="3431"/>
      <c r="AB283" s="3431"/>
      <c r="AC283" s="3431"/>
      <c r="AD283" s="3431"/>
      <c r="AE283" s="3431"/>
      <c r="AF283" s="3431"/>
      <c r="AG283" s="3431"/>
      <c r="AH283" s="3431"/>
      <c r="AI283" s="3431"/>
      <c r="AJ283" s="3431"/>
      <c r="AK283" s="3431"/>
      <c r="AL283" s="3431"/>
      <c r="AM283" s="3431"/>
      <c r="AN283" s="1332"/>
      <c r="AS283" s="387"/>
    </row>
    <row r="284" spans="2:45" s="398" customFormat="1" ht="36" customHeight="1">
      <c r="B284" s="3383"/>
      <c r="C284" s="3384"/>
      <c r="D284" s="3384"/>
      <c r="E284" s="3384"/>
      <c r="F284" s="3384"/>
      <c r="G284" s="3384"/>
      <c r="H284" s="3384"/>
      <c r="I284" s="3384"/>
      <c r="J284" s="3384"/>
      <c r="K284" s="3384"/>
      <c r="L284" s="3384"/>
      <c r="M284" s="3384"/>
      <c r="N284" s="3384"/>
      <c r="O284" s="3384"/>
      <c r="P284" s="3384"/>
      <c r="Q284" s="3384"/>
      <c r="R284" s="3384"/>
      <c r="S284" s="3384"/>
      <c r="T284" s="3384"/>
      <c r="U284" s="3384"/>
      <c r="V284" s="3384"/>
      <c r="W284" s="3384"/>
      <c r="X284" s="3384"/>
      <c r="Y284" s="3384"/>
      <c r="Z284" s="3384"/>
      <c r="AA284" s="3384"/>
      <c r="AB284" s="3384"/>
      <c r="AC284" s="3384"/>
      <c r="AD284" s="3384"/>
      <c r="AE284" s="3384"/>
      <c r="AF284" s="3384"/>
      <c r="AG284" s="3384"/>
      <c r="AH284" s="3384"/>
      <c r="AI284" s="3384"/>
      <c r="AJ284" s="3384"/>
      <c r="AK284" s="3384"/>
      <c r="AL284" s="3384"/>
      <c r="AM284" s="3384"/>
      <c r="AN284" s="1332"/>
      <c r="AS284" s="387"/>
    </row>
    <row r="285" spans="2:45" s="398" customFormat="1" ht="36" customHeight="1">
      <c r="B285" s="3559" t="s">
        <v>1977</v>
      </c>
      <c r="C285" s="3560"/>
      <c r="D285" s="3560"/>
      <c r="E285" s="3560"/>
      <c r="F285" s="3560"/>
      <c r="G285" s="3560"/>
      <c r="H285" s="3560"/>
      <c r="I285" s="3560"/>
      <c r="J285" s="3560"/>
      <c r="K285" s="3560"/>
      <c r="L285" s="3560"/>
      <c r="M285" s="3560"/>
      <c r="N285" s="3560"/>
      <c r="O285" s="3560"/>
      <c r="P285" s="3560"/>
      <c r="Q285" s="3560"/>
      <c r="R285" s="3560"/>
      <c r="S285" s="3560"/>
      <c r="T285" s="3560"/>
      <c r="U285" s="3560"/>
      <c r="V285" s="3560"/>
      <c r="W285" s="3560"/>
      <c r="X285" s="3560"/>
      <c r="Y285" s="3560"/>
      <c r="Z285" s="3560"/>
      <c r="AA285" s="3560"/>
      <c r="AB285" s="3560"/>
      <c r="AC285" s="3560"/>
      <c r="AD285" s="3560"/>
      <c r="AE285" s="3560"/>
      <c r="AF285" s="3560"/>
      <c r="AG285" s="3560"/>
      <c r="AH285" s="3560"/>
      <c r="AI285" s="3560"/>
      <c r="AJ285" s="3560"/>
      <c r="AK285" s="3560"/>
      <c r="AL285" s="3560"/>
      <c r="AM285" s="3560"/>
      <c r="AN285" s="1332"/>
      <c r="AS285" s="387"/>
    </row>
    <row r="286" spans="2:45" s="398" customFormat="1" ht="54" customHeight="1">
      <c r="B286" s="3416" t="s">
        <v>2214</v>
      </c>
      <c r="C286" s="3412"/>
      <c r="D286" s="3412"/>
      <c r="E286" s="3412"/>
      <c r="F286" s="3412"/>
      <c r="G286" s="3412"/>
      <c r="H286" s="3412"/>
      <c r="I286" s="3412"/>
      <c r="J286" s="3412"/>
      <c r="K286" s="3412"/>
      <c r="L286" s="3412"/>
      <c r="M286" s="3412"/>
      <c r="N286" s="3412"/>
      <c r="O286" s="3412"/>
      <c r="P286" s="3412"/>
      <c r="Q286" s="3412"/>
      <c r="R286" s="3412"/>
      <c r="S286" s="3412"/>
      <c r="T286" s="3412"/>
      <c r="U286" s="3412"/>
      <c r="V286" s="3412"/>
      <c r="W286" s="3412"/>
      <c r="X286" s="3412"/>
      <c r="Y286" s="3412"/>
      <c r="Z286" s="3412"/>
      <c r="AA286" s="3412"/>
      <c r="AB286" s="3412"/>
      <c r="AC286" s="3412"/>
      <c r="AD286" s="3412"/>
      <c r="AE286" s="3412"/>
      <c r="AF286" s="3412"/>
      <c r="AG286" s="3412"/>
      <c r="AH286" s="3412"/>
      <c r="AI286" s="3412"/>
      <c r="AJ286" s="3412"/>
      <c r="AK286" s="3412"/>
      <c r="AL286" s="3412"/>
      <c r="AM286" s="3417"/>
      <c r="AN286" s="1332"/>
      <c r="AS286" s="387"/>
    </row>
    <row r="287" spans="2:45" ht="18" customHeight="1">
      <c r="B287" s="3565" t="s">
        <v>2215</v>
      </c>
      <c r="C287" s="3566"/>
      <c r="D287" s="3566"/>
      <c r="E287" s="3566"/>
      <c r="F287" s="3566"/>
      <c r="G287" s="3566"/>
      <c r="H287" s="3583" t="str">
        <f>IF($G$65="","",$G$65)</f>
        <v/>
      </c>
      <c r="I287" s="3584"/>
      <c r="J287" s="3584"/>
      <c r="K287" s="3584"/>
      <c r="L287" s="3584"/>
      <c r="M287" s="3584"/>
      <c r="N287" s="3584"/>
      <c r="O287" s="3584"/>
      <c r="P287" s="3584"/>
      <c r="Q287" s="3584"/>
      <c r="R287" s="3584"/>
      <c r="S287" s="3584"/>
      <c r="T287" s="3584"/>
      <c r="U287" s="3584"/>
      <c r="V287" s="3584"/>
      <c r="W287" s="3584"/>
      <c r="X287" s="3584"/>
      <c r="Y287" s="3584"/>
      <c r="Z287" s="3584"/>
      <c r="AA287" s="3584"/>
      <c r="AB287" s="3584"/>
      <c r="AC287" s="3584"/>
      <c r="AD287" s="3584"/>
      <c r="AE287" s="3584"/>
      <c r="AF287" s="3584"/>
      <c r="AG287" s="3584"/>
      <c r="AH287" s="3584"/>
      <c r="AI287" s="3584"/>
      <c r="AJ287" s="3584"/>
      <c r="AK287" s="3584"/>
      <c r="AL287" s="3584"/>
      <c r="AM287" s="3584"/>
      <c r="AN287" s="1123"/>
    </row>
    <row r="288" spans="2:45" ht="36" customHeight="1">
      <c r="B288" s="3420" t="s">
        <v>2216</v>
      </c>
      <c r="C288" s="3420"/>
      <c r="D288" s="3420"/>
      <c r="E288" s="3420"/>
      <c r="F288" s="3420"/>
      <c r="G288" s="3420"/>
      <c r="H288" s="3420"/>
      <c r="I288" s="3420"/>
      <c r="J288" s="3420"/>
      <c r="K288" s="3420"/>
      <c r="L288" s="3420"/>
      <c r="M288" s="3420"/>
      <c r="N288" s="3420"/>
      <c r="O288" s="3557" t="s">
        <v>2217</v>
      </c>
      <c r="P288" s="3557"/>
      <c r="Q288" s="3557"/>
      <c r="R288" s="3557"/>
      <c r="S288" s="3557"/>
      <c r="T288" s="3557"/>
      <c r="U288" s="3557"/>
      <c r="V288" s="3557"/>
      <c r="W288" s="3557"/>
      <c r="X288" s="3400"/>
      <c r="Y288" s="3420" t="s">
        <v>2171</v>
      </c>
      <c r="Z288" s="3420"/>
      <c r="AA288" s="3420"/>
      <c r="AB288" s="3420" t="s">
        <v>2218</v>
      </c>
      <c r="AC288" s="3420"/>
      <c r="AD288" s="3420"/>
      <c r="AE288" s="3420"/>
      <c r="AF288" s="3625" t="s">
        <v>2219</v>
      </c>
      <c r="AG288" s="3625"/>
      <c r="AH288" s="3625"/>
      <c r="AI288" s="3625"/>
      <c r="AJ288" s="3625"/>
      <c r="AK288" s="3625"/>
      <c r="AL288" s="3625"/>
      <c r="AM288" s="3454"/>
      <c r="AN288" s="1123"/>
    </row>
    <row r="289" spans="2:45" ht="54" customHeight="1">
      <c r="B289" s="3445"/>
      <c r="C289" s="3445"/>
      <c r="D289" s="3445"/>
      <c r="E289" s="3445"/>
      <c r="F289" s="3445"/>
      <c r="G289" s="3445"/>
      <c r="H289" s="3445"/>
      <c r="I289" s="3445"/>
      <c r="J289" s="3445"/>
      <c r="K289" s="3445"/>
      <c r="L289" s="3445"/>
      <c r="M289" s="3445"/>
      <c r="N289" s="3445"/>
      <c r="O289" s="3518"/>
      <c r="P289" s="3518"/>
      <c r="Q289" s="3518"/>
      <c r="R289" s="3518"/>
      <c r="S289" s="3518"/>
      <c r="T289" s="3518"/>
      <c r="U289" s="3518"/>
      <c r="V289" s="3518"/>
      <c r="W289" s="3518"/>
      <c r="X289" s="3518"/>
      <c r="Y289" s="3525"/>
      <c r="Z289" s="3525"/>
      <c r="AA289" s="3525"/>
      <c r="AB289" s="3470"/>
      <c r="AC289" s="3526"/>
      <c r="AD289" s="3526"/>
      <c r="AE289" s="3527"/>
      <c r="AF289" s="3446"/>
      <c r="AG289" s="3446"/>
      <c r="AH289" s="3446"/>
      <c r="AI289" s="3446"/>
      <c r="AJ289" s="3446"/>
      <c r="AK289" s="3446"/>
      <c r="AL289" s="3446"/>
      <c r="AM289" s="3470"/>
      <c r="AN289" s="1123"/>
    </row>
    <row r="290" spans="2:45" ht="54" customHeight="1">
      <c r="B290" s="3445"/>
      <c r="C290" s="3445"/>
      <c r="D290" s="3445"/>
      <c r="E290" s="3445"/>
      <c r="F290" s="3445"/>
      <c r="G290" s="3445"/>
      <c r="H290" s="3445"/>
      <c r="I290" s="3445"/>
      <c r="J290" s="3445"/>
      <c r="K290" s="3445"/>
      <c r="L290" s="3445"/>
      <c r="M290" s="3445"/>
      <c r="N290" s="3445"/>
      <c r="O290" s="3518"/>
      <c r="P290" s="3518"/>
      <c r="Q290" s="3518"/>
      <c r="R290" s="3518"/>
      <c r="S290" s="3518"/>
      <c r="T290" s="3518"/>
      <c r="U290" s="3518"/>
      <c r="V290" s="3518"/>
      <c r="W290" s="3518"/>
      <c r="X290" s="3518"/>
      <c r="Y290" s="3525"/>
      <c r="Z290" s="3525"/>
      <c r="AA290" s="3525"/>
      <c r="AB290" s="3470"/>
      <c r="AC290" s="3526"/>
      <c r="AD290" s="3526"/>
      <c r="AE290" s="3527"/>
      <c r="AF290" s="3446"/>
      <c r="AG290" s="3446"/>
      <c r="AH290" s="3446"/>
      <c r="AI290" s="3446"/>
      <c r="AJ290" s="3446"/>
      <c r="AK290" s="3446"/>
      <c r="AL290" s="3446"/>
      <c r="AM290" s="3470"/>
      <c r="AN290" s="1123"/>
    </row>
    <row r="291" spans="2:45" ht="54" customHeight="1">
      <c r="B291" s="3445"/>
      <c r="C291" s="3445"/>
      <c r="D291" s="3445"/>
      <c r="E291" s="3445"/>
      <c r="F291" s="3445"/>
      <c r="G291" s="3445"/>
      <c r="H291" s="3445"/>
      <c r="I291" s="3445"/>
      <c r="J291" s="3445"/>
      <c r="K291" s="3445"/>
      <c r="L291" s="3445"/>
      <c r="M291" s="3445"/>
      <c r="N291" s="3445"/>
      <c r="O291" s="3518"/>
      <c r="P291" s="3518"/>
      <c r="Q291" s="3518"/>
      <c r="R291" s="3518"/>
      <c r="S291" s="3518"/>
      <c r="T291" s="3518"/>
      <c r="U291" s="3518"/>
      <c r="V291" s="3518"/>
      <c r="W291" s="3518"/>
      <c r="X291" s="3518"/>
      <c r="Y291" s="3525"/>
      <c r="Z291" s="3525"/>
      <c r="AA291" s="3525"/>
      <c r="AB291" s="3470"/>
      <c r="AC291" s="3526"/>
      <c r="AD291" s="3526"/>
      <c r="AE291" s="3527"/>
      <c r="AF291" s="3446"/>
      <c r="AG291" s="3446"/>
      <c r="AH291" s="3446"/>
      <c r="AI291" s="3446"/>
      <c r="AJ291" s="3446"/>
      <c r="AK291" s="3446"/>
      <c r="AL291" s="3446"/>
      <c r="AM291" s="3470"/>
      <c r="AN291" s="1123"/>
    </row>
    <row r="292" spans="2:45" ht="54" customHeight="1">
      <c r="B292" s="3445"/>
      <c r="C292" s="3445"/>
      <c r="D292" s="3445"/>
      <c r="E292" s="3445"/>
      <c r="F292" s="3445"/>
      <c r="G292" s="3445"/>
      <c r="H292" s="3445"/>
      <c r="I292" s="3445"/>
      <c r="J292" s="3445"/>
      <c r="K292" s="3445"/>
      <c r="L292" s="3445"/>
      <c r="M292" s="3445"/>
      <c r="N292" s="3445"/>
      <c r="O292" s="3518"/>
      <c r="P292" s="3518"/>
      <c r="Q292" s="3518"/>
      <c r="R292" s="3518"/>
      <c r="S292" s="3518"/>
      <c r="T292" s="3518"/>
      <c r="U292" s="3518"/>
      <c r="V292" s="3518"/>
      <c r="W292" s="3518"/>
      <c r="X292" s="3518"/>
      <c r="Y292" s="3525"/>
      <c r="Z292" s="3525"/>
      <c r="AA292" s="3525"/>
      <c r="AB292" s="3470"/>
      <c r="AC292" s="3526"/>
      <c r="AD292" s="3526"/>
      <c r="AE292" s="3527"/>
      <c r="AF292" s="3446"/>
      <c r="AG292" s="3446"/>
      <c r="AH292" s="3446"/>
      <c r="AI292" s="3446"/>
      <c r="AJ292" s="3446"/>
      <c r="AK292" s="3446"/>
      <c r="AL292" s="3446"/>
      <c r="AM292" s="3470"/>
      <c r="AN292" s="1123"/>
    </row>
    <row r="293" spans="2:45" ht="54" customHeight="1">
      <c r="B293" s="3445"/>
      <c r="C293" s="3445"/>
      <c r="D293" s="3445"/>
      <c r="E293" s="3445"/>
      <c r="F293" s="3445"/>
      <c r="G293" s="3445"/>
      <c r="H293" s="3445"/>
      <c r="I293" s="3445"/>
      <c r="J293" s="3445"/>
      <c r="K293" s="3445"/>
      <c r="L293" s="3445"/>
      <c r="M293" s="3445"/>
      <c r="N293" s="3445"/>
      <c r="O293" s="3518"/>
      <c r="P293" s="3518"/>
      <c r="Q293" s="3518"/>
      <c r="R293" s="3518"/>
      <c r="S293" s="3518"/>
      <c r="T293" s="3518"/>
      <c r="U293" s="3518"/>
      <c r="V293" s="3518"/>
      <c r="W293" s="3518"/>
      <c r="X293" s="3518"/>
      <c r="Y293" s="3525"/>
      <c r="Z293" s="3525"/>
      <c r="AA293" s="3525"/>
      <c r="AB293" s="3470"/>
      <c r="AC293" s="3526"/>
      <c r="AD293" s="3526"/>
      <c r="AE293" s="3527"/>
      <c r="AF293" s="3446"/>
      <c r="AG293" s="3446"/>
      <c r="AH293" s="3446"/>
      <c r="AI293" s="3446"/>
      <c r="AJ293" s="3446"/>
      <c r="AK293" s="3446"/>
      <c r="AL293" s="3446"/>
      <c r="AM293" s="3470"/>
      <c r="AN293" s="1123"/>
    </row>
    <row r="294" spans="2:45" ht="54" customHeight="1">
      <c r="B294" s="3445"/>
      <c r="C294" s="3445"/>
      <c r="D294" s="3445"/>
      <c r="E294" s="3445"/>
      <c r="F294" s="3445"/>
      <c r="G294" s="3445"/>
      <c r="H294" s="3445"/>
      <c r="I294" s="3445"/>
      <c r="J294" s="3445"/>
      <c r="K294" s="3445"/>
      <c r="L294" s="3445"/>
      <c r="M294" s="3445"/>
      <c r="N294" s="3445"/>
      <c r="O294" s="3518"/>
      <c r="P294" s="3518"/>
      <c r="Q294" s="3518"/>
      <c r="R294" s="3518"/>
      <c r="S294" s="3518"/>
      <c r="T294" s="3518"/>
      <c r="U294" s="3518"/>
      <c r="V294" s="3518"/>
      <c r="W294" s="3518"/>
      <c r="X294" s="3518"/>
      <c r="Y294" s="3525"/>
      <c r="Z294" s="3525"/>
      <c r="AA294" s="3525"/>
      <c r="AB294" s="3470"/>
      <c r="AC294" s="3526"/>
      <c r="AD294" s="3526"/>
      <c r="AE294" s="3527"/>
      <c r="AF294" s="3446"/>
      <c r="AG294" s="3446"/>
      <c r="AH294" s="3446"/>
      <c r="AI294" s="3446"/>
      <c r="AJ294" s="3446"/>
      <c r="AK294" s="3446"/>
      <c r="AL294" s="3446"/>
      <c r="AM294" s="3470"/>
      <c r="AN294" s="1123"/>
      <c r="AS294" s="2"/>
    </row>
    <row r="295" spans="2:45" ht="54" customHeight="1">
      <c r="B295" s="3445"/>
      <c r="C295" s="3445"/>
      <c r="D295" s="3445"/>
      <c r="E295" s="3445"/>
      <c r="F295" s="3445"/>
      <c r="G295" s="3445"/>
      <c r="H295" s="3445"/>
      <c r="I295" s="3445"/>
      <c r="J295" s="3445"/>
      <c r="K295" s="3445"/>
      <c r="L295" s="3445"/>
      <c r="M295" s="3445"/>
      <c r="N295" s="3445"/>
      <c r="O295" s="3518"/>
      <c r="P295" s="3518"/>
      <c r="Q295" s="3518"/>
      <c r="R295" s="3518"/>
      <c r="S295" s="3518"/>
      <c r="T295" s="3518"/>
      <c r="U295" s="3518"/>
      <c r="V295" s="3518"/>
      <c r="W295" s="3518"/>
      <c r="X295" s="3518"/>
      <c r="Y295" s="3525"/>
      <c r="Z295" s="3525"/>
      <c r="AA295" s="3525"/>
      <c r="AB295" s="3470"/>
      <c r="AC295" s="3526"/>
      <c r="AD295" s="3526"/>
      <c r="AE295" s="3527"/>
      <c r="AF295" s="3446"/>
      <c r="AG295" s="3446"/>
      <c r="AH295" s="3446"/>
      <c r="AI295" s="3446"/>
      <c r="AJ295" s="3446"/>
      <c r="AK295" s="3446"/>
      <c r="AL295" s="3446"/>
      <c r="AM295" s="3470"/>
      <c r="AN295" s="1123"/>
      <c r="AS295" s="2"/>
    </row>
    <row r="296" spans="2:45" ht="54" customHeight="1">
      <c r="B296" s="3445"/>
      <c r="C296" s="3445"/>
      <c r="D296" s="3445"/>
      <c r="E296" s="3445"/>
      <c r="F296" s="3445"/>
      <c r="G296" s="3445"/>
      <c r="H296" s="3445"/>
      <c r="I296" s="3445"/>
      <c r="J296" s="3445"/>
      <c r="K296" s="3445"/>
      <c r="L296" s="3445"/>
      <c r="M296" s="3445"/>
      <c r="N296" s="3445"/>
      <c r="O296" s="3518"/>
      <c r="P296" s="3518"/>
      <c r="Q296" s="3518"/>
      <c r="R296" s="3518"/>
      <c r="S296" s="3518"/>
      <c r="T296" s="3518"/>
      <c r="U296" s="3518"/>
      <c r="V296" s="3518"/>
      <c r="W296" s="3518"/>
      <c r="X296" s="3518"/>
      <c r="Y296" s="3525"/>
      <c r="Z296" s="3525"/>
      <c r="AA296" s="3525"/>
      <c r="AB296" s="3470"/>
      <c r="AC296" s="3526"/>
      <c r="AD296" s="3526"/>
      <c r="AE296" s="3527"/>
      <c r="AF296" s="3446"/>
      <c r="AG296" s="3446"/>
      <c r="AH296" s="3446"/>
      <c r="AI296" s="3446"/>
      <c r="AJ296" s="3446"/>
      <c r="AK296" s="3446"/>
      <c r="AL296" s="3446"/>
      <c r="AM296" s="3470"/>
      <c r="AN296" s="1123"/>
      <c r="AS296" s="4"/>
    </row>
    <row r="297" spans="2:45" s="224" customFormat="1" ht="18" customHeight="1">
      <c r="AS297" s="4"/>
    </row>
    <row r="298" spans="2:45" s="2" customFormat="1" ht="18" customHeight="1">
      <c r="B298" s="3493" t="s">
        <v>2220</v>
      </c>
      <c r="C298" s="3493"/>
      <c r="D298" s="3493"/>
      <c r="E298" s="3493"/>
      <c r="F298" s="3493"/>
      <c r="G298" s="3493"/>
      <c r="H298" s="3493"/>
      <c r="I298" s="3493"/>
      <c r="J298" s="3493"/>
      <c r="K298" s="3493"/>
      <c r="L298" s="3493"/>
      <c r="M298" s="3493"/>
      <c r="N298" s="3493"/>
      <c r="O298" s="3493"/>
      <c r="P298" s="3493"/>
      <c r="Q298" s="3493"/>
      <c r="R298" s="3493"/>
      <c r="S298" s="3493"/>
      <c r="T298" s="3493"/>
      <c r="U298" s="3493"/>
      <c r="V298" s="3493"/>
      <c r="W298" s="3493"/>
      <c r="X298" s="3493"/>
      <c r="Y298" s="3493"/>
      <c r="Z298" s="3493"/>
      <c r="AA298" s="3493"/>
      <c r="AB298" s="3493"/>
      <c r="AC298" s="3493"/>
      <c r="AD298" s="3493"/>
      <c r="AE298" s="3493"/>
      <c r="AF298" s="3493"/>
      <c r="AG298" s="3493"/>
      <c r="AH298" s="3493"/>
      <c r="AI298" s="3493"/>
      <c r="AJ298" s="3493"/>
      <c r="AK298" s="3493"/>
      <c r="AL298" s="3493"/>
      <c r="AM298" s="3493"/>
      <c r="AS298" s="4"/>
    </row>
    <row r="299" spans="2:45" s="2" customFormat="1" ht="18" customHeight="1">
      <c r="B299" s="3481" t="s">
        <v>1984</v>
      </c>
      <c r="C299" s="3482"/>
      <c r="D299" s="3482"/>
      <c r="E299" s="3482"/>
      <c r="F299" s="3482"/>
      <c r="G299" s="3482"/>
      <c r="H299" s="3482"/>
      <c r="I299" s="3482"/>
      <c r="J299" s="3482"/>
      <c r="K299" s="3482"/>
      <c r="L299" s="3482"/>
      <c r="M299" s="3482"/>
      <c r="N299" s="3482"/>
      <c r="O299" s="3482"/>
      <c r="P299" s="3482"/>
      <c r="Q299" s="3482"/>
      <c r="R299" s="3482"/>
      <c r="S299" s="3482"/>
      <c r="T299" s="3482"/>
      <c r="U299" s="3482"/>
      <c r="V299" s="3482"/>
      <c r="W299" s="3482"/>
      <c r="X299" s="3482"/>
      <c r="Y299" s="3482"/>
      <c r="Z299" s="3482"/>
      <c r="AA299" s="3482"/>
      <c r="AB299" s="3482"/>
      <c r="AC299" s="3482"/>
      <c r="AD299" s="3482"/>
      <c r="AE299" s="3482"/>
      <c r="AF299" s="3482"/>
      <c r="AG299" s="3482"/>
      <c r="AH299" s="3482"/>
      <c r="AI299" s="3482"/>
      <c r="AJ299" s="3482"/>
      <c r="AK299" s="3482"/>
      <c r="AL299" s="3482"/>
      <c r="AM299" s="3482"/>
      <c r="AN299" s="1333"/>
      <c r="AS299" s="3"/>
    </row>
    <row r="300" spans="2:45" s="4" customFormat="1" ht="90" customHeight="1">
      <c r="B300" s="3494" t="s">
        <v>2221</v>
      </c>
      <c r="C300" s="3495"/>
      <c r="D300" s="3495"/>
      <c r="E300" s="3495"/>
      <c r="F300" s="3495"/>
      <c r="G300" s="3495"/>
      <c r="H300" s="3495"/>
      <c r="I300" s="3495"/>
      <c r="J300" s="3495"/>
      <c r="K300" s="3495"/>
      <c r="L300" s="3495"/>
      <c r="M300" s="3495"/>
      <c r="N300" s="3495"/>
      <c r="O300" s="3495"/>
      <c r="P300" s="3495"/>
      <c r="Q300" s="3495"/>
      <c r="R300" s="3495"/>
      <c r="S300" s="3495"/>
      <c r="T300" s="3495"/>
      <c r="U300" s="3495"/>
      <c r="V300" s="3495"/>
      <c r="W300" s="3495"/>
      <c r="X300" s="3495"/>
      <c r="Y300" s="3495"/>
      <c r="Z300" s="3495"/>
      <c r="AA300" s="3495"/>
      <c r="AB300" s="3495"/>
      <c r="AC300" s="3495"/>
      <c r="AD300" s="3495"/>
      <c r="AE300" s="3495"/>
      <c r="AF300" s="3495"/>
      <c r="AG300" s="3495"/>
      <c r="AH300" s="3495"/>
      <c r="AI300" s="3495"/>
      <c r="AJ300" s="3495"/>
      <c r="AK300" s="3495"/>
      <c r="AL300" s="3495"/>
      <c r="AM300" s="3495"/>
      <c r="AN300" s="1334"/>
      <c r="AS300" s="3"/>
    </row>
    <row r="301" spans="2:45" s="4" customFormat="1" ht="54" customHeight="1">
      <c r="B301" s="3496" t="s">
        <v>2222</v>
      </c>
      <c r="C301" s="3497"/>
      <c r="D301" s="3497"/>
      <c r="E301" s="3497"/>
      <c r="F301" s="3497"/>
      <c r="G301" s="3497"/>
      <c r="H301" s="3497"/>
      <c r="I301" s="3497"/>
      <c r="J301" s="3497"/>
      <c r="K301" s="3497"/>
      <c r="L301" s="3497"/>
      <c r="M301" s="3497"/>
      <c r="N301" s="3497"/>
      <c r="O301" s="3497"/>
      <c r="P301" s="3497"/>
      <c r="Q301" s="3497"/>
      <c r="R301" s="3497"/>
      <c r="S301" s="3497"/>
      <c r="T301" s="3497"/>
      <c r="U301" s="3497"/>
      <c r="V301" s="3497"/>
      <c r="W301" s="3497"/>
      <c r="X301" s="3497"/>
      <c r="Y301" s="3497"/>
      <c r="Z301" s="3497"/>
      <c r="AA301" s="3497"/>
      <c r="AB301" s="3497"/>
      <c r="AC301" s="3497"/>
      <c r="AD301" s="3497"/>
      <c r="AE301" s="3497"/>
      <c r="AF301" s="3497"/>
      <c r="AG301" s="3497"/>
      <c r="AH301" s="3497"/>
      <c r="AI301" s="3497"/>
      <c r="AJ301" s="3497"/>
      <c r="AK301" s="3497"/>
      <c r="AL301" s="3497"/>
      <c r="AM301" s="3497"/>
      <c r="AN301" s="1333"/>
      <c r="AS301" s="2"/>
    </row>
    <row r="302" spans="2:45" s="3" customFormat="1" ht="36" customHeight="1">
      <c r="B302" s="3519"/>
      <c r="C302" s="3519"/>
      <c r="D302" s="3519"/>
      <c r="E302" s="3519"/>
      <c r="F302" s="3519"/>
      <c r="G302" s="3519"/>
      <c r="H302" s="3519"/>
      <c r="I302" s="3519"/>
      <c r="J302" s="3519"/>
      <c r="K302" s="3519"/>
      <c r="L302" s="3519"/>
      <c r="M302" s="3519"/>
      <c r="N302" s="3519"/>
      <c r="O302" s="3519"/>
      <c r="P302" s="3519"/>
      <c r="Q302" s="3519"/>
      <c r="R302" s="3519"/>
      <c r="S302" s="3519"/>
      <c r="T302" s="3519"/>
      <c r="U302" s="3519"/>
      <c r="V302" s="3519"/>
      <c r="W302" s="3519"/>
      <c r="X302" s="3519"/>
      <c r="Y302" s="3519"/>
      <c r="Z302" s="3519"/>
      <c r="AA302" s="3519"/>
      <c r="AB302" s="3519"/>
      <c r="AC302" s="3519"/>
      <c r="AD302" s="3519"/>
      <c r="AE302" s="3519"/>
      <c r="AF302" s="3519"/>
      <c r="AG302" s="3519"/>
      <c r="AH302" s="3519"/>
      <c r="AI302" s="3519"/>
      <c r="AJ302" s="3519"/>
      <c r="AK302" s="3519"/>
      <c r="AL302" s="3519"/>
      <c r="AM302" s="3386"/>
      <c r="AN302" s="1325"/>
    </row>
    <row r="303" spans="2:45" s="3" customFormat="1" ht="18" customHeight="1">
      <c r="B303" s="3474" t="s">
        <v>1987</v>
      </c>
      <c r="C303" s="3475"/>
      <c r="D303" s="3475"/>
      <c r="E303" s="3475"/>
      <c r="F303" s="3475"/>
      <c r="G303" s="3475"/>
      <c r="H303" s="3475"/>
      <c r="I303" s="3475"/>
      <c r="J303" s="3475"/>
      <c r="K303" s="3475"/>
      <c r="L303" s="3475"/>
      <c r="M303" s="3475"/>
      <c r="N303" s="3475"/>
      <c r="O303" s="3475"/>
      <c r="P303" s="3475"/>
      <c r="Q303" s="3475"/>
      <c r="R303" s="3475"/>
      <c r="S303" s="3475"/>
      <c r="T303" s="3475"/>
      <c r="U303" s="3475"/>
      <c r="V303" s="3475"/>
      <c r="W303" s="3475"/>
      <c r="X303" s="3475"/>
      <c r="Y303" s="3475"/>
      <c r="Z303" s="3475"/>
      <c r="AA303" s="3475"/>
      <c r="AB303" s="3475"/>
      <c r="AC303" s="3475"/>
      <c r="AD303" s="3475"/>
      <c r="AE303" s="3475"/>
      <c r="AF303" s="3475"/>
      <c r="AG303" s="3475"/>
      <c r="AH303" s="3475"/>
      <c r="AI303" s="3475"/>
      <c r="AJ303" s="3475"/>
      <c r="AK303" s="3475"/>
      <c r="AL303" s="3475"/>
      <c r="AM303" s="3475"/>
      <c r="AN303" s="1325"/>
      <c r="AS303" s="14"/>
    </row>
    <row r="304" spans="2:45" s="2" customFormat="1" ht="36" customHeight="1">
      <c r="B304" s="3498" t="s">
        <v>2223</v>
      </c>
      <c r="C304" s="3499"/>
      <c r="D304" s="3499"/>
      <c r="E304" s="3499"/>
      <c r="F304" s="3499"/>
      <c r="G304" s="3499"/>
      <c r="H304" s="3499"/>
      <c r="I304" s="3499"/>
      <c r="J304" s="3499"/>
      <c r="K304" s="3499"/>
      <c r="L304" s="3499"/>
      <c r="M304" s="3499"/>
      <c r="N304" s="3499"/>
      <c r="O304" s="3499"/>
      <c r="P304" s="3499"/>
      <c r="Q304" s="3499"/>
      <c r="R304" s="3499"/>
      <c r="S304" s="3499"/>
      <c r="T304" s="3499"/>
      <c r="U304" s="3499"/>
      <c r="V304" s="3499"/>
      <c r="W304" s="3499"/>
      <c r="X304" s="3499"/>
      <c r="Y304" s="3499"/>
      <c r="Z304" s="3499"/>
      <c r="AA304" s="3499"/>
      <c r="AB304" s="3499"/>
      <c r="AC304" s="3499"/>
      <c r="AD304" s="3499"/>
      <c r="AE304" s="3499"/>
      <c r="AF304" s="3499"/>
      <c r="AG304" s="3499"/>
      <c r="AH304" s="3499"/>
      <c r="AI304" s="3499"/>
      <c r="AJ304" s="3499"/>
      <c r="AK304" s="3499"/>
      <c r="AL304" s="3499"/>
      <c r="AM304" s="3499"/>
      <c r="AN304" s="1333"/>
      <c r="AS304" s="14"/>
    </row>
    <row r="305" spans="1:45" s="3" customFormat="1" ht="18" customHeight="1">
      <c r="B305" s="3500" t="s">
        <v>2224</v>
      </c>
      <c r="C305" s="3501"/>
      <c r="D305" s="3501"/>
      <c r="E305" s="3501"/>
      <c r="F305" s="3501"/>
      <c r="G305" s="3501"/>
      <c r="H305" s="3501"/>
      <c r="I305" s="3501"/>
      <c r="J305" s="3501"/>
      <c r="K305" s="3501"/>
      <c r="L305" s="3501"/>
      <c r="M305" s="3501"/>
      <c r="N305" s="3501"/>
      <c r="O305" s="3501"/>
      <c r="P305" s="3501"/>
      <c r="Q305" s="3501"/>
      <c r="R305" s="3501"/>
      <c r="S305" s="3501"/>
      <c r="T305" s="3501"/>
      <c r="U305" s="3501"/>
      <c r="V305" s="3501"/>
      <c r="W305" s="3501"/>
      <c r="X305" s="3501"/>
      <c r="Y305" s="3501"/>
      <c r="Z305" s="3501"/>
      <c r="AA305" s="3501"/>
      <c r="AB305" s="3501"/>
      <c r="AC305" s="3501"/>
      <c r="AD305" s="3501"/>
      <c r="AE305" s="3501"/>
      <c r="AF305" s="3501"/>
      <c r="AG305" s="3501"/>
      <c r="AH305" s="3501"/>
      <c r="AI305" s="3501"/>
      <c r="AJ305" s="3501"/>
      <c r="AK305" s="3501"/>
      <c r="AL305" s="3501"/>
      <c r="AM305" s="3501"/>
      <c r="AN305" s="1333"/>
      <c r="AS305" s="14"/>
    </row>
    <row r="306" spans="1:45" s="14" customFormat="1" ht="18" customHeight="1">
      <c r="B306" s="3502" t="s">
        <v>2225</v>
      </c>
      <c r="C306" s="3502"/>
      <c r="D306" s="3502"/>
      <c r="E306" s="3502"/>
      <c r="F306" s="3502"/>
      <c r="G306" s="3502"/>
      <c r="H306" s="3502"/>
      <c r="I306" s="3502"/>
      <c r="J306" s="3502"/>
      <c r="K306" s="3502"/>
      <c r="L306" s="3502"/>
      <c r="M306" s="3502"/>
      <c r="N306" s="3502" t="s">
        <v>2226</v>
      </c>
      <c r="O306" s="3502"/>
      <c r="P306" s="3502"/>
      <c r="Q306" s="3502"/>
      <c r="R306" s="3502"/>
      <c r="S306" s="3502"/>
      <c r="T306" s="3502"/>
      <c r="U306" s="3502"/>
      <c r="V306" s="3502"/>
      <c r="W306" s="3502"/>
      <c r="X306" s="3502"/>
      <c r="Y306" s="3502"/>
      <c r="Z306" s="3502"/>
      <c r="AA306" s="3502" t="s">
        <v>2227</v>
      </c>
      <c r="AB306" s="3502"/>
      <c r="AC306" s="3502"/>
      <c r="AD306" s="3502"/>
      <c r="AE306" s="3502"/>
      <c r="AF306" s="3502"/>
      <c r="AG306" s="3502"/>
      <c r="AH306" s="3502"/>
      <c r="AI306" s="3502"/>
      <c r="AJ306" s="3502"/>
      <c r="AK306" s="3502"/>
      <c r="AL306" s="3502"/>
      <c r="AM306" s="3503"/>
      <c r="AN306" s="1335"/>
    </row>
    <row r="307" spans="1:45" s="14" customFormat="1" ht="54" customHeight="1">
      <c r="B307" s="3485" t="s">
        <v>2228</v>
      </c>
      <c r="C307" s="3485"/>
      <c r="D307" s="3485"/>
      <c r="E307" s="3485"/>
      <c r="F307" s="3485"/>
      <c r="G307" s="3485"/>
      <c r="H307" s="3485"/>
      <c r="I307" s="3485"/>
      <c r="J307" s="3485"/>
      <c r="K307" s="3485"/>
      <c r="L307" s="3485"/>
      <c r="M307" s="3485"/>
      <c r="N307" s="3486"/>
      <c r="O307" s="3486"/>
      <c r="P307" s="3486"/>
      <c r="Q307" s="3486"/>
      <c r="R307" s="3486"/>
      <c r="S307" s="3486"/>
      <c r="T307" s="3486"/>
      <c r="U307" s="3486"/>
      <c r="V307" s="3486"/>
      <c r="W307" s="3486"/>
      <c r="X307" s="3486"/>
      <c r="Y307" s="3486"/>
      <c r="Z307" s="3486"/>
      <c r="AA307" s="3487"/>
      <c r="AB307" s="3487"/>
      <c r="AC307" s="3487"/>
      <c r="AD307" s="3487"/>
      <c r="AE307" s="3487"/>
      <c r="AF307" s="3487"/>
      <c r="AG307" s="3487"/>
      <c r="AH307" s="3487"/>
      <c r="AI307" s="3487"/>
      <c r="AJ307" s="3487"/>
      <c r="AK307" s="3487"/>
      <c r="AL307" s="3487"/>
      <c r="AM307" s="3488"/>
      <c r="AN307" s="1335"/>
      <c r="AS307" s="11"/>
    </row>
    <row r="308" spans="1:45" s="14" customFormat="1" ht="108" customHeight="1">
      <c r="B308" s="3485" t="s">
        <v>2229</v>
      </c>
      <c r="C308" s="3485"/>
      <c r="D308" s="3485"/>
      <c r="E308" s="3485"/>
      <c r="F308" s="3485"/>
      <c r="G308" s="3485"/>
      <c r="H308" s="3485"/>
      <c r="I308" s="3485"/>
      <c r="J308" s="3485"/>
      <c r="K308" s="3485"/>
      <c r="L308" s="3485"/>
      <c r="M308" s="3485"/>
      <c r="N308" s="3486"/>
      <c r="O308" s="3486"/>
      <c r="P308" s="3486"/>
      <c r="Q308" s="3486"/>
      <c r="R308" s="3486"/>
      <c r="S308" s="3486"/>
      <c r="T308" s="3486"/>
      <c r="U308" s="3486"/>
      <c r="V308" s="3486"/>
      <c r="W308" s="3486"/>
      <c r="X308" s="3486"/>
      <c r="Y308" s="3486"/>
      <c r="Z308" s="3486"/>
      <c r="AA308" s="3487"/>
      <c r="AB308" s="3487"/>
      <c r="AC308" s="3487"/>
      <c r="AD308" s="3487"/>
      <c r="AE308" s="3487"/>
      <c r="AF308" s="3487"/>
      <c r="AG308" s="3487"/>
      <c r="AH308" s="3487"/>
      <c r="AI308" s="3487"/>
      <c r="AJ308" s="3487"/>
      <c r="AK308" s="3487"/>
      <c r="AL308" s="3487"/>
      <c r="AM308" s="3488"/>
      <c r="AN308" s="1335"/>
      <c r="AS308" s="1539"/>
    </row>
    <row r="309" spans="1:45" s="14" customFormat="1" ht="72" customHeight="1">
      <c r="B309" s="3489" t="s">
        <v>2230</v>
      </c>
      <c r="C309" s="3489"/>
      <c r="D309" s="3489"/>
      <c r="E309" s="3489"/>
      <c r="F309" s="3489"/>
      <c r="G309" s="3489"/>
      <c r="H309" s="3489"/>
      <c r="I309" s="3489"/>
      <c r="J309" s="3489"/>
      <c r="K309" s="3489"/>
      <c r="L309" s="3489"/>
      <c r="M309" s="3489"/>
      <c r="N309" s="3490"/>
      <c r="O309" s="3490"/>
      <c r="P309" s="3490"/>
      <c r="Q309" s="3490"/>
      <c r="R309" s="3490"/>
      <c r="S309" s="3490"/>
      <c r="T309" s="3490"/>
      <c r="U309" s="3490"/>
      <c r="V309" s="3490"/>
      <c r="W309" s="3490"/>
      <c r="X309" s="3490"/>
      <c r="Y309" s="3490"/>
      <c r="Z309" s="3490"/>
      <c r="AA309" s="3491"/>
      <c r="AB309" s="3491"/>
      <c r="AC309" s="3491"/>
      <c r="AD309" s="3491"/>
      <c r="AE309" s="3491"/>
      <c r="AF309" s="3491"/>
      <c r="AG309" s="3491"/>
      <c r="AH309" s="3491"/>
      <c r="AI309" s="3491"/>
      <c r="AJ309" s="3491"/>
      <c r="AK309" s="3491"/>
      <c r="AL309" s="3491"/>
      <c r="AM309" s="3492"/>
      <c r="AN309" s="1335"/>
      <c r="AS309" s="11"/>
    </row>
    <row r="310" spans="1:45" s="11" customFormat="1" ht="18" customHeight="1">
      <c r="B310" s="3474" t="s">
        <v>1989</v>
      </c>
      <c r="C310" s="3475"/>
      <c r="D310" s="3475"/>
      <c r="E310" s="3475"/>
      <c r="F310" s="3475"/>
      <c r="G310" s="3475"/>
      <c r="H310" s="3475"/>
      <c r="I310" s="3475"/>
      <c r="J310" s="3475"/>
      <c r="K310" s="3475"/>
      <c r="L310" s="3475"/>
      <c r="M310" s="3475"/>
      <c r="N310" s="3475"/>
      <c r="O310" s="3475"/>
      <c r="P310" s="3475"/>
      <c r="Q310" s="3475"/>
      <c r="R310" s="3475"/>
      <c r="S310" s="3475"/>
      <c r="T310" s="3475"/>
      <c r="U310" s="3475"/>
      <c r="V310" s="3475"/>
      <c r="W310" s="3475"/>
      <c r="X310" s="3475"/>
      <c r="Y310" s="3475"/>
      <c r="Z310" s="3475"/>
      <c r="AA310" s="3475"/>
      <c r="AB310" s="3475"/>
      <c r="AC310" s="3475"/>
      <c r="AD310" s="3475"/>
      <c r="AE310" s="3475"/>
      <c r="AF310" s="3475"/>
      <c r="AG310" s="3475"/>
      <c r="AH310" s="3475"/>
      <c r="AI310" s="3475"/>
      <c r="AJ310" s="3475"/>
      <c r="AK310" s="3475"/>
      <c r="AL310" s="3475"/>
      <c r="AM310" s="3475"/>
      <c r="AN310" s="1538"/>
      <c r="AS310" s="1539"/>
    </row>
    <row r="311" spans="1:45" s="26" customFormat="1" ht="36" customHeight="1">
      <c r="A311" s="1539"/>
      <c r="B311" s="3476" t="s">
        <v>2231</v>
      </c>
      <c r="C311" s="3477"/>
      <c r="D311" s="3477"/>
      <c r="E311" s="3477"/>
      <c r="F311" s="3477"/>
      <c r="G311" s="3477"/>
      <c r="H311" s="3477"/>
      <c r="I311" s="3477"/>
      <c r="J311" s="3477"/>
      <c r="K311" s="3477"/>
      <c r="L311" s="3477"/>
      <c r="M311" s="3477"/>
      <c r="N311" s="3477"/>
      <c r="O311" s="3477"/>
      <c r="P311" s="3477"/>
      <c r="Q311" s="3477"/>
      <c r="R311" s="3477"/>
      <c r="S311" s="3477"/>
      <c r="T311" s="3477"/>
      <c r="U311" s="3477"/>
      <c r="V311" s="3477"/>
      <c r="W311" s="3477"/>
      <c r="X311" s="3477"/>
      <c r="Y311" s="3477"/>
      <c r="Z311" s="3477"/>
      <c r="AA311" s="3477"/>
      <c r="AB311" s="3477"/>
      <c r="AC311" s="3477"/>
      <c r="AD311" s="3477"/>
      <c r="AE311" s="3477"/>
      <c r="AF311" s="3477"/>
      <c r="AG311" s="3477"/>
      <c r="AH311" s="3477"/>
      <c r="AI311" s="3477"/>
      <c r="AJ311" s="3477"/>
      <c r="AK311" s="3477"/>
      <c r="AL311" s="3477"/>
      <c r="AM311" s="3477"/>
      <c r="AN311" s="1336"/>
      <c r="AO311" s="1539"/>
      <c r="AP311" s="1539"/>
      <c r="AQ311" s="1539"/>
      <c r="AR311" s="1539"/>
      <c r="AS311" s="11"/>
    </row>
    <row r="312" spans="1:45" s="11" customFormat="1" ht="36" customHeight="1">
      <c r="B312" s="3478"/>
      <c r="C312" s="3478"/>
      <c r="D312" s="3478"/>
      <c r="E312" s="3478"/>
      <c r="F312" s="3478"/>
      <c r="G312" s="3478"/>
      <c r="H312" s="3478"/>
      <c r="I312" s="3478"/>
      <c r="J312" s="3478"/>
      <c r="K312" s="3478"/>
      <c r="L312" s="3478"/>
      <c r="M312" s="3478"/>
      <c r="N312" s="3478"/>
      <c r="O312" s="3478"/>
      <c r="P312" s="3478"/>
      <c r="Q312" s="3478"/>
      <c r="R312" s="3478"/>
      <c r="S312" s="3478"/>
      <c r="T312" s="3478"/>
      <c r="U312" s="3478"/>
      <c r="V312" s="3478"/>
      <c r="W312" s="3478"/>
      <c r="X312" s="3478"/>
      <c r="Y312" s="3478"/>
      <c r="Z312" s="3478"/>
      <c r="AA312" s="3478"/>
      <c r="AB312" s="3478"/>
      <c r="AC312" s="3478"/>
      <c r="AD312" s="3478"/>
      <c r="AE312" s="3478"/>
      <c r="AF312" s="3478"/>
      <c r="AG312" s="3478"/>
      <c r="AH312" s="3478"/>
      <c r="AI312" s="3478"/>
      <c r="AJ312" s="3478"/>
      <c r="AK312" s="3478"/>
      <c r="AL312" s="3478"/>
      <c r="AM312" s="3383"/>
      <c r="AN312" s="1337"/>
      <c r="AS312" s="113"/>
    </row>
    <row r="313" spans="1:45" s="26" customFormat="1" ht="54" customHeight="1">
      <c r="A313" s="1539"/>
      <c r="B313" s="3424" t="s">
        <v>2232</v>
      </c>
      <c r="C313" s="3479"/>
      <c r="D313" s="3479"/>
      <c r="E313" s="3479"/>
      <c r="F313" s="3479"/>
      <c r="G313" s="3479"/>
      <c r="H313" s="3479"/>
      <c r="I313" s="3479"/>
      <c r="J313" s="3479"/>
      <c r="K313" s="3479"/>
      <c r="L313" s="3479"/>
      <c r="M313" s="3479"/>
      <c r="N313" s="3479"/>
      <c r="O313" s="3479"/>
      <c r="P313" s="3479"/>
      <c r="Q313" s="3479"/>
      <c r="R313" s="3479"/>
      <c r="S313" s="3479"/>
      <c r="T313" s="3479"/>
      <c r="U313" s="3479"/>
      <c r="V313" s="3479"/>
      <c r="W313" s="3479"/>
      <c r="X313" s="3479"/>
      <c r="Y313" s="3479"/>
      <c r="Z313" s="3479"/>
      <c r="AA313" s="3479"/>
      <c r="AB313" s="3479"/>
      <c r="AC313" s="3479"/>
      <c r="AD313" s="3479"/>
      <c r="AE313" s="3479"/>
      <c r="AF313" s="3479"/>
      <c r="AG313" s="3479"/>
      <c r="AH313" s="3479"/>
      <c r="AI313" s="3479"/>
      <c r="AJ313" s="3479"/>
      <c r="AK313" s="3479"/>
      <c r="AL313" s="3479"/>
      <c r="AM313" s="3479"/>
      <c r="AN313" s="1336"/>
      <c r="AO313" s="1539"/>
      <c r="AP313" s="1539"/>
      <c r="AQ313" s="1539"/>
      <c r="AR313" s="1539"/>
      <c r="AS313" s="113"/>
    </row>
    <row r="314" spans="1:45" s="11" customFormat="1" ht="36" customHeight="1">
      <c r="B314" s="3445"/>
      <c r="C314" s="3445"/>
      <c r="D314" s="3445"/>
      <c r="E314" s="3445"/>
      <c r="F314" s="3445"/>
      <c r="G314" s="3445"/>
      <c r="H314" s="3445"/>
      <c r="I314" s="3445"/>
      <c r="J314" s="3445"/>
      <c r="K314" s="3445"/>
      <c r="L314" s="3445"/>
      <c r="M314" s="3445"/>
      <c r="N314" s="3445"/>
      <c r="O314" s="3445"/>
      <c r="P314" s="3445"/>
      <c r="Q314" s="3445"/>
      <c r="R314" s="3445"/>
      <c r="S314" s="3445"/>
      <c r="T314" s="3445"/>
      <c r="U314" s="3445"/>
      <c r="V314" s="3445"/>
      <c r="W314" s="3445"/>
      <c r="X314" s="3445"/>
      <c r="Y314" s="3445"/>
      <c r="Z314" s="3445"/>
      <c r="AA314" s="3445"/>
      <c r="AB314" s="3445"/>
      <c r="AC314" s="3445"/>
      <c r="AD314" s="3445"/>
      <c r="AE314" s="3445"/>
      <c r="AF314" s="3445"/>
      <c r="AG314" s="3445"/>
      <c r="AH314" s="3445"/>
      <c r="AI314" s="3445"/>
      <c r="AJ314" s="3445"/>
      <c r="AK314" s="3445"/>
      <c r="AL314" s="3445"/>
      <c r="AM314" s="3480"/>
      <c r="AN314" s="1337"/>
      <c r="AS314" s="113"/>
    </row>
    <row r="315" spans="1:45" ht="18" customHeight="1">
      <c r="B315" s="224"/>
      <c r="C315" s="224"/>
      <c r="D315" s="224"/>
      <c r="E315" s="224"/>
      <c r="F315" s="224"/>
      <c r="G315" s="224"/>
      <c r="H315" s="224"/>
      <c r="I315" s="235"/>
      <c r="J315" s="224"/>
      <c r="K315" s="224"/>
      <c r="L315" s="224"/>
      <c r="M315" s="224"/>
      <c r="N315" s="224"/>
      <c r="O315" s="224"/>
      <c r="P315" s="224"/>
      <c r="Q315" s="224"/>
      <c r="R315" s="224"/>
      <c r="S315" s="224"/>
      <c r="T315" s="224"/>
      <c r="U315" s="224"/>
      <c r="V315" s="224"/>
      <c r="W315" s="224"/>
      <c r="X315" s="224"/>
      <c r="Y315" s="224"/>
      <c r="Z315" s="224"/>
      <c r="AA315" s="224"/>
      <c r="AB315" s="224"/>
      <c r="AC315" s="224"/>
      <c r="AD315" s="224"/>
      <c r="AE315" s="224"/>
      <c r="AF315" s="224"/>
      <c r="AG315" s="224"/>
      <c r="AH315" s="224"/>
      <c r="AI315" s="224"/>
      <c r="AJ315" s="224"/>
      <c r="AK315" s="224"/>
      <c r="AL315" s="224"/>
      <c r="AM315" s="224"/>
    </row>
    <row r="316" spans="1:45" ht="18" customHeight="1">
      <c r="B316" s="2550" t="s">
        <v>639</v>
      </c>
      <c r="C316" s="2550"/>
      <c r="D316" s="2550"/>
      <c r="E316" s="2550"/>
      <c r="F316" s="2550"/>
      <c r="G316" s="2550"/>
      <c r="H316" s="2550"/>
      <c r="I316" s="2550"/>
      <c r="J316" s="2550"/>
      <c r="K316" s="2550"/>
      <c r="L316" s="2550"/>
      <c r="M316" s="2550"/>
      <c r="N316" s="2550"/>
      <c r="O316" s="2550"/>
      <c r="P316" s="2550"/>
      <c r="Q316" s="2550"/>
      <c r="R316" s="2550"/>
      <c r="S316" s="2550"/>
      <c r="T316" s="2550"/>
      <c r="U316" s="2550"/>
      <c r="V316" s="2550"/>
      <c r="W316" s="2550"/>
      <c r="X316" s="2550"/>
      <c r="Y316" s="2550"/>
      <c r="Z316" s="2550"/>
      <c r="AA316" s="2550"/>
      <c r="AB316" s="2550"/>
      <c r="AC316" s="2550"/>
      <c r="AD316" s="2550"/>
      <c r="AE316" s="2550"/>
      <c r="AF316" s="2550"/>
      <c r="AG316" s="2550"/>
      <c r="AH316" s="2550"/>
      <c r="AI316" s="2550"/>
      <c r="AJ316" s="2550"/>
      <c r="AK316" s="2550"/>
      <c r="AL316" s="2550"/>
      <c r="AM316" s="2550"/>
    </row>
  </sheetData>
  <mergeCells count="834">
    <mergeCell ref="B68:Q68"/>
    <mergeCell ref="R68:V68"/>
    <mergeCell ref="AE201:AJ201"/>
    <mergeCell ref="B200:E200"/>
    <mergeCell ref="AK201:AM201"/>
    <mergeCell ref="W71:Z71"/>
    <mergeCell ref="B73:D73"/>
    <mergeCell ref="B127:D127"/>
    <mergeCell ref="G125:S125"/>
    <mergeCell ref="AL127:AM127"/>
    <mergeCell ref="AL158:AM158"/>
    <mergeCell ref="AK198:AM198"/>
    <mergeCell ref="B154:AM154"/>
    <mergeCell ref="AE139:AH139"/>
    <mergeCell ref="T138:Z138"/>
    <mergeCell ref="G137:S137"/>
    <mergeCell ref="T137:Z137"/>
    <mergeCell ref="AA137:AD137"/>
    <mergeCell ref="B192:E192"/>
    <mergeCell ref="AA192:AD192"/>
    <mergeCell ref="B150:AM150"/>
    <mergeCell ref="B148:AM148"/>
    <mergeCell ref="B156:AM156"/>
    <mergeCell ref="AA125:AD125"/>
    <mergeCell ref="D208:AJ208"/>
    <mergeCell ref="AF203:AK203"/>
    <mergeCell ref="D207:AJ207"/>
    <mergeCell ref="AL203:AM203"/>
    <mergeCell ref="B203:D203"/>
    <mergeCell ref="E203:M203"/>
    <mergeCell ref="AE197:AJ197"/>
    <mergeCell ref="AK197:AM197"/>
    <mergeCell ref="AA199:AD199"/>
    <mergeCell ref="AE199:AJ199"/>
    <mergeCell ref="AK199:AM199"/>
    <mergeCell ref="B198:E198"/>
    <mergeCell ref="AA198:AD198"/>
    <mergeCell ref="AE200:AJ200"/>
    <mergeCell ref="AK200:AM200"/>
    <mergeCell ref="AA200:AD200"/>
    <mergeCell ref="B199:E199"/>
    <mergeCell ref="D206:AJ206"/>
    <mergeCell ref="AK202:AM202"/>
    <mergeCell ref="N203:AE203"/>
    <mergeCell ref="AE198:AJ198"/>
    <mergeCell ref="B201:E201"/>
    <mergeCell ref="AA201:AD201"/>
    <mergeCell ref="B207:C207"/>
    <mergeCell ref="B31:AM31"/>
    <mergeCell ref="W149:X149"/>
    <mergeCell ref="Y149:Z149"/>
    <mergeCell ref="AB149:AC149"/>
    <mergeCell ref="AD149:AE149"/>
    <mergeCell ref="B158:L158"/>
    <mergeCell ref="B159:L159"/>
    <mergeCell ref="O158:S158"/>
    <mergeCell ref="O159:S159"/>
    <mergeCell ref="W158:AK158"/>
    <mergeCell ref="V159:AK159"/>
    <mergeCell ref="B56:AF56"/>
    <mergeCell ref="B55:AF55"/>
    <mergeCell ref="B57:AF57"/>
    <mergeCell ref="B58:AF58"/>
    <mergeCell ref="M158:N158"/>
    <mergeCell ref="B69:P69"/>
    <mergeCell ref="Q69:U69"/>
    <mergeCell ref="B62:AM62"/>
    <mergeCell ref="B81:AK81"/>
    <mergeCell ref="B80:AM80"/>
    <mergeCell ref="B79:AM79"/>
    <mergeCell ref="AF73:AK73"/>
    <mergeCell ref="AL73:AM73"/>
    <mergeCell ref="B316:AM316"/>
    <mergeCell ref="B280:D280"/>
    <mergeCell ref="E280:M280"/>
    <mergeCell ref="N280:AE280"/>
    <mergeCell ref="D221:AJ221"/>
    <mergeCell ref="AK221:AM221"/>
    <mergeCell ref="B222:C222"/>
    <mergeCell ref="D222:AJ222"/>
    <mergeCell ref="AK222:AM222"/>
    <mergeCell ref="B223:C223"/>
    <mergeCell ref="D223:AJ223"/>
    <mergeCell ref="AK223:AM223"/>
    <mergeCell ref="B221:C221"/>
    <mergeCell ref="AJ241:AM241"/>
    <mergeCell ref="X240:Z240"/>
    <mergeCell ref="AA240:AC240"/>
    <mergeCell ref="V240:W240"/>
    <mergeCell ref="B230:W230"/>
    <mergeCell ref="AD228:AI228"/>
    <mergeCell ref="X230:Z230"/>
    <mergeCell ref="AA230:AC230"/>
    <mergeCell ref="X250:Z250"/>
    <mergeCell ref="AA253:AC253"/>
    <mergeCell ref="T244:U244"/>
    <mergeCell ref="B72:T72"/>
    <mergeCell ref="B70:AB70"/>
    <mergeCell ref="W75:AM75"/>
    <mergeCell ref="W76:AM76"/>
    <mergeCell ref="W77:AM77"/>
    <mergeCell ref="K78:V78"/>
    <mergeCell ref="W78:AM78"/>
    <mergeCell ref="E73:M73"/>
    <mergeCell ref="N73:AE73"/>
    <mergeCell ref="B152:AM152"/>
    <mergeCell ref="B140:F140"/>
    <mergeCell ref="AL143:AM143"/>
    <mergeCell ref="T139:Z139"/>
    <mergeCell ref="AF143:AK143"/>
    <mergeCell ref="B144:AM144"/>
    <mergeCell ref="G141:S141"/>
    <mergeCell ref="T141:Z141"/>
    <mergeCell ref="AA141:AD141"/>
    <mergeCell ref="AA140:AD140"/>
    <mergeCell ref="G140:S140"/>
    <mergeCell ref="AA142:AD142"/>
    <mergeCell ref="AE140:AH140"/>
    <mergeCell ref="AI140:AM140"/>
    <mergeCell ref="T140:Z140"/>
    <mergeCell ref="AA139:AD139"/>
    <mergeCell ref="B139:F139"/>
    <mergeCell ref="B145:AM145"/>
    <mergeCell ref="AE141:AH141"/>
    <mergeCell ref="AI141:AM141"/>
    <mergeCell ref="AE142:AH142"/>
    <mergeCell ref="AI142:AM142"/>
    <mergeCell ref="B143:D143"/>
    <mergeCell ref="N143:AE143"/>
    <mergeCell ref="B63:AB63"/>
    <mergeCell ref="AL89:AM89"/>
    <mergeCell ref="AC70:AH70"/>
    <mergeCell ref="B111:AM111"/>
    <mergeCell ref="G120:S120"/>
    <mergeCell ref="T121:Z121"/>
    <mergeCell ref="B146:AM146"/>
    <mergeCell ref="G142:S142"/>
    <mergeCell ref="T142:Z142"/>
    <mergeCell ref="E143:M143"/>
    <mergeCell ref="B142:F142"/>
    <mergeCell ref="B141:F141"/>
    <mergeCell ref="AI139:AM139"/>
    <mergeCell ref="G139:S139"/>
    <mergeCell ref="B133:F133"/>
    <mergeCell ref="AA138:AD138"/>
    <mergeCell ref="B135:F135"/>
    <mergeCell ref="B138:F138"/>
    <mergeCell ref="AA126:AD126"/>
    <mergeCell ref="AE126:AH126"/>
    <mergeCell ref="AI126:AM126"/>
    <mergeCell ref="T126:Z126"/>
    <mergeCell ref="G126:S126"/>
    <mergeCell ref="G130:S130"/>
    <mergeCell ref="B185:AM185"/>
    <mergeCell ref="B177:AM177"/>
    <mergeCell ref="B179:AM179"/>
    <mergeCell ref="B187:AM187"/>
    <mergeCell ref="B165:AM165"/>
    <mergeCell ref="B155:AM155"/>
    <mergeCell ref="B178:AM178"/>
    <mergeCell ref="B171:AM171"/>
    <mergeCell ref="B181:AM181"/>
    <mergeCell ref="B168:AM168"/>
    <mergeCell ref="B173:AM173"/>
    <mergeCell ref="B172:AM172"/>
    <mergeCell ref="B176:AM176"/>
    <mergeCell ref="B163:AM163"/>
    <mergeCell ref="AL159:AM159"/>
    <mergeCell ref="B157:AM157"/>
    <mergeCell ref="T158:U158"/>
    <mergeCell ref="AD230:AI230"/>
    <mergeCell ref="AF211:AM211"/>
    <mergeCell ref="B211:N211"/>
    <mergeCell ref="AJ228:AM228"/>
    <mergeCell ref="AJ230:AM230"/>
    <mergeCell ref="B228:W228"/>
    <mergeCell ref="B226:AM226"/>
    <mergeCell ref="B216:AM216"/>
    <mergeCell ref="B220:AM220"/>
    <mergeCell ref="D214:AJ214"/>
    <mergeCell ref="X211:AE211"/>
    <mergeCell ref="B229:W229"/>
    <mergeCell ref="X210:AE210"/>
    <mergeCell ref="B209:AM209"/>
    <mergeCell ref="D217:AJ217"/>
    <mergeCell ref="X228:Z228"/>
    <mergeCell ref="AA228:AC228"/>
    <mergeCell ref="B227:AM227"/>
    <mergeCell ref="B217:C217"/>
    <mergeCell ref="B214:C214"/>
    <mergeCell ref="B218:C218"/>
    <mergeCell ref="B213:C213"/>
    <mergeCell ref="B219:C219"/>
    <mergeCell ref="B212:AM212"/>
    <mergeCell ref="B208:C208"/>
    <mergeCell ref="AA248:AC248"/>
    <mergeCell ref="B246:W246"/>
    <mergeCell ref="AD246:AI246"/>
    <mergeCell ref="X251:Z251"/>
    <mergeCell ref="AA251:AC251"/>
    <mergeCell ref="AD251:AI251"/>
    <mergeCell ref="B210:N210"/>
    <mergeCell ref="O211:W211"/>
    <mergeCell ref="O210:W210"/>
    <mergeCell ref="V239:W239"/>
    <mergeCell ref="X239:Z239"/>
    <mergeCell ref="AA239:AC239"/>
    <mergeCell ref="AD237:AI237"/>
    <mergeCell ref="B250:W250"/>
    <mergeCell ref="B251:W251"/>
    <mergeCell ref="AD248:AI248"/>
    <mergeCell ref="X248:Z248"/>
    <mergeCell ref="T241:U241"/>
    <mergeCell ref="T242:U242"/>
    <mergeCell ref="T243:U243"/>
    <mergeCell ref="B235:W235"/>
    <mergeCell ref="B231:W231"/>
    <mergeCell ref="B248:W248"/>
    <mergeCell ref="AF295:AM295"/>
    <mergeCell ref="AJ255:AM255"/>
    <mergeCell ref="X252:Z252"/>
    <mergeCell ref="AD254:AI254"/>
    <mergeCell ref="AJ254:AM254"/>
    <mergeCell ref="AB294:AE294"/>
    <mergeCell ref="O293:X293"/>
    <mergeCell ref="AF288:AM288"/>
    <mergeCell ref="AD253:AI253"/>
    <mergeCell ref="B276:AM276"/>
    <mergeCell ref="AL280:AM280"/>
    <mergeCell ref="B277:AM277"/>
    <mergeCell ref="B278:AM278"/>
    <mergeCell ref="AJ253:AM253"/>
    <mergeCell ref="O289:X289"/>
    <mergeCell ref="B254:W254"/>
    <mergeCell ref="B255:W255"/>
    <mergeCell ref="Y289:AA289"/>
    <mergeCell ref="AB289:AE289"/>
    <mergeCell ref="Y293:AA293"/>
    <mergeCell ref="X255:Z255"/>
    <mergeCell ref="AA255:AC255"/>
    <mergeCell ref="AD255:AI255"/>
    <mergeCell ref="B291:N291"/>
    <mergeCell ref="AA257:AC257"/>
    <mergeCell ref="AD257:AI257"/>
    <mergeCell ref="AJ257:AM257"/>
    <mergeCell ref="B257:W257"/>
    <mergeCell ref="B258:W258"/>
    <mergeCell ref="AA258:AC258"/>
    <mergeCell ref="AD258:AI258"/>
    <mergeCell ref="AA256:AC256"/>
    <mergeCell ref="B256:W256"/>
    <mergeCell ref="X258:Z258"/>
    <mergeCell ref="B252:W252"/>
    <mergeCell ref="B253:W253"/>
    <mergeCell ref="AA250:AC250"/>
    <mergeCell ref="AA252:AC252"/>
    <mergeCell ref="AD252:AI252"/>
    <mergeCell ref="X249:Z249"/>
    <mergeCell ref="AA249:AC249"/>
    <mergeCell ref="AD249:AI249"/>
    <mergeCell ref="X253:Z253"/>
    <mergeCell ref="B249:W249"/>
    <mergeCell ref="AD245:AI245"/>
    <mergeCell ref="X246:Z246"/>
    <mergeCell ref="T245:U245"/>
    <mergeCell ref="AA246:AC246"/>
    <mergeCell ref="V244:W244"/>
    <mergeCell ref="X244:Z244"/>
    <mergeCell ref="B247:W247"/>
    <mergeCell ref="AA244:AC244"/>
    <mergeCell ref="AD244:AI244"/>
    <mergeCell ref="X245:Z245"/>
    <mergeCell ref="B244:S244"/>
    <mergeCell ref="B245:S245"/>
    <mergeCell ref="B196:E196"/>
    <mergeCell ref="B197:E197"/>
    <mergeCell ref="AA197:AD197"/>
    <mergeCell ref="AF210:AM210"/>
    <mergeCell ref="B202:E202"/>
    <mergeCell ref="AA202:AD202"/>
    <mergeCell ref="AE202:AJ202"/>
    <mergeCell ref="B206:C206"/>
    <mergeCell ref="AA245:AC245"/>
    <mergeCell ref="B233:W233"/>
    <mergeCell ref="B234:W234"/>
    <mergeCell ref="V237:W237"/>
    <mergeCell ref="X237:Z237"/>
    <mergeCell ref="AA237:AC237"/>
    <mergeCell ref="T240:U240"/>
    <mergeCell ref="AJ233:AM233"/>
    <mergeCell ref="AD234:AI234"/>
    <mergeCell ref="AJ234:AM234"/>
    <mergeCell ref="AJ240:AM240"/>
    <mergeCell ref="AD236:AI236"/>
    <mergeCell ref="B232:W232"/>
    <mergeCell ref="X229:Z229"/>
    <mergeCell ref="AA229:AC229"/>
    <mergeCell ref="X231:Z231"/>
    <mergeCell ref="AK196:AM196"/>
    <mergeCell ref="AA196:AD196"/>
    <mergeCell ref="AE196:AJ196"/>
    <mergeCell ref="AA232:AC232"/>
    <mergeCell ref="X234:Z234"/>
    <mergeCell ref="AD239:AI239"/>
    <mergeCell ref="AJ231:AM231"/>
    <mergeCell ref="AD238:AI238"/>
    <mergeCell ref="AJ238:AM238"/>
    <mergeCell ref="AJ236:AM236"/>
    <mergeCell ref="AA231:AC231"/>
    <mergeCell ref="AD231:AI231"/>
    <mergeCell ref="X236:Z236"/>
    <mergeCell ref="AA236:AC236"/>
    <mergeCell ref="AD229:AI229"/>
    <mergeCell ref="AA234:AC234"/>
    <mergeCell ref="AK213:AM213"/>
    <mergeCell ref="AK214:AM214"/>
    <mergeCell ref="AK215:AM215"/>
    <mergeCell ref="D213:AJ213"/>
    <mergeCell ref="X238:Z238"/>
    <mergeCell ref="AA238:AC238"/>
    <mergeCell ref="V238:W238"/>
    <mergeCell ref="AK219:AM219"/>
    <mergeCell ref="B147:AM147"/>
    <mergeCell ref="AA195:AD195"/>
    <mergeCell ref="AE195:AJ195"/>
    <mergeCell ref="AK195:AM195"/>
    <mergeCell ref="W191:X191"/>
    <mergeCell ref="Y191:Z191"/>
    <mergeCell ref="F191:V191"/>
    <mergeCell ref="AC191:AD191"/>
    <mergeCell ref="AE191:AJ191"/>
    <mergeCell ref="AK191:AM191"/>
    <mergeCell ref="B195:E195"/>
    <mergeCell ref="B162:AM162"/>
    <mergeCell ref="B164:AM164"/>
    <mergeCell ref="B161:AM161"/>
    <mergeCell ref="B175:AM175"/>
    <mergeCell ref="B149:V149"/>
    <mergeCell ref="B151:AM151"/>
    <mergeCell ref="AE192:AJ192"/>
    <mergeCell ref="AK192:AM192"/>
    <mergeCell ref="B193:E193"/>
    <mergeCell ref="F194:V194"/>
    <mergeCell ref="F195:V195"/>
    <mergeCell ref="B194:E194"/>
    <mergeCell ref="AA194:AD194"/>
    <mergeCell ref="AE194:AJ194"/>
    <mergeCell ref="AK194:AM194"/>
    <mergeCell ref="F160:I160"/>
    <mergeCell ref="T159:U159"/>
    <mergeCell ref="B160:E160"/>
    <mergeCell ref="B189:AM189"/>
    <mergeCell ref="B190:AM190"/>
    <mergeCell ref="AA193:AD193"/>
    <mergeCell ref="AE193:AJ193"/>
    <mergeCell ref="B180:AM180"/>
    <mergeCell ref="B182:AM182"/>
    <mergeCell ref="B184:AM184"/>
    <mergeCell ref="B166:AM166"/>
    <mergeCell ref="B167:AM167"/>
    <mergeCell ref="AK193:AM193"/>
    <mergeCell ref="B191:E191"/>
    <mergeCell ref="AA191:AB191"/>
    <mergeCell ref="J160:AM160"/>
    <mergeCell ref="M159:N159"/>
    <mergeCell ref="W192:Z192"/>
    <mergeCell ref="F192:V192"/>
    <mergeCell ref="F193:V193"/>
    <mergeCell ref="B188:AM188"/>
    <mergeCell ref="B183:AM183"/>
    <mergeCell ref="AJ252:AM252"/>
    <mergeCell ref="H287:AM287"/>
    <mergeCell ref="B215:C215"/>
    <mergeCell ref="D215:AJ215"/>
    <mergeCell ref="D219:AJ219"/>
    <mergeCell ref="D218:AJ218"/>
    <mergeCell ref="AJ251:AM251"/>
    <mergeCell ref="AD232:AI232"/>
    <mergeCell ref="B271:C271"/>
    <mergeCell ref="D271:AJ271"/>
    <mergeCell ref="AK271:AM271"/>
    <mergeCell ref="B261:AM261"/>
    <mergeCell ref="B262:AM262"/>
    <mergeCell ref="B263:C263"/>
    <mergeCell ref="B264:C264"/>
    <mergeCell ref="B265:C265"/>
    <mergeCell ref="D263:AJ263"/>
    <mergeCell ref="D264:AJ264"/>
    <mergeCell ref="D265:AJ265"/>
    <mergeCell ref="AK263:AM263"/>
    <mergeCell ref="AJ247:AM247"/>
    <mergeCell ref="AJ246:AM246"/>
    <mergeCell ref="AK264:AM264"/>
    <mergeCell ref="V245:W245"/>
    <mergeCell ref="AK265:AM265"/>
    <mergeCell ref="X247:Z247"/>
    <mergeCell ref="AJ229:AM229"/>
    <mergeCell ref="AJ250:AM250"/>
    <mergeCell ref="AD250:AI250"/>
    <mergeCell ref="AK218:AM218"/>
    <mergeCell ref="AJ248:AM248"/>
    <mergeCell ref="X241:Z241"/>
    <mergeCell ref="AJ232:AM232"/>
    <mergeCell ref="X235:AM235"/>
    <mergeCell ref="AA233:AI233"/>
    <mergeCell ref="AJ249:AM249"/>
    <mergeCell ref="X232:Z232"/>
    <mergeCell ref="X233:Z233"/>
    <mergeCell ref="AJ244:AM244"/>
    <mergeCell ref="AJ245:AM245"/>
    <mergeCell ref="X254:Z254"/>
    <mergeCell ref="B260:AM260"/>
    <mergeCell ref="X256:Z256"/>
    <mergeCell ref="X259:Z259"/>
    <mergeCell ref="AJ259:AM259"/>
    <mergeCell ref="AJ256:AM256"/>
    <mergeCell ref="X257:Z257"/>
    <mergeCell ref="B240:S240"/>
    <mergeCell ref="B241:S241"/>
    <mergeCell ref="B242:S242"/>
    <mergeCell ref="B243:S243"/>
    <mergeCell ref="T237:U237"/>
    <mergeCell ref="T238:U238"/>
    <mergeCell ref="T239:U239"/>
    <mergeCell ref="AJ237:AM237"/>
    <mergeCell ref="V236:W236"/>
    <mergeCell ref="AA241:AC241"/>
    <mergeCell ref="AD241:AI241"/>
    <mergeCell ref="AD240:AI240"/>
    <mergeCell ref="V241:W241"/>
    <mergeCell ref="AJ239:AM239"/>
    <mergeCell ref="T236:U236"/>
    <mergeCell ref="AF296:AM296"/>
    <mergeCell ref="O288:X288"/>
    <mergeCell ref="AB290:AE290"/>
    <mergeCell ref="AF290:AM290"/>
    <mergeCell ref="AF291:AM291"/>
    <mergeCell ref="Y294:AA294"/>
    <mergeCell ref="AA254:AC254"/>
    <mergeCell ref="B259:W259"/>
    <mergeCell ref="AD256:AI256"/>
    <mergeCell ref="AJ258:AM258"/>
    <mergeCell ref="B279:AM279"/>
    <mergeCell ref="B275:AM275"/>
    <mergeCell ref="AF280:AK280"/>
    <mergeCell ref="AF289:AM289"/>
    <mergeCell ref="B281:AM281"/>
    <mergeCell ref="B282:AM282"/>
    <mergeCell ref="B284:AM284"/>
    <mergeCell ref="B283:AM283"/>
    <mergeCell ref="B287:G287"/>
    <mergeCell ref="B289:N289"/>
    <mergeCell ref="B285:AM285"/>
    <mergeCell ref="B293:N293"/>
    <mergeCell ref="B286:AM286"/>
    <mergeCell ref="B295:N295"/>
    <mergeCell ref="AB293:AE293"/>
    <mergeCell ref="Y288:AA288"/>
    <mergeCell ref="AB288:AE288"/>
    <mergeCell ref="AF293:AM293"/>
    <mergeCell ref="B292:N292"/>
    <mergeCell ref="O292:X292"/>
    <mergeCell ref="Y292:AA292"/>
    <mergeCell ref="AB292:AE292"/>
    <mergeCell ref="AF292:AM292"/>
    <mergeCell ref="B290:N290"/>
    <mergeCell ref="Y290:AA290"/>
    <mergeCell ref="O291:X291"/>
    <mergeCell ref="Y291:AA291"/>
    <mergeCell ref="AB291:AE291"/>
    <mergeCell ref="O290:X290"/>
    <mergeCell ref="G131:S131"/>
    <mergeCell ref="G135:S135"/>
    <mergeCell ref="T135:Z135"/>
    <mergeCell ref="T134:Z134"/>
    <mergeCell ref="B128:AM128"/>
    <mergeCell ref="T130:Z130"/>
    <mergeCell ref="AE132:AH132"/>
    <mergeCell ref="AI132:AM132"/>
    <mergeCell ref="G133:S133"/>
    <mergeCell ref="T133:Z133"/>
    <mergeCell ref="AA133:AD133"/>
    <mergeCell ref="T131:Z131"/>
    <mergeCell ref="B131:F131"/>
    <mergeCell ref="G132:S132"/>
    <mergeCell ref="B130:F130"/>
    <mergeCell ref="B129:F129"/>
    <mergeCell ref="G129:S129"/>
    <mergeCell ref="B132:F132"/>
    <mergeCell ref="AE137:AH137"/>
    <mergeCell ref="AE138:AH138"/>
    <mergeCell ref="AI138:AM138"/>
    <mergeCell ref="AI137:AM137"/>
    <mergeCell ref="B137:F137"/>
    <mergeCell ref="G138:S138"/>
    <mergeCell ref="AE134:AH134"/>
    <mergeCell ref="AI134:AM134"/>
    <mergeCell ref="G134:S134"/>
    <mergeCell ref="AE136:AH136"/>
    <mergeCell ref="AI136:AM136"/>
    <mergeCell ref="B136:F136"/>
    <mergeCell ref="AI135:AM135"/>
    <mergeCell ref="G136:S136"/>
    <mergeCell ref="T136:Z136"/>
    <mergeCell ref="B134:F134"/>
    <mergeCell ref="AA134:AD134"/>
    <mergeCell ref="AA135:AD135"/>
    <mergeCell ref="AA136:AD136"/>
    <mergeCell ref="AE135:AH135"/>
    <mergeCell ref="AE122:AH122"/>
    <mergeCell ref="AE129:AH129"/>
    <mergeCell ref="AI124:AM124"/>
    <mergeCell ref="T123:Z123"/>
    <mergeCell ref="T124:Z124"/>
    <mergeCell ref="T125:Z125"/>
    <mergeCell ref="AE123:AH123"/>
    <mergeCell ref="AE133:AH133"/>
    <mergeCell ref="AI133:AM133"/>
    <mergeCell ref="T132:Z132"/>
    <mergeCell ref="AA132:AD132"/>
    <mergeCell ref="AA130:AD130"/>
    <mergeCell ref="AE131:AH131"/>
    <mergeCell ref="AI131:AM131"/>
    <mergeCell ref="T129:Z129"/>
    <mergeCell ref="AA129:AD129"/>
    <mergeCell ref="AI129:AM129"/>
    <mergeCell ref="AI130:AM130"/>
    <mergeCell ref="AA131:AD131"/>
    <mergeCell ref="AE130:AH130"/>
    <mergeCell ref="AA124:AD124"/>
    <mergeCell ref="AE124:AH124"/>
    <mergeCell ref="B125:F125"/>
    <mergeCell ref="AE125:AH125"/>
    <mergeCell ref="AI125:AM125"/>
    <mergeCell ref="E127:M127"/>
    <mergeCell ref="N127:AE127"/>
    <mergeCell ref="B126:F126"/>
    <mergeCell ref="AA122:AD122"/>
    <mergeCell ref="B110:AK110"/>
    <mergeCell ref="B117:AM117"/>
    <mergeCell ref="G121:S121"/>
    <mergeCell ref="B118:AM118"/>
    <mergeCell ref="AI123:AM123"/>
    <mergeCell ref="B124:F124"/>
    <mergeCell ref="AA121:AD121"/>
    <mergeCell ref="AE121:AH121"/>
    <mergeCell ref="AI121:AM121"/>
    <mergeCell ref="B120:F120"/>
    <mergeCell ref="AA120:AD120"/>
    <mergeCell ref="AE120:AH120"/>
    <mergeCell ref="AI120:AM120"/>
    <mergeCell ref="T120:Z120"/>
    <mergeCell ref="B121:F121"/>
    <mergeCell ref="G124:S124"/>
    <mergeCell ref="AA123:AD123"/>
    <mergeCell ref="B112:AK112"/>
    <mergeCell ref="AL106:AM106"/>
    <mergeCell ref="AL108:AM108"/>
    <mergeCell ref="AL110:AM110"/>
    <mergeCell ref="AL112:AM112"/>
    <mergeCell ref="B109:AM109"/>
    <mergeCell ref="B107:AM107"/>
    <mergeCell ref="B106:AK106"/>
    <mergeCell ref="B108:AK108"/>
    <mergeCell ref="B4:AM4"/>
    <mergeCell ref="U72:V72"/>
    <mergeCell ref="B75:J75"/>
    <mergeCell ref="B74:AM74"/>
    <mergeCell ref="B64:AM64"/>
    <mergeCell ref="B78:J78"/>
    <mergeCell ref="K75:V75"/>
    <mergeCell ref="K76:V76"/>
    <mergeCell ref="B40:AM40"/>
    <mergeCell ref="B42:AM42"/>
    <mergeCell ref="K77:V77"/>
    <mergeCell ref="B77:J77"/>
    <mergeCell ref="B60:AM60"/>
    <mergeCell ref="B65:F65"/>
    <mergeCell ref="G65:AB65"/>
    <mergeCell ref="H66:AB66"/>
    <mergeCell ref="AG55:AH55"/>
    <mergeCell ref="AG56:AH56"/>
    <mergeCell ref="AG57:AH57"/>
    <mergeCell ref="B66:G66"/>
    <mergeCell ref="B41:AM41"/>
    <mergeCell ref="B39:AM39"/>
    <mergeCell ref="B59:AM59"/>
    <mergeCell ref="AK10:AL10"/>
    <mergeCell ref="B302:AM302"/>
    <mergeCell ref="W195:Z195"/>
    <mergeCell ref="W196:Z196"/>
    <mergeCell ref="W197:Z197"/>
    <mergeCell ref="W198:Z198"/>
    <mergeCell ref="W199:Z199"/>
    <mergeCell ref="W200:Z200"/>
    <mergeCell ref="W201:Z201"/>
    <mergeCell ref="W202:Z202"/>
    <mergeCell ref="F196:V196"/>
    <mergeCell ref="F197:V197"/>
    <mergeCell ref="D273:AJ273"/>
    <mergeCell ref="AK273:AM273"/>
    <mergeCell ref="B272:C272"/>
    <mergeCell ref="D272:AJ272"/>
    <mergeCell ref="AK272:AM272"/>
    <mergeCell ref="O295:X295"/>
    <mergeCell ref="O294:X294"/>
    <mergeCell ref="AF294:AM294"/>
    <mergeCell ref="B288:N288"/>
    <mergeCell ref="Y296:AA296"/>
    <mergeCell ref="AB296:AE296"/>
    <mergeCell ref="Y295:AA295"/>
    <mergeCell ref="AB295:AE295"/>
    <mergeCell ref="B305:AM305"/>
    <mergeCell ref="B306:M306"/>
    <mergeCell ref="N306:Z306"/>
    <mergeCell ref="AA306:AM306"/>
    <mergeCell ref="B204:AM204"/>
    <mergeCell ref="AK206:AM206"/>
    <mergeCell ref="AK207:AM207"/>
    <mergeCell ref="AK208:AM208"/>
    <mergeCell ref="B205:AM205"/>
    <mergeCell ref="AK217:AM217"/>
    <mergeCell ref="V242:W242"/>
    <mergeCell ref="X242:Z242"/>
    <mergeCell ref="AA242:AC242"/>
    <mergeCell ref="AD242:AI242"/>
    <mergeCell ref="AJ242:AM242"/>
    <mergeCell ref="V243:W243"/>
    <mergeCell ref="X243:Z243"/>
    <mergeCell ref="AA243:AC243"/>
    <mergeCell ref="AD243:AI243"/>
    <mergeCell ref="AJ243:AM243"/>
    <mergeCell ref="B296:N296"/>
    <mergeCell ref="B273:C273"/>
    <mergeCell ref="O296:X296"/>
    <mergeCell ref="B294:N294"/>
    <mergeCell ref="B310:AM310"/>
    <mergeCell ref="B311:AM311"/>
    <mergeCell ref="B312:AM312"/>
    <mergeCell ref="B313:AM313"/>
    <mergeCell ref="B314:AM314"/>
    <mergeCell ref="B299:AM299"/>
    <mergeCell ref="B225:AM225"/>
    <mergeCell ref="B169:AM169"/>
    <mergeCell ref="B170:AM170"/>
    <mergeCell ref="B174:AM174"/>
    <mergeCell ref="B307:M307"/>
    <mergeCell ref="N307:Z307"/>
    <mergeCell ref="AA307:AM307"/>
    <mergeCell ref="B308:M308"/>
    <mergeCell ref="N308:Z308"/>
    <mergeCell ref="AA308:AM308"/>
    <mergeCell ref="B309:M309"/>
    <mergeCell ref="N309:Z309"/>
    <mergeCell ref="AA309:AM309"/>
    <mergeCell ref="B298:AM298"/>
    <mergeCell ref="B300:AM300"/>
    <mergeCell ref="B301:AM301"/>
    <mergeCell ref="B303:AM303"/>
    <mergeCell ref="B304:AM304"/>
    <mergeCell ref="W8:AH9"/>
    <mergeCell ref="AI8:AJ9"/>
    <mergeCell ref="AK8:AL9"/>
    <mergeCell ref="AL98:AM98"/>
    <mergeCell ref="AL100:AM100"/>
    <mergeCell ref="B90:AM90"/>
    <mergeCell ref="AL91:AM91"/>
    <mergeCell ref="B91:AK91"/>
    <mergeCell ref="B94:AK94"/>
    <mergeCell ref="B86:AM86"/>
    <mergeCell ref="B47:AM47"/>
    <mergeCell ref="B88:AM88"/>
    <mergeCell ref="AL81:AM81"/>
    <mergeCell ref="AL96:AM96"/>
    <mergeCell ref="B92:AM92"/>
    <mergeCell ref="B95:AM95"/>
    <mergeCell ref="B96:AK96"/>
    <mergeCell ref="B98:AK98"/>
    <mergeCell ref="B100:AK100"/>
    <mergeCell ref="B48:AM48"/>
    <mergeCell ref="B52:AM52"/>
    <mergeCell ref="B53:AB53"/>
    <mergeCell ref="B49:AM49"/>
    <mergeCell ref="B51:AM51"/>
    <mergeCell ref="E7:U7"/>
    <mergeCell ref="E6:U6"/>
    <mergeCell ref="C14:D14"/>
    <mergeCell ref="C15:D15"/>
    <mergeCell ref="C16:D16"/>
    <mergeCell ref="C17:D17"/>
    <mergeCell ref="E8:U8"/>
    <mergeCell ref="E9:U9"/>
    <mergeCell ref="E13:U13"/>
    <mergeCell ref="E14:U14"/>
    <mergeCell ref="E15:U15"/>
    <mergeCell ref="E16:U16"/>
    <mergeCell ref="E17:U17"/>
    <mergeCell ref="C13:D13"/>
    <mergeCell ref="E23:U23"/>
    <mergeCell ref="E24:U24"/>
    <mergeCell ref="E25:U25"/>
    <mergeCell ref="AK19:AL21"/>
    <mergeCell ref="AF127:AK127"/>
    <mergeCell ref="B122:F122"/>
    <mergeCell ref="AO41:AP41"/>
    <mergeCell ref="B34:AM34"/>
    <mergeCell ref="B35:AM35"/>
    <mergeCell ref="E26:U26"/>
    <mergeCell ref="E27:U27"/>
    <mergeCell ref="B103:AM103"/>
    <mergeCell ref="B50:AM50"/>
    <mergeCell ref="B102:AK102"/>
    <mergeCell ref="B119:AM119"/>
    <mergeCell ref="AI122:AM122"/>
    <mergeCell ref="B123:F123"/>
    <mergeCell ref="T122:Z122"/>
    <mergeCell ref="G122:S122"/>
    <mergeCell ref="G123:S123"/>
    <mergeCell ref="B97:AM97"/>
    <mergeCell ref="B113:AM113"/>
    <mergeCell ref="B115:AM115"/>
    <mergeCell ref="B114:AK114"/>
    <mergeCell ref="B83:AK83"/>
    <mergeCell ref="B85:AK85"/>
    <mergeCell ref="B87:AK87"/>
    <mergeCell ref="B89:AK89"/>
    <mergeCell ref="AI10:AJ10"/>
    <mergeCell ref="AT18:AT19"/>
    <mergeCell ref="AT20:AT21"/>
    <mergeCell ref="B29:AM29"/>
    <mergeCell ref="B30:AM30"/>
    <mergeCell ref="AT22:AT27"/>
    <mergeCell ref="E20:U20"/>
    <mergeCell ref="E21:U21"/>
    <mergeCell ref="C18:D18"/>
    <mergeCell ref="C19:D19"/>
    <mergeCell ref="C20:D20"/>
    <mergeCell ref="C21:D21"/>
    <mergeCell ref="E18:U18"/>
    <mergeCell ref="E19:U19"/>
    <mergeCell ref="C22:D22"/>
    <mergeCell ref="C23:D23"/>
    <mergeCell ref="C24:D24"/>
    <mergeCell ref="C25:D25"/>
    <mergeCell ref="C26:D26"/>
    <mergeCell ref="C27:D27"/>
    <mergeCell ref="AL85:AM85"/>
    <mergeCell ref="AL87:AM87"/>
    <mergeCell ref="AI22:AJ24"/>
    <mergeCell ref="AK22:AL24"/>
    <mergeCell ref="B71:V71"/>
    <mergeCell ref="B104:AK104"/>
    <mergeCell ref="E5:U5"/>
    <mergeCell ref="C5:D5"/>
    <mergeCell ref="C6:D6"/>
    <mergeCell ref="C7:D7"/>
    <mergeCell ref="C8:D8"/>
    <mergeCell ref="C9:D9"/>
    <mergeCell ref="C10:D10"/>
    <mergeCell ref="C11:D11"/>
    <mergeCell ref="C12:D12"/>
    <mergeCell ref="E12:U12"/>
    <mergeCell ref="E11:U11"/>
    <mergeCell ref="E10:U10"/>
    <mergeCell ref="AG54:AH54"/>
    <mergeCell ref="B54:X54"/>
    <mergeCell ref="B99:AM99"/>
    <mergeCell ref="AL94:AM94"/>
    <mergeCell ref="AL102:AM102"/>
    <mergeCell ref="AL104:AM104"/>
    <mergeCell ref="AI16:AJ18"/>
    <mergeCell ref="AK16:AL18"/>
    <mergeCell ref="AO265:AQ265"/>
    <mergeCell ref="AO268:AQ268"/>
    <mergeCell ref="AO269:AQ269"/>
    <mergeCell ref="AL114:AM114"/>
    <mergeCell ref="E22:U22"/>
    <mergeCell ref="B36:AM36"/>
    <mergeCell ref="B37:AM37"/>
    <mergeCell ref="B43:AB43"/>
    <mergeCell ref="B45:AM45"/>
    <mergeCell ref="B46:AM46"/>
    <mergeCell ref="B32:N32"/>
    <mergeCell ref="B33:K33"/>
    <mergeCell ref="L33:M33"/>
    <mergeCell ref="B101:AM101"/>
    <mergeCell ref="B44:AM44"/>
    <mergeCell ref="B38:AM38"/>
    <mergeCell ref="B93:AM93"/>
    <mergeCell ref="AG58:AH58"/>
    <mergeCell ref="B76:J76"/>
    <mergeCell ref="B82:AM82"/>
    <mergeCell ref="B84:AM84"/>
    <mergeCell ref="AL83:AM83"/>
    <mergeCell ref="AO270:AQ270"/>
    <mergeCell ref="B266:C266"/>
    <mergeCell ref="D266:AJ266"/>
    <mergeCell ref="AK266:AM266"/>
    <mergeCell ref="B267:C267"/>
    <mergeCell ref="D267:AJ267"/>
    <mergeCell ref="AK267:AM267"/>
    <mergeCell ref="AO266:AQ266"/>
    <mergeCell ref="AO267:AQ267"/>
    <mergeCell ref="B269:C269"/>
    <mergeCell ref="D269:AJ269"/>
    <mergeCell ref="AK269:AM269"/>
    <mergeCell ref="B270:C270"/>
    <mergeCell ref="D270:AJ270"/>
    <mergeCell ref="AK270:AM270"/>
    <mergeCell ref="B268:AM268"/>
    <mergeCell ref="B2:AM2"/>
    <mergeCell ref="B236:S236"/>
    <mergeCell ref="B237:S237"/>
    <mergeCell ref="B238:S238"/>
    <mergeCell ref="B239:S239"/>
    <mergeCell ref="B105:AM105"/>
    <mergeCell ref="F198:V198"/>
    <mergeCell ref="F199:V199"/>
    <mergeCell ref="F200:V200"/>
    <mergeCell ref="F201:V201"/>
    <mergeCell ref="F202:V202"/>
    <mergeCell ref="W193:Z193"/>
    <mergeCell ref="W194:Z194"/>
    <mergeCell ref="W10:AH10"/>
    <mergeCell ref="W13:AH15"/>
    <mergeCell ref="W16:AH18"/>
    <mergeCell ref="W19:AH21"/>
    <mergeCell ref="W22:AH24"/>
    <mergeCell ref="W11:AH12"/>
    <mergeCell ref="AI19:AJ21"/>
    <mergeCell ref="AI11:AJ12"/>
    <mergeCell ref="AK11:AL12"/>
    <mergeCell ref="AI13:AJ15"/>
    <mergeCell ref="AK13:AL15"/>
  </mergeCells>
  <dataValidations count="16">
    <dataValidation type="list" allowBlank="1" sqref="H66:AB66" xr:uid="{00000000-0002-0000-1800-000000000000}">
      <formula1>"Owner/Operator,Contract,Memorandum of Understanding,Letter of Commitment"</formula1>
    </dataValidation>
    <dataValidation type="list" allowBlank="1" sqref="AE193:AJ202" xr:uid="{00000000-0002-0000-1800-000001000000}">
      <formula1>"Lead Service Provider,Sponsor,Project Partner"</formula1>
    </dataValidation>
    <dataValidation type="list" allowBlank="1" sqref="AK193:AM202" xr:uid="{00000000-0002-0000-1800-000002000000}">
      <formula1>"On-Site,Off-Site"</formula1>
    </dataValidation>
    <dataValidation type="list" allowBlank="1" sqref="AA229:AA232 AA248:AA258 AA236:AA246" xr:uid="{00000000-0002-0000-1800-000003000000}">
      <formula1>"Cash,In-kind"</formula1>
    </dataValidation>
    <dataValidation type="list" allowBlank="1" sqref="AD229:AD232 AD248:AD258 AD236:AD246" xr:uid="{00000000-0002-0000-1800-000004000000}">
      <formula1>"Committed,Intend to Fund or Provide,Not Committed"</formula1>
    </dataValidation>
    <dataValidation type="list" allowBlank="1" sqref="AA122:AD126 AA131:AD142" xr:uid="{00000000-0002-0000-1800-000005000000}">
      <formula1>"Sponsor,Division of Sponsor's Org,Project Partner"</formula1>
    </dataValidation>
    <dataValidation type="list" allowBlank="1" sqref="AE122:AH126 AE131:AH142" xr:uid="{00000000-0002-0000-1800-000006000000}">
      <formula1>"Contract,Memorandum of Understanding,Commitment Letter"</formula1>
    </dataValidation>
    <dataValidation type="list" allowBlank="1" sqref="B141:F142" xr:uid="{00000000-0002-0000-1800-000007000000}">
      <formula1>$AN$2:$AN$13</formula1>
    </dataValidation>
    <dataValidation type="list" allowBlank="1" showInputMessage="1" showErrorMessage="1" sqref="AL280:AM280 AL203:AM203 AL127:AM127 AL143:AM143 AL73:AM73" xr:uid="{00000000-0002-0000-1800-000008000000}">
      <formula1>"Yes,No,N/A"</formula1>
    </dataValidation>
    <dataValidation type="list" allowBlank="1" showInputMessage="1" showErrorMessage="1" sqref="L33 C6 C8:C9 C11:C13 C15:C16 T158:T159 AG54:AH58 AL81:AM81 AL83:AM83 AL85:AM85 AL87:AM87 AL89:AM89 AL91:AM91 AL94:AM94 AL96:AM96 AL98:AM98 AL100:AM100 AL102:AM102 AL104:AM104 AL106:AM106 AL108:AM108 AL110:AM110 AL112:AM112 AL114:AM114 M158:N159 C25:C27 C18:C19 C21:C23 AL158:AL159" xr:uid="{00000000-0002-0000-1800-000009000000}">
      <formula1>"Yes,No"</formula1>
    </dataValidation>
    <dataValidation type="list" allowBlank="1" sqref="B193:E202" xr:uid="{00000000-0002-0000-1800-00000A000000}">
      <formula1>"Case Manager,Peer Support,HMIS Admin.,Resident Services Coordinator"</formula1>
    </dataValidation>
    <dataValidation type="list" allowBlank="1" showInputMessage="1" showErrorMessage="1" sqref="W16 W22:AH24 W19 W13" xr:uid="{00000000-0002-0000-1800-00000B000000}">
      <formula1>$AS$15:$AS$25</formula1>
    </dataValidation>
    <dataValidation type="list" allowBlank="1" showInputMessage="1" showErrorMessage="1" sqref="W71:Z71" xr:uid="{17F907AA-5CD4-4B5C-A63D-93EFFB01AE19}">
      <formula1>$AO$71:$AO$74</formula1>
    </dataValidation>
    <dataValidation type="list" allowBlank="1" showInputMessage="1" showErrorMessage="1" sqref="AC70" xr:uid="{BE8ABF8F-2B19-4271-83CA-9E6668142430}">
      <formula1>$AO$75:$AO$78</formula1>
    </dataValidation>
    <dataValidation type="list" allowBlank="1" showInputMessage="1" showErrorMessage="1" sqref="Q69:U69" xr:uid="{7F890832-562B-408C-BB9C-44739D57D7EE}">
      <formula1>$AO$64:$AO$67</formula1>
    </dataValidation>
    <dataValidation type="list" allowBlank="1" showInputMessage="1" showErrorMessage="1" sqref="R68:V68" xr:uid="{3DF7FD47-33EC-4663-8D14-3A38BAC9C358}">
      <formula1>$AO$61:$AO$64</formula1>
    </dataValidation>
  </dataValidations>
  <hyperlinks>
    <hyperlink ref="B37:AB37" r:id="rId1" display="See Between the Lines, A Question and Answer Guide on Legal Issues in Supportive Housing Chapter 4." xr:uid="{00000000-0004-0000-1800-000000000000}"/>
  </hyperlinks>
  <printOptions horizontalCentered="1"/>
  <pageMargins left="0" right="0.25" top="0" bottom="0" header="0.25" footer="0.25"/>
  <pageSetup scale="63" orientation="portrait" r:id="rId2"/>
  <headerFooter>
    <oddFooter>&amp;L&amp;F&amp;C&amp;P of &amp;N&amp;R &amp;A</oddFooter>
  </headerFooter>
  <rowBreaks count="9" manualBreakCount="9">
    <brk id="47" min="1" max="38" man="1"/>
    <brk id="92" min="1" max="38" man="1"/>
    <brk id="116" max="16383" man="1"/>
    <brk id="133" max="16383" man="1"/>
    <brk id="143" max="16383" man="1"/>
    <brk id="177" max="16383" man="1"/>
    <brk id="203" min="1" max="38" man="1"/>
    <brk id="260" min="1" max="38" man="1"/>
    <brk id="297" min="1" max="38" man="1"/>
  </rowBreaks>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B1:AZ62"/>
  <sheetViews>
    <sheetView showGridLines="0" zoomScaleNormal="100" zoomScaleSheetLayoutView="100" workbookViewId="0">
      <selection activeCell="AS4" sqref="AS4"/>
    </sheetView>
  </sheetViews>
  <sheetFormatPr defaultColWidth="9.109375" defaultRowHeight="13.8"/>
  <cols>
    <col min="1" max="9" width="4.109375" style="60" customWidth="1"/>
    <col min="10" max="10" width="4.6640625" style="60" customWidth="1"/>
    <col min="11" max="39" width="4.109375" style="60" customWidth="1"/>
    <col min="40" max="40" width="9.109375" style="60"/>
    <col min="41" max="43" width="9.109375" style="60" customWidth="1"/>
    <col min="44" max="44" width="10.6640625" style="60" customWidth="1"/>
    <col min="45" max="46" width="14.6640625" style="60" customWidth="1"/>
    <col min="47" max="47" width="15.6640625" style="60" customWidth="1"/>
    <col min="48" max="48" width="13.6640625" style="60" customWidth="1"/>
    <col min="49" max="49" width="15.6640625" style="60" customWidth="1"/>
    <col min="50" max="50" width="14.6640625" style="60" customWidth="1"/>
    <col min="51" max="51" width="13.6640625" style="60" customWidth="1"/>
    <col min="52" max="52" width="12.6640625" style="60" customWidth="1"/>
    <col min="53" max="54" width="9.109375" style="60" customWidth="1"/>
    <col min="55" max="16384" width="9.109375" style="60"/>
  </cols>
  <sheetData>
    <row r="1" spans="2:52" ht="14.4" thickBot="1"/>
    <row r="2" spans="2:52" ht="18" customHeight="1">
      <c r="B2" s="3735" t="s">
        <v>3933</v>
      </c>
      <c r="C2" s="3735"/>
      <c r="D2" s="3735"/>
      <c r="E2" s="3735"/>
      <c r="F2" s="3735"/>
      <c r="G2" s="3735"/>
      <c r="H2" s="3735"/>
      <c r="I2" s="3735"/>
      <c r="J2" s="3735"/>
      <c r="K2" s="3735"/>
      <c r="L2" s="3735"/>
      <c r="M2" s="3735"/>
      <c r="N2" s="3735"/>
      <c r="O2" s="3735"/>
      <c r="P2" s="3735"/>
      <c r="Q2" s="3735"/>
      <c r="R2" s="3735"/>
      <c r="S2" s="3735"/>
      <c r="T2" s="3735"/>
      <c r="U2" s="3735"/>
      <c r="V2" s="3735"/>
      <c r="W2" s="3735"/>
      <c r="X2" s="3735"/>
      <c r="Y2" s="3735"/>
      <c r="Z2" s="3735"/>
      <c r="AA2" s="3735"/>
      <c r="AB2" s="3735"/>
      <c r="AC2" s="3735"/>
      <c r="AD2" s="3735"/>
      <c r="AE2" s="3735"/>
      <c r="AF2" s="3735"/>
      <c r="AG2" s="3735"/>
      <c r="AH2" s="3735"/>
      <c r="AI2" s="3735"/>
      <c r="AJ2" s="3735"/>
      <c r="AK2" s="3735"/>
      <c r="AL2" s="3735"/>
      <c r="AM2" s="3735"/>
      <c r="AR2" s="157" t="s">
        <v>3934</v>
      </c>
      <c r="AS2" s="158" t="s">
        <v>3935</v>
      </c>
      <c r="AT2" s="158" t="s">
        <v>3936</v>
      </c>
      <c r="AU2" s="158" t="s">
        <v>3305</v>
      </c>
      <c r="AV2" s="159" t="s">
        <v>1042</v>
      </c>
      <c r="AW2" s="936" t="s">
        <v>3935</v>
      </c>
      <c r="AX2" s="937" t="s">
        <v>3936</v>
      </c>
      <c r="AY2" s="937" t="s">
        <v>3305</v>
      </c>
      <c r="AZ2" s="1601" t="s">
        <v>1042</v>
      </c>
    </row>
    <row r="3" spans="2:52" ht="18" customHeight="1">
      <c r="B3" s="1572"/>
      <c r="C3" s="1572"/>
      <c r="D3" s="1572"/>
      <c r="E3" s="1572"/>
      <c r="F3" s="1572"/>
      <c r="G3" s="1572"/>
      <c r="H3" s="1572"/>
      <c r="I3" s="1572"/>
      <c r="J3" s="1572"/>
      <c r="K3" s="1572"/>
      <c r="L3" s="1572"/>
      <c r="M3" s="1572"/>
      <c r="N3" s="1572"/>
      <c r="O3" s="1572"/>
      <c r="P3" s="1572"/>
      <c r="Q3" s="1572"/>
      <c r="R3" s="1572"/>
      <c r="S3" s="1572"/>
      <c r="T3" s="1572"/>
      <c r="U3" s="1572"/>
      <c r="V3" s="1572"/>
      <c r="W3" s="1572"/>
      <c r="X3" s="1572"/>
      <c r="Y3" s="1572"/>
      <c r="Z3" s="1572"/>
      <c r="AA3" s="1572"/>
      <c r="AB3" s="1572"/>
      <c r="AC3" s="1572"/>
      <c r="AD3" s="1572"/>
      <c r="AE3" s="1572"/>
      <c r="AF3" s="1572"/>
      <c r="AG3" s="1572"/>
      <c r="AH3" s="1572"/>
      <c r="AI3" s="1572"/>
      <c r="AJ3" s="1572"/>
      <c r="AK3" s="1572"/>
      <c r="AL3" s="1572"/>
      <c r="AM3" s="1572"/>
      <c r="AR3" s="432"/>
      <c r="AS3" s="433"/>
      <c r="AT3" s="433"/>
      <c r="AU3" s="433"/>
      <c r="AV3" s="434"/>
      <c r="AW3" s="938"/>
      <c r="AX3" s="433"/>
      <c r="AY3" s="433"/>
      <c r="AZ3" s="433"/>
    </row>
    <row r="4" spans="2:52" ht="36" customHeight="1">
      <c r="B4" s="3692" t="s">
        <v>3937</v>
      </c>
      <c r="C4" s="3692"/>
      <c r="D4" s="3692"/>
      <c r="E4" s="3692"/>
      <c r="F4" s="3692"/>
      <c r="G4" s="3692"/>
      <c r="H4" s="3692"/>
      <c r="I4" s="3692"/>
      <c r="J4" s="3692"/>
      <c r="K4" s="3692"/>
      <c r="L4" s="3692"/>
      <c r="M4" s="3692"/>
      <c r="N4" s="3692"/>
      <c r="O4" s="3692"/>
      <c r="P4" s="3692"/>
      <c r="Q4" s="3692"/>
      <c r="R4" s="3692"/>
      <c r="S4" s="3692"/>
      <c r="T4" s="3692"/>
      <c r="U4" s="3692"/>
      <c r="V4" s="3692"/>
      <c r="W4" s="3692"/>
      <c r="X4" s="3692"/>
      <c r="Y4" s="3692"/>
      <c r="Z4" s="3692"/>
      <c r="AA4" s="3692"/>
      <c r="AB4" s="3692"/>
      <c r="AC4" s="3692"/>
      <c r="AD4" s="3692"/>
      <c r="AE4" s="3692"/>
      <c r="AF4" s="3692"/>
      <c r="AG4" s="3692"/>
      <c r="AH4" s="3692"/>
      <c r="AI4" s="3692"/>
      <c r="AJ4" s="3692"/>
      <c r="AK4" s="3692"/>
      <c r="AL4" s="3692"/>
      <c r="AM4" s="3692"/>
      <c r="AR4" s="119">
        <v>2017</v>
      </c>
      <c r="AS4" s="120">
        <v>4080</v>
      </c>
      <c r="AT4" s="120">
        <v>3060</v>
      </c>
      <c r="AU4" s="120">
        <v>1051</v>
      </c>
      <c r="AV4" s="121">
        <v>250</v>
      </c>
      <c r="AW4" s="939">
        <v>4639</v>
      </c>
      <c r="AX4" s="120">
        <v>3480</v>
      </c>
      <c r="AY4" s="120">
        <v>1508</v>
      </c>
      <c r="AZ4" s="120">
        <v>869</v>
      </c>
    </row>
    <row r="5" spans="2:52" ht="90" customHeight="1">
      <c r="B5" s="3736" t="s">
        <v>3938</v>
      </c>
      <c r="C5" s="3736"/>
      <c r="D5" s="3736"/>
      <c r="E5" s="3736"/>
      <c r="F5" s="3736"/>
      <c r="G5" s="3736"/>
      <c r="H5" s="3736"/>
      <c r="I5" s="3736"/>
      <c r="J5" s="3736"/>
      <c r="K5" s="3736"/>
      <c r="L5" s="3736"/>
      <c r="M5" s="3736"/>
      <c r="N5" s="3736"/>
      <c r="O5" s="3736"/>
      <c r="P5" s="3736"/>
      <c r="Q5" s="3736"/>
      <c r="R5" s="3736"/>
      <c r="S5" s="3736"/>
      <c r="T5" s="3736"/>
      <c r="U5" s="3736"/>
      <c r="V5" s="3736"/>
      <c r="W5" s="3736"/>
      <c r="X5" s="3736"/>
      <c r="Y5" s="3736"/>
      <c r="Z5" s="3736"/>
      <c r="AA5" s="3736"/>
      <c r="AB5" s="3736"/>
      <c r="AC5" s="3736"/>
      <c r="AD5" s="3736"/>
      <c r="AE5" s="3736"/>
      <c r="AF5" s="3736"/>
      <c r="AG5" s="3736"/>
      <c r="AH5" s="3736"/>
      <c r="AI5" s="3736"/>
      <c r="AJ5" s="3736"/>
      <c r="AK5" s="3736"/>
      <c r="AL5" s="3736"/>
      <c r="AM5" s="3736"/>
      <c r="AR5" s="119">
        <f>+AR4+1</f>
        <v>2018</v>
      </c>
      <c r="AS5" s="122">
        <f>ROUND(AS4*1.025,0)</f>
        <v>4182</v>
      </c>
      <c r="AT5" s="122">
        <f>ROUND(AT4*1.025,0)</f>
        <v>3137</v>
      </c>
      <c r="AU5" s="122">
        <f>ROUND(AU4*1.025,0)</f>
        <v>1077</v>
      </c>
      <c r="AV5" s="123">
        <f>ROUND(AV4*1.025,0)</f>
        <v>256</v>
      </c>
      <c r="AW5" s="122">
        <f>ROUND(AW4*1.035,0)</f>
        <v>4801</v>
      </c>
      <c r="AX5" s="122">
        <f t="shared" ref="AX5:AZ5" si="0">ROUND(AX4*1.035,0)</f>
        <v>3602</v>
      </c>
      <c r="AY5" s="122">
        <f t="shared" si="0"/>
        <v>1561</v>
      </c>
      <c r="AZ5" s="122">
        <f t="shared" si="0"/>
        <v>899</v>
      </c>
    </row>
    <row r="6" spans="2:52" ht="36" customHeight="1">
      <c r="B6" s="3706" t="s">
        <v>3939</v>
      </c>
      <c r="C6" s="3706"/>
      <c r="D6" s="3706"/>
      <c r="E6" s="3706"/>
      <c r="F6" s="3706"/>
      <c r="G6" s="3706"/>
      <c r="H6" s="3706"/>
      <c r="I6" s="3706"/>
      <c r="J6" s="3737" t="s">
        <v>3940</v>
      </c>
      <c r="K6" s="3737"/>
      <c r="L6" s="3737"/>
      <c r="M6" s="3737"/>
      <c r="N6" s="3738">
        <f>'Unit Mix'!$D$8</f>
        <v>76</v>
      </c>
      <c r="O6" s="3738"/>
      <c r="P6" s="3739" t="s">
        <v>3941</v>
      </c>
      <c r="Q6" s="3739"/>
      <c r="R6" s="3739"/>
      <c r="S6" s="3739"/>
      <c r="T6" s="3739"/>
      <c r="U6" s="3739"/>
      <c r="V6" s="3739"/>
      <c r="W6" s="3739"/>
      <c r="X6" s="3739"/>
      <c r="Y6" s="3739"/>
      <c r="Z6" s="3739"/>
      <c r="AA6" s="3739"/>
      <c r="AB6" s="1739">
        <v>2021</v>
      </c>
      <c r="AC6" s="2070"/>
      <c r="AD6" s="3740" t="s">
        <v>924</v>
      </c>
      <c r="AE6" s="3740"/>
      <c r="AF6" s="3740" t="s">
        <v>3942</v>
      </c>
      <c r="AG6" s="3740"/>
      <c r="AH6" s="3740"/>
      <c r="AI6" s="3740" t="s">
        <v>3943</v>
      </c>
      <c r="AJ6" s="3740"/>
      <c r="AK6" s="3740"/>
      <c r="AL6" s="3740"/>
      <c r="AM6" s="3740"/>
      <c r="AN6" s="156"/>
      <c r="AR6" s="119">
        <f>+AR5+1</f>
        <v>2019</v>
      </c>
      <c r="AS6" s="122">
        <f>ROUND(AS5*1.025,0)</f>
        <v>4287</v>
      </c>
      <c r="AT6" s="122">
        <f t="shared" ref="AS6:AV14" si="1">ROUND(AT5*1.025,0)</f>
        <v>3215</v>
      </c>
      <c r="AU6" s="122">
        <f t="shared" si="1"/>
        <v>1104</v>
      </c>
      <c r="AV6" s="123">
        <f t="shared" si="1"/>
        <v>262</v>
      </c>
      <c r="AW6" s="122">
        <f t="shared" ref="AW6:AW14" si="2">ROUND(AW5*1.035,0)</f>
        <v>4969</v>
      </c>
      <c r="AX6" s="122">
        <f t="shared" ref="AX6:AX14" si="3">ROUND(AX5*1.035,0)</f>
        <v>3728</v>
      </c>
      <c r="AY6" s="122">
        <f t="shared" ref="AY6:AY14" si="4">ROUND(AY5*1.035,0)</f>
        <v>1616</v>
      </c>
      <c r="AZ6" s="122">
        <f t="shared" ref="AZ6:AZ14" si="5">ROUND(AZ5*1.035,0)</f>
        <v>930</v>
      </c>
    </row>
    <row r="7" spans="2:52" ht="36" customHeight="1">
      <c r="B7" s="3741" t="s">
        <v>3944</v>
      </c>
      <c r="C7" s="3741"/>
      <c r="D7" s="3741"/>
      <c r="E7" s="3741"/>
      <c r="F7" s="3741"/>
      <c r="G7" s="3741"/>
      <c r="H7" s="3741"/>
      <c r="I7" s="3741"/>
      <c r="J7" s="3741"/>
      <c r="K7" s="3741"/>
      <c r="L7" s="3741"/>
      <c r="M7" s="3741"/>
      <c r="N7" s="3741"/>
      <c r="O7" s="3741"/>
      <c r="P7" s="3741"/>
      <c r="Q7" s="3741"/>
      <c r="R7" s="3741"/>
      <c r="S7" s="3741"/>
      <c r="T7" s="3741"/>
      <c r="U7" s="3741"/>
      <c r="V7" s="3741"/>
      <c r="W7" s="3741"/>
      <c r="X7" s="3741"/>
      <c r="Y7" s="3741"/>
      <c r="Z7" s="3741"/>
      <c r="AA7" s="3741"/>
      <c r="AB7" s="3741"/>
      <c r="AC7" s="3741"/>
      <c r="AD7" s="3713"/>
      <c r="AE7" s="3713"/>
      <c r="AF7" s="3711">
        <f>VLOOKUP($AB$6,$AR$4:$AV$14,2,FALSE)</f>
        <v>4504</v>
      </c>
      <c r="AG7" s="3711"/>
      <c r="AH7" s="3711"/>
      <c r="AI7" s="3711">
        <f>IFERROR(AF7*AD7,"")</f>
        <v>0</v>
      </c>
      <c r="AJ7" s="3711"/>
      <c r="AK7" s="3711"/>
      <c r="AL7" s="3711"/>
      <c r="AM7" s="3711"/>
      <c r="AR7" s="119">
        <f>+AR6+1</f>
        <v>2020</v>
      </c>
      <c r="AS7" s="122">
        <f>ROUND(AS6*1.025,0)</f>
        <v>4394</v>
      </c>
      <c r="AT7" s="122">
        <f>ROUND(AT6*1.025,0)</f>
        <v>3295</v>
      </c>
      <c r="AU7" s="122">
        <f>ROUND(AU6*1.025,0)</f>
        <v>1132</v>
      </c>
      <c r="AV7" s="123">
        <f>ROUND(AV6*1.025,0)</f>
        <v>269</v>
      </c>
      <c r="AW7" s="122">
        <f t="shared" si="2"/>
        <v>5143</v>
      </c>
      <c r="AX7" s="122">
        <f t="shared" si="3"/>
        <v>3858</v>
      </c>
      <c r="AY7" s="122">
        <f t="shared" si="4"/>
        <v>1673</v>
      </c>
      <c r="AZ7" s="122">
        <f t="shared" si="5"/>
        <v>963</v>
      </c>
    </row>
    <row r="8" spans="2:52" ht="54" customHeight="1">
      <c r="B8" s="3717" t="s">
        <v>3945</v>
      </c>
      <c r="C8" s="3718"/>
      <c r="D8" s="3718"/>
      <c r="E8" s="3718"/>
      <c r="F8" s="3718"/>
      <c r="G8" s="3718"/>
      <c r="H8" s="3718"/>
      <c r="I8" s="3718"/>
      <c r="J8" s="3718"/>
      <c r="K8" s="3718"/>
      <c r="L8" s="3718"/>
      <c r="M8" s="3718"/>
      <c r="N8" s="3718"/>
      <c r="O8" s="3718"/>
      <c r="P8" s="3718"/>
      <c r="Q8" s="3718"/>
      <c r="R8" s="3718"/>
      <c r="S8" s="3718"/>
      <c r="T8" s="3718"/>
      <c r="U8" s="3718"/>
      <c r="V8" s="3718"/>
      <c r="W8" s="3718"/>
      <c r="X8" s="3718"/>
      <c r="Y8" s="3718"/>
      <c r="Z8" s="3718"/>
      <c r="AA8" s="3718"/>
      <c r="AB8" s="3718"/>
      <c r="AC8" s="3719"/>
      <c r="AD8" s="3726"/>
      <c r="AE8" s="3727"/>
      <c r="AF8" s="3720">
        <f>VLOOKUP($AB$6,$AR$4:$AV$62,3,FALSE)</f>
        <v>3377</v>
      </c>
      <c r="AG8" s="3721"/>
      <c r="AH8" s="3722"/>
      <c r="AI8" s="3720">
        <f>IFERROR(AF8*AD8,"")</f>
        <v>0</v>
      </c>
      <c r="AJ8" s="3721"/>
      <c r="AK8" s="3721"/>
      <c r="AL8" s="3721"/>
      <c r="AM8" s="3722"/>
      <c r="AO8" s="3734"/>
      <c r="AP8" s="3734"/>
      <c r="AR8" s="119">
        <f t="shared" ref="AR8:AR13" si="6">+AR7+1</f>
        <v>2021</v>
      </c>
      <c r="AS8" s="122">
        <f>ROUND(AS7*1.025,0)</f>
        <v>4504</v>
      </c>
      <c r="AT8" s="122">
        <f t="shared" si="1"/>
        <v>3377</v>
      </c>
      <c r="AU8" s="122">
        <f t="shared" si="1"/>
        <v>1160</v>
      </c>
      <c r="AV8" s="123">
        <f t="shared" si="1"/>
        <v>276</v>
      </c>
      <c r="AW8" s="122">
        <f t="shared" si="2"/>
        <v>5323</v>
      </c>
      <c r="AX8" s="122">
        <f t="shared" si="3"/>
        <v>3993</v>
      </c>
      <c r="AY8" s="122">
        <f t="shared" si="4"/>
        <v>1732</v>
      </c>
      <c r="AZ8" s="122">
        <f t="shared" si="5"/>
        <v>997</v>
      </c>
    </row>
    <row r="9" spans="2:52" ht="18" customHeight="1">
      <c r="B9" s="3730" t="s">
        <v>3946</v>
      </c>
      <c r="C9" s="3731"/>
      <c r="D9" s="3731"/>
      <c r="E9" s="3731"/>
      <c r="F9" s="3731"/>
      <c r="G9" s="3731"/>
      <c r="H9" s="3731"/>
      <c r="I9" s="3731"/>
      <c r="J9" s="3731"/>
      <c r="K9" s="3731"/>
      <c r="L9" s="3731"/>
      <c r="M9" s="3731"/>
      <c r="N9" s="3731"/>
      <c r="O9" s="3731"/>
      <c r="P9" s="3731"/>
      <c r="Q9" s="3731"/>
      <c r="R9" s="3732" t="s">
        <v>3947</v>
      </c>
      <c r="S9" s="3732"/>
      <c r="T9" s="3732"/>
      <c r="U9" s="3732"/>
      <c r="V9" s="3732"/>
      <c r="W9" s="3732"/>
      <c r="X9" s="3732"/>
      <c r="Y9" s="3732"/>
      <c r="Z9" s="3732"/>
      <c r="AA9" s="3732"/>
      <c r="AB9" s="3732"/>
      <c r="AC9" s="3733"/>
      <c r="AD9" s="3728"/>
      <c r="AE9" s="3729"/>
      <c r="AF9" s="3723"/>
      <c r="AG9" s="3724"/>
      <c r="AH9" s="3725"/>
      <c r="AI9" s="3723"/>
      <c r="AJ9" s="3724"/>
      <c r="AK9" s="3724"/>
      <c r="AL9" s="3724"/>
      <c r="AM9" s="3725"/>
      <c r="AN9" s="175"/>
      <c r="AO9" s="3734"/>
      <c r="AP9" s="3734"/>
      <c r="AR9" s="119">
        <f t="shared" si="6"/>
        <v>2022</v>
      </c>
      <c r="AS9" s="122">
        <f t="shared" si="1"/>
        <v>4617</v>
      </c>
      <c r="AT9" s="122">
        <f t="shared" si="1"/>
        <v>3461</v>
      </c>
      <c r="AU9" s="122">
        <f t="shared" si="1"/>
        <v>1189</v>
      </c>
      <c r="AV9" s="123">
        <f t="shared" si="1"/>
        <v>283</v>
      </c>
      <c r="AW9" s="122">
        <f t="shared" si="2"/>
        <v>5509</v>
      </c>
      <c r="AX9" s="122">
        <f t="shared" si="3"/>
        <v>4133</v>
      </c>
      <c r="AY9" s="122">
        <f t="shared" si="4"/>
        <v>1793</v>
      </c>
      <c r="AZ9" s="122">
        <f t="shared" si="5"/>
        <v>1032</v>
      </c>
    </row>
    <row r="10" spans="2:52" ht="72" customHeight="1">
      <c r="B10" s="3712" t="s">
        <v>3948</v>
      </c>
      <c r="C10" s="3712"/>
      <c r="D10" s="3712"/>
      <c r="E10" s="3712"/>
      <c r="F10" s="3712"/>
      <c r="G10" s="3712"/>
      <c r="H10" s="3712"/>
      <c r="I10" s="3712"/>
      <c r="J10" s="3712"/>
      <c r="K10" s="3712"/>
      <c r="L10" s="3712"/>
      <c r="M10" s="3712"/>
      <c r="N10" s="3712"/>
      <c r="O10" s="3712"/>
      <c r="P10" s="3712"/>
      <c r="Q10" s="3712"/>
      <c r="R10" s="3712"/>
      <c r="S10" s="3712"/>
      <c r="T10" s="3712"/>
      <c r="U10" s="3712"/>
      <c r="V10" s="3712"/>
      <c r="W10" s="3712"/>
      <c r="X10" s="3712"/>
      <c r="Y10" s="3712"/>
      <c r="Z10" s="3712"/>
      <c r="AA10" s="3712"/>
      <c r="AB10" s="3712"/>
      <c r="AC10" s="3712"/>
      <c r="AD10" s="3713"/>
      <c r="AE10" s="3713"/>
      <c r="AF10" s="3714">
        <f>VLOOKUP($AB$6,$AR$4:$AV$62,4,FALSE)</f>
        <v>1160</v>
      </c>
      <c r="AG10" s="3715"/>
      <c r="AH10" s="3716"/>
      <c r="AI10" s="3711">
        <f>IFERROR(AF10*AD10,"")</f>
        <v>0</v>
      </c>
      <c r="AJ10" s="3711"/>
      <c r="AK10" s="3711"/>
      <c r="AL10" s="3711"/>
      <c r="AM10" s="3711"/>
      <c r="AR10" s="119">
        <f t="shared" si="6"/>
        <v>2023</v>
      </c>
      <c r="AS10" s="122">
        <f t="shared" si="1"/>
        <v>4732</v>
      </c>
      <c r="AT10" s="122">
        <f t="shared" si="1"/>
        <v>3548</v>
      </c>
      <c r="AU10" s="122">
        <f t="shared" si="1"/>
        <v>1219</v>
      </c>
      <c r="AV10" s="123">
        <f t="shared" si="1"/>
        <v>290</v>
      </c>
      <c r="AW10" s="122">
        <f t="shared" si="2"/>
        <v>5702</v>
      </c>
      <c r="AX10" s="122">
        <f t="shared" si="3"/>
        <v>4278</v>
      </c>
      <c r="AY10" s="122">
        <f t="shared" si="4"/>
        <v>1856</v>
      </c>
      <c r="AZ10" s="122">
        <f t="shared" si="5"/>
        <v>1068</v>
      </c>
    </row>
    <row r="11" spans="2:52" ht="36" customHeight="1">
      <c r="B11" s="3692" t="s">
        <v>3949</v>
      </c>
      <c r="C11" s="3692"/>
      <c r="D11" s="3692"/>
      <c r="E11" s="3692"/>
      <c r="F11" s="3692"/>
      <c r="G11" s="3692"/>
      <c r="H11" s="3692"/>
      <c r="I11" s="3692"/>
      <c r="J11" s="3692"/>
      <c r="K11" s="3692"/>
      <c r="L11" s="3692"/>
      <c r="M11" s="3692"/>
      <c r="N11" s="3692"/>
      <c r="O11" s="3692"/>
      <c r="P11" s="3692"/>
      <c r="Q11" s="3692"/>
      <c r="R11" s="3692"/>
      <c r="S11" s="3692"/>
      <c r="T11" s="3692"/>
      <c r="U11" s="3692"/>
      <c r="V11" s="3692"/>
      <c r="W11" s="3692"/>
      <c r="X11" s="3692"/>
      <c r="Y11" s="3692"/>
      <c r="Z11" s="3692"/>
      <c r="AA11" s="3692"/>
      <c r="AB11" s="3692"/>
      <c r="AC11" s="3692"/>
      <c r="AD11" s="3713"/>
      <c r="AE11" s="3713"/>
      <c r="AF11" s="3714">
        <f>VLOOKUP($AB$6,$AR$4:$AZ$62,5,FALSE)</f>
        <v>276</v>
      </c>
      <c r="AG11" s="3715"/>
      <c r="AH11" s="3716"/>
      <c r="AI11" s="3711">
        <f>IFERROR(AF11*AD11,"")</f>
        <v>0</v>
      </c>
      <c r="AJ11" s="3711"/>
      <c r="AK11" s="3711"/>
      <c r="AL11" s="3711"/>
      <c r="AM11" s="3711"/>
      <c r="AR11" s="119">
        <f t="shared" si="6"/>
        <v>2024</v>
      </c>
      <c r="AS11" s="122">
        <f t="shared" si="1"/>
        <v>4850</v>
      </c>
      <c r="AT11" s="122">
        <f t="shared" si="1"/>
        <v>3637</v>
      </c>
      <c r="AU11" s="122">
        <f t="shared" si="1"/>
        <v>1249</v>
      </c>
      <c r="AV11" s="123">
        <f t="shared" si="1"/>
        <v>297</v>
      </c>
      <c r="AW11" s="122">
        <f t="shared" si="2"/>
        <v>5902</v>
      </c>
      <c r="AX11" s="122">
        <f t="shared" si="3"/>
        <v>4428</v>
      </c>
      <c r="AY11" s="122">
        <f t="shared" si="4"/>
        <v>1921</v>
      </c>
      <c r="AZ11" s="122">
        <f t="shared" si="5"/>
        <v>1105</v>
      </c>
    </row>
    <row r="12" spans="2:52" ht="18" customHeight="1">
      <c r="B12" s="3706" t="s">
        <v>483</v>
      </c>
      <c r="C12" s="3706"/>
      <c r="D12" s="3706"/>
      <c r="E12" s="3706"/>
      <c r="F12" s="3706"/>
      <c r="G12" s="3706"/>
      <c r="H12" s="3706"/>
      <c r="I12" s="3706"/>
      <c r="J12" s="3706"/>
      <c r="K12" s="3706"/>
      <c r="L12" s="3706"/>
      <c r="M12" s="3706"/>
      <c r="N12" s="3706"/>
      <c r="O12" s="3706"/>
      <c r="P12" s="3706"/>
      <c r="Q12" s="3706"/>
      <c r="R12" s="3706"/>
      <c r="S12" s="3706"/>
      <c r="T12" s="3706"/>
      <c r="U12" s="3706"/>
      <c r="V12" s="3706"/>
      <c r="W12" s="3706"/>
      <c r="X12" s="3706"/>
      <c r="Y12" s="3706"/>
      <c r="Z12" s="3706"/>
      <c r="AA12" s="3706"/>
      <c r="AB12" s="3706"/>
      <c r="AC12" s="3706"/>
      <c r="AD12" s="3707">
        <f>SUM(AD7:AE11)</f>
        <v>0</v>
      </c>
      <c r="AE12" s="2521"/>
      <c r="AF12" s="3708"/>
      <c r="AG12" s="3709"/>
      <c r="AH12" s="3710"/>
      <c r="AI12" s="3711">
        <f>SUM(AI7:AM11)</f>
        <v>0</v>
      </c>
      <c r="AJ12" s="3711"/>
      <c r="AK12" s="3711"/>
      <c r="AL12" s="3711"/>
      <c r="AM12" s="3711"/>
      <c r="AR12" s="119">
        <f t="shared" si="6"/>
        <v>2025</v>
      </c>
      <c r="AS12" s="122">
        <f t="shared" si="1"/>
        <v>4971</v>
      </c>
      <c r="AT12" s="122">
        <f t="shared" si="1"/>
        <v>3728</v>
      </c>
      <c r="AU12" s="122">
        <f t="shared" si="1"/>
        <v>1280</v>
      </c>
      <c r="AV12" s="123">
        <f t="shared" si="1"/>
        <v>304</v>
      </c>
      <c r="AW12" s="122">
        <f t="shared" si="2"/>
        <v>6109</v>
      </c>
      <c r="AX12" s="122">
        <f t="shared" si="3"/>
        <v>4583</v>
      </c>
      <c r="AY12" s="122">
        <f t="shared" si="4"/>
        <v>1988</v>
      </c>
      <c r="AZ12" s="122">
        <f t="shared" si="5"/>
        <v>1144</v>
      </c>
    </row>
    <row r="13" spans="2:52" ht="12.75" customHeight="1">
      <c r="B13" s="165"/>
      <c r="C13" s="165"/>
      <c r="D13" s="165"/>
      <c r="E13" s="165"/>
      <c r="F13" s="399"/>
      <c r="G13" s="399"/>
      <c r="H13" s="399"/>
      <c r="I13" s="399"/>
      <c r="J13" s="165"/>
      <c r="K13" s="165"/>
      <c r="L13" s="165"/>
      <c r="M13" s="165"/>
      <c r="N13" s="165"/>
      <c r="O13" s="165"/>
      <c r="P13" s="165"/>
      <c r="Q13" s="165"/>
      <c r="R13" s="165"/>
      <c r="S13" s="165"/>
      <c r="T13" s="165"/>
      <c r="U13" s="165"/>
      <c r="V13" s="165"/>
      <c r="W13" s="165"/>
      <c r="X13" s="165"/>
      <c r="Y13" s="165"/>
      <c r="Z13" s="165"/>
      <c r="AA13" s="165"/>
      <c r="AB13" s="165"/>
      <c r="AC13" s="165"/>
      <c r="AD13" s="165"/>
      <c r="AE13" s="165"/>
      <c r="AF13" s="165"/>
      <c r="AG13" s="165"/>
      <c r="AH13" s="165"/>
      <c r="AI13" s="165"/>
      <c r="AJ13" s="165"/>
      <c r="AK13" s="165"/>
      <c r="AL13" s="165"/>
      <c r="AM13" s="165"/>
      <c r="AR13" s="119">
        <f t="shared" si="6"/>
        <v>2026</v>
      </c>
      <c r="AS13" s="122">
        <f>ROUND(AS12*1.025,0)</f>
        <v>5095</v>
      </c>
      <c r="AT13" s="122">
        <f t="shared" si="1"/>
        <v>3821</v>
      </c>
      <c r="AU13" s="122">
        <f t="shared" si="1"/>
        <v>1312</v>
      </c>
      <c r="AV13" s="123">
        <f t="shared" si="1"/>
        <v>312</v>
      </c>
      <c r="AW13" s="122">
        <f t="shared" si="2"/>
        <v>6323</v>
      </c>
      <c r="AX13" s="122">
        <f t="shared" si="3"/>
        <v>4743</v>
      </c>
      <c r="AY13" s="122">
        <f t="shared" si="4"/>
        <v>2058</v>
      </c>
      <c r="AZ13" s="122">
        <f t="shared" si="5"/>
        <v>1184</v>
      </c>
    </row>
    <row r="14" spans="2:52" ht="15.75" customHeight="1" thickBot="1">
      <c r="B14" s="125"/>
      <c r="C14" s="125"/>
      <c r="D14" s="125"/>
      <c r="F14" s="125"/>
      <c r="G14" s="125"/>
      <c r="H14" s="125"/>
      <c r="I14" s="125"/>
      <c r="J14" s="126"/>
      <c r="K14" s="127"/>
      <c r="AR14" s="128">
        <v>2030</v>
      </c>
      <c r="AS14" s="129">
        <f>ROUND(AS13*1.025,0)</f>
        <v>5222</v>
      </c>
      <c r="AT14" s="129">
        <f t="shared" si="1"/>
        <v>3917</v>
      </c>
      <c r="AU14" s="129">
        <f t="shared" si="1"/>
        <v>1345</v>
      </c>
      <c r="AV14" s="130">
        <f t="shared" si="1"/>
        <v>320</v>
      </c>
      <c r="AW14" s="122">
        <f t="shared" si="2"/>
        <v>6544</v>
      </c>
      <c r="AX14" s="122">
        <f t="shared" si="3"/>
        <v>4909</v>
      </c>
      <c r="AY14" s="122">
        <f t="shared" si="4"/>
        <v>2130</v>
      </c>
      <c r="AZ14" s="122">
        <f t="shared" si="5"/>
        <v>1225</v>
      </c>
    </row>
    <row r="15" spans="2:52" ht="15.6">
      <c r="B15" s="2489" t="s">
        <v>639</v>
      </c>
      <c r="C15" s="2489"/>
      <c r="D15" s="2489"/>
      <c r="E15" s="2489"/>
      <c r="F15" s="2489"/>
      <c r="G15" s="2489"/>
      <c r="H15" s="2489"/>
      <c r="I15" s="2489"/>
      <c r="J15" s="2489"/>
      <c r="K15" s="2489"/>
      <c r="L15" s="2489"/>
      <c r="M15" s="2489"/>
      <c r="N15" s="2489"/>
      <c r="O15" s="2489"/>
      <c r="P15" s="2489"/>
      <c r="Q15" s="2489"/>
      <c r="R15" s="2489"/>
      <c r="S15" s="2489"/>
      <c r="T15" s="2489"/>
      <c r="U15" s="2489"/>
      <c r="V15" s="2489"/>
      <c r="W15" s="2489"/>
      <c r="X15" s="2489"/>
      <c r="Y15" s="2489"/>
      <c r="Z15" s="2489"/>
      <c r="AA15" s="2489"/>
      <c r="AB15" s="2489"/>
      <c r="AC15" s="2489"/>
      <c r="AD15" s="2489"/>
      <c r="AE15" s="2489"/>
      <c r="AF15" s="2489"/>
      <c r="AG15" s="2489"/>
      <c r="AH15" s="2489"/>
      <c r="AI15" s="2489"/>
      <c r="AJ15" s="2489"/>
      <c r="AK15" s="2489"/>
      <c r="AL15" s="2489"/>
      <c r="AM15" s="2489"/>
      <c r="AR15" s="131"/>
      <c r="AS15" s="124"/>
      <c r="AT15" s="124"/>
      <c r="AU15" s="124"/>
      <c r="AV15" s="124"/>
      <c r="AW15" s="124"/>
      <c r="AX15" s="124"/>
      <c r="AY15" s="124"/>
      <c r="AZ15" s="124"/>
    </row>
    <row r="16" spans="2:52">
      <c r="AR16" s="131"/>
      <c r="AS16" s="124"/>
      <c r="AT16" s="124"/>
      <c r="AU16" s="124"/>
      <c r="AV16" s="124"/>
      <c r="AW16" s="124"/>
      <c r="AX16" s="124"/>
      <c r="AY16" s="124"/>
      <c r="AZ16" s="124"/>
    </row>
    <row r="17" spans="44:52">
      <c r="AR17" s="131"/>
      <c r="AS17" s="124"/>
      <c r="AT17" s="124"/>
      <c r="AU17" s="124"/>
      <c r="AV17" s="124"/>
      <c r="AW17" s="124"/>
      <c r="AX17" s="124"/>
      <c r="AY17" s="124"/>
      <c r="AZ17" s="124"/>
    </row>
    <row r="18" spans="44:52">
      <c r="AR18" s="131"/>
      <c r="AS18" s="124"/>
      <c r="AT18" s="124"/>
      <c r="AU18" s="124"/>
      <c r="AV18" s="124"/>
      <c r="AW18" s="124"/>
      <c r="AX18" s="124"/>
      <c r="AY18" s="124"/>
      <c r="AZ18" s="124"/>
    </row>
    <row r="19" spans="44:52">
      <c r="AR19" s="131"/>
      <c r="AS19" s="124"/>
      <c r="AT19" s="124"/>
      <c r="AU19" s="124"/>
      <c r="AV19" s="124"/>
      <c r="AW19" s="124"/>
      <c r="AX19" s="124"/>
      <c r="AY19" s="124"/>
      <c r="AZ19" s="124"/>
    </row>
    <row r="20" spans="44:52">
      <c r="AR20" s="131"/>
      <c r="AS20" s="124"/>
      <c r="AT20" s="124"/>
      <c r="AU20" s="124"/>
      <c r="AV20" s="124"/>
      <c r="AW20" s="124"/>
      <c r="AX20" s="124"/>
      <c r="AY20" s="124"/>
      <c r="AZ20" s="124"/>
    </row>
    <row r="21" spans="44:52">
      <c r="AR21" s="131"/>
      <c r="AS21" s="124"/>
      <c r="AT21" s="124"/>
      <c r="AU21" s="124"/>
      <c r="AV21" s="124"/>
      <c r="AW21" s="124"/>
      <c r="AX21" s="124"/>
      <c r="AY21" s="124"/>
      <c r="AZ21" s="124"/>
    </row>
    <row r="22" spans="44:52">
      <c r="AR22" s="131"/>
      <c r="AS22" s="124"/>
      <c r="AT22" s="124"/>
      <c r="AU22" s="124"/>
      <c r="AV22" s="124"/>
      <c r="AW22" s="124"/>
      <c r="AX22" s="124"/>
      <c r="AY22" s="124"/>
      <c r="AZ22" s="124"/>
    </row>
    <row r="23" spans="44:52">
      <c r="AR23" s="131"/>
      <c r="AS23" s="124"/>
      <c r="AT23" s="124"/>
      <c r="AU23" s="124"/>
      <c r="AV23" s="124"/>
      <c r="AW23" s="124"/>
      <c r="AX23" s="124"/>
      <c r="AY23" s="124"/>
      <c r="AZ23" s="124"/>
    </row>
    <row r="24" spans="44:52">
      <c r="AR24" s="131"/>
      <c r="AS24" s="124"/>
      <c r="AT24" s="124"/>
      <c r="AU24" s="124"/>
      <c r="AV24" s="124"/>
      <c r="AW24" s="124"/>
      <c r="AX24" s="124"/>
      <c r="AY24" s="124"/>
      <c r="AZ24" s="124"/>
    </row>
    <row r="25" spans="44:52">
      <c r="AR25" s="131"/>
      <c r="AS25" s="124"/>
      <c r="AT25" s="124"/>
      <c r="AU25" s="124"/>
      <c r="AV25" s="124"/>
      <c r="AW25" s="124"/>
      <c r="AX25" s="124"/>
      <c r="AY25" s="124"/>
      <c r="AZ25" s="124"/>
    </row>
    <row r="26" spans="44:52">
      <c r="AR26" s="131"/>
      <c r="AS26" s="124"/>
      <c r="AT26" s="124"/>
      <c r="AU26" s="124"/>
      <c r="AV26" s="124"/>
      <c r="AW26" s="124"/>
      <c r="AX26" s="124"/>
      <c r="AY26" s="124"/>
      <c r="AZ26" s="124"/>
    </row>
    <row r="27" spans="44:52">
      <c r="AR27" s="131"/>
      <c r="AS27" s="124"/>
      <c r="AT27" s="124"/>
      <c r="AU27" s="124"/>
      <c r="AV27" s="124"/>
      <c r="AW27" s="124"/>
      <c r="AX27" s="124"/>
      <c r="AY27" s="124"/>
      <c r="AZ27" s="124"/>
    </row>
    <row r="28" spans="44:52">
      <c r="AR28" s="131"/>
      <c r="AS28" s="124"/>
      <c r="AT28" s="124"/>
      <c r="AU28" s="124"/>
      <c r="AV28" s="124"/>
      <c r="AW28" s="124"/>
      <c r="AX28" s="124"/>
      <c r="AY28" s="124"/>
      <c r="AZ28" s="124"/>
    </row>
    <row r="29" spans="44:52">
      <c r="AR29" s="131"/>
      <c r="AS29" s="124"/>
      <c r="AT29" s="124"/>
      <c r="AU29" s="124"/>
      <c r="AV29" s="124"/>
      <c r="AW29" s="124"/>
      <c r="AX29" s="124"/>
      <c r="AY29" s="124"/>
      <c r="AZ29" s="124"/>
    </row>
    <row r="30" spans="44:52">
      <c r="AR30" s="131"/>
      <c r="AS30" s="124"/>
      <c r="AT30" s="124"/>
      <c r="AU30" s="124"/>
      <c r="AV30" s="124"/>
      <c r="AW30" s="124"/>
      <c r="AX30" s="124"/>
      <c r="AY30" s="124"/>
      <c r="AZ30" s="124"/>
    </row>
    <row r="31" spans="44:52">
      <c r="AR31" s="131"/>
      <c r="AS31" s="124"/>
      <c r="AT31" s="124"/>
      <c r="AU31" s="124"/>
      <c r="AV31" s="124"/>
      <c r="AW31" s="124"/>
      <c r="AX31" s="124"/>
      <c r="AY31" s="124"/>
      <c r="AZ31" s="124"/>
    </row>
    <row r="32" spans="44:52">
      <c r="AR32" s="131"/>
      <c r="AS32" s="124"/>
      <c r="AT32" s="124"/>
      <c r="AU32" s="124"/>
      <c r="AV32" s="124"/>
      <c r="AW32" s="124"/>
      <c r="AX32" s="124"/>
      <c r="AY32" s="124"/>
      <c r="AZ32" s="124"/>
    </row>
    <row r="33" spans="44:52">
      <c r="AR33" s="131"/>
      <c r="AS33" s="124"/>
      <c r="AT33" s="124"/>
      <c r="AU33" s="124"/>
      <c r="AV33" s="124"/>
      <c r="AW33" s="124"/>
      <c r="AX33" s="124"/>
      <c r="AY33" s="124"/>
      <c r="AZ33" s="124"/>
    </row>
    <row r="34" spans="44:52">
      <c r="AR34" s="131"/>
      <c r="AS34" s="124"/>
      <c r="AT34" s="124"/>
      <c r="AU34" s="124"/>
      <c r="AV34" s="124"/>
      <c r="AW34" s="124"/>
      <c r="AX34" s="124"/>
      <c r="AY34" s="124"/>
      <c r="AZ34" s="124"/>
    </row>
    <row r="35" spans="44:52">
      <c r="AR35" s="131"/>
      <c r="AS35" s="124"/>
      <c r="AT35" s="124"/>
      <c r="AU35" s="124"/>
      <c r="AV35" s="124"/>
      <c r="AW35" s="124"/>
      <c r="AX35" s="124"/>
      <c r="AY35" s="124"/>
      <c r="AZ35" s="124"/>
    </row>
    <row r="36" spans="44:52">
      <c r="AR36" s="131"/>
      <c r="AS36" s="124"/>
      <c r="AT36" s="124"/>
      <c r="AU36" s="124"/>
      <c r="AV36" s="124"/>
      <c r="AW36" s="124"/>
      <c r="AX36" s="124"/>
      <c r="AY36" s="124"/>
      <c r="AZ36" s="124"/>
    </row>
    <row r="37" spans="44:52">
      <c r="AR37" s="131"/>
      <c r="AS37" s="124"/>
      <c r="AT37" s="124"/>
      <c r="AU37" s="124"/>
      <c r="AV37" s="124"/>
      <c r="AW37" s="124"/>
      <c r="AX37" s="124"/>
      <c r="AY37" s="124"/>
      <c r="AZ37" s="124"/>
    </row>
    <row r="38" spans="44:52">
      <c r="AR38" s="131"/>
      <c r="AS38" s="124"/>
      <c r="AT38" s="124"/>
      <c r="AU38" s="124"/>
      <c r="AV38" s="124"/>
      <c r="AW38" s="124"/>
      <c r="AX38" s="124"/>
      <c r="AY38" s="124"/>
      <c r="AZ38" s="124"/>
    </row>
    <row r="39" spans="44:52">
      <c r="AR39" s="131"/>
      <c r="AS39" s="124"/>
      <c r="AT39" s="124"/>
      <c r="AU39" s="124"/>
      <c r="AV39" s="124"/>
      <c r="AW39" s="124"/>
      <c r="AX39" s="124"/>
      <c r="AY39" s="124"/>
      <c r="AZ39" s="124"/>
    </row>
    <row r="40" spans="44:52">
      <c r="AR40" s="131"/>
      <c r="AS40" s="124"/>
      <c r="AT40" s="124"/>
      <c r="AU40" s="124"/>
      <c r="AV40" s="124"/>
      <c r="AW40" s="124"/>
      <c r="AX40" s="124"/>
      <c r="AY40" s="124"/>
      <c r="AZ40" s="124"/>
    </row>
    <row r="41" spans="44:52">
      <c r="AR41" s="131"/>
      <c r="AS41" s="124"/>
      <c r="AT41" s="124"/>
      <c r="AU41" s="124"/>
      <c r="AV41" s="124"/>
      <c r="AW41" s="124"/>
      <c r="AX41" s="124"/>
      <c r="AY41" s="124"/>
      <c r="AZ41" s="124"/>
    </row>
    <row r="42" spans="44:52">
      <c r="AR42" s="131"/>
      <c r="AS42" s="124"/>
      <c r="AT42" s="124"/>
      <c r="AU42" s="124"/>
      <c r="AV42" s="124"/>
      <c r="AW42" s="124"/>
      <c r="AX42" s="124"/>
      <c r="AY42" s="124"/>
      <c r="AZ42" s="124"/>
    </row>
    <row r="43" spans="44:52">
      <c r="AR43" s="131"/>
      <c r="AS43" s="124"/>
      <c r="AT43" s="124"/>
      <c r="AU43" s="124"/>
      <c r="AV43" s="124"/>
      <c r="AW43" s="124"/>
      <c r="AX43" s="124"/>
      <c r="AY43" s="124"/>
      <c r="AZ43" s="124"/>
    </row>
    <row r="44" spans="44:52">
      <c r="AR44" s="131"/>
      <c r="AS44" s="124"/>
      <c r="AT44" s="124"/>
      <c r="AU44" s="124"/>
      <c r="AV44" s="124"/>
      <c r="AW44" s="124"/>
      <c r="AX44" s="124"/>
      <c r="AY44" s="124"/>
      <c r="AZ44" s="124"/>
    </row>
    <row r="45" spans="44:52">
      <c r="AR45" s="131"/>
      <c r="AS45" s="124"/>
      <c r="AT45" s="124"/>
      <c r="AU45" s="124"/>
      <c r="AV45" s="124"/>
      <c r="AW45" s="124"/>
      <c r="AX45" s="124"/>
      <c r="AY45" s="124"/>
      <c r="AZ45" s="124"/>
    </row>
    <row r="46" spans="44:52">
      <c r="AR46" s="131"/>
      <c r="AS46" s="124"/>
      <c r="AT46" s="124"/>
      <c r="AU46" s="124"/>
      <c r="AV46" s="124"/>
      <c r="AW46" s="124"/>
      <c r="AX46" s="124"/>
      <c r="AY46" s="124"/>
      <c r="AZ46" s="124"/>
    </row>
    <row r="47" spans="44:52">
      <c r="AR47" s="131"/>
      <c r="AS47" s="124"/>
      <c r="AT47" s="124"/>
      <c r="AU47" s="124"/>
      <c r="AV47" s="124"/>
      <c r="AW47" s="124"/>
      <c r="AX47" s="124"/>
      <c r="AY47" s="124"/>
      <c r="AZ47" s="124"/>
    </row>
    <row r="48" spans="44:52">
      <c r="AR48" s="131"/>
      <c r="AS48" s="124"/>
      <c r="AT48" s="124"/>
      <c r="AU48" s="124"/>
      <c r="AV48" s="124"/>
      <c r="AW48" s="124"/>
      <c r="AX48" s="124"/>
      <c r="AY48" s="124"/>
      <c r="AZ48" s="124"/>
    </row>
    <row r="49" spans="44:52">
      <c r="AR49" s="131"/>
      <c r="AS49" s="124"/>
      <c r="AT49" s="124"/>
      <c r="AU49" s="124"/>
      <c r="AV49" s="124"/>
      <c r="AW49" s="124"/>
      <c r="AX49" s="124"/>
      <c r="AY49" s="124"/>
      <c r="AZ49" s="124"/>
    </row>
    <row r="50" spans="44:52">
      <c r="AR50" s="131"/>
      <c r="AS50" s="124"/>
      <c r="AT50" s="124"/>
      <c r="AU50" s="124"/>
      <c r="AV50" s="124"/>
      <c r="AW50" s="124"/>
      <c r="AX50" s="124"/>
      <c r="AY50" s="124"/>
      <c r="AZ50" s="124"/>
    </row>
    <row r="51" spans="44:52">
      <c r="AR51" s="131"/>
      <c r="AS51" s="124"/>
      <c r="AT51" s="124"/>
      <c r="AU51" s="124"/>
      <c r="AV51" s="124"/>
      <c r="AW51" s="124"/>
      <c r="AX51" s="124"/>
      <c r="AY51" s="124"/>
      <c r="AZ51" s="124"/>
    </row>
    <row r="52" spans="44:52">
      <c r="AR52" s="131"/>
      <c r="AS52" s="124"/>
      <c r="AT52" s="124"/>
      <c r="AU52" s="124"/>
      <c r="AV52" s="124"/>
      <c r="AW52" s="124"/>
      <c r="AX52" s="124"/>
      <c r="AY52" s="124"/>
      <c r="AZ52" s="124"/>
    </row>
    <row r="53" spans="44:52">
      <c r="AR53" s="131"/>
      <c r="AS53" s="124"/>
      <c r="AT53" s="124"/>
      <c r="AU53" s="124"/>
      <c r="AV53" s="124"/>
      <c r="AW53" s="124"/>
      <c r="AX53" s="124"/>
      <c r="AY53" s="124"/>
      <c r="AZ53" s="124"/>
    </row>
    <row r="54" spans="44:52">
      <c r="AR54" s="131"/>
      <c r="AS54" s="124"/>
      <c r="AT54" s="124"/>
      <c r="AU54" s="124"/>
      <c r="AV54" s="124"/>
      <c r="AW54" s="124"/>
      <c r="AX54" s="124"/>
      <c r="AY54" s="124"/>
      <c r="AZ54" s="124"/>
    </row>
    <row r="55" spans="44:52">
      <c r="AR55" s="131"/>
      <c r="AS55" s="124"/>
      <c r="AT55" s="124"/>
      <c r="AU55" s="124"/>
      <c r="AV55" s="124"/>
      <c r="AW55" s="124"/>
      <c r="AX55" s="124"/>
      <c r="AY55" s="124"/>
      <c r="AZ55" s="124"/>
    </row>
    <row r="56" spans="44:52">
      <c r="AR56" s="131"/>
      <c r="AS56" s="124"/>
      <c r="AT56" s="124"/>
      <c r="AU56" s="124"/>
      <c r="AV56" s="124"/>
      <c r="AW56" s="124"/>
      <c r="AX56" s="124"/>
      <c r="AY56" s="124"/>
      <c r="AZ56" s="124"/>
    </row>
    <row r="57" spans="44:52">
      <c r="AR57" s="131"/>
      <c r="AS57" s="124"/>
      <c r="AT57" s="124"/>
      <c r="AU57" s="124"/>
      <c r="AV57" s="124"/>
      <c r="AW57" s="124"/>
      <c r="AX57" s="124"/>
      <c r="AY57" s="124"/>
      <c r="AZ57" s="124"/>
    </row>
    <row r="58" spans="44:52">
      <c r="AR58" s="131"/>
      <c r="AS58" s="124"/>
      <c r="AT58" s="124"/>
      <c r="AU58" s="124"/>
      <c r="AV58" s="124"/>
      <c r="AW58" s="124"/>
      <c r="AX58" s="124"/>
      <c r="AY58" s="124"/>
      <c r="AZ58" s="124"/>
    </row>
    <row r="59" spans="44:52">
      <c r="AR59" s="131"/>
      <c r="AS59" s="124"/>
      <c r="AT59" s="124"/>
      <c r="AU59" s="124"/>
      <c r="AV59" s="124"/>
      <c r="AW59" s="124"/>
      <c r="AX59" s="124"/>
      <c r="AY59" s="124"/>
      <c r="AZ59" s="124"/>
    </row>
    <row r="60" spans="44:52">
      <c r="AR60" s="131"/>
      <c r="AS60" s="124"/>
      <c r="AT60" s="124"/>
      <c r="AU60" s="124"/>
      <c r="AV60" s="124"/>
      <c r="AW60" s="124"/>
      <c r="AX60" s="124"/>
      <c r="AY60" s="124"/>
      <c r="AZ60" s="124"/>
    </row>
    <row r="61" spans="44:52">
      <c r="AR61" s="131"/>
      <c r="AS61" s="124"/>
      <c r="AT61" s="124"/>
      <c r="AU61" s="124"/>
      <c r="AV61" s="124"/>
      <c r="AW61" s="124"/>
      <c r="AX61" s="124"/>
      <c r="AY61" s="124"/>
      <c r="AZ61" s="124"/>
    </row>
    <row r="62" spans="44:52">
      <c r="AR62" s="131"/>
      <c r="AS62" s="124"/>
      <c r="AT62" s="124"/>
      <c r="AU62" s="124"/>
      <c r="AV62" s="124"/>
      <c r="AW62" s="124"/>
      <c r="AX62" s="124"/>
      <c r="AY62" s="124"/>
      <c r="AZ62" s="124"/>
    </row>
  </sheetData>
  <mergeCells count="35">
    <mergeCell ref="AO8:AP9"/>
    <mergeCell ref="B2:AM2"/>
    <mergeCell ref="B4:AM4"/>
    <mergeCell ref="B5:AM5"/>
    <mergeCell ref="B6:I6"/>
    <mergeCell ref="J6:M6"/>
    <mergeCell ref="N6:O6"/>
    <mergeCell ref="P6:AA6"/>
    <mergeCell ref="AB6:AC6"/>
    <mergeCell ref="AD6:AE6"/>
    <mergeCell ref="AF6:AH6"/>
    <mergeCell ref="AI6:AM6"/>
    <mergeCell ref="B7:AC7"/>
    <mergeCell ref="AD7:AE7"/>
    <mergeCell ref="AF7:AH7"/>
    <mergeCell ref="AI7:AM7"/>
    <mergeCell ref="B8:AC8"/>
    <mergeCell ref="AF8:AH9"/>
    <mergeCell ref="AI8:AM9"/>
    <mergeCell ref="AD8:AE9"/>
    <mergeCell ref="B9:Q9"/>
    <mergeCell ref="R9:AC9"/>
    <mergeCell ref="B10:AC10"/>
    <mergeCell ref="AD10:AE10"/>
    <mergeCell ref="AF10:AH10"/>
    <mergeCell ref="AI10:AM10"/>
    <mergeCell ref="B11:AC11"/>
    <mergeCell ref="AD11:AE11"/>
    <mergeCell ref="AF11:AH11"/>
    <mergeCell ref="AI11:AM11"/>
    <mergeCell ref="B15:AM15"/>
    <mergeCell ref="B12:AC12"/>
    <mergeCell ref="AD12:AE12"/>
    <mergeCell ref="AF12:AH12"/>
    <mergeCell ref="AI12:AM12"/>
  </mergeCells>
  <conditionalFormatting sqref="AD12:AE12">
    <cfRule type="cellIs" dxfId="368" priority="1" stopIfTrue="1" operator="greaterThan">
      <formula>$N$6</formula>
    </cfRule>
  </conditionalFormatting>
  <hyperlinks>
    <hyperlink ref="B9:H9" r:id="rId1" display="UMR  §8314(e)(2):  Enter the total number of units restricted to occupancy by Special Needs Populations under any Department programs (“Special Needs Population” is defined in  §7301(s) of the Multifamily Housing Program (MHP) Regulations." xr:uid="{00000000-0004-0000-1900-000000000000}"/>
    <hyperlink ref="B9:N9" r:id="rId2" location="guidelines" display=" (*click here for definition - §7301(s) of the MHP Regulations)." xr:uid="{00000000-0004-0000-1900-000001000000}"/>
  </hyperlinks>
  <printOptions horizontalCentered="1"/>
  <pageMargins left="0" right="0.25" top="0" bottom="0" header="0.25" footer="0.25"/>
  <pageSetup scale="65" orientation="portrait" r:id="rId3"/>
  <headerFooter>
    <oddFooter>&amp;L&amp;F&amp;C&amp;P of &amp;N&amp;R &amp;A</oddFooter>
  </headerFooter>
  <legacyDrawing r:id="rId4"/>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1"/>
  <dimension ref="B2:AN26"/>
  <sheetViews>
    <sheetView showGridLines="0" zoomScaleNormal="100" zoomScaleSheetLayoutView="100" workbookViewId="0">
      <selection activeCell="C14" sqref="C14:R14"/>
    </sheetView>
  </sheetViews>
  <sheetFormatPr defaultColWidth="9.109375" defaultRowHeight="18" customHeight="1"/>
  <cols>
    <col min="1" max="1" width="4.6640625" style="15" customWidth="1"/>
    <col min="2" max="39" width="4.109375" style="15" customWidth="1"/>
    <col min="40" max="16384" width="9.109375" style="15"/>
  </cols>
  <sheetData>
    <row r="2" spans="2:40" s="109" customFormat="1" ht="42.75" customHeight="1">
      <c r="B2" s="3750" t="s">
        <v>3950</v>
      </c>
      <c r="C2" s="3750"/>
      <c r="D2" s="3750"/>
      <c r="E2" s="3750"/>
      <c r="F2" s="3750"/>
      <c r="G2" s="3750"/>
      <c r="H2" s="3750"/>
      <c r="I2" s="3750"/>
      <c r="J2" s="3750"/>
      <c r="K2" s="3750"/>
      <c r="L2" s="3750"/>
      <c r="M2" s="3750"/>
      <c r="N2" s="3750"/>
      <c r="O2" s="3750"/>
      <c r="P2" s="3750"/>
      <c r="Q2" s="3750"/>
      <c r="R2" s="3750"/>
      <c r="S2" s="3750"/>
      <c r="T2" s="3750"/>
      <c r="U2" s="3750"/>
      <c r="V2" s="3750"/>
      <c r="W2" s="3750"/>
      <c r="X2" s="3750"/>
      <c r="Y2" s="3750"/>
      <c r="Z2" s="3750"/>
      <c r="AA2" s="3750"/>
      <c r="AB2" s="3750"/>
      <c r="AC2" s="3750"/>
      <c r="AD2" s="3750"/>
      <c r="AE2" s="3750"/>
      <c r="AF2" s="3750"/>
      <c r="AG2" s="3750"/>
      <c r="AH2" s="3750"/>
      <c r="AI2" s="3750"/>
      <c r="AJ2" s="3750"/>
      <c r="AK2" s="3750"/>
      <c r="AL2" s="3750"/>
      <c r="AM2" s="3750"/>
    </row>
    <row r="3" spans="2:40" s="109" customFormat="1" ht="9" customHeight="1">
      <c r="B3" s="435"/>
      <c r="C3" s="435"/>
      <c r="D3" s="435"/>
      <c r="E3" s="435"/>
      <c r="F3" s="435"/>
      <c r="G3" s="435"/>
      <c r="H3" s="435"/>
      <c r="I3" s="435"/>
      <c r="J3" s="435"/>
      <c r="K3" s="435"/>
      <c r="L3" s="435"/>
      <c r="M3" s="435"/>
      <c r="N3" s="435"/>
      <c r="O3" s="435"/>
      <c r="P3" s="435"/>
      <c r="Q3" s="435"/>
      <c r="R3" s="435"/>
      <c r="S3" s="435"/>
      <c r="T3" s="435"/>
      <c r="U3" s="435"/>
      <c r="V3" s="435"/>
      <c r="W3" s="435"/>
      <c r="X3" s="435"/>
      <c r="Y3" s="435"/>
      <c r="Z3" s="435"/>
      <c r="AA3" s="435"/>
      <c r="AB3" s="435"/>
      <c r="AC3" s="435"/>
      <c r="AD3" s="435"/>
      <c r="AE3" s="435"/>
      <c r="AF3" s="435"/>
      <c r="AG3" s="435"/>
      <c r="AH3" s="435"/>
      <c r="AI3" s="435"/>
      <c r="AJ3" s="435"/>
      <c r="AK3" s="435"/>
      <c r="AL3" s="435"/>
      <c r="AM3" s="435"/>
    </row>
    <row r="4" spans="2:40" s="109" customFormat="1" ht="18" customHeight="1">
      <c r="B4" s="3758" t="s">
        <v>3951</v>
      </c>
      <c r="C4" s="3759"/>
      <c r="D4" s="3759"/>
      <c r="E4" s="3759"/>
      <c r="F4" s="3759"/>
      <c r="G4" s="3759"/>
      <c r="H4" s="3759"/>
      <c r="I4" s="3759"/>
      <c r="J4" s="3759"/>
      <c r="K4" s="3759"/>
      <c r="L4" s="3759"/>
      <c r="M4" s="3759"/>
      <c r="N4" s="3759"/>
      <c r="O4" s="3759"/>
      <c r="P4" s="3759"/>
      <c r="Q4" s="3759"/>
      <c r="R4" s="3759"/>
      <c r="S4" s="3759"/>
      <c r="T4" s="3759"/>
      <c r="U4" s="3759"/>
      <c r="V4" s="3759"/>
      <c r="W4" s="3760"/>
      <c r="X4" s="3760"/>
      <c r="Y4" s="3760"/>
      <c r="Z4" s="3760"/>
      <c r="AA4" s="3760"/>
      <c r="AB4" s="3760"/>
      <c r="AC4" s="3760"/>
      <c r="AD4" s="3760"/>
      <c r="AE4" s="3760"/>
      <c r="AF4" s="3760"/>
      <c r="AG4" s="3760"/>
      <c r="AH4" s="3760"/>
      <c r="AI4" s="3760"/>
      <c r="AJ4" s="3760"/>
      <c r="AK4" s="3760"/>
      <c r="AL4" s="3760"/>
      <c r="AM4" s="3760"/>
    </row>
    <row r="5" spans="2:40" s="172" customFormat="1" ht="18" customHeight="1">
      <c r="B5" s="3752" t="s">
        <v>3952</v>
      </c>
      <c r="C5" s="3752"/>
      <c r="D5" s="3752"/>
      <c r="E5" s="3752"/>
      <c r="F5" s="3752"/>
      <c r="G5" s="3752"/>
      <c r="H5" s="3752"/>
      <c r="I5" s="3752"/>
      <c r="J5" s="3752"/>
      <c r="K5" s="3752"/>
      <c r="L5" s="3752"/>
      <c r="M5" s="3752"/>
      <c r="N5" s="3752"/>
      <c r="O5" s="3752"/>
      <c r="P5" s="3752"/>
      <c r="Q5" s="3752"/>
      <c r="R5" s="3752"/>
      <c r="S5" s="3752"/>
      <c r="T5" s="3752"/>
      <c r="U5" s="3752"/>
      <c r="V5" s="3752"/>
      <c r="W5" s="3752"/>
      <c r="X5" s="3752"/>
      <c r="Y5" s="3752"/>
      <c r="Z5" s="3752"/>
      <c r="AA5" s="3752"/>
      <c r="AB5" s="3752"/>
      <c r="AC5" s="3752"/>
      <c r="AD5" s="3752"/>
      <c r="AE5" s="3752"/>
      <c r="AF5" s="3752"/>
      <c r="AG5" s="3752"/>
      <c r="AH5" s="3752"/>
      <c r="AI5" s="3752"/>
      <c r="AJ5" s="3752"/>
      <c r="AK5" s="3752"/>
      <c r="AL5" s="3752"/>
      <c r="AM5" s="3752"/>
    </row>
    <row r="6" spans="2:40" s="271" customFormat="1" ht="54" customHeight="1">
      <c r="B6" s="3761" t="s">
        <v>3953</v>
      </c>
      <c r="C6" s="3761"/>
      <c r="D6" s="3761"/>
      <c r="E6" s="3761"/>
      <c r="F6" s="3761"/>
      <c r="G6" s="3761"/>
      <c r="H6" s="3761"/>
      <c r="I6" s="3761"/>
      <c r="J6" s="3761"/>
      <c r="K6" s="3761"/>
      <c r="L6" s="3761"/>
      <c r="M6" s="3761"/>
      <c r="N6" s="3761"/>
      <c r="O6" s="3761"/>
      <c r="P6" s="3761"/>
      <c r="Q6" s="3761"/>
      <c r="R6" s="3761"/>
      <c r="S6" s="3761"/>
      <c r="T6" s="3761"/>
      <c r="U6" s="3761"/>
      <c r="V6" s="3761"/>
      <c r="W6" s="3761"/>
      <c r="X6" s="3761"/>
      <c r="Y6" s="3761"/>
      <c r="Z6" s="3761"/>
      <c r="AA6" s="3761"/>
      <c r="AB6" s="3761"/>
      <c r="AC6" s="3761"/>
      <c r="AD6" s="3761"/>
      <c r="AE6" s="3761"/>
      <c r="AF6" s="3761"/>
      <c r="AG6" s="3761"/>
      <c r="AH6" s="3761"/>
      <c r="AI6" s="3761"/>
      <c r="AJ6" s="3761"/>
      <c r="AK6" s="3761"/>
      <c r="AL6" s="3761"/>
      <c r="AM6" s="3761"/>
      <c r="AN6" s="172"/>
    </row>
    <row r="7" spans="2:40" s="271" customFormat="1" ht="54" customHeight="1">
      <c r="B7" s="3747" t="s">
        <v>3954</v>
      </c>
      <c r="C7" s="3748"/>
      <c r="D7" s="3748"/>
      <c r="E7" s="3748"/>
      <c r="F7" s="3748"/>
      <c r="G7" s="3748"/>
      <c r="H7" s="3748"/>
      <c r="I7" s="3748"/>
      <c r="J7" s="3748"/>
      <c r="K7" s="3748"/>
      <c r="L7" s="3748"/>
      <c r="M7" s="3748"/>
      <c r="N7" s="3748"/>
      <c r="O7" s="3748"/>
      <c r="P7" s="3748"/>
      <c r="Q7" s="3748"/>
      <c r="R7" s="3749"/>
      <c r="S7" s="3746" t="s">
        <v>3955</v>
      </c>
      <c r="T7" s="3746"/>
      <c r="U7" s="3746" t="s">
        <v>3956</v>
      </c>
      <c r="V7" s="3746"/>
      <c r="W7" s="3746"/>
      <c r="X7" s="3746"/>
      <c r="Y7" s="3746"/>
      <c r="Z7" s="3746"/>
      <c r="AA7" s="3746"/>
      <c r="AB7" s="3746"/>
      <c r="AC7" s="3746"/>
      <c r="AD7" s="3746"/>
      <c r="AE7" s="3746"/>
      <c r="AF7" s="3746" t="s">
        <v>3957</v>
      </c>
      <c r="AG7" s="3746"/>
      <c r="AH7" s="3746"/>
      <c r="AI7" s="3746" t="s">
        <v>3958</v>
      </c>
      <c r="AJ7" s="3746"/>
      <c r="AK7" s="3746"/>
      <c r="AL7" s="3746"/>
      <c r="AM7" s="3746"/>
    </row>
    <row r="8" spans="2:40" s="104" customFormat="1" ht="18" customHeight="1">
      <c r="B8" s="1489">
        <v>1</v>
      </c>
      <c r="C8" s="3745"/>
      <c r="D8" s="3745"/>
      <c r="E8" s="3745"/>
      <c r="F8" s="3745"/>
      <c r="G8" s="3745"/>
      <c r="H8" s="3745"/>
      <c r="I8" s="3745"/>
      <c r="J8" s="3745"/>
      <c r="K8" s="3745"/>
      <c r="L8" s="3745"/>
      <c r="M8" s="3745"/>
      <c r="N8" s="3745"/>
      <c r="O8" s="3745"/>
      <c r="P8" s="3745"/>
      <c r="Q8" s="3745"/>
      <c r="R8" s="3745"/>
      <c r="S8" s="1727"/>
      <c r="T8" s="1727"/>
      <c r="U8" s="3744"/>
      <c r="V8" s="3744"/>
      <c r="W8" s="3744"/>
      <c r="X8" s="3744"/>
      <c r="Y8" s="3744"/>
      <c r="Z8" s="3744"/>
      <c r="AA8" s="3744"/>
      <c r="AB8" s="3744"/>
      <c r="AC8" s="3744"/>
      <c r="AD8" s="3744"/>
      <c r="AE8" s="3744"/>
      <c r="AF8" s="3751"/>
      <c r="AG8" s="3751"/>
      <c r="AH8" s="3751"/>
      <c r="AI8" s="3751"/>
      <c r="AJ8" s="3751"/>
      <c r="AK8" s="3751"/>
      <c r="AL8" s="3751"/>
      <c r="AM8" s="3751"/>
    </row>
    <row r="9" spans="2:40" s="104" customFormat="1" ht="18" customHeight="1">
      <c r="B9" s="1489">
        <v>2</v>
      </c>
      <c r="C9" s="3745"/>
      <c r="D9" s="3745"/>
      <c r="E9" s="3745"/>
      <c r="F9" s="3745"/>
      <c r="G9" s="3745"/>
      <c r="H9" s="3745"/>
      <c r="I9" s="3745"/>
      <c r="J9" s="3745"/>
      <c r="K9" s="3745"/>
      <c r="L9" s="3745"/>
      <c r="M9" s="3745"/>
      <c r="N9" s="3745"/>
      <c r="O9" s="3745"/>
      <c r="P9" s="3745"/>
      <c r="Q9" s="3745"/>
      <c r="R9" s="3745"/>
      <c r="S9" s="1727"/>
      <c r="T9" s="1727"/>
      <c r="U9" s="3744"/>
      <c r="V9" s="3744"/>
      <c r="W9" s="3744"/>
      <c r="X9" s="3744"/>
      <c r="Y9" s="3744"/>
      <c r="Z9" s="3744"/>
      <c r="AA9" s="3744"/>
      <c r="AB9" s="3744"/>
      <c r="AC9" s="3744"/>
      <c r="AD9" s="3744"/>
      <c r="AE9" s="3744"/>
      <c r="AF9" s="3751"/>
      <c r="AG9" s="3751"/>
      <c r="AH9" s="3751"/>
      <c r="AI9" s="3751"/>
      <c r="AJ9" s="3751"/>
      <c r="AK9" s="3751"/>
      <c r="AL9" s="3751"/>
      <c r="AM9" s="3751"/>
    </row>
    <row r="10" spans="2:40" s="104" customFormat="1" ht="18" customHeight="1">
      <c r="B10" s="1489">
        <v>3</v>
      </c>
      <c r="C10" s="3745"/>
      <c r="D10" s="3745"/>
      <c r="E10" s="3745"/>
      <c r="F10" s="3745"/>
      <c r="G10" s="3745"/>
      <c r="H10" s="3745"/>
      <c r="I10" s="3745"/>
      <c r="J10" s="3745"/>
      <c r="K10" s="3745"/>
      <c r="L10" s="3745"/>
      <c r="M10" s="3745"/>
      <c r="N10" s="3745"/>
      <c r="O10" s="3745"/>
      <c r="P10" s="3745"/>
      <c r="Q10" s="3745"/>
      <c r="R10" s="3745"/>
      <c r="S10" s="1727"/>
      <c r="T10" s="1727"/>
      <c r="U10" s="3744"/>
      <c r="V10" s="3744"/>
      <c r="W10" s="3744"/>
      <c r="X10" s="3744"/>
      <c r="Y10" s="3744"/>
      <c r="Z10" s="3744"/>
      <c r="AA10" s="3744"/>
      <c r="AB10" s="3744"/>
      <c r="AC10" s="3744"/>
      <c r="AD10" s="3744"/>
      <c r="AE10" s="3744"/>
      <c r="AF10" s="3751"/>
      <c r="AG10" s="3751"/>
      <c r="AH10" s="3751"/>
      <c r="AI10" s="3751"/>
      <c r="AJ10" s="3751"/>
      <c r="AK10" s="3751"/>
      <c r="AL10" s="3751"/>
      <c r="AM10" s="3751"/>
    </row>
    <row r="11" spans="2:40" s="104" customFormat="1" ht="36" customHeight="1">
      <c r="B11" s="1736" t="s">
        <v>676</v>
      </c>
      <c r="C11" s="1736"/>
      <c r="D11" s="1736"/>
      <c r="E11" s="1859" t="str">
        <f>'Document Checklist'!$E$100</f>
        <v>21. Sponsor SOQ</v>
      </c>
      <c r="F11" s="1859"/>
      <c r="G11" s="1859"/>
      <c r="H11" s="1859"/>
      <c r="I11" s="1859"/>
      <c r="J11" s="1859"/>
      <c r="K11" s="1859"/>
      <c r="L11" s="1859"/>
      <c r="M11" s="1859"/>
      <c r="N11" s="2497" t="str">
        <f>'Document Checklist'!$N$100</f>
        <v>Statement of Qualifications regarding owning and managing Supportive Housing Projects include list of projects.</v>
      </c>
      <c r="O11" s="2497"/>
      <c r="P11" s="2497"/>
      <c r="Q11" s="2497"/>
      <c r="R11" s="2497"/>
      <c r="S11" s="2497"/>
      <c r="T11" s="2497"/>
      <c r="U11" s="2497"/>
      <c r="V11" s="2497"/>
      <c r="W11" s="2497"/>
      <c r="X11" s="2497"/>
      <c r="Y11" s="2497"/>
      <c r="Z11" s="2497"/>
      <c r="AA11" s="2497"/>
      <c r="AB11" s="2497"/>
      <c r="AC11" s="2497"/>
      <c r="AD11" s="2497"/>
      <c r="AE11" s="2497"/>
      <c r="AF11" s="2109" t="s">
        <v>843</v>
      </c>
      <c r="AG11" s="3743"/>
      <c r="AH11" s="3743"/>
      <c r="AI11" s="3743"/>
      <c r="AJ11" s="3743"/>
      <c r="AK11" s="3743"/>
      <c r="AL11" s="3742"/>
      <c r="AM11" s="3742"/>
    </row>
    <row r="12" spans="2:40" s="103" customFormat="1" ht="36" customHeight="1">
      <c r="B12" s="3753" t="s">
        <v>3959</v>
      </c>
      <c r="C12" s="3754"/>
      <c r="D12" s="3754"/>
      <c r="E12" s="3754"/>
      <c r="F12" s="3754"/>
      <c r="G12" s="3754"/>
      <c r="H12" s="3754"/>
      <c r="I12" s="3754"/>
      <c r="J12" s="3754"/>
      <c r="K12" s="3754"/>
      <c r="L12" s="3754"/>
      <c r="M12" s="3754"/>
      <c r="N12" s="3754"/>
      <c r="O12" s="3754"/>
      <c r="P12" s="3754"/>
      <c r="Q12" s="3754"/>
      <c r="R12" s="3754"/>
      <c r="S12" s="3754"/>
      <c r="T12" s="3754"/>
      <c r="U12" s="3754"/>
      <c r="V12" s="3754"/>
      <c r="W12" s="3754"/>
      <c r="X12" s="3754"/>
      <c r="Y12" s="3754"/>
      <c r="Z12" s="3754"/>
      <c r="AA12" s="3754"/>
      <c r="AB12" s="3754"/>
      <c r="AC12" s="3754"/>
      <c r="AD12" s="3754"/>
      <c r="AE12" s="3754"/>
      <c r="AF12" s="3754"/>
      <c r="AG12" s="3754"/>
      <c r="AH12" s="3754"/>
      <c r="AI12" s="3754"/>
      <c r="AJ12" s="3755" t="s">
        <v>3960</v>
      </c>
      <c r="AK12" s="3756"/>
      <c r="AL12" s="3757">
        <f>SUM($AF$14:$AM$16)/12</f>
        <v>0</v>
      </c>
      <c r="AM12" s="3757"/>
      <c r="AN12" s="106"/>
    </row>
    <row r="13" spans="2:40" s="270" customFormat="1" ht="54" customHeight="1">
      <c r="B13" s="3747" t="s">
        <v>3954</v>
      </c>
      <c r="C13" s="3748"/>
      <c r="D13" s="3748"/>
      <c r="E13" s="3748"/>
      <c r="F13" s="3748"/>
      <c r="G13" s="3748"/>
      <c r="H13" s="3748"/>
      <c r="I13" s="3748"/>
      <c r="J13" s="3748"/>
      <c r="K13" s="3748"/>
      <c r="L13" s="3748"/>
      <c r="M13" s="3748"/>
      <c r="N13" s="3748"/>
      <c r="O13" s="3748"/>
      <c r="P13" s="3748"/>
      <c r="Q13" s="3748"/>
      <c r="R13" s="3749"/>
      <c r="S13" s="3746" t="s">
        <v>3955</v>
      </c>
      <c r="T13" s="3746"/>
      <c r="U13" s="3746" t="s">
        <v>3956</v>
      </c>
      <c r="V13" s="3746"/>
      <c r="W13" s="3746"/>
      <c r="X13" s="3746"/>
      <c r="Y13" s="3746"/>
      <c r="Z13" s="3746"/>
      <c r="AA13" s="3746"/>
      <c r="AB13" s="3746"/>
      <c r="AC13" s="3746"/>
      <c r="AD13" s="3746"/>
      <c r="AE13" s="3746"/>
      <c r="AF13" s="3746" t="s">
        <v>3961</v>
      </c>
      <c r="AG13" s="3746"/>
      <c r="AH13" s="3746"/>
      <c r="AI13" s="3746"/>
      <c r="AJ13" s="3746"/>
      <c r="AK13" s="3746"/>
      <c r="AL13" s="3746"/>
      <c r="AM13" s="3746"/>
    </row>
    <row r="14" spans="2:40" ht="18" customHeight="1">
      <c r="B14" s="1489">
        <v>1</v>
      </c>
      <c r="C14" s="3745"/>
      <c r="D14" s="3745"/>
      <c r="E14" s="3745"/>
      <c r="F14" s="3745"/>
      <c r="G14" s="3745"/>
      <c r="H14" s="3745"/>
      <c r="I14" s="3745"/>
      <c r="J14" s="3745"/>
      <c r="K14" s="3745"/>
      <c r="L14" s="3745"/>
      <c r="M14" s="3745"/>
      <c r="N14" s="3745"/>
      <c r="O14" s="3745"/>
      <c r="P14" s="3745"/>
      <c r="Q14" s="3745"/>
      <c r="R14" s="3745"/>
      <c r="S14" s="1727"/>
      <c r="T14" s="1727"/>
      <c r="U14" s="3744"/>
      <c r="V14" s="3744"/>
      <c r="W14" s="3744"/>
      <c r="X14" s="3744"/>
      <c r="Y14" s="3744"/>
      <c r="Z14" s="3744"/>
      <c r="AA14" s="3744"/>
      <c r="AB14" s="3744"/>
      <c r="AC14" s="3744"/>
      <c r="AD14" s="3744"/>
      <c r="AE14" s="3744"/>
      <c r="AF14" s="1727"/>
      <c r="AG14" s="1727"/>
      <c r="AH14" s="1727"/>
      <c r="AI14" s="1727"/>
      <c r="AJ14" s="1727"/>
      <c r="AK14" s="1727"/>
      <c r="AL14" s="1727"/>
      <c r="AM14" s="1727"/>
    </row>
    <row r="15" spans="2:40" ht="18" customHeight="1">
      <c r="B15" s="1489">
        <v>2</v>
      </c>
      <c r="C15" s="3745"/>
      <c r="D15" s="3745"/>
      <c r="E15" s="3745"/>
      <c r="F15" s="3745"/>
      <c r="G15" s="3745"/>
      <c r="H15" s="3745"/>
      <c r="I15" s="3745"/>
      <c r="J15" s="3745"/>
      <c r="K15" s="3745"/>
      <c r="L15" s="3745"/>
      <c r="M15" s="3745"/>
      <c r="N15" s="3745"/>
      <c r="O15" s="3745"/>
      <c r="P15" s="3745"/>
      <c r="Q15" s="3745"/>
      <c r="R15" s="3745"/>
      <c r="S15" s="1727"/>
      <c r="T15" s="1727"/>
      <c r="U15" s="3744"/>
      <c r="V15" s="3744"/>
      <c r="W15" s="3744"/>
      <c r="X15" s="3744"/>
      <c r="Y15" s="3744"/>
      <c r="Z15" s="3744"/>
      <c r="AA15" s="3744"/>
      <c r="AB15" s="3744"/>
      <c r="AC15" s="3744"/>
      <c r="AD15" s="3744"/>
      <c r="AE15" s="3744"/>
      <c r="AF15" s="3751"/>
      <c r="AG15" s="3751"/>
      <c r="AH15" s="3751"/>
      <c r="AI15" s="3751"/>
      <c r="AJ15" s="3751"/>
      <c r="AK15" s="3751"/>
      <c r="AL15" s="3751"/>
      <c r="AM15" s="3751"/>
    </row>
    <row r="16" spans="2:40" ht="18" customHeight="1">
      <c r="B16" s="1489">
        <v>3</v>
      </c>
      <c r="C16" s="3745"/>
      <c r="D16" s="3745"/>
      <c r="E16" s="3745"/>
      <c r="F16" s="3745"/>
      <c r="G16" s="3745"/>
      <c r="H16" s="3745"/>
      <c r="I16" s="3745"/>
      <c r="J16" s="3745"/>
      <c r="K16" s="3745"/>
      <c r="L16" s="3745"/>
      <c r="M16" s="3745"/>
      <c r="N16" s="3745"/>
      <c r="O16" s="3745"/>
      <c r="P16" s="3745"/>
      <c r="Q16" s="3745"/>
      <c r="R16" s="3745"/>
      <c r="S16" s="1727"/>
      <c r="T16" s="1727"/>
      <c r="U16" s="3744"/>
      <c r="V16" s="3744"/>
      <c r="W16" s="3744"/>
      <c r="X16" s="3744"/>
      <c r="Y16" s="3744"/>
      <c r="Z16" s="3744"/>
      <c r="AA16" s="3744"/>
      <c r="AB16" s="3744"/>
      <c r="AC16" s="3744"/>
      <c r="AD16" s="3744"/>
      <c r="AE16" s="3744"/>
      <c r="AF16" s="3751"/>
      <c r="AG16" s="3751"/>
      <c r="AH16" s="3751"/>
      <c r="AI16" s="3751"/>
      <c r="AJ16" s="3751"/>
      <c r="AK16" s="3751"/>
      <c r="AL16" s="3751"/>
      <c r="AM16" s="3751"/>
    </row>
    <row r="17" spans="2:40" s="104" customFormat="1" ht="36" customHeight="1">
      <c r="B17" s="1736" t="s">
        <v>676</v>
      </c>
      <c r="C17" s="1736"/>
      <c r="D17" s="1736"/>
      <c r="E17" s="1859" t="str">
        <f>'Document Checklist'!$E$101</f>
        <v>22. Property Management SOQ</v>
      </c>
      <c r="F17" s="1859"/>
      <c r="G17" s="1859"/>
      <c r="H17" s="1859"/>
      <c r="I17" s="1859"/>
      <c r="J17" s="1859"/>
      <c r="K17" s="1859"/>
      <c r="L17" s="1859"/>
      <c r="M17" s="1859"/>
      <c r="N17" s="2497" t="str">
        <f>'Document Checklist'!$N$101</f>
        <v>Property Management Statement of Qualifications regarding owing and managing Supportive Housing Projects include list of projects.</v>
      </c>
      <c r="O17" s="2497"/>
      <c r="P17" s="2497"/>
      <c r="Q17" s="2497"/>
      <c r="R17" s="2497"/>
      <c r="S17" s="2497"/>
      <c r="T17" s="2497"/>
      <c r="U17" s="2497"/>
      <c r="V17" s="2497"/>
      <c r="W17" s="2497"/>
      <c r="X17" s="2497"/>
      <c r="Y17" s="2497"/>
      <c r="Z17" s="2497"/>
      <c r="AA17" s="2497"/>
      <c r="AB17" s="2497"/>
      <c r="AC17" s="2497"/>
      <c r="AD17" s="2497"/>
      <c r="AE17" s="2497"/>
      <c r="AF17" s="2109" t="s">
        <v>843</v>
      </c>
      <c r="AG17" s="3743"/>
      <c r="AH17" s="3743"/>
      <c r="AI17" s="3743"/>
      <c r="AJ17" s="3743"/>
      <c r="AK17" s="3743"/>
      <c r="AL17" s="3742"/>
      <c r="AM17" s="3742"/>
      <c r="AN17" s="105"/>
    </row>
    <row r="18" spans="2:40" ht="90" customHeight="1">
      <c r="B18" s="3753" t="s">
        <v>3962</v>
      </c>
      <c r="C18" s="3754"/>
      <c r="D18" s="3754"/>
      <c r="E18" s="3754"/>
      <c r="F18" s="3754"/>
      <c r="G18" s="3754"/>
      <c r="H18" s="3754"/>
      <c r="I18" s="3754"/>
      <c r="J18" s="3754"/>
      <c r="K18" s="3754"/>
      <c r="L18" s="3754"/>
      <c r="M18" s="3754"/>
      <c r="N18" s="3754"/>
      <c r="O18" s="3754"/>
      <c r="P18" s="3754"/>
      <c r="Q18" s="3754"/>
      <c r="R18" s="3754"/>
      <c r="S18" s="3754"/>
      <c r="T18" s="3754"/>
      <c r="U18" s="3754"/>
      <c r="V18" s="3754"/>
      <c r="W18" s="3754"/>
      <c r="X18" s="3754"/>
      <c r="Y18" s="3754"/>
      <c r="Z18" s="3754"/>
      <c r="AA18" s="3754"/>
      <c r="AB18" s="3754"/>
      <c r="AC18" s="3754"/>
      <c r="AD18" s="3754"/>
      <c r="AE18" s="3754"/>
      <c r="AF18" s="3754"/>
      <c r="AG18" s="3754"/>
      <c r="AH18" s="3754"/>
      <c r="AI18" s="3754"/>
      <c r="AJ18" s="3755" t="s">
        <v>3960</v>
      </c>
      <c r="AK18" s="3756"/>
      <c r="AL18" s="3757">
        <f>SUM($AK$20:$AM$22)/12</f>
        <v>0</v>
      </c>
      <c r="AM18" s="3757"/>
    </row>
    <row r="19" spans="2:40" ht="54" customHeight="1">
      <c r="B19" s="3746" t="s">
        <v>3963</v>
      </c>
      <c r="C19" s="3746"/>
      <c r="D19" s="3746"/>
      <c r="E19" s="3746"/>
      <c r="F19" s="3746"/>
      <c r="G19" s="3746"/>
      <c r="H19" s="3746"/>
      <c r="I19" s="3746"/>
      <c r="J19" s="3746"/>
      <c r="K19" s="3746"/>
      <c r="L19" s="3746"/>
      <c r="M19" s="3746"/>
      <c r="N19" s="3746"/>
      <c r="O19" s="3746"/>
      <c r="P19" s="3746"/>
      <c r="Q19" s="3746"/>
      <c r="R19" s="3746"/>
      <c r="S19" s="3746"/>
      <c r="T19" s="3746"/>
      <c r="U19" s="3746"/>
      <c r="V19" s="3746"/>
      <c r="W19" s="3746"/>
      <c r="X19" s="3746" t="s">
        <v>3964</v>
      </c>
      <c r="Y19" s="3746"/>
      <c r="Z19" s="3746"/>
      <c r="AA19" s="3746"/>
      <c r="AB19" s="3746"/>
      <c r="AC19" s="3746"/>
      <c r="AD19" s="3746"/>
      <c r="AE19" s="3746"/>
      <c r="AF19" s="3746"/>
      <c r="AG19" s="3746"/>
      <c r="AH19" s="3746"/>
      <c r="AI19" s="3746" t="s">
        <v>3955</v>
      </c>
      <c r="AJ19" s="3746"/>
      <c r="AK19" s="3746" t="s">
        <v>3961</v>
      </c>
      <c r="AL19" s="3746"/>
      <c r="AM19" s="3746"/>
    </row>
    <row r="20" spans="2:40" ht="18" customHeight="1">
      <c r="B20" s="1489">
        <v>1</v>
      </c>
      <c r="C20" s="3765"/>
      <c r="D20" s="3765"/>
      <c r="E20" s="3765"/>
      <c r="F20" s="3765"/>
      <c r="G20" s="3765"/>
      <c r="H20" s="3765"/>
      <c r="I20" s="3765"/>
      <c r="J20" s="3765"/>
      <c r="K20" s="3765"/>
      <c r="L20" s="3765"/>
      <c r="M20" s="3765"/>
      <c r="N20" s="3765"/>
      <c r="O20" s="3765"/>
      <c r="P20" s="3765"/>
      <c r="Q20" s="3765"/>
      <c r="R20" s="3765"/>
      <c r="S20" s="3765"/>
      <c r="T20" s="3765"/>
      <c r="U20" s="3765"/>
      <c r="V20" s="3765"/>
      <c r="W20" s="3765"/>
      <c r="X20" s="3762"/>
      <c r="Y20" s="3762"/>
      <c r="Z20" s="3762"/>
      <c r="AA20" s="3762"/>
      <c r="AB20" s="3762"/>
      <c r="AC20" s="3762"/>
      <c r="AD20" s="3762"/>
      <c r="AE20" s="3762"/>
      <c r="AF20" s="3762"/>
      <c r="AG20" s="3762"/>
      <c r="AH20" s="3762"/>
      <c r="AI20" s="3763"/>
      <c r="AJ20" s="3763"/>
      <c r="AK20" s="3764"/>
      <c r="AL20" s="3764"/>
      <c r="AM20" s="3764"/>
    </row>
    <row r="21" spans="2:40" ht="18" customHeight="1">
      <c r="B21" s="1489">
        <v>2</v>
      </c>
      <c r="C21" s="3765"/>
      <c r="D21" s="3765"/>
      <c r="E21" s="3765"/>
      <c r="F21" s="3765"/>
      <c r="G21" s="3765"/>
      <c r="H21" s="3765"/>
      <c r="I21" s="3765"/>
      <c r="J21" s="3765"/>
      <c r="K21" s="3765"/>
      <c r="L21" s="3765"/>
      <c r="M21" s="3765"/>
      <c r="N21" s="3765"/>
      <c r="O21" s="3765"/>
      <c r="P21" s="3765"/>
      <c r="Q21" s="3765"/>
      <c r="R21" s="3765"/>
      <c r="S21" s="3765"/>
      <c r="T21" s="3765"/>
      <c r="U21" s="3765"/>
      <c r="V21" s="3765"/>
      <c r="W21" s="3765"/>
      <c r="X21" s="3762"/>
      <c r="Y21" s="3762"/>
      <c r="Z21" s="3762"/>
      <c r="AA21" s="3762"/>
      <c r="AB21" s="3762"/>
      <c r="AC21" s="3762"/>
      <c r="AD21" s="3762"/>
      <c r="AE21" s="3762"/>
      <c r="AF21" s="3762"/>
      <c r="AG21" s="3762"/>
      <c r="AH21" s="3762"/>
      <c r="AI21" s="3763"/>
      <c r="AJ21" s="3763"/>
      <c r="AK21" s="3764"/>
      <c r="AL21" s="3764"/>
      <c r="AM21" s="3764"/>
    </row>
    <row r="22" spans="2:40" ht="18" customHeight="1">
      <c r="B22" s="1489">
        <v>3</v>
      </c>
      <c r="C22" s="3765"/>
      <c r="D22" s="3765"/>
      <c r="E22" s="3765"/>
      <c r="F22" s="3765"/>
      <c r="G22" s="3765"/>
      <c r="H22" s="3765"/>
      <c r="I22" s="3765"/>
      <c r="J22" s="3765"/>
      <c r="K22" s="3765"/>
      <c r="L22" s="3765"/>
      <c r="M22" s="3765"/>
      <c r="N22" s="3765"/>
      <c r="O22" s="3765"/>
      <c r="P22" s="3765"/>
      <c r="Q22" s="3765"/>
      <c r="R22" s="3765"/>
      <c r="S22" s="3765"/>
      <c r="T22" s="3765"/>
      <c r="U22" s="3765"/>
      <c r="V22" s="3765"/>
      <c r="W22" s="3765"/>
      <c r="X22" s="3762"/>
      <c r="Y22" s="3762"/>
      <c r="Z22" s="3762"/>
      <c r="AA22" s="3762"/>
      <c r="AB22" s="3762"/>
      <c r="AC22" s="3762"/>
      <c r="AD22" s="3762"/>
      <c r="AE22" s="3762"/>
      <c r="AF22" s="3762"/>
      <c r="AG22" s="3762"/>
      <c r="AH22" s="3762"/>
      <c r="AI22" s="3763"/>
      <c r="AJ22" s="3763"/>
      <c r="AK22" s="3764"/>
      <c r="AL22" s="3764"/>
      <c r="AM22" s="3764"/>
    </row>
    <row r="23" spans="2:40" s="104" customFormat="1" ht="18" customHeight="1">
      <c r="B23" s="1736" t="s">
        <v>676</v>
      </c>
      <c r="C23" s="1736"/>
      <c r="D23" s="1736"/>
      <c r="E23" s="1859" t="str">
        <f>'Document Checklist'!$E$102</f>
        <v>23. LSP SOQ</v>
      </c>
      <c r="F23" s="1859"/>
      <c r="G23" s="1859"/>
      <c r="H23" s="1859"/>
      <c r="I23" s="1859"/>
      <c r="J23" s="1859"/>
      <c r="K23" s="1859"/>
      <c r="L23" s="1859"/>
      <c r="M23" s="1859"/>
      <c r="N23" s="2497" t="str">
        <f>'Document Checklist'!$N$102</f>
        <v>Statement of Qualifications of LSP Company &amp; Resumes of Principals.</v>
      </c>
      <c r="O23" s="2497"/>
      <c r="P23" s="2497"/>
      <c r="Q23" s="2497"/>
      <c r="R23" s="2497"/>
      <c r="S23" s="2497"/>
      <c r="T23" s="2497"/>
      <c r="U23" s="2497"/>
      <c r="V23" s="2497"/>
      <c r="W23" s="2497"/>
      <c r="X23" s="2497"/>
      <c r="Y23" s="2497"/>
      <c r="Z23" s="2497"/>
      <c r="AA23" s="2497"/>
      <c r="AB23" s="2497"/>
      <c r="AC23" s="2497"/>
      <c r="AD23" s="2497"/>
      <c r="AE23" s="2497"/>
      <c r="AF23" s="2109" t="s">
        <v>843</v>
      </c>
      <c r="AG23" s="3743"/>
      <c r="AH23" s="3743"/>
      <c r="AI23" s="3743"/>
      <c r="AJ23" s="3743"/>
      <c r="AK23" s="3743"/>
      <c r="AL23" s="3742"/>
      <c r="AM23" s="3742"/>
    </row>
    <row r="24" spans="2:40" s="104" customFormat="1" ht="72" customHeight="1">
      <c r="B24" s="1736" t="s">
        <v>676</v>
      </c>
      <c r="C24" s="1736"/>
      <c r="D24" s="1736"/>
      <c r="E24" s="1859" t="str">
        <f>'Document Checklist'!$E$103</f>
        <v>24. LSP Exp Contracts</v>
      </c>
      <c r="F24" s="1859"/>
      <c r="G24" s="1859"/>
      <c r="H24" s="1859"/>
      <c r="I24" s="1859"/>
      <c r="J24" s="1859"/>
      <c r="K24" s="1859"/>
      <c r="L24" s="1859"/>
      <c r="M24" s="1859"/>
      <c r="N24" s="2497" t="str">
        <f>'Document Checklist'!$N$103</f>
        <v>Executed contracts must be attached for experience to count.  Attach only these pages of the contract:  page(s) identifying the Project name, scope of work; term of the contract or agreement; and execution page(s) showing all signatures of all parties to the contracts.</v>
      </c>
      <c r="O24" s="2497"/>
      <c r="P24" s="2497"/>
      <c r="Q24" s="2497"/>
      <c r="R24" s="2497"/>
      <c r="S24" s="2497"/>
      <c r="T24" s="2497"/>
      <c r="U24" s="2497"/>
      <c r="V24" s="2497"/>
      <c r="W24" s="2497"/>
      <c r="X24" s="2497"/>
      <c r="Y24" s="2497"/>
      <c r="Z24" s="2497"/>
      <c r="AA24" s="2497"/>
      <c r="AB24" s="2497"/>
      <c r="AC24" s="2497"/>
      <c r="AD24" s="2497"/>
      <c r="AE24" s="2497"/>
      <c r="AF24" s="2109" t="s">
        <v>843</v>
      </c>
      <c r="AG24" s="3743"/>
      <c r="AH24" s="3743"/>
      <c r="AI24" s="3743"/>
      <c r="AJ24" s="3743"/>
      <c r="AK24" s="3743"/>
      <c r="AL24" s="3742"/>
      <c r="AM24" s="3742"/>
    </row>
    <row r="26" spans="2:40" ht="18" customHeight="1">
      <c r="B26" s="2489" t="s">
        <v>639</v>
      </c>
      <c r="C26" s="2489"/>
      <c r="D26" s="2489"/>
      <c r="E26" s="2489"/>
      <c r="F26" s="2489"/>
      <c r="G26" s="2489"/>
      <c r="H26" s="2489"/>
      <c r="I26" s="2489"/>
      <c r="J26" s="2489"/>
      <c r="K26" s="2489"/>
      <c r="L26" s="2489"/>
      <c r="M26" s="2489"/>
      <c r="N26" s="2489"/>
      <c r="O26" s="2489"/>
      <c r="P26" s="2489"/>
      <c r="Q26" s="2489"/>
      <c r="R26" s="2489"/>
      <c r="S26" s="2489"/>
      <c r="T26" s="2489"/>
      <c r="U26" s="2489"/>
      <c r="V26" s="2489"/>
      <c r="W26" s="2489"/>
      <c r="X26" s="2489"/>
      <c r="Y26" s="2489"/>
      <c r="Z26" s="2489"/>
      <c r="AA26" s="2489"/>
      <c r="AB26" s="2489"/>
      <c r="AC26" s="2489"/>
      <c r="AD26" s="2489"/>
      <c r="AE26" s="2489"/>
      <c r="AF26" s="2489"/>
      <c r="AG26" s="2489"/>
      <c r="AH26" s="2489"/>
      <c r="AI26" s="2489"/>
      <c r="AJ26" s="2489"/>
      <c r="AK26" s="2489"/>
      <c r="AL26" s="2489"/>
      <c r="AM26" s="2489"/>
    </row>
  </sheetData>
  <mergeCells count="84">
    <mergeCell ref="C9:R9"/>
    <mergeCell ref="C8:R8"/>
    <mergeCell ref="B11:D11"/>
    <mergeCell ref="E11:M11"/>
    <mergeCell ref="N11:AE11"/>
    <mergeCell ref="U9:AE9"/>
    <mergeCell ref="U8:AE8"/>
    <mergeCell ref="U10:AE10"/>
    <mergeCell ref="S10:T10"/>
    <mergeCell ref="C10:R10"/>
    <mergeCell ref="S9:T9"/>
    <mergeCell ref="AF13:AM13"/>
    <mergeCell ref="AF16:AM16"/>
    <mergeCell ref="AK21:AM21"/>
    <mergeCell ref="C22:W22"/>
    <mergeCell ref="X22:AH22"/>
    <mergeCell ref="AI22:AJ22"/>
    <mergeCell ref="AK22:AM22"/>
    <mergeCell ref="C21:W21"/>
    <mergeCell ref="X21:AH21"/>
    <mergeCell ref="AI21:AJ21"/>
    <mergeCell ref="C16:R16"/>
    <mergeCell ref="U14:AE14"/>
    <mergeCell ref="AK20:AM20"/>
    <mergeCell ref="AI19:AJ19"/>
    <mergeCell ref="AK19:AM19"/>
    <mergeCell ref="C20:W20"/>
    <mergeCell ref="X20:AH20"/>
    <mergeCell ref="AI20:AJ20"/>
    <mergeCell ref="AF9:AH9"/>
    <mergeCell ref="AI9:AM9"/>
    <mergeCell ref="S8:T8"/>
    <mergeCell ref="AF8:AH8"/>
    <mergeCell ref="AF11:AK11"/>
    <mergeCell ref="B19:W19"/>
    <mergeCell ref="X19:AH19"/>
    <mergeCell ref="B18:AI18"/>
    <mergeCell ref="AL18:AM18"/>
    <mergeCell ref="AJ18:AK18"/>
    <mergeCell ref="B17:D17"/>
    <mergeCell ref="E17:M17"/>
    <mergeCell ref="N17:AE17"/>
    <mergeCell ref="S16:T16"/>
    <mergeCell ref="AF7:AH7"/>
    <mergeCell ref="AI7:AM7"/>
    <mergeCell ref="AI8:AM8"/>
    <mergeCell ref="B4:V4"/>
    <mergeCell ref="W4:AM4"/>
    <mergeCell ref="U7:AE7"/>
    <mergeCell ref="B6:AM6"/>
    <mergeCell ref="B7:R7"/>
    <mergeCell ref="B2:AM2"/>
    <mergeCell ref="AF10:AH10"/>
    <mergeCell ref="AI10:AM10"/>
    <mergeCell ref="AL11:AM11"/>
    <mergeCell ref="AF17:AK17"/>
    <mergeCell ref="AL17:AM17"/>
    <mergeCell ref="AF15:AM15"/>
    <mergeCell ref="AF14:AM14"/>
    <mergeCell ref="C15:R15"/>
    <mergeCell ref="S15:T15"/>
    <mergeCell ref="U15:AE15"/>
    <mergeCell ref="B5:AM5"/>
    <mergeCell ref="S7:T7"/>
    <mergeCell ref="B12:AI12"/>
    <mergeCell ref="AJ12:AK12"/>
    <mergeCell ref="AL12:AM12"/>
    <mergeCell ref="U16:AE16"/>
    <mergeCell ref="C14:R14"/>
    <mergeCell ref="S14:T14"/>
    <mergeCell ref="S13:T13"/>
    <mergeCell ref="U13:AE13"/>
    <mergeCell ref="B13:R13"/>
    <mergeCell ref="B26:AM26"/>
    <mergeCell ref="AL23:AM23"/>
    <mergeCell ref="AF24:AK24"/>
    <mergeCell ref="AL24:AM24"/>
    <mergeCell ref="B24:D24"/>
    <mergeCell ref="E24:M24"/>
    <mergeCell ref="N24:AE24"/>
    <mergeCell ref="B23:D23"/>
    <mergeCell ref="E23:M23"/>
    <mergeCell ref="N23:AE23"/>
    <mergeCell ref="AF23:AK23"/>
  </mergeCells>
  <conditionalFormatting sqref="C8:C10">
    <cfRule type="expression" dxfId="367" priority="36">
      <formula>#REF!=1</formula>
    </cfRule>
  </conditionalFormatting>
  <conditionalFormatting sqref="AI20:AJ22 AF14">
    <cfRule type="cellIs" dxfId="366" priority="33" operator="between">
      <formula>1</formula>
      <formula>9</formula>
    </cfRule>
  </conditionalFormatting>
  <conditionalFormatting sqref="X20:AH22">
    <cfRule type="cellIs" dxfId="365" priority="32" operator="equal">
      <formula>"No"</formula>
    </cfRule>
  </conditionalFormatting>
  <conditionalFormatting sqref="AL18:AM18">
    <cfRule type="cellIs" dxfId="364" priority="31" operator="between">
      <formula>0.01</formula>
      <formula>2.99</formula>
    </cfRule>
  </conditionalFormatting>
  <conditionalFormatting sqref="S8:T10">
    <cfRule type="cellIs" dxfId="363" priority="16" operator="between">
      <formula>1</formula>
      <formula>9</formula>
    </cfRule>
  </conditionalFormatting>
  <conditionalFormatting sqref="U8:AE10">
    <cfRule type="cellIs" dxfId="362" priority="15" operator="equal">
      <formula>"No"</formula>
    </cfRule>
  </conditionalFormatting>
  <conditionalFormatting sqref="C14:C16">
    <cfRule type="expression" dxfId="361" priority="14">
      <formula>#REF!=1</formula>
    </cfRule>
  </conditionalFormatting>
  <conditionalFormatting sqref="S14:T16">
    <cfRule type="cellIs" dxfId="360" priority="13" operator="between">
      <formula>1</formula>
      <formula>9</formula>
    </cfRule>
  </conditionalFormatting>
  <conditionalFormatting sqref="U14:AE16">
    <cfRule type="cellIs" dxfId="359" priority="12" operator="equal">
      <formula>"No"</formula>
    </cfRule>
  </conditionalFormatting>
  <conditionalFormatting sqref="AL11">
    <cfRule type="cellIs" dxfId="358" priority="9" operator="equal">
      <formula>"No"</formula>
    </cfRule>
  </conditionalFormatting>
  <conditionalFormatting sqref="AL11">
    <cfRule type="cellIs" dxfId="357" priority="8" operator="equal">
      <formula>"No"</formula>
    </cfRule>
  </conditionalFormatting>
  <conditionalFormatting sqref="AL17">
    <cfRule type="cellIs" dxfId="356" priority="7" operator="equal">
      <formula>"No"</formula>
    </cfRule>
  </conditionalFormatting>
  <conditionalFormatting sqref="AL17">
    <cfRule type="cellIs" dxfId="355" priority="6" operator="equal">
      <formula>"No"</formula>
    </cfRule>
  </conditionalFormatting>
  <conditionalFormatting sqref="AL23">
    <cfRule type="cellIs" dxfId="354" priority="5" operator="equal">
      <formula>"No"</formula>
    </cfRule>
  </conditionalFormatting>
  <conditionalFormatting sqref="AL23">
    <cfRule type="cellIs" dxfId="353" priority="4" operator="equal">
      <formula>"No"</formula>
    </cfRule>
  </conditionalFormatting>
  <conditionalFormatting sqref="AL24">
    <cfRule type="cellIs" dxfId="352" priority="3" operator="equal">
      <formula>"No"</formula>
    </cfRule>
  </conditionalFormatting>
  <conditionalFormatting sqref="AL24">
    <cfRule type="cellIs" dxfId="351" priority="2" operator="equal">
      <formula>"No"</formula>
    </cfRule>
  </conditionalFormatting>
  <conditionalFormatting sqref="AL18:AM18 AL12:AM12">
    <cfRule type="cellIs" dxfId="350" priority="1" operator="between">
      <formula>0.01</formula>
      <formula>2.999</formula>
    </cfRule>
  </conditionalFormatting>
  <dataValidations count="4">
    <dataValidation type="list" allowBlank="1" showInputMessage="1" showErrorMessage="1" sqref="U8:AE10 U14:AE16 X20:AH22" xr:uid="{00000000-0002-0000-1A00-000000000000}">
      <formula1>"Yes,No"</formula1>
    </dataValidation>
    <dataValidation type="list" allowBlank="1" showInputMessage="1" showErrorMessage="1" sqref="AF8:AH10" xr:uid="{00000000-0002-0000-1A00-000001000000}">
      <formula1>"Owned,Operated"</formula1>
    </dataValidation>
    <dataValidation type="list" allowBlank="1" showInputMessage="1" showErrorMessage="1" sqref="AL11 AL17 AL23:AL24" xr:uid="{00000000-0002-0000-1A00-000002000000}">
      <formula1>"Yes, No"</formula1>
    </dataValidation>
    <dataValidation type="list" allowBlank="1" showInputMessage="1" showErrorMessage="1" sqref="AI8:AM10" xr:uid="{00000000-0002-0000-1A00-000003000000}">
      <formula1>"2020,2019,2018,2017,2016,2015,2014"</formula1>
    </dataValidation>
  </dataValidations>
  <printOptions horizontalCentered="1"/>
  <pageMargins left="0" right="0.25" top="0" bottom="0" header="0.25" footer="0.25"/>
  <pageSetup scale="65" orientation="portrait" r:id="rId1"/>
  <headerFooter>
    <oddFooter>&amp;L&amp;F&amp;C&amp;P of &amp;N&amp;R &amp;A</oddFooter>
  </headerFooter>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5"/>
  <dimension ref="B2:AM22"/>
  <sheetViews>
    <sheetView showGridLines="0" zoomScaleNormal="100" zoomScaleSheetLayoutView="100" workbookViewId="0">
      <selection activeCell="AN28" sqref="AN28"/>
    </sheetView>
  </sheetViews>
  <sheetFormatPr defaultColWidth="9.109375" defaultRowHeight="18" customHeight="1"/>
  <cols>
    <col min="1" max="39" width="4.109375" style="41" customWidth="1"/>
    <col min="40" max="16384" width="9.109375" style="41"/>
  </cols>
  <sheetData>
    <row r="2" spans="2:39" ht="24" customHeight="1">
      <c r="B2" s="3775" t="s">
        <v>3965</v>
      </c>
      <c r="C2" s="3775"/>
      <c r="D2" s="3775"/>
      <c r="E2" s="3775"/>
      <c r="F2" s="3775"/>
      <c r="G2" s="3775"/>
      <c r="H2" s="3775"/>
      <c r="I2" s="3775"/>
      <c r="J2" s="3775"/>
      <c r="K2" s="3775"/>
      <c r="L2" s="3775"/>
      <c r="M2" s="3775"/>
      <c r="N2" s="3775"/>
      <c r="O2" s="3775"/>
      <c r="P2" s="3775"/>
      <c r="Q2" s="3775"/>
      <c r="R2" s="3775"/>
      <c r="S2" s="3775"/>
      <c r="T2" s="3775"/>
      <c r="U2" s="3775"/>
      <c r="V2" s="3775"/>
      <c r="W2" s="3775"/>
      <c r="X2" s="3775"/>
      <c r="Y2" s="3775"/>
      <c r="Z2" s="3775"/>
      <c r="AA2" s="3775"/>
      <c r="AB2" s="3775"/>
      <c r="AC2" s="3775"/>
      <c r="AD2" s="3775"/>
      <c r="AE2" s="3775"/>
      <c r="AF2" s="3775"/>
      <c r="AG2" s="3775"/>
      <c r="AH2" s="3775"/>
      <c r="AI2" s="3775"/>
      <c r="AJ2" s="3775"/>
      <c r="AK2" s="3775"/>
      <c r="AL2" s="3775"/>
      <c r="AM2" s="3775"/>
    </row>
    <row r="3" spans="2:39" ht="18" customHeight="1">
      <c r="B3" s="3776" t="s">
        <v>3966</v>
      </c>
      <c r="C3" s="3776"/>
      <c r="D3" s="3776"/>
      <c r="E3" s="3776"/>
      <c r="F3" s="3776"/>
      <c r="G3" s="3776"/>
      <c r="H3" s="3776"/>
      <c r="I3" s="3776"/>
      <c r="J3" s="3776"/>
      <c r="K3" s="3776"/>
      <c r="L3" s="3776"/>
      <c r="M3" s="3776"/>
      <c r="N3" s="3776"/>
      <c r="O3" s="3776"/>
      <c r="P3" s="3776"/>
      <c r="Q3" s="3776"/>
      <c r="R3" s="3776"/>
      <c r="S3" s="3776"/>
      <c r="T3" s="3776"/>
      <c r="U3" s="3776"/>
      <c r="V3" s="3776"/>
      <c r="W3" s="3776"/>
      <c r="X3" s="3776"/>
      <c r="Y3" s="3776"/>
      <c r="Z3" s="3776"/>
      <c r="AA3" s="3776"/>
      <c r="AB3" s="3776"/>
      <c r="AC3" s="3776"/>
      <c r="AD3" s="3776"/>
      <c r="AE3" s="3776"/>
      <c r="AF3" s="3776"/>
      <c r="AG3" s="3776"/>
      <c r="AH3" s="3776"/>
      <c r="AI3" s="3776"/>
      <c r="AJ3" s="3776"/>
      <c r="AK3" s="3776"/>
      <c r="AL3" s="3776"/>
      <c r="AM3" s="3776"/>
    </row>
    <row r="4" spans="2:39" ht="9" customHeight="1">
      <c r="B4" s="400"/>
      <c r="C4" s="400"/>
      <c r="D4" s="400"/>
      <c r="E4" s="400"/>
      <c r="F4" s="400"/>
      <c r="G4" s="400"/>
      <c r="H4" s="400"/>
      <c r="I4" s="400"/>
      <c r="J4" s="400"/>
      <c r="K4" s="400"/>
      <c r="L4" s="400"/>
      <c r="M4" s="400"/>
      <c r="N4" s="400"/>
      <c r="O4" s="400"/>
      <c r="P4" s="400"/>
      <c r="Q4" s="400"/>
      <c r="R4" s="400"/>
      <c r="S4" s="400"/>
      <c r="T4" s="400"/>
      <c r="U4" s="400"/>
      <c r="V4" s="400"/>
      <c r="W4" s="400"/>
      <c r="X4" s="400"/>
      <c r="Y4" s="400"/>
      <c r="Z4" s="400"/>
      <c r="AA4" s="400"/>
      <c r="AB4" s="400"/>
      <c r="AC4" s="400"/>
      <c r="AD4" s="400"/>
      <c r="AE4" s="400"/>
      <c r="AF4" s="400"/>
      <c r="AG4" s="400"/>
      <c r="AH4" s="400"/>
      <c r="AI4" s="400"/>
      <c r="AJ4" s="400"/>
      <c r="AK4" s="400"/>
      <c r="AL4" s="400"/>
      <c r="AM4" s="400"/>
    </row>
    <row r="5" spans="2:39" ht="18" customHeight="1">
      <c r="B5" s="3778" t="s">
        <v>3967</v>
      </c>
      <c r="C5" s="3779"/>
      <c r="D5" s="3779"/>
      <c r="E5" s="3779"/>
      <c r="F5" s="3779"/>
      <c r="G5" s="3779"/>
      <c r="H5" s="3779"/>
      <c r="I5" s="3779"/>
      <c r="J5" s="3779"/>
      <c r="K5" s="3779"/>
      <c r="L5" s="3779"/>
      <c r="M5" s="3779"/>
      <c r="N5" s="3779"/>
      <c r="O5" s="3779"/>
      <c r="P5" s="3779"/>
      <c r="Q5" s="3779"/>
      <c r="R5" s="3779"/>
      <c r="S5" s="3779"/>
      <c r="T5" s="3779"/>
      <c r="U5" s="3779"/>
      <c r="V5" s="3779"/>
      <c r="W5" s="3779"/>
      <c r="X5" s="3779"/>
      <c r="Y5" s="3779"/>
      <c r="Z5" s="3779"/>
      <c r="AA5" s="3779"/>
      <c r="AB5" s="3779"/>
      <c r="AC5" s="3779"/>
      <c r="AD5" s="3779"/>
      <c r="AE5" s="3779"/>
      <c r="AF5" s="3779"/>
      <c r="AG5" s="3779"/>
      <c r="AH5" s="3779"/>
      <c r="AI5" s="3779"/>
      <c r="AJ5" s="3779"/>
      <c r="AK5" s="3779"/>
      <c r="AL5" s="3779"/>
      <c r="AM5" s="3780"/>
    </row>
    <row r="6" spans="2:39" ht="18" customHeight="1">
      <c r="B6" s="2506" t="s">
        <v>3968</v>
      </c>
      <c r="C6" s="2506"/>
      <c r="D6" s="3777"/>
      <c r="E6" s="3777"/>
      <c r="F6" s="3777"/>
      <c r="G6" s="3777"/>
      <c r="H6" s="3777"/>
      <c r="I6" s="3777"/>
      <c r="J6" s="3777"/>
      <c r="K6" s="3777"/>
      <c r="L6" s="3777"/>
      <c r="M6" s="3777"/>
      <c r="N6" s="3777"/>
      <c r="O6" s="3777"/>
      <c r="P6" s="3777"/>
      <c r="Q6" s="3777"/>
      <c r="R6" s="3777"/>
      <c r="S6" s="3777"/>
      <c r="T6" s="3777"/>
      <c r="U6" s="3777"/>
      <c r="V6" s="3777"/>
      <c r="W6" s="3777"/>
      <c r="X6" s="3777"/>
      <c r="Y6" s="3777"/>
      <c r="Z6" s="3777"/>
      <c r="AA6" s="3777"/>
      <c r="AB6" s="3777"/>
      <c r="AC6" s="3777"/>
      <c r="AD6" s="3777"/>
      <c r="AE6" s="3777"/>
      <c r="AF6" s="3777"/>
      <c r="AG6" s="3777"/>
      <c r="AH6" s="3777"/>
      <c r="AI6" s="3777"/>
      <c r="AJ6" s="3777"/>
      <c r="AK6" s="3777"/>
      <c r="AL6" s="3777"/>
      <c r="AM6" s="3777"/>
    </row>
    <row r="7" spans="2:39" ht="18" customHeight="1">
      <c r="B7" s="2506" t="s">
        <v>3969</v>
      </c>
      <c r="C7" s="2506"/>
      <c r="D7" s="3777"/>
      <c r="E7" s="3777"/>
      <c r="F7" s="3777"/>
      <c r="G7" s="3777"/>
      <c r="H7" s="3777"/>
      <c r="I7" s="3777"/>
      <c r="J7" s="3777"/>
      <c r="K7" s="3777"/>
      <c r="L7" s="3777"/>
      <c r="M7" s="3777"/>
      <c r="N7" s="3777"/>
      <c r="O7" s="3777"/>
      <c r="P7" s="3777"/>
      <c r="Q7" s="3777"/>
      <c r="R7" s="3777"/>
      <c r="S7" s="3777"/>
      <c r="T7" s="3777"/>
      <c r="U7" s="3777"/>
      <c r="V7" s="3777"/>
      <c r="W7" s="3777"/>
      <c r="X7" s="3777"/>
      <c r="Y7" s="3777"/>
      <c r="Z7" s="3777"/>
      <c r="AA7" s="3777"/>
      <c r="AB7" s="3777"/>
      <c r="AC7" s="3777"/>
      <c r="AD7" s="3777"/>
      <c r="AE7" s="3777"/>
      <c r="AF7" s="3777"/>
      <c r="AG7" s="3777"/>
      <c r="AH7" s="3777"/>
      <c r="AI7" s="3777"/>
      <c r="AJ7" s="3777"/>
      <c r="AK7" s="3777"/>
      <c r="AL7" s="3777"/>
      <c r="AM7" s="3777"/>
    </row>
    <row r="8" spans="2:39" ht="18" customHeight="1">
      <c r="B8" s="2506" t="s">
        <v>3970</v>
      </c>
      <c r="C8" s="2506"/>
      <c r="D8" s="3777"/>
      <c r="E8" s="3777"/>
      <c r="F8" s="3777"/>
      <c r="G8" s="3777"/>
      <c r="H8" s="3777"/>
      <c r="I8" s="3777"/>
      <c r="J8" s="3777"/>
      <c r="K8" s="3777"/>
      <c r="L8" s="3777"/>
      <c r="M8" s="3777"/>
      <c r="N8" s="3777"/>
      <c r="O8" s="3777"/>
      <c r="P8" s="3777"/>
      <c r="Q8" s="3777"/>
      <c r="R8" s="3777"/>
      <c r="S8" s="3777"/>
      <c r="T8" s="3777"/>
      <c r="U8" s="3777"/>
      <c r="V8" s="3777"/>
      <c r="W8" s="3777"/>
      <c r="X8" s="3777"/>
      <c r="Y8" s="3777"/>
      <c r="Z8" s="3777"/>
      <c r="AA8" s="3777"/>
      <c r="AB8" s="3777"/>
      <c r="AC8" s="3777"/>
      <c r="AD8" s="3777"/>
      <c r="AE8" s="3777"/>
      <c r="AF8" s="3777"/>
      <c r="AG8" s="3777"/>
      <c r="AH8" s="3777"/>
      <c r="AI8" s="3777"/>
      <c r="AJ8" s="3777"/>
      <c r="AK8" s="3777"/>
      <c r="AL8" s="3777"/>
      <c r="AM8" s="3777"/>
    </row>
    <row r="9" spans="2:39" ht="18" customHeight="1">
      <c r="B9" s="2506" t="s">
        <v>3971</v>
      </c>
      <c r="C9" s="2506"/>
      <c r="D9" s="3777"/>
      <c r="E9" s="3777"/>
      <c r="F9" s="3777"/>
      <c r="G9" s="3777"/>
      <c r="H9" s="3777"/>
      <c r="I9" s="3777"/>
      <c r="J9" s="3777"/>
      <c r="K9" s="3777"/>
      <c r="L9" s="3777"/>
      <c r="M9" s="3777"/>
      <c r="N9" s="3777"/>
      <c r="O9" s="3777"/>
      <c r="P9" s="3777"/>
      <c r="Q9" s="3777"/>
      <c r="R9" s="3777"/>
      <c r="S9" s="3777"/>
      <c r="T9" s="3777"/>
      <c r="U9" s="3777"/>
      <c r="V9" s="3777"/>
      <c r="W9" s="3777"/>
      <c r="X9" s="3777"/>
      <c r="Y9" s="3777"/>
      <c r="Z9" s="3777"/>
      <c r="AA9" s="3777"/>
      <c r="AB9" s="3777"/>
      <c r="AC9" s="3777"/>
      <c r="AD9" s="3777"/>
      <c r="AE9" s="3777"/>
      <c r="AF9" s="3777"/>
      <c r="AG9" s="3777"/>
      <c r="AH9" s="3777"/>
      <c r="AI9" s="3777"/>
      <c r="AJ9" s="3777"/>
      <c r="AK9" s="3777"/>
      <c r="AL9" s="3777"/>
      <c r="AM9" s="3777"/>
    </row>
    <row r="10" spans="2:39" ht="18" customHeight="1">
      <c r="B10" s="2506" t="s">
        <v>3972</v>
      </c>
      <c r="C10" s="2506"/>
      <c r="D10" s="3777"/>
      <c r="E10" s="3777"/>
      <c r="F10" s="3777"/>
      <c r="G10" s="3777"/>
      <c r="H10" s="3777"/>
      <c r="I10" s="3777"/>
      <c r="J10" s="3777"/>
      <c r="K10" s="3777"/>
      <c r="L10" s="3777"/>
      <c r="M10" s="3777"/>
      <c r="N10" s="3777"/>
      <c r="O10" s="3777"/>
      <c r="P10" s="3777"/>
      <c r="Q10" s="3777"/>
      <c r="R10" s="3777"/>
      <c r="S10" s="3777"/>
      <c r="T10" s="3777"/>
      <c r="U10" s="3777"/>
      <c r="V10" s="3777"/>
      <c r="W10" s="3777"/>
      <c r="X10" s="3777"/>
      <c r="Y10" s="3777"/>
      <c r="Z10" s="3777"/>
      <c r="AA10" s="3777"/>
      <c r="AB10" s="3777"/>
      <c r="AC10" s="3777"/>
      <c r="AD10" s="3777"/>
      <c r="AE10" s="3777"/>
      <c r="AF10" s="3777"/>
      <c r="AG10" s="3777"/>
      <c r="AH10" s="3777"/>
      <c r="AI10" s="3777"/>
      <c r="AJ10" s="3777"/>
      <c r="AK10" s="3777"/>
      <c r="AL10" s="3777"/>
      <c r="AM10" s="3777"/>
    </row>
    <row r="11" spans="2:39" ht="9" customHeight="1">
      <c r="B11" s="1285"/>
      <c r="C11" s="3774"/>
      <c r="D11" s="3774"/>
      <c r="E11" s="3774"/>
      <c r="F11" s="3774"/>
      <c r="G11" s="3774"/>
      <c r="H11" s="3774"/>
      <c r="I11" s="3774"/>
      <c r="J11" s="3774"/>
      <c r="K11" s="3774"/>
      <c r="L11" s="3774"/>
      <c r="M11" s="3774"/>
      <c r="N11" s="3774"/>
      <c r="O11" s="3774"/>
      <c r="P11" s="3774"/>
      <c r="Q11" s="3774"/>
      <c r="R11" s="3774"/>
      <c r="S11" s="3774"/>
      <c r="T11" s="3774"/>
      <c r="U11" s="3774"/>
      <c r="V11" s="3774"/>
      <c r="W11" s="3774"/>
      <c r="X11" s="3774"/>
      <c r="Y11" s="3774"/>
      <c r="Z11" s="3774"/>
      <c r="AA11" s="3774"/>
      <c r="AB11" s="3774"/>
      <c r="AC11" s="3774"/>
      <c r="AD11" s="3774"/>
      <c r="AE11" s="3774"/>
      <c r="AF11" s="3774"/>
      <c r="AG11" s="3774"/>
      <c r="AH11" s="3774"/>
      <c r="AI11" s="3774"/>
      <c r="AJ11" s="3774"/>
      <c r="AK11" s="3774"/>
      <c r="AL11" s="3774"/>
      <c r="AM11" s="3774"/>
    </row>
    <row r="12" spans="2:39" ht="18" customHeight="1">
      <c r="B12" s="3771" t="s">
        <v>3973</v>
      </c>
      <c r="C12" s="3772"/>
      <c r="D12" s="3772"/>
      <c r="E12" s="3772"/>
      <c r="F12" s="3772"/>
      <c r="G12" s="3772"/>
      <c r="H12" s="3772"/>
      <c r="I12" s="3772"/>
      <c r="J12" s="3772"/>
      <c r="K12" s="3772"/>
      <c r="L12" s="3772"/>
      <c r="M12" s="3772"/>
      <c r="N12" s="3772"/>
      <c r="O12" s="3772"/>
      <c r="P12" s="3772"/>
      <c r="Q12" s="3772"/>
      <c r="R12" s="3772"/>
      <c r="S12" s="3772"/>
      <c r="T12" s="3772"/>
      <c r="U12" s="3772"/>
      <c r="V12" s="3772"/>
      <c r="W12" s="3772"/>
      <c r="X12" s="3772"/>
      <c r="Y12" s="3772"/>
      <c r="Z12" s="3772"/>
      <c r="AA12" s="3772"/>
      <c r="AB12" s="3772"/>
      <c r="AC12" s="3772"/>
      <c r="AD12" s="3772"/>
      <c r="AE12" s="3772"/>
      <c r="AF12" s="3772"/>
      <c r="AG12" s="3772"/>
      <c r="AH12" s="3772"/>
      <c r="AI12" s="3772"/>
      <c r="AJ12" s="3772"/>
      <c r="AK12" s="3772"/>
      <c r="AL12" s="3772"/>
      <c r="AM12" s="3773"/>
    </row>
    <row r="13" spans="2:39" ht="54" customHeight="1">
      <c r="B13" s="3767"/>
      <c r="C13" s="3768"/>
      <c r="D13" s="3768"/>
      <c r="E13" s="3768"/>
      <c r="F13" s="3768"/>
      <c r="G13" s="3768"/>
      <c r="H13" s="3768"/>
      <c r="I13" s="3768"/>
      <c r="J13" s="3768"/>
      <c r="K13" s="3768"/>
      <c r="L13" s="3768"/>
      <c r="M13" s="3768"/>
      <c r="N13" s="3768"/>
      <c r="O13" s="3768"/>
      <c r="P13" s="3768"/>
      <c r="Q13" s="3768"/>
      <c r="R13" s="3768"/>
      <c r="S13" s="3768"/>
      <c r="T13" s="3768"/>
      <c r="U13" s="3768"/>
      <c r="V13" s="3768"/>
      <c r="W13" s="3768"/>
      <c r="X13" s="3768"/>
      <c r="Y13" s="3768"/>
      <c r="Z13" s="3768"/>
      <c r="AA13" s="3768"/>
      <c r="AB13" s="3768"/>
      <c r="AC13" s="3768"/>
      <c r="AD13" s="3768"/>
      <c r="AE13" s="3768"/>
      <c r="AF13" s="3768"/>
      <c r="AG13" s="3768"/>
      <c r="AH13" s="3768"/>
      <c r="AI13" s="3768"/>
      <c r="AJ13" s="3768"/>
      <c r="AK13" s="3768"/>
      <c r="AL13" s="3768"/>
      <c r="AM13" s="3769"/>
    </row>
    <row r="14" spans="2:39" ht="9" customHeight="1">
      <c r="B14" s="1285"/>
      <c r="C14" s="3770"/>
      <c r="D14" s="3770"/>
      <c r="E14" s="3770"/>
      <c r="F14" s="3770"/>
      <c r="G14" s="3770"/>
      <c r="H14" s="3770"/>
      <c r="I14" s="3770"/>
      <c r="J14" s="3770"/>
      <c r="K14" s="3770"/>
      <c r="L14" s="3770"/>
      <c r="M14" s="3770"/>
      <c r="N14" s="3770"/>
      <c r="O14" s="3770"/>
      <c r="P14" s="3770"/>
      <c r="Q14" s="3770"/>
      <c r="R14" s="3770"/>
      <c r="S14" s="3770"/>
      <c r="T14" s="3770"/>
      <c r="U14" s="3770"/>
      <c r="V14" s="3770"/>
      <c r="W14" s="3770"/>
      <c r="X14" s="3770"/>
      <c r="Y14" s="3770"/>
      <c r="Z14" s="3770"/>
      <c r="AA14" s="3770"/>
      <c r="AB14" s="3770"/>
      <c r="AC14" s="3770"/>
      <c r="AD14" s="3770"/>
      <c r="AE14" s="3770"/>
      <c r="AF14" s="3770"/>
      <c r="AG14" s="3770"/>
      <c r="AH14" s="3770"/>
      <c r="AI14" s="3770"/>
      <c r="AJ14" s="3770"/>
      <c r="AK14" s="3770"/>
      <c r="AL14" s="3770"/>
      <c r="AM14" s="3770"/>
    </row>
    <row r="15" spans="2:39" ht="18" customHeight="1">
      <c r="B15" s="3771" t="s">
        <v>3974</v>
      </c>
      <c r="C15" s="3772"/>
      <c r="D15" s="3772"/>
      <c r="E15" s="3772"/>
      <c r="F15" s="3772"/>
      <c r="G15" s="3772"/>
      <c r="H15" s="3772"/>
      <c r="I15" s="3772"/>
      <c r="J15" s="3772"/>
      <c r="K15" s="3772"/>
      <c r="L15" s="3772"/>
      <c r="M15" s="3772"/>
      <c r="N15" s="3772"/>
      <c r="O15" s="3772"/>
      <c r="P15" s="3772"/>
      <c r="Q15" s="3772"/>
      <c r="R15" s="3772"/>
      <c r="S15" s="3772"/>
      <c r="T15" s="3772"/>
      <c r="U15" s="3772"/>
      <c r="V15" s="3772"/>
      <c r="W15" s="3772"/>
      <c r="X15" s="3772"/>
      <c r="Y15" s="3772"/>
      <c r="Z15" s="3772"/>
      <c r="AA15" s="3772"/>
      <c r="AB15" s="3772"/>
      <c r="AC15" s="3772"/>
      <c r="AD15" s="3772"/>
      <c r="AE15" s="3772"/>
      <c r="AF15" s="3772"/>
      <c r="AG15" s="3772"/>
      <c r="AH15" s="3772"/>
      <c r="AI15" s="3772"/>
      <c r="AJ15" s="3772"/>
      <c r="AK15" s="3772"/>
      <c r="AL15" s="3772"/>
      <c r="AM15" s="3773"/>
    </row>
    <row r="16" spans="2:39" ht="54" customHeight="1">
      <c r="B16" s="3767"/>
      <c r="C16" s="3768"/>
      <c r="D16" s="3768"/>
      <c r="E16" s="3768"/>
      <c r="F16" s="3768"/>
      <c r="G16" s="3768"/>
      <c r="H16" s="3768"/>
      <c r="I16" s="3768"/>
      <c r="J16" s="3768"/>
      <c r="K16" s="3768"/>
      <c r="L16" s="3768"/>
      <c r="M16" s="3768"/>
      <c r="N16" s="3768"/>
      <c r="O16" s="3768"/>
      <c r="P16" s="3768"/>
      <c r="Q16" s="3768"/>
      <c r="R16" s="3768"/>
      <c r="S16" s="3768"/>
      <c r="T16" s="3768"/>
      <c r="U16" s="3768"/>
      <c r="V16" s="3768"/>
      <c r="W16" s="3768"/>
      <c r="X16" s="3768"/>
      <c r="Y16" s="3768"/>
      <c r="Z16" s="3768"/>
      <c r="AA16" s="3768"/>
      <c r="AB16" s="3768"/>
      <c r="AC16" s="3768"/>
      <c r="AD16" s="3768"/>
      <c r="AE16" s="3768"/>
      <c r="AF16" s="3768"/>
      <c r="AG16" s="3768"/>
      <c r="AH16" s="3768"/>
      <c r="AI16" s="3768"/>
      <c r="AJ16" s="3768"/>
      <c r="AK16" s="3768"/>
      <c r="AL16" s="3768"/>
      <c r="AM16" s="3769"/>
    </row>
    <row r="17" spans="2:39" ht="9" customHeight="1">
      <c r="B17" s="1285"/>
      <c r="C17" s="3770"/>
      <c r="D17" s="3770"/>
      <c r="E17" s="3770"/>
      <c r="F17" s="3770"/>
      <c r="G17" s="3770"/>
      <c r="H17" s="3770"/>
      <c r="I17" s="3770"/>
      <c r="J17" s="3770"/>
      <c r="K17" s="3770"/>
      <c r="L17" s="3770"/>
      <c r="M17" s="3770"/>
      <c r="N17" s="3770"/>
      <c r="O17" s="3770"/>
      <c r="P17" s="3770"/>
      <c r="Q17" s="3770"/>
      <c r="R17" s="3770"/>
      <c r="S17" s="3770"/>
      <c r="T17" s="3770"/>
      <c r="U17" s="3770"/>
      <c r="V17" s="3770"/>
      <c r="W17" s="3770"/>
      <c r="X17" s="3770"/>
      <c r="Y17" s="3770"/>
      <c r="Z17" s="3770"/>
      <c r="AA17" s="3770"/>
      <c r="AB17" s="3770"/>
      <c r="AC17" s="3770"/>
      <c r="AD17" s="3770"/>
      <c r="AE17" s="3770"/>
      <c r="AF17" s="3770"/>
      <c r="AG17" s="3770"/>
      <c r="AH17" s="3770"/>
      <c r="AI17" s="3770"/>
      <c r="AJ17" s="3770"/>
      <c r="AK17" s="3770"/>
      <c r="AL17" s="3770"/>
      <c r="AM17" s="3770"/>
    </row>
    <row r="18" spans="2:39" ht="18" customHeight="1">
      <c r="B18" s="3771" t="s">
        <v>3975</v>
      </c>
      <c r="C18" s="3772"/>
      <c r="D18" s="3772"/>
      <c r="E18" s="3772"/>
      <c r="F18" s="3772"/>
      <c r="G18" s="3772"/>
      <c r="H18" s="3772"/>
      <c r="I18" s="3772"/>
      <c r="J18" s="3772"/>
      <c r="K18" s="3772"/>
      <c r="L18" s="3772"/>
      <c r="M18" s="3772"/>
      <c r="N18" s="3772"/>
      <c r="O18" s="3772"/>
      <c r="P18" s="3772"/>
      <c r="Q18" s="3772"/>
      <c r="R18" s="3772"/>
      <c r="S18" s="3772"/>
      <c r="T18" s="3772"/>
      <c r="U18" s="3772"/>
      <c r="V18" s="3772"/>
      <c r="W18" s="3772"/>
      <c r="X18" s="3772"/>
      <c r="Y18" s="3772"/>
      <c r="Z18" s="3772"/>
      <c r="AA18" s="3772"/>
      <c r="AB18" s="3772"/>
      <c r="AC18" s="3772"/>
      <c r="AD18" s="3772"/>
      <c r="AE18" s="3772"/>
      <c r="AF18" s="3772"/>
      <c r="AG18" s="3772"/>
      <c r="AH18" s="3772"/>
      <c r="AI18" s="3772"/>
      <c r="AJ18" s="3772"/>
      <c r="AK18" s="3772"/>
      <c r="AL18" s="3772"/>
      <c r="AM18" s="3773"/>
    </row>
    <row r="19" spans="2:39" ht="54" customHeight="1">
      <c r="B19" s="3767"/>
      <c r="C19" s="3768"/>
      <c r="D19" s="3768"/>
      <c r="E19" s="3768"/>
      <c r="F19" s="3768"/>
      <c r="G19" s="3768"/>
      <c r="H19" s="3768"/>
      <c r="I19" s="3768"/>
      <c r="J19" s="3768"/>
      <c r="K19" s="3768"/>
      <c r="L19" s="3768"/>
      <c r="M19" s="3768"/>
      <c r="N19" s="3768"/>
      <c r="O19" s="3768"/>
      <c r="P19" s="3768"/>
      <c r="Q19" s="3768"/>
      <c r="R19" s="3768"/>
      <c r="S19" s="3768"/>
      <c r="T19" s="3768"/>
      <c r="U19" s="3768"/>
      <c r="V19" s="3768"/>
      <c r="W19" s="3768"/>
      <c r="X19" s="3768"/>
      <c r="Y19" s="3768"/>
      <c r="Z19" s="3768"/>
      <c r="AA19" s="3768"/>
      <c r="AB19" s="3768"/>
      <c r="AC19" s="3768"/>
      <c r="AD19" s="3768"/>
      <c r="AE19" s="3768"/>
      <c r="AF19" s="3768"/>
      <c r="AG19" s="3768"/>
      <c r="AH19" s="3768"/>
      <c r="AI19" s="3768"/>
      <c r="AJ19" s="3768"/>
      <c r="AK19" s="3768"/>
      <c r="AL19" s="3768"/>
      <c r="AM19" s="3769"/>
    </row>
    <row r="21" spans="2:39" ht="18" customHeight="1">
      <c r="B21" s="3766" t="s">
        <v>639</v>
      </c>
      <c r="C21" s="3766"/>
      <c r="D21" s="3766"/>
      <c r="E21" s="3766"/>
      <c r="F21" s="3766"/>
      <c r="G21" s="3766"/>
      <c r="H21" s="3766"/>
      <c r="I21" s="3766"/>
      <c r="J21" s="3766"/>
      <c r="K21" s="3766"/>
      <c r="L21" s="3766"/>
      <c r="M21" s="3766"/>
      <c r="N21" s="3766"/>
      <c r="O21" s="3766"/>
      <c r="P21" s="3766"/>
      <c r="Q21" s="3766"/>
      <c r="R21" s="3766"/>
      <c r="S21" s="3766"/>
      <c r="T21" s="3766"/>
      <c r="U21" s="3766"/>
      <c r="V21" s="3766"/>
      <c r="W21" s="3766"/>
      <c r="X21" s="3766"/>
      <c r="Y21" s="3766"/>
      <c r="Z21" s="3766"/>
      <c r="AA21" s="3766"/>
      <c r="AB21" s="3766"/>
      <c r="AC21" s="3766"/>
      <c r="AD21" s="3766"/>
      <c r="AE21" s="3766"/>
      <c r="AF21" s="3766"/>
      <c r="AG21" s="3766"/>
      <c r="AH21" s="3766"/>
      <c r="AI21" s="3766"/>
      <c r="AJ21" s="3766"/>
      <c r="AK21" s="3766"/>
      <c r="AL21" s="3766"/>
      <c r="AM21" s="3766"/>
    </row>
    <row r="22" spans="2:39" ht="18" customHeight="1">
      <c r="B22" s="401"/>
      <c r="C22" s="1285"/>
      <c r="D22" s="1285"/>
      <c r="E22" s="1285"/>
      <c r="F22" s="1285"/>
      <c r="G22" s="1285"/>
      <c r="H22" s="1285"/>
      <c r="I22" s="1285"/>
      <c r="J22" s="1285"/>
      <c r="K22" s="1285"/>
      <c r="L22" s="1285"/>
      <c r="M22" s="1285"/>
      <c r="N22" s="1285"/>
      <c r="O22" s="1285"/>
      <c r="P22" s="1285"/>
      <c r="Q22" s="1285"/>
      <c r="R22" s="1285"/>
      <c r="S22" s="1285"/>
      <c r="T22" s="1285"/>
      <c r="U22" s="1285"/>
      <c r="V22" s="1285"/>
      <c r="W22" s="1285"/>
      <c r="X22" s="1285"/>
      <c r="Y22" s="1285"/>
      <c r="Z22" s="1285"/>
      <c r="AA22" s="1285"/>
      <c r="AB22" s="1285"/>
      <c r="AC22" s="1285"/>
      <c r="AD22" s="1285"/>
      <c r="AE22" s="1285"/>
      <c r="AF22" s="1285"/>
      <c r="AG22" s="1285"/>
      <c r="AH22" s="1285"/>
      <c r="AI22" s="1285"/>
      <c r="AJ22" s="1285"/>
      <c r="AK22" s="1285"/>
      <c r="AL22" s="1285"/>
      <c r="AM22" s="1285"/>
    </row>
  </sheetData>
  <mergeCells count="23">
    <mergeCell ref="B2:AM2"/>
    <mergeCell ref="B3:AM3"/>
    <mergeCell ref="D8:AM8"/>
    <mergeCell ref="D9:AM9"/>
    <mergeCell ref="D10:AM10"/>
    <mergeCell ref="D7:AM7"/>
    <mergeCell ref="B5:AM5"/>
    <mergeCell ref="D6:AM6"/>
    <mergeCell ref="B6:C6"/>
    <mergeCell ref="B7:C7"/>
    <mergeCell ref="C11:AM11"/>
    <mergeCell ref="C14:AM14"/>
    <mergeCell ref="B8:C8"/>
    <mergeCell ref="B9:C9"/>
    <mergeCell ref="B10:C10"/>
    <mergeCell ref="B12:AM12"/>
    <mergeCell ref="B21:AM21"/>
    <mergeCell ref="B13:AM13"/>
    <mergeCell ref="B16:AM16"/>
    <mergeCell ref="B19:AM19"/>
    <mergeCell ref="C17:AM17"/>
    <mergeCell ref="B15:AM15"/>
    <mergeCell ref="B18:AM18"/>
  </mergeCells>
  <printOptions horizontalCentered="1"/>
  <pageMargins left="0" right="0.25" top="0" bottom="0" header="0.25" footer="0.25"/>
  <pageSetup scale="67" orientation="portrait" r:id="rId1"/>
  <headerFooter>
    <oddFooter>&amp;L&amp;F&amp;C&amp;P of &amp;N&amp;R &amp;A</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dimension ref="A2:AM26"/>
  <sheetViews>
    <sheetView showGridLines="0" zoomScaleNormal="100" zoomScaleSheetLayoutView="100" workbookViewId="0"/>
  </sheetViews>
  <sheetFormatPr defaultColWidth="9.109375" defaultRowHeight="18" customHeight="1"/>
  <cols>
    <col min="1" max="39" width="4.109375" style="404" customWidth="1"/>
    <col min="40" max="16384" width="9.109375" style="402"/>
  </cols>
  <sheetData>
    <row r="2" spans="1:39" ht="24" customHeight="1">
      <c r="B2" s="3750" t="s">
        <v>3976</v>
      </c>
      <c r="C2" s="3750"/>
      <c r="D2" s="3750"/>
      <c r="E2" s="3750"/>
      <c r="F2" s="3750"/>
      <c r="G2" s="3750"/>
      <c r="H2" s="3750"/>
      <c r="I2" s="3750"/>
      <c r="J2" s="3750"/>
      <c r="K2" s="3750"/>
      <c r="L2" s="3750"/>
      <c r="M2" s="3750"/>
      <c r="N2" s="3750"/>
      <c r="O2" s="3750"/>
      <c r="P2" s="3750"/>
      <c r="Q2" s="3750"/>
      <c r="R2" s="3750"/>
      <c r="S2" s="3750"/>
      <c r="T2" s="3750"/>
      <c r="U2" s="3750"/>
      <c r="V2" s="3750"/>
      <c r="W2" s="3750"/>
      <c r="X2" s="3750"/>
      <c r="Y2" s="3750"/>
      <c r="Z2" s="3750"/>
      <c r="AA2" s="3750"/>
      <c r="AB2" s="3750"/>
      <c r="AC2" s="3750"/>
      <c r="AD2" s="3750"/>
      <c r="AE2" s="3750"/>
      <c r="AF2" s="3750"/>
      <c r="AG2" s="3750"/>
      <c r="AH2" s="3750"/>
      <c r="AI2" s="3750"/>
      <c r="AJ2" s="3750"/>
      <c r="AK2" s="3750"/>
      <c r="AL2" s="3750"/>
      <c r="AM2" s="3750"/>
    </row>
    <row r="3" spans="1:39" ht="18" customHeight="1">
      <c r="B3" s="3783" t="s">
        <v>3977</v>
      </c>
      <c r="C3" s="3783"/>
      <c r="D3" s="3783"/>
      <c r="E3" s="3783"/>
      <c r="F3" s="3783"/>
      <c r="G3" s="3783"/>
      <c r="H3" s="3783"/>
      <c r="I3" s="3783"/>
      <c r="J3" s="3783"/>
      <c r="K3" s="3783"/>
      <c r="L3" s="3783"/>
      <c r="M3" s="3783"/>
      <c r="N3" s="3783"/>
      <c r="O3" s="3783"/>
      <c r="P3" s="3783"/>
      <c r="Q3" s="3783"/>
      <c r="R3" s="3783"/>
      <c r="S3" s="3783"/>
      <c r="T3" s="3783"/>
      <c r="U3" s="3783"/>
      <c r="V3" s="3783"/>
      <c r="W3" s="3783"/>
      <c r="X3" s="3783"/>
      <c r="Y3" s="3783"/>
      <c r="Z3" s="3783"/>
      <c r="AA3" s="3783"/>
      <c r="AB3" s="3783"/>
      <c r="AC3" s="3783"/>
      <c r="AD3" s="3783"/>
      <c r="AE3" s="3783"/>
      <c r="AF3" s="3783"/>
      <c r="AG3" s="3783"/>
      <c r="AH3" s="3783"/>
      <c r="AI3" s="3783"/>
      <c r="AJ3" s="3783"/>
      <c r="AK3" s="3783"/>
      <c r="AL3" s="3783"/>
      <c r="AM3" s="3783"/>
    </row>
    <row r="4" spans="1:39" ht="72" customHeight="1">
      <c r="B4" s="3785" t="s">
        <v>3978</v>
      </c>
      <c r="C4" s="3785"/>
      <c r="D4" s="3785"/>
      <c r="E4" s="3785"/>
      <c r="F4" s="3785"/>
      <c r="G4" s="3785"/>
      <c r="H4" s="3785"/>
      <c r="I4" s="3785"/>
      <c r="J4" s="3785"/>
      <c r="K4" s="3785"/>
      <c r="L4" s="3785"/>
      <c r="M4" s="3785"/>
      <c r="N4" s="3785"/>
      <c r="O4" s="3785"/>
      <c r="P4" s="3785"/>
      <c r="Q4" s="3785"/>
      <c r="R4" s="3785"/>
      <c r="S4" s="3785"/>
      <c r="T4" s="3785"/>
      <c r="U4" s="3785"/>
      <c r="V4" s="3785"/>
      <c r="W4" s="3785"/>
      <c r="X4" s="3785"/>
      <c r="Y4" s="3785"/>
      <c r="Z4" s="3785"/>
      <c r="AA4" s="3785"/>
      <c r="AB4" s="3785"/>
      <c r="AC4" s="3785"/>
      <c r="AD4" s="3785"/>
      <c r="AE4" s="3785"/>
      <c r="AF4" s="3785"/>
      <c r="AG4" s="3785"/>
      <c r="AH4" s="3785"/>
      <c r="AI4" s="3785"/>
      <c r="AJ4" s="3785"/>
      <c r="AK4" s="3785"/>
      <c r="AL4" s="3785"/>
      <c r="AM4" s="3785"/>
    </row>
    <row r="5" spans="1:39" s="403" customFormat="1" ht="36" customHeight="1">
      <c r="A5" s="340"/>
      <c r="B5" s="2507" t="s">
        <v>3979</v>
      </c>
      <c r="C5" s="2507"/>
      <c r="D5" s="2507"/>
      <c r="E5" s="2507"/>
      <c r="F5" s="2507"/>
      <c r="G5" s="2507"/>
      <c r="H5" s="2507"/>
      <c r="I5" s="2507"/>
      <c r="J5" s="2507"/>
      <c r="K5" s="2507"/>
      <c r="L5" s="2507"/>
      <c r="M5" s="2507"/>
      <c r="N5" s="2507"/>
      <c r="O5" s="2507"/>
      <c r="P5" s="2507"/>
      <c r="Q5" s="2507"/>
      <c r="R5" s="2507"/>
      <c r="S5" s="2507"/>
      <c r="T5" s="2507"/>
      <c r="U5" s="2507"/>
      <c r="V5" s="2507"/>
      <c r="W5" s="2507"/>
      <c r="X5" s="2507"/>
      <c r="Y5" s="2507"/>
      <c r="Z5" s="2507"/>
      <c r="AA5" s="2507"/>
      <c r="AB5" s="2507"/>
      <c r="AC5" s="2507"/>
      <c r="AD5" s="2507"/>
      <c r="AE5" s="2507"/>
      <c r="AF5" s="2507"/>
      <c r="AG5" s="2507"/>
      <c r="AH5" s="2507"/>
      <c r="AI5" s="2507"/>
      <c r="AJ5" s="2507"/>
      <c r="AK5" s="2507"/>
      <c r="AL5" s="2507"/>
      <c r="AM5" s="2507"/>
    </row>
    <row r="6" spans="1:39" ht="18" customHeight="1">
      <c r="B6" s="3786" t="s">
        <v>3980</v>
      </c>
      <c r="C6" s="3786"/>
      <c r="D6" s="3786"/>
      <c r="E6" s="3786"/>
      <c r="F6" s="3786"/>
      <c r="G6" s="3786"/>
      <c r="H6" s="3786"/>
      <c r="I6" s="3786"/>
      <c r="J6" s="3786"/>
      <c r="K6" s="3786"/>
      <c r="L6" s="3782"/>
      <c r="M6" s="3782"/>
      <c r="N6" s="3782"/>
      <c r="O6" s="3782"/>
      <c r="P6" s="3782"/>
      <c r="Q6" s="3782"/>
      <c r="R6" s="3782"/>
      <c r="S6" s="3782"/>
      <c r="T6" s="3782"/>
      <c r="U6" s="3782"/>
      <c r="V6" s="3782"/>
      <c r="W6" s="3782"/>
      <c r="X6" s="3782"/>
      <c r="Y6" s="3782"/>
      <c r="Z6" s="3782"/>
      <c r="AA6" s="3782"/>
      <c r="AB6" s="3782"/>
      <c r="AC6" s="3782"/>
      <c r="AD6" s="3782"/>
      <c r="AE6" s="3782"/>
      <c r="AF6" s="3782"/>
      <c r="AG6" s="3782"/>
      <c r="AH6" s="3782"/>
      <c r="AI6" s="3782"/>
      <c r="AJ6" s="3782"/>
      <c r="AK6" s="3782"/>
      <c r="AL6" s="3782"/>
      <c r="AM6" s="3782"/>
    </row>
    <row r="7" spans="1:39" ht="18" customHeight="1">
      <c r="B7" s="3786" t="s">
        <v>3981</v>
      </c>
      <c r="C7" s="3786"/>
      <c r="D7" s="3786"/>
      <c r="E7" s="3786"/>
      <c r="F7" s="3786"/>
      <c r="G7" s="3786"/>
      <c r="H7" s="3786"/>
      <c r="I7" s="3786"/>
      <c r="J7" s="3786"/>
      <c r="K7" s="3786"/>
      <c r="L7" s="3782"/>
      <c r="M7" s="3782"/>
      <c r="N7" s="3782"/>
      <c r="O7" s="3782"/>
      <c r="P7" s="3782"/>
      <c r="Q7" s="3782"/>
      <c r="R7" s="3782"/>
      <c r="S7" s="3782"/>
      <c r="T7" s="3782"/>
      <c r="U7" s="3782"/>
      <c r="V7" s="3782"/>
      <c r="W7" s="3782"/>
      <c r="X7" s="3782"/>
      <c r="Y7" s="3782"/>
      <c r="Z7" s="3782"/>
      <c r="AA7" s="3782"/>
      <c r="AB7" s="3782"/>
      <c r="AC7" s="3782"/>
      <c r="AD7" s="3782"/>
      <c r="AE7" s="3782"/>
      <c r="AF7" s="3782"/>
      <c r="AG7" s="3782"/>
      <c r="AH7" s="3782"/>
      <c r="AI7" s="3782"/>
      <c r="AJ7" s="3782"/>
      <c r="AK7" s="3782"/>
      <c r="AL7" s="3782"/>
      <c r="AM7" s="3782"/>
    </row>
    <row r="8" spans="1:39" ht="18" customHeight="1">
      <c r="B8" s="3786" t="s">
        <v>3064</v>
      </c>
      <c r="C8" s="3786"/>
      <c r="D8" s="3786"/>
      <c r="E8" s="3786"/>
      <c r="F8" s="3786"/>
      <c r="G8" s="3786"/>
      <c r="H8" s="3786"/>
      <c r="I8" s="3786"/>
      <c r="J8" s="3786"/>
      <c r="K8" s="3786"/>
      <c r="L8" s="3782"/>
      <c r="M8" s="3782"/>
      <c r="N8" s="3782"/>
      <c r="O8" s="3782"/>
      <c r="P8" s="3782"/>
      <c r="Q8" s="3782"/>
      <c r="R8" s="3782"/>
      <c r="S8" s="3782"/>
      <c r="T8" s="3782"/>
      <c r="U8" s="3782"/>
      <c r="V8" s="3782"/>
      <c r="W8" s="3782"/>
      <c r="X8" s="3782"/>
      <c r="Y8" s="3782"/>
      <c r="Z8" s="3782"/>
      <c r="AA8" s="3782"/>
      <c r="AB8" s="3782"/>
      <c r="AC8" s="3782"/>
      <c r="AD8" s="3782"/>
      <c r="AE8" s="3782"/>
      <c r="AF8" s="3782"/>
      <c r="AG8" s="3782"/>
      <c r="AH8" s="3782"/>
      <c r="AI8" s="3782"/>
      <c r="AJ8" s="3782"/>
      <c r="AK8" s="3782"/>
      <c r="AL8" s="3782"/>
      <c r="AM8" s="3782"/>
    </row>
    <row r="9" spans="1:39" ht="18" customHeight="1">
      <c r="B9" s="3786" t="s">
        <v>3982</v>
      </c>
      <c r="C9" s="3786"/>
      <c r="D9" s="3786"/>
      <c r="E9" s="3786"/>
      <c r="F9" s="3786"/>
      <c r="G9" s="3786"/>
      <c r="H9" s="3786"/>
      <c r="I9" s="3786"/>
      <c r="J9" s="3786"/>
      <c r="K9" s="3786"/>
      <c r="L9" s="3782"/>
      <c r="M9" s="3782"/>
      <c r="N9" s="3782"/>
      <c r="O9" s="3782"/>
      <c r="P9" s="3782"/>
      <c r="Q9" s="3782"/>
      <c r="R9" s="3782"/>
      <c r="S9" s="3782"/>
      <c r="T9" s="3782"/>
      <c r="U9" s="3782"/>
      <c r="V9" s="3782"/>
      <c r="W9" s="3782"/>
      <c r="X9" s="3782"/>
      <c r="Y9" s="3782"/>
      <c r="Z9" s="3782"/>
      <c r="AA9" s="3782"/>
      <c r="AB9" s="3782"/>
      <c r="AC9" s="3782"/>
      <c r="AD9" s="3782"/>
      <c r="AE9" s="3782"/>
      <c r="AF9" s="3782"/>
      <c r="AG9" s="3782"/>
      <c r="AH9" s="3782"/>
      <c r="AI9" s="3782"/>
      <c r="AJ9" s="3782"/>
      <c r="AK9" s="3782"/>
      <c r="AL9" s="3782"/>
      <c r="AM9" s="3782"/>
    </row>
    <row r="10" spans="1:39" ht="18" customHeight="1">
      <c r="B10" s="3786" t="s">
        <v>3983</v>
      </c>
      <c r="C10" s="3786"/>
      <c r="D10" s="3786"/>
      <c r="E10" s="3786"/>
      <c r="F10" s="3786"/>
      <c r="G10" s="3786"/>
      <c r="H10" s="3786"/>
      <c r="I10" s="3786"/>
      <c r="J10" s="3786"/>
      <c r="K10" s="3786"/>
      <c r="L10" s="3782"/>
      <c r="M10" s="3782"/>
      <c r="N10" s="3782"/>
      <c r="O10" s="3782"/>
      <c r="P10" s="3782"/>
      <c r="Q10" s="3782"/>
      <c r="R10" s="3782"/>
      <c r="S10" s="3782"/>
      <c r="T10" s="3782"/>
      <c r="U10" s="3782"/>
      <c r="V10" s="3782"/>
      <c r="W10" s="3782"/>
      <c r="X10" s="3782"/>
      <c r="Y10" s="3782"/>
      <c r="Z10" s="3782"/>
      <c r="AA10" s="3782"/>
      <c r="AB10" s="3782"/>
      <c r="AC10" s="3782"/>
      <c r="AD10" s="3782"/>
      <c r="AE10" s="3782"/>
      <c r="AF10" s="3782"/>
      <c r="AG10" s="3782"/>
      <c r="AH10" s="3782"/>
      <c r="AI10" s="3782"/>
      <c r="AJ10" s="3782"/>
      <c r="AK10" s="3782"/>
      <c r="AL10" s="3782"/>
      <c r="AM10" s="3782"/>
    </row>
    <row r="11" spans="1:39" ht="18" customHeight="1">
      <c r="B11" s="3786" t="s">
        <v>3984</v>
      </c>
      <c r="C11" s="3786"/>
      <c r="D11" s="3786"/>
      <c r="E11" s="3786"/>
      <c r="F11" s="3786"/>
      <c r="G11" s="3786"/>
      <c r="H11" s="3786"/>
      <c r="I11" s="3786"/>
      <c r="J11" s="3786"/>
      <c r="K11" s="3786"/>
      <c r="L11" s="3782"/>
      <c r="M11" s="3782"/>
      <c r="N11" s="3782"/>
      <c r="O11" s="3782"/>
      <c r="P11" s="3782"/>
      <c r="Q11" s="3782"/>
      <c r="R11" s="3782"/>
      <c r="S11" s="3782"/>
      <c r="T11" s="3782"/>
      <c r="U11" s="3782"/>
      <c r="V11" s="3782"/>
      <c r="W11" s="3782"/>
      <c r="X11" s="3782"/>
      <c r="Y11" s="3782"/>
      <c r="Z11" s="3782"/>
      <c r="AA11" s="3782"/>
      <c r="AB11" s="3782"/>
      <c r="AC11" s="3782"/>
      <c r="AD11" s="3782"/>
      <c r="AE11" s="3782"/>
      <c r="AF11" s="3782"/>
      <c r="AG11" s="3782"/>
      <c r="AH11" s="3782"/>
      <c r="AI11" s="3782"/>
      <c r="AJ11" s="3782"/>
      <c r="AK11" s="3782"/>
      <c r="AL11" s="3782"/>
      <c r="AM11" s="3782"/>
    </row>
    <row r="12" spans="1:39" ht="18" customHeight="1">
      <c r="B12" s="3786" t="s">
        <v>3985</v>
      </c>
      <c r="C12" s="3786"/>
      <c r="D12" s="3786"/>
      <c r="E12" s="3786"/>
      <c r="F12" s="3786"/>
      <c r="G12" s="3786"/>
      <c r="H12" s="3786"/>
      <c r="I12" s="3786"/>
      <c r="J12" s="3786"/>
      <c r="K12" s="3786"/>
      <c r="L12" s="3782"/>
      <c r="M12" s="3782"/>
      <c r="N12" s="3782"/>
      <c r="O12" s="3782"/>
      <c r="P12" s="3782"/>
      <c r="Q12" s="3782"/>
      <c r="R12" s="3782"/>
      <c r="S12" s="3782"/>
      <c r="T12" s="3782"/>
      <c r="U12" s="3782"/>
      <c r="V12" s="3782"/>
      <c r="W12" s="3782"/>
      <c r="X12" s="3782"/>
      <c r="Y12" s="3782"/>
      <c r="Z12" s="3782"/>
      <c r="AA12" s="3782"/>
      <c r="AB12" s="3782"/>
      <c r="AC12" s="3782"/>
      <c r="AD12" s="3782"/>
      <c r="AE12" s="3782"/>
      <c r="AF12" s="3782"/>
      <c r="AG12" s="3782"/>
      <c r="AH12" s="3782"/>
      <c r="AI12" s="3782"/>
      <c r="AJ12" s="3782"/>
      <c r="AK12" s="3782"/>
      <c r="AL12" s="3782"/>
      <c r="AM12" s="3782"/>
    </row>
    <row r="13" spans="1:39" ht="18" customHeight="1">
      <c r="B13" s="3786" t="s">
        <v>3986</v>
      </c>
      <c r="C13" s="3786"/>
      <c r="D13" s="3786"/>
      <c r="E13" s="3786"/>
      <c r="F13" s="3786"/>
      <c r="G13" s="3786"/>
      <c r="H13" s="3786"/>
      <c r="I13" s="3786"/>
      <c r="J13" s="3786"/>
      <c r="K13" s="3786"/>
      <c r="L13" s="3782"/>
      <c r="M13" s="3782"/>
      <c r="N13" s="3782"/>
      <c r="O13" s="3782"/>
      <c r="P13" s="3782"/>
      <c r="Q13" s="3782"/>
      <c r="R13" s="3782"/>
      <c r="S13" s="3782"/>
      <c r="T13" s="3782"/>
      <c r="U13" s="3782"/>
      <c r="V13" s="3782"/>
      <c r="W13" s="3782"/>
      <c r="X13" s="3782"/>
      <c r="Y13" s="3782"/>
      <c r="Z13" s="3782"/>
      <c r="AA13" s="3782"/>
      <c r="AB13" s="3782"/>
      <c r="AC13" s="3782"/>
      <c r="AD13" s="3782"/>
      <c r="AE13" s="3782"/>
      <c r="AF13" s="3782"/>
      <c r="AG13" s="3782"/>
      <c r="AH13" s="3782"/>
      <c r="AI13" s="3782"/>
      <c r="AJ13" s="3782"/>
      <c r="AK13" s="3782"/>
      <c r="AL13" s="3782"/>
      <c r="AM13" s="3782"/>
    </row>
    <row r="14" spans="1:39" ht="90" customHeight="1">
      <c r="B14" s="3785" t="s">
        <v>3987</v>
      </c>
      <c r="C14" s="3785"/>
      <c r="D14" s="3785"/>
      <c r="E14" s="3785"/>
      <c r="F14" s="3785"/>
      <c r="G14" s="3785"/>
      <c r="H14" s="3785"/>
      <c r="I14" s="3785"/>
      <c r="J14" s="3785"/>
      <c r="K14" s="3785"/>
      <c r="L14" s="3785"/>
      <c r="M14" s="3785"/>
      <c r="N14" s="3785"/>
      <c r="O14" s="3785"/>
      <c r="P14" s="3785"/>
      <c r="Q14" s="3785"/>
      <c r="R14" s="3785"/>
      <c r="S14" s="3785"/>
      <c r="T14" s="3785"/>
      <c r="U14" s="3785"/>
      <c r="V14" s="3785"/>
      <c r="W14" s="3785"/>
      <c r="X14" s="3785"/>
      <c r="Y14" s="3785"/>
      <c r="Z14" s="3785"/>
      <c r="AA14" s="3785"/>
      <c r="AB14" s="3785"/>
      <c r="AC14" s="3785"/>
      <c r="AD14" s="3785"/>
      <c r="AE14" s="3785"/>
      <c r="AF14" s="3785"/>
      <c r="AG14" s="3785"/>
      <c r="AH14" s="3785"/>
      <c r="AI14" s="3785"/>
      <c r="AJ14" s="3785"/>
      <c r="AK14" s="3785"/>
      <c r="AL14" s="3785"/>
      <c r="AM14" s="3785"/>
    </row>
    <row r="15" spans="1:39" ht="18" customHeight="1">
      <c r="B15" s="2507" t="s">
        <v>3988</v>
      </c>
      <c r="C15" s="2507"/>
      <c r="D15" s="2507"/>
      <c r="E15" s="2507"/>
      <c r="F15" s="2507"/>
      <c r="G15" s="2507"/>
      <c r="H15" s="2507"/>
      <c r="I15" s="2507"/>
      <c r="J15" s="2507"/>
      <c r="K15" s="2507"/>
      <c r="L15" s="2507"/>
      <c r="M15" s="2507"/>
      <c r="N15" s="2507"/>
      <c r="O15" s="2507"/>
      <c r="P15" s="2507"/>
      <c r="Q15" s="2507"/>
      <c r="R15" s="2507"/>
      <c r="S15" s="2507"/>
      <c r="T15" s="2507"/>
      <c r="U15" s="2507"/>
      <c r="V15" s="2507"/>
      <c r="W15" s="2507"/>
      <c r="X15" s="2507"/>
      <c r="Y15" s="2507"/>
      <c r="Z15" s="2507"/>
      <c r="AA15" s="2507"/>
      <c r="AB15" s="2507"/>
      <c r="AC15" s="2507"/>
      <c r="AD15" s="2507"/>
      <c r="AE15" s="2507"/>
      <c r="AF15" s="2507"/>
      <c r="AG15" s="2507"/>
      <c r="AH15" s="2507"/>
      <c r="AI15" s="2507"/>
      <c r="AJ15" s="2507"/>
      <c r="AK15" s="2507"/>
      <c r="AL15" s="2782"/>
      <c r="AM15" s="2782"/>
    </row>
    <row r="16" spans="1:39" ht="18" customHeight="1">
      <c r="B16" s="2507" t="s">
        <v>3989</v>
      </c>
      <c r="C16" s="2507"/>
      <c r="D16" s="2507"/>
      <c r="E16" s="2507"/>
      <c r="F16" s="2507"/>
      <c r="G16" s="2507"/>
      <c r="H16" s="2507"/>
      <c r="I16" s="2507"/>
      <c r="J16" s="2507"/>
      <c r="K16" s="2507"/>
      <c r="L16" s="2507"/>
      <c r="M16" s="2507"/>
      <c r="N16" s="2507"/>
      <c r="O16" s="2507"/>
      <c r="P16" s="2507"/>
      <c r="Q16" s="2507"/>
      <c r="R16" s="2507"/>
      <c r="S16" s="2507"/>
      <c r="T16" s="2507"/>
      <c r="U16" s="2507"/>
      <c r="V16" s="2507"/>
      <c r="W16" s="2507"/>
      <c r="X16" s="2507"/>
      <c r="Y16" s="2507"/>
      <c r="Z16" s="2507"/>
      <c r="AA16" s="2507"/>
      <c r="AB16" s="2507"/>
      <c r="AC16" s="2507"/>
      <c r="AD16" s="2507"/>
      <c r="AE16" s="2507"/>
      <c r="AF16" s="2507"/>
      <c r="AG16" s="2507"/>
      <c r="AH16" s="2507"/>
      <c r="AI16" s="2507"/>
      <c r="AJ16" s="2507"/>
      <c r="AK16" s="2507"/>
      <c r="AL16" s="2782"/>
      <c r="AM16" s="2782"/>
    </row>
    <row r="17" spans="2:39" ht="18" customHeight="1">
      <c r="B17" s="2507" t="s">
        <v>3990</v>
      </c>
      <c r="C17" s="2507"/>
      <c r="D17" s="2507"/>
      <c r="E17" s="2507"/>
      <c r="F17" s="2507"/>
      <c r="G17" s="2507"/>
      <c r="H17" s="2507"/>
      <c r="I17" s="2507"/>
      <c r="J17" s="2507"/>
      <c r="K17" s="2507"/>
      <c r="L17" s="2507"/>
      <c r="M17" s="2507"/>
      <c r="N17" s="2507"/>
      <c r="O17" s="2507"/>
      <c r="P17" s="2507"/>
      <c r="Q17" s="2507"/>
      <c r="R17" s="2507"/>
      <c r="S17" s="2507"/>
      <c r="T17" s="2507"/>
      <c r="U17" s="2507"/>
      <c r="V17" s="2507"/>
      <c r="W17" s="2507"/>
      <c r="X17" s="2507"/>
      <c r="Y17" s="2507"/>
      <c r="Z17" s="2507"/>
      <c r="AA17" s="2507"/>
      <c r="AB17" s="2507"/>
      <c r="AC17" s="2507"/>
      <c r="AD17" s="2507"/>
      <c r="AE17" s="2507"/>
      <c r="AF17" s="2507"/>
      <c r="AG17" s="2507"/>
      <c r="AH17" s="2507"/>
      <c r="AI17" s="2507"/>
      <c r="AJ17" s="2507"/>
      <c r="AK17" s="2507"/>
      <c r="AL17" s="2782"/>
      <c r="AM17" s="2782"/>
    </row>
    <row r="18" spans="2:39" ht="18" customHeight="1">
      <c r="B18" s="3781" t="s">
        <v>3991</v>
      </c>
      <c r="C18" s="3781"/>
      <c r="D18" s="3781"/>
      <c r="E18" s="3781"/>
      <c r="F18" s="3784"/>
      <c r="G18" s="3784"/>
      <c r="H18" s="3784"/>
      <c r="I18" s="3784"/>
      <c r="J18" s="3784"/>
      <c r="K18" s="3784"/>
      <c r="L18" s="3604"/>
      <c r="M18" s="3605"/>
      <c r="N18" s="3605"/>
      <c r="O18" s="3605"/>
      <c r="P18" s="3605"/>
      <c r="Q18" s="3605"/>
      <c r="R18" s="3605"/>
      <c r="S18" s="3605"/>
      <c r="T18" s="3605"/>
      <c r="U18" s="3605"/>
      <c r="V18" s="3605"/>
      <c r="W18" s="3605"/>
      <c r="X18" s="3605"/>
      <c r="Y18" s="3605"/>
      <c r="Z18" s="3605"/>
      <c r="AA18" s="3605"/>
      <c r="AB18" s="3605"/>
      <c r="AC18" s="3605"/>
      <c r="AD18" s="3605"/>
      <c r="AE18" s="3605"/>
      <c r="AF18" s="3605"/>
      <c r="AG18" s="3605"/>
      <c r="AH18" s="3605"/>
      <c r="AI18" s="3605"/>
      <c r="AJ18" s="3605"/>
      <c r="AK18" s="3605"/>
      <c r="AL18" s="3605"/>
      <c r="AM18" s="3606"/>
    </row>
    <row r="19" spans="2:39" ht="18" customHeight="1">
      <c r="B19" s="3781" t="s">
        <v>3992</v>
      </c>
      <c r="C19" s="3781"/>
      <c r="D19" s="3781"/>
      <c r="E19" s="3781"/>
      <c r="F19" s="3781"/>
      <c r="G19" s="3781"/>
      <c r="H19" s="3781"/>
      <c r="I19" s="3781"/>
      <c r="J19" s="3781"/>
      <c r="K19" s="3781"/>
      <c r="L19" s="3782"/>
      <c r="M19" s="3782"/>
      <c r="N19" s="3782"/>
      <c r="O19" s="3782"/>
      <c r="P19" s="3782"/>
      <c r="Q19" s="3782"/>
      <c r="R19" s="3782"/>
      <c r="S19" s="3782"/>
      <c r="T19" s="3782"/>
      <c r="U19" s="3782"/>
      <c r="V19" s="3782"/>
      <c r="W19" s="3782"/>
      <c r="X19" s="3782"/>
      <c r="Y19" s="3782"/>
      <c r="Z19" s="3782"/>
      <c r="AA19" s="3782"/>
      <c r="AB19" s="3782"/>
      <c r="AC19" s="3782"/>
      <c r="AD19" s="3782"/>
      <c r="AE19" s="3782"/>
      <c r="AF19" s="3782"/>
      <c r="AG19" s="3782"/>
      <c r="AH19" s="3782"/>
      <c r="AI19" s="3782"/>
      <c r="AJ19" s="3782"/>
      <c r="AK19" s="3782"/>
      <c r="AL19" s="3782"/>
      <c r="AM19" s="3782"/>
    </row>
    <row r="20" spans="2:39" ht="36" customHeight="1">
      <c r="B20" s="3781" t="s">
        <v>3993</v>
      </c>
      <c r="C20" s="3781"/>
      <c r="D20" s="3781"/>
      <c r="E20" s="3781"/>
      <c r="F20" s="3781"/>
      <c r="G20" s="3781"/>
      <c r="H20" s="3781"/>
      <c r="I20" s="3781"/>
      <c r="J20" s="3781"/>
      <c r="K20" s="3781"/>
      <c r="L20" s="3782"/>
      <c r="M20" s="3782"/>
      <c r="N20" s="3782"/>
      <c r="O20" s="3782"/>
      <c r="P20" s="3782"/>
      <c r="Q20" s="3782"/>
      <c r="R20" s="3782"/>
      <c r="S20" s="3782"/>
      <c r="T20" s="3782"/>
      <c r="U20" s="3782"/>
      <c r="V20" s="3782"/>
      <c r="W20" s="3782"/>
      <c r="X20" s="3782"/>
      <c r="Y20" s="3782"/>
      <c r="Z20" s="3782"/>
      <c r="AA20" s="3782"/>
      <c r="AB20" s="3782"/>
      <c r="AC20" s="3782"/>
      <c r="AD20" s="3782"/>
      <c r="AE20" s="3782"/>
      <c r="AF20" s="3782"/>
      <c r="AG20" s="3782"/>
      <c r="AH20" s="3782"/>
      <c r="AI20" s="3782"/>
      <c r="AJ20" s="3782"/>
      <c r="AK20" s="3782"/>
      <c r="AL20" s="3782"/>
      <c r="AM20" s="3782"/>
    </row>
    <row r="21" spans="2:39" ht="18" customHeight="1">
      <c r="B21" s="3781" t="s">
        <v>3994</v>
      </c>
      <c r="C21" s="3781"/>
      <c r="D21" s="3781"/>
      <c r="E21" s="3781"/>
      <c r="F21" s="3781"/>
      <c r="G21" s="3781"/>
      <c r="H21" s="3781"/>
      <c r="I21" s="3781"/>
      <c r="J21" s="3781"/>
      <c r="K21" s="3781"/>
      <c r="L21" s="3782"/>
      <c r="M21" s="3782"/>
      <c r="N21" s="3782"/>
      <c r="O21" s="3782"/>
      <c r="P21" s="3782"/>
      <c r="Q21" s="3782"/>
      <c r="R21" s="3782"/>
      <c r="S21" s="3782"/>
      <c r="T21" s="3782"/>
      <c r="U21" s="3782"/>
      <c r="V21" s="3782"/>
      <c r="W21" s="3782"/>
      <c r="X21" s="3782"/>
      <c r="Y21" s="3782"/>
      <c r="Z21" s="3782"/>
      <c r="AA21" s="3782"/>
      <c r="AB21" s="3782"/>
      <c r="AC21" s="3782"/>
      <c r="AD21" s="3782"/>
      <c r="AE21" s="3782"/>
      <c r="AF21" s="3782"/>
      <c r="AG21" s="3782"/>
      <c r="AH21" s="3782"/>
      <c r="AI21" s="3782"/>
      <c r="AJ21" s="3782"/>
      <c r="AK21" s="3782"/>
      <c r="AL21" s="3782"/>
      <c r="AM21" s="3782"/>
    </row>
    <row r="22" spans="2:39" ht="18" customHeight="1">
      <c r="B22" s="3781" t="s">
        <v>3995</v>
      </c>
      <c r="C22" s="3781"/>
      <c r="D22" s="3781"/>
      <c r="E22" s="3781"/>
      <c r="F22" s="3781"/>
      <c r="G22" s="3781"/>
      <c r="H22" s="3781"/>
      <c r="I22" s="3781"/>
      <c r="J22" s="3781"/>
      <c r="K22" s="3781"/>
      <c r="L22" s="3782"/>
      <c r="M22" s="3782"/>
      <c r="N22" s="3782"/>
      <c r="O22" s="3782"/>
      <c r="P22" s="3782"/>
      <c r="Q22" s="3782"/>
      <c r="R22" s="3782"/>
      <c r="S22" s="3782"/>
      <c r="T22" s="3782"/>
      <c r="U22" s="3782"/>
      <c r="V22" s="3782"/>
      <c r="W22" s="3782"/>
      <c r="X22" s="3782"/>
      <c r="Y22" s="3782"/>
      <c r="Z22" s="3782"/>
      <c r="AA22" s="3782"/>
      <c r="AB22" s="3782"/>
      <c r="AC22" s="3782"/>
      <c r="AD22" s="3782"/>
      <c r="AE22" s="3782"/>
      <c r="AF22" s="3782"/>
      <c r="AG22" s="3782"/>
      <c r="AH22" s="3782"/>
      <c r="AI22" s="3782"/>
      <c r="AJ22" s="3782"/>
      <c r="AK22" s="3782"/>
      <c r="AL22" s="3782"/>
      <c r="AM22" s="3782"/>
    </row>
    <row r="23" spans="2:39" ht="18" customHeight="1">
      <c r="B23" s="3781" t="s">
        <v>3996</v>
      </c>
      <c r="C23" s="3781"/>
      <c r="D23" s="3781"/>
      <c r="E23" s="3781"/>
      <c r="F23" s="3781"/>
      <c r="G23" s="3781"/>
      <c r="H23" s="3781"/>
      <c r="I23" s="3781"/>
      <c r="J23" s="3781"/>
      <c r="K23" s="3781"/>
      <c r="L23" s="3782"/>
      <c r="M23" s="3782"/>
      <c r="N23" s="3782"/>
      <c r="O23" s="3782"/>
      <c r="P23" s="3782"/>
      <c r="Q23" s="3782"/>
      <c r="R23" s="3782"/>
      <c r="S23" s="3782"/>
      <c r="T23" s="3782"/>
      <c r="U23" s="3782"/>
      <c r="V23" s="3782"/>
      <c r="W23" s="3782"/>
      <c r="X23" s="3782"/>
      <c r="Y23" s="3782"/>
      <c r="Z23" s="3782"/>
      <c r="AA23" s="3782"/>
      <c r="AB23" s="3782"/>
      <c r="AC23" s="3782"/>
      <c r="AD23" s="3782"/>
      <c r="AE23" s="3782"/>
      <c r="AF23" s="3782"/>
      <c r="AG23" s="3782"/>
      <c r="AH23" s="3782"/>
      <c r="AI23" s="3782"/>
      <c r="AJ23" s="3782"/>
      <c r="AK23" s="3782"/>
      <c r="AL23" s="3782"/>
      <c r="AM23" s="3782"/>
    </row>
    <row r="24" spans="2:39" ht="18" customHeight="1">
      <c r="B24" s="3781" t="s">
        <v>3997</v>
      </c>
      <c r="C24" s="3781"/>
      <c r="D24" s="3781"/>
      <c r="E24" s="3781"/>
      <c r="F24" s="3781"/>
      <c r="G24" s="3781"/>
      <c r="H24" s="3781"/>
      <c r="I24" s="3781"/>
      <c r="J24" s="3781"/>
      <c r="K24" s="3781"/>
      <c r="L24" s="3782"/>
      <c r="M24" s="3782"/>
      <c r="N24" s="3782"/>
      <c r="O24" s="3782"/>
      <c r="P24" s="3782"/>
      <c r="Q24" s="3782"/>
      <c r="R24" s="3782"/>
      <c r="S24" s="3782"/>
      <c r="T24" s="3782"/>
      <c r="U24" s="3782"/>
      <c r="V24" s="3782"/>
      <c r="W24" s="3782"/>
      <c r="X24" s="3782"/>
      <c r="Y24" s="3782"/>
      <c r="Z24" s="3782"/>
      <c r="AA24" s="3782"/>
      <c r="AB24" s="3782"/>
      <c r="AC24" s="3782"/>
      <c r="AD24" s="3782"/>
      <c r="AE24" s="3782"/>
      <c r="AF24" s="3782"/>
      <c r="AG24" s="3782"/>
      <c r="AH24" s="3782"/>
      <c r="AI24" s="3782"/>
      <c r="AJ24" s="3782"/>
      <c r="AK24" s="3782"/>
      <c r="AL24" s="3782"/>
      <c r="AM24" s="3782"/>
    </row>
    <row r="26" spans="2:39" ht="18" customHeight="1">
      <c r="B26" s="1685" t="s">
        <v>639</v>
      </c>
      <c r="C26" s="1685"/>
      <c r="D26" s="1685"/>
      <c r="E26" s="1685"/>
      <c r="F26" s="1685"/>
      <c r="G26" s="1685"/>
      <c r="H26" s="1685"/>
      <c r="I26" s="1685"/>
      <c r="J26" s="1685"/>
      <c r="K26" s="1685"/>
      <c r="L26" s="1685"/>
      <c r="M26" s="1685"/>
      <c r="N26" s="1685"/>
      <c r="O26" s="1685"/>
      <c r="P26" s="1685"/>
      <c r="Q26" s="1685"/>
      <c r="R26" s="1685"/>
      <c r="S26" s="1685"/>
      <c r="T26" s="1685"/>
      <c r="U26" s="1685"/>
      <c r="V26" s="1685"/>
      <c r="W26" s="1685"/>
      <c r="X26" s="1685"/>
      <c r="Y26" s="1685"/>
      <c r="Z26" s="1685"/>
      <c r="AA26" s="1685"/>
      <c r="AB26" s="1685"/>
      <c r="AC26" s="1685"/>
      <c r="AD26" s="1685"/>
      <c r="AE26" s="1685"/>
      <c r="AF26" s="1685"/>
      <c r="AG26" s="1685"/>
      <c r="AH26" s="1685"/>
      <c r="AI26" s="1685"/>
      <c r="AJ26" s="1685"/>
      <c r="AK26" s="1685"/>
      <c r="AL26" s="1685"/>
      <c r="AM26" s="1685"/>
    </row>
  </sheetData>
  <mergeCells count="43">
    <mergeCell ref="B11:K11"/>
    <mergeCell ref="B12:K12"/>
    <mergeCell ref="B13:K13"/>
    <mergeCell ref="B14:AM14"/>
    <mergeCell ref="AL15:AM15"/>
    <mergeCell ref="B15:AK15"/>
    <mergeCell ref="L12:AM12"/>
    <mergeCell ref="L13:AM13"/>
    <mergeCell ref="L11:AM11"/>
    <mergeCell ref="B9:K9"/>
    <mergeCell ref="B10:K10"/>
    <mergeCell ref="L8:AM8"/>
    <mergeCell ref="L9:AM9"/>
    <mergeCell ref="L10:AM10"/>
    <mergeCell ref="B2:AM2"/>
    <mergeCell ref="B3:AM3"/>
    <mergeCell ref="AL16:AM16"/>
    <mergeCell ref="AL17:AM17"/>
    <mergeCell ref="B18:E18"/>
    <mergeCell ref="F18:K18"/>
    <mergeCell ref="L18:AM18"/>
    <mergeCell ref="B16:AK16"/>
    <mergeCell ref="B17:AK17"/>
    <mergeCell ref="B4:AM4"/>
    <mergeCell ref="B5:AM5"/>
    <mergeCell ref="B6:K6"/>
    <mergeCell ref="L6:AM6"/>
    <mergeCell ref="L7:AM7"/>
    <mergeCell ref="B7:K7"/>
    <mergeCell ref="B8:K8"/>
    <mergeCell ref="B26:AM26"/>
    <mergeCell ref="B22:K22"/>
    <mergeCell ref="B20:K20"/>
    <mergeCell ref="L19:AM19"/>
    <mergeCell ref="B19:K19"/>
    <mergeCell ref="L22:AM22"/>
    <mergeCell ref="L20:AM20"/>
    <mergeCell ref="B21:K21"/>
    <mergeCell ref="B24:K24"/>
    <mergeCell ref="L24:AM24"/>
    <mergeCell ref="L21:AM21"/>
    <mergeCell ref="B23:K23"/>
    <mergeCell ref="L23:AM23"/>
  </mergeCells>
  <dataValidations count="1">
    <dataValidation type="list" allowBlank="1" showInputMessage="1" showErrorMessage="1" sqref="AL15:AM17" xr:uid="{00000000-0002-0000-1C00-000000000000}">
      <formula1>"Yes,No"</formula1>
    </dataValidation>
  </dataValidations>
  <printOptions horizontalCentered="1"/>
  <pageMargins left="0" right="0.25" top="0" bottom="0" header="0.25" footer="0.25"/>
  <pageSetup scale="65" orientation="portrait" r:id="rId1"/>
  <headerFooter>
    <oddFooter>&amp;L&amp;F&amp;C&amp;P of &amp;N&amp;R &amp;A</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pageSetUpPr fitToPage="1"/>
  </sheetPr>
  <dimension ref="B2:AO33"/>
  <sheetViews>
    <sheetView showGridLines="0" zoomScaleNormal="100" zoomScaleSheetLayoutView="100" workbookViewId="0">
      <selection activeCell="B15" sqref="B15:U16"/>
    </sheetView>
  </sheetViews>
  <sheetFormatPr defaultColWidth="5.33203125" defaultRowHeight="18" customHeight="1"/>
  <cols>
    <col min="1" max="1" width="5.33203125" style="55"/>
    <col min="2" max="39" width="4.109375" style="55" customWidth="1"/>
    <col min="40" max="16384" width="5.33203125" style="55"/>
  </cols>
  <sheetData>
    <row r="2" spans="2:41" ht="24" customHeight="1">
      <c r="B2" s="3799" t="s">
        <v>3998</v>
      </c>
      <c r="C2" s="3799"/>
      <c r="D2" s="3799"/>
      <c r="E2" s="3799"/>
      <c r="F2" s="3799"/>
      <c r="G2" s="3799"/>
      <c r="H2" s="3799"/>
      <c r="I2" s="3799"/>
      <c r="J2" s="3799"/>
      <c r="K2" s="3799"/>
      <c r="L2" s="3799"/>
      <c r="M2" s="3799"/>
      <c r="N2" s="3799"/>
      <c r="O2" s="3799"/>
      <c r="P2" s="3799"/>
      <c r="Q2" s="3799"/>
      <c r="R2" s="3799"/>
      <c r="S2" s="3799"/>
      <c r="T2" s="3799"/>
      <c r="U2" s="3799"/>
      <c r="V2" s="3799"/>
      <c r="W2" s="3799"/>
      <c r="X2" s="3799"/>
      <c r="Y2" s="3799"/>
      <c r="Z2" s="3799"/>
      <c r="AA2" s="3799"/>
      <c r="AB2" s="3799"/>
      <c r="AC2" s="3799"/>
      <c r="AD2" s="3799"/>
      <c r="AE2" s="3799"/>
      <c r="AF2" s="3799"/>
      <c r="AG2" s="3799"/>
      <c r="AH2" s="3799"/>
      <c r="AI2" s="3799"/>
      <c r="AJ2" s="3799"/>
      <c r="AK2" s="3799"/>
      <c r="AL2" s="3799"/>
      <c r="AM2" s="3799"/>
    </row>
    <row r="3" spans="2:41" ht="54" customHeight="1">
      <c r="B3" s="3807" t="s">
        <v>3999</v>
      </c>
      <c r="C3" s="3807"/>
      <c r="D3" s="3807"/>
      <c r="E3" s="3807"/>
      <c r="F3" s="3807"/>
      <c r="G3" s="3807"/>
      <c r="H3" s="3807"/>
      <c r="I3" s="3807"/>
      <c r="J3" s="3807"/>
      <c r="K3" s="3807"/>
      <c r="L3" s="3807"/>
      <c r="M3" s="3807"/>
      <c r="N3" s="3807"/>
      <c r="O3" s="3807"/>
      <c r="P3" s="3807"/>
      <c r="Q3" s="3807"/>
      <c r="R3" s="3807"/>
      <c r="S3" s="3807"/>
      <c r="T3" s="3807"/>
      <c r="U3" s="3807"/>
      <c r="V3" s="3807"/>
      <c r="W3" s="3807"/>
      <c r="X3" s="3807"/>
      <c r="Y3" s="3807"/>
      <c r="Z3" s="3807"/>
      <c r="AA3" s="3807"/>
      <c r="AB3" s="3807"/>
      <c r="AC3" s="3807"/>
      <c r="AD3" s="3807"/>
      <c r="AE3" s="3807"/>
      <c r="AF3" s="3807"/>
      <c r="AG3" s="3807"/>
      <c r="AH3" s="3807"/>
      <c r="AI3" s="3807"/>
      <c r="AJ3" s="3807"/>
      <c r="AK3" s="3807"/>
      <c r="AL3" s="3807"/>
      <c r="AM3" s="3807"/>
    </row>
    <row r="4" spans="2:41" ht="18" customHeight="1">
      <c r="B4" s="2968" t="s">
        <v>4000</v>
      </c>
      <c r="C4" s="2526"/>
      <c r="D4" s="2526"/>
      <c r="E4" s="2526"/>
      <c r="F4" s="2526"/>
      <c r="G4" s="2526"/>
      <c r="H4" s="2526"/>
      <c r="I4" s="2526"/>
      <c r="J4" s="2526"/>
      <c r="K4" s="2526"/>
      <c r="L4" s="2526"/>
      <c r="M4" s="2526"/>
      <c r="N4" s="3787" t="str">
        <f>IF('Project Overview'!$P$146&gt;0,'Project Overview'!$P$146,"")</f>
        <v>ename</v>
      </c>
      <c r="O4" s="3787"/>
      <c r="P4" s="3787"/>
      <c r="Q4" s="3787"/>
      <c r="R4" s="3787"/>
      <c r="S4" s="3787"/>
      <c r="T4" s="3787"/>
      <c r="U4" s="3787"/>
      <c r="V4" s="3787"/>
      <c r="W4" s="3787"/>
      <c r="X4" s="3787"/>
      <c r="Y4" s="3787"/>
      <c r="Z4" s="3787"/>
      <c r="AA4" s="3787"/>
      <c r="AB4" s="3787"/>
      <c r="AC4" s="3787"/>
      <c r="AD4" s="3787"/>
      <c r="AE4" s="3787"/>
      <c r="AF4" s="3787"/>
      <c r="AG4" s="3787"/>
      <c r="AH4" s="3787"/>
      <c r="AI4" s="3787"/>
      <c r="AJ4" s="3787"/>
      <c r="AK4" s="3787"/>
      <c r="AL4" s="3787"/>
      <c r="AM4" s="3788"/>
      <c r="AO4" s="133"/>
    </row>
    <row r="5" spans="2:41" ht="18" customHeight="1">
      <c r="B5" s="2968" t="s">
        <v>4001</v>
      </c>
      <c r="C5" s="2526"/>
      <c r="D5" s="2526"/>
      <c r="E5" s="2526"/>
      <c r="F5" s="2526"/>
      <c r="G5" s="2526"/>
      <c r="H5" s="2526"/>
      <c r="I5" s="2526"/>
      <c r="J5" s="2526"/>
      <c r="K5" s="2526"/>
      <c r="L5" s="2526"/>
      <c r="M5" s="2526"/>
      <c r="N5" s="3787" t="str">
        <f>IF('Contact List'!$F$5&gt;0,'Contact List'!$F$5,"")</f>
        <v/>
      </c>
      <c r="O5" s="3787"/>
      <c r="P5" s="3787"/>
      <c r="Q5" s="3787"/>
      <c r="R5" s="3787"/>
      <c r="S5" s="3787"/>
      <c r="T5" s="3787"/>
      <c r="U5" s="3787"/>
      <c r="V5" s="3787"/>
      <c r="W5" s="3787"/>
      <c r="X5" s="3787"/>
      <c r="Y5" s="3787"/>
      <c r="Z5" s="3787"/>
      <c r="AA5" s="3787"/>
      <c r="AB5" s="3787"/>
      <c r="AC5" s="3787"/>
      <c r="AD5" s="3787"/>
      <c r="AE5" s="3787"/>
      <c r="AF5" s="3787"/>
      <c r="AG5" s="3787"/>
      <c r="AH5" s="3787"/>
      <c r="AI5" s="3787"/>
      <c r="AJ5" s="3787"/>
      <c r="AK5" s="3787"/>
      <c r="AL5" s="3787"/>
      <c r="AM5" s="3788"/>
    </row>
    <row r="6" spans="2:41" ht="18" customHeight="1">
      <c r="B6" s="2968" t="s">
        <v>4002</v>
      </c>
      <c r="C6" s="2526"/>
      <c r="D6" s="2526"/>
      <c r="E6" s="2526"/>
      <c r="F6" s="2526"/>
      <c r="G6" s="2526"/>
      <c r="H6" s="2526"/>
      <c r="I6" s="2526"/>
      <c r="J6" s="2526"/>
      <c r="K6" s="2526"/>
      <c r="L6" s="2526"/>
      <c r="M6" s="2526"/>
      <c r="N6" s="3787" t="str">
        <f>IF('Contact List'!$G$5&gt;0,'Contact List'!$G$5,"")</f>
        <v/>
      </c>
      <c r="O6" s="3787"/>
      <c r="P6" s="3787"/>
      <c r="Q6" s="3787"/>
      <c r="R6" s="3787"/>
      <c r="S6" s="3787"/>
      <c r="T6" s="3787"/>
      <c r="U6" s="3787"/>
      <c r="V6" s="3787"/>
      <c r="W6" s="3787"/>
      <c r="X6" s="3787"/>
      <c r="Y6" s="3787"/>
      <c r="Z6" s="3787"/>
      <c r="AA6" s="3787"/>
      <c r="AB6" s="3787"/>
      <c r="AC6" s="3787"/>
      <c r="AD6" s="3787"/>
      <c r="AE6" s="3787"/>
      <c r="AF6" s="3787"/>
      <c r="AG6" s="3787"/>
      <c r="AH6" s="3787"/>
      <c r="AI6" s="3787"/>
      <c r="AJ6" s="3787"/>
      <c r="AK6" s="3787"/>
      <c r="AL6" s="3787"/>
      <c r="AM6" s="3788"/>
    </row>
    <row r="7" spans="2:41" ht="18" customHeight="1">
      <c r="B7" s="2968" t="s">
        <v>4003</v>
      </c>
      <c r="C7" s="2526"/>
      <c r="D7" s="2526"/>
      <c r="E7" s="2526"/>
      <c r="F7" s="2526"/>
      <c r="G7" s="2526"/>
      <c r="H7" s="2526"/>
      <c r="I7" s="2526"/>
      <c r="J7" s="2526"/>
      <c r="K7" s="2526"/>
      <c r="L7" s="2526"/>
      <c r="M7" s="2526"/>
      <c r="N7" s="3787" t="str">
        <f>IF('Project Overview'!$F$97&gt;0,'Project Overview'!$F$97,"")</f>
        <v>PNAME</v>
      </c>
      <c r="O7" s="3787"/>
      <c r="P7" s="3787"/>
      <c r="Q7" s="3787"/>
      <c r="R7" s="3787"/>
      <c r="S7" s="3787"/>
      <c r="T7" s="3787"/>
      <c r="U7" s="3787"/>
      <c r="V7" s="3787"/>
      <c r="W7" s="3787"/>
      <c r="X7" s="3787"/>
      <c r="Y7" s="3787"/>
      <c r="Z7" s="3787"/>
      <c r="AA7" s="3787"/>
      <c r="AB7" s="3787"/>
      <c r="AC7" s="3787"/>
      <c r="AD7" s="3787"/>
      <c r="AE7" s="3787"/>
      <c r="AF7" s="3787"/>
      <c r="AG7" s="3787"/>
      <c r="AH7" s="3787"/>
      <c r="AI7" s="3787"/>
      <c r="AJ7" s="3787"/>
      <c r="AK7" s="3787"/>
      <c r="AL7" s="3787"/>
      <c r="AM7" s="3788"/>
    </row>
    <row r="8" spans="2:41" ht="18" customHeight="1">
      <c r="B8" s="2968" t="s">
        <v>4004</v>
      </c>
      <c r="C8" s="2526"/>
      <c r="D8" s="2526"/>
      <c r="E8" s="2526"/>
      <c r="F8" s="2526"/>
      <c r="G8" s="2526"/>
      <c r="H8" s="2526"/>
      <c r="I8" s="2526"/>
      <c r="J8" s="2526"/>
      <c r="K8" s="2526"/>
      <c r="L8" s="2526"/>
      <c r="M8" s="2526"/>
      <c r="N8" s="3787" t="str">
        <f>IF('Project Overview'!$Y$97&gt;0,'Project Overview'!$Y$97,"")</f>
        <v>add</v>
      </c>
      <c r="O8" s="3787"/>
      <c r="P8" s="3787"/>
      <c r="Q8" s="3787"/>
      <c r="R8" s="3787"/>
      <c r="S8" s="3787"/>
      <c r="T8" s="3787"/>
      <c r="U8" s="3787"/>
      <c r="V8" s="3787"/>
      <c r="W8" s="3787"/>
      <c r="X8" s="3787"/>
      <c r="Y8" s="3787"/>
      <c r="Z8" s="3787"/>
      <c r="AA8" s="3787"/>
      <c r="AB8" s="3787"/>
      <c r="AC8" s="3787"/>
      <c r="AD8" s="3787"/>
      <c r="AE8" s="3787"/>
      <c r="AF8" s="3787"/>
      <c r="AG8" s="3787"/>
      <c r="AH8" s="3787"/>
      <c r="AI8" s="3787"/>
      <c r="AJ8" s="3787"/>
      <c r="AK8" s="3787"/>
      <c r="AL8" s="3787"/>
      <c r="AM8" s="3788"/>
    </row>
    <row r="9" spans="2:41" ht="18" customHeight="1">
      <c r="B9" s="2968" t="s">
        <v>4005</v>
      </c>
      <c r="C9" s="2526"/>
      <c r="D9" s="2526"/>
      <c r="E9" s="2526"/>
      <c r="F9" s="2526"/>
      <c r="G9" s="2526"/>
      <c r="H9" s="2526"/>
      <c r="I9" s="2526"/>
      <c r="J9" s="2526"/>
      <c r="K9" s="2526"/>
      <c r="L9" s="2526"/>
      <c r="M9" s="2526"/>
      <c r="N9" s="3787" t="str">
        <f>IF('Project Overview'!$O$98&gt;0,'Project Overview'!$O$98,"")</f>
        <v>bhilai</v>
      </c>
      <c r="O9" s="3787"/>
      <c r="P9" s="3787"/>
      <c r="Q9" s="3787"/>
      <c r="R9" s="3787"/>
      <c r="S9" s="3787"/>
      <c r="T9" s="3787"/>
      <c r="U9" s="3787"/>
      <c r="V9" s="3787"/>
      <c r="W9" s="3787"/>
      <c r="X9" s="3787"/>
      <c r="Y9" s="3787"/>
      <c r="Z9" s="3787"/>
      <c r="AA9" s="3787"/>
      <c r="AB9" s="3787"/>
      <c r="AC9" s="3787"/>
      <c r="AD9" s="3787"/>
      <c r="AE9" s="3787"/>
      <c r="AF9" s="3787"/>
      <c r="AG9" s="3787"/>
      <c r="AH9" s="3787"/>
      <c r="AI9" s="3787"/>
      <c r="AJ9" s="3787"/>
      <c r="AK9" s="3787"/>
      <c r="AL9" s="3787"/>
      <c r="AM9" s="3788"/>
    </row>
    <row r="10" spans="2:41" ht="18" customHeight="1">
      <c r="B10" s="2968" t="s">
        <v>4006</v>
      </c>
      <c r="C10" s="2526"/>
      <c r="D10" s="2526"/>
      <c r="E10" s="2526"/>
      <c r="F10" s="2526"/>
      <c r="G10" s="2526"/>
      <c r="H10" s="2526"/>
      <c r="I10" s="2526"/>
      <c r="J10" s="2526"/>
      <c r="K10" s="2526"/>
      <c r="L10" s="2526"/>
      <c r="M10" s="2526"/>
      <c r="N10" s="3787" t="str">
        <f>IF('Project Overview'!$F$98="","",'Project Overview'!$F$98)</f>
        <v>Amador</v>
      </c>
      <c r="O10" s="3787"/>
      <c r="P10" s="3787"/>
      <c r="Q10" s="3787"/>
      <c r="R10" s="3787"/>
      <c r="S10" s="3787"/>
      <c r="T10" s="3787"/>
      <c r="U10" s="3787"/>
      <c r="V10" s="3787"/>
      <c r="W10" s="3787"/>
      <c r="X10" s="3787"/>
      <c r="Y10" s="3787"/>
      <c r="Z10" s="3787"/>
      <c r="AA10" s="3787"/>
      <c r="AB10" s="3787"/>
      <c r="AC10" s="3787"/>
      <c r="AD10" s="3787"/>
      <c r="AE10" s="3787"/>
      <c r="AF10" s="3787"/>
      <c r="AG10" s="3787"/>
      <c r="AH10" s="3787"/>
      <c r="AI10" s="3787"/>
      <c r="AJ10" s="3787"/>
      <c r="AK10" s="3787"/>
      <c r="AL10" s="3787"/>
      <c r="AM10" s="3788"/>
    </row>
    <row r="11" spans="2:41" ht="18" customHeight="1">
      <c r="B11" s="2968" t="s">
        <v>4007</v>
      </c>
      <c r="C11" s="2526"/>
      <c r="D11" s="2526"/>
      <c r="E11" s="2526"/>
      <c r="F11" s="2526"/>
      <c r="G11" s="2526"/>
      <c r="H11" s="2526"/>
      <c r="I11" s="2526"/>
      <c r="J11" s="2526"/>
      <c r="K11" s="2526"/>
      <c r="L11" s="2526"/>
      <c r="M11" s="2526"/>
      <c r="N11" s="3787" t="str">
        <f>CONCATENATE('Project Overview'!$B$105,"  ",'Project Overview'!$B$106,"  ", 'Project Overview'!$B$107, 'Project Overview'!$H$105,"  ", 'Project Overview'!$H$106, 'Project Overview'!$H$107,"  ",'Project Overview'!$N$105,"  ",'Project Overview'!$N$106,"  ", 'Project Overview'!$N$107)</f>
        <v>23  24  2526  2728  29  30  31</v>
      </c>
      <c r="O11" s="3787"/>
      <c r="P11" s="3787"/>
      <c r="Q11" s="3787"/>
      <c r="R11" s="3787"/>
      <c r="S11" s="3787"/>
      <c r="T11" s="3787"/>
      <c r="U11" s="3787"/>
      <c r="V11" s="3787"/>
      <c r="W11" s="3787"/>
      <c r="X11" s="3787"/>
      <c r="Y11" s="3787"/>
      <c r="Z11" s="3787"/>
      <c r="AA11" s="3787"/>
      <c r="AB11" s="3787"/>
      <c r="AC11" s="3787"/>
      <c r="AD11" s="3787"/>
      <c r="AE11" s="3787"/>
      <c r="AF11" s="3787"/>
      <c r="AG11" s="3787"/>
      <c r="AH11" s="3787"/>
      <c r="AI11" s="3787"/>
      <c r="AJ11" s="3787"/>
      <c r="AK11" s="3787"/>
      <c r="AL11" s="3787"/>
      <c r="AM11" s="3788"/>
    </row>
    <row r="12" spans="2:41" ht="54" customHeight="1">
      <c r="B12" s="3808" t="s">
        <v>4008</v>
      </c>
      <c r="C12" s="3809"/>
      <c r="D12" s="3809"/>
      <c r="E12" s="3809"/>
      <c r="F12" s="3809"/>
      <c r="G12" s="3809"/>
      <c r="H12" s="3809"/>
      <c r="I12" s="3809"/>
      <c r="J12" s="3809"/>
      <c r="K12" s="3809"/>
      <c r="L12" s="3809"/>
      <c r="M12" s="3809"/>
      <c r="N12" s="3809"/>
      <c r="O12" s="3809"/>
      <c r="P12" s="3809"/>
      <c r="Q12" s="3809"/>
      <c r="R12" s="3809"/>
      <c r="S12" s="3809"/>
      <c r="T12" s="3809"/>
      <c r="U12" s="3809"/>
      <c r="V12" s="3809"/>
      <c r="W12" s="3809"/>
      <c r="X12" s="3809"/>
      <c r="Y12" s="3809"/>
      <c r="Z12" s="3809"/>
      <c r="AA12" s="3809"/>
      <c r="AB12" s="3809"/>
      <c r="AC12" s="3809"/>
      <c r="AD12" s="3809"/>
      <c r="AE12" s="3809"/>
      <c r="AF12" s="3809"/>
      <c r="AG12" s="3809"/>
      <c r="AH12" s="3809"/>
      <c r="AI12" s="3809"/>
      <c r="AJ12" s="3809"/>
      <c r="AK12" s="3809"/>
      <c r="AL12" s="3809"/>
      <c r="AM12" s="3810"/>
    </row>
    <row r="13" spans="2:41" ht="18.75" customHeight="1">
      <c r="B13" s="2958" t="s">
        <v>4009</v>
      </c>
      <c r="C13" s="2569"/>
      <c r="D13" s="2569"/>
      <c r="E13" s="2569"/>
      <c r="F13" s="2569"/>
      <c r="G13" s="2569"/>
      <c r="H13" s="2569"/>
      <c r="I13" s="2569"/>
      <c r="J13" s="2569"/>
      <c r="K13" s="2569"/>
      <c r="L13" s="2569"/>
      <c r="M13" s="2569"/>
      <c r="N13" s="2569"/>
      <c r="O13" s="2569"/>
      <c r="P13" s="2569"/>
      <c r="Q13" s="2569"/>
      <c r="R13" s="2569"/>
      <c r="S13" s="2569"/>
      <c r="T13" s="2569"/>
      <c r="U13" s="2569"/>
      <c r="V13" s="2569"/>
      <c r="W13" s="2569"/>
      <c r="X13" s="2569"/>
      <c r="Y13" s="2569"/>
      <c r="Z13" s="2569"/>
      <c r="AA13" s="2569"/>
      <c r="AB13" s="2569"/>
      <c r="AC13" s="2569"/>
      <c r="AD13" s="2569"/>
      <c r="AE13" s="2569"/>
      <c r="AF13" s="2569"/>
      <c r="AG13" s="2569"/>
      <c r="AH13" s="2569"/>
      <c r="AI13" s="2569"/>
      <c r="AJ13" s="2569"/>
      <c r="AK13" s="2569"/>
      <c r="AL13" s="3811"/>
      <c r="AM13" s="3811"/>
    </row>
    <row r="14" spans="2:41" ht="36" customHeight="1">
      <c r="B14" s="2509"/>
      <c r="C14" s="2508"/>
      <c r="D14" s="2508"/>
      <c r="E14" s="2508"/>
      <c r="F14" s="2508"/>
      <c r="G14" s="2508"/>
      <c r="H14" s="2508"/>
      <c r="I14" s="2508"/>
      <c r="J14" s="2508"/>
      <c r="K14" s="2508"/>
      <c r="L14" s="2508"/>
      <c r="M14" s="2508"/>
      <c r="N14" s="2508"/>
      <c r="O14" s="2508"/>
      <c r="P14" s="2508"/>
      <c r="Q14" s="2508"/>
      <c r="R14" s="2508"/>
      <c r="S14" s="2508"/>
      <c r="T14" s="2508"/>
      <c r="U14" s="2508"/>
      <c r="V14" s="2508"/>
      <c r="W14" s="2508"/>
      <c r="X14" s="2508"/>
      <c r="Y14" s="3804" t="s">
        <v>4010</v>
      </c>
      <c r="Z14" s="3804"/>
      <c r="AA14" s="3804"/>
      <c r="AB14" s="3804"/>
      <c r="AC14" s="3804"/>
      <c r="AD14" s="3804" t="s">
        <v>4011</v>
      </c>
      <c r="AE14" s="3804"/>
      <c r="AF14" s="3804"/>
      <c r="AG14" s="3804"/>
      <c r="AH14" s="3804"/>
      <c r="AI14" s="3804" t="s">
        <v>4012</v>
      </c>
      <c r="AJ14" s="3804"/>
      <c r="AK14" s="3804"/>
      <c r="AL14" s="3804"/>
      <c r="AM14" s="3804"/>
    </row>
    <row r="15" spans="2:41" ht="18" customHeight="1">
      <c r="B15" s="3816" t="s">
        <v>4013</v>
      </c>
      <c r="C15" s="3816"/>
      <c r="D15" s="3816"/>
      <c r="E15" s="3816"/>
      <c r="F15" s="3816"/>
      <c r="G15" s="3816"/>
      <c r="H15" s="3816"/>
      <c r="I15" s="3816"/>
      <c r="J15" s="3816"/>
      <c r="K15" s="3816"/>
      <c r="L15" s="3816"/>
      <c r="M15" s="3816"/>
      <c r="N15" s="3816"/>
      <c r="O15" s="3816"/>
      <c r="P15" s="3816"/>
      <c r="Q15" s="3816"/>
      <c r="R15" s="3816"/>
      <c r="S15" s="3816"/>
      <c r="T15" s="3816"/>
      <c r="U15" s="3816"/>
      <c r="V15" s="3814" t="s">
        <v>4014</v>
      </c>
      <c r="W15" s="3814"/>
      <c r="X15" s="3814"/>
      <c r="Y15" s="3818"/>
      <c r="Z15" s="3818"/>
      <c r="AA15" s="3818"/>
      <c r="AB15" s="3818"/>
      <c r="AC15" s="3818"/>
      <c r="AD15" s="3812"/>
      <c r="AE15" s="3812"/>
      <c r="AF15" s="3812"/>
      <c r="AG15" s="3812"/>
      <c r="AH15" s="3812"/>
      <c r="AI15" s="3812"/>
      <c r="AJ15" s="3812"/>
      <c r="AK15" s="3812"/>
      <c r="AL15" s="3812"/>
      <c r="AM15" s="3812"/>
    </row>
    <row r="16" spans="2:41" ht="18" customHeight="1">
      <c r="B16" s="2507"/>
      <c r="C16" s="2507"/>
      <c r="D16" s="2507"/>
      <c r="E16" s="2507"/>
      <c r="F16" s="2507"/>
      <c r="G16" s="2507"/>
      <c r="H16" s="2507"/>
      <c r="I16" s="2507"/>
      <c r="J16" s="2507"/>
      <c r="K16" s="2507"/>
      <c r="L16" s="2507"/>
      <c r="M16" s="2507"/>
      <c r="N16" s="2507"/>
      <c r="O16" s="2507"/>
      <c r="P16" s="2507"/>
      <c r="Q16" s="2507"/>
      <c r="R16" s="2507"/>
      <c r="S16" s="2507"/>
      <c r="T16" s="2507"/>
      <c r="U16" s="2507"/>
      <c r="V16" s="3815" t="s">
        <v>4015</v>
      </c>
      <c r="W16" s="3815"/>
      <c r="X16" s="3815"/>
      <c r="Y16" s="3032"/>
      <c r="Z16" s="3032"/>
      <c r="AA16" s="3032"/>
      <c r="AB16" s="3032"/>
      <c r="AC16" s="3032"/>
      <c r="AD16" s="3817"/>
      <c r="AE16" s="3817"/>
      <c r="AF16" s="3817"/>
      <c r="AG16" s="3817"/>
      <c r="AH16" s="3817"/>
      <c r="AI16" s="3817"/>
      <c r="AJ16" s="3817"/>
      <c r="AK16" s="3817"/>
      <c r="AL16" s="3817"/>
      <c r="AM16" s="3817"/>
    </row>
    <row r="17" spans="2:40" ht="18" customHeight="1">
      <c r="B17" s="3790" t="s">
        <v>4016</v>
      </c>
      <c r="C17" s="3790"/>
      <c r="D17" s="3790"/>
      <c r="E17" s="3790"/>
      <c r="F17" s="3790"/>
      <c r="G17" s="3790"/>
      <c r="H17" s="3790"/>
      <c r="I17" s="3790"/>
      <c r="J17" s="3790"/>
      <c r="K17" s="3790"/>
      <c r="L17" s="3790"/>
      <c r="M17" s="3790"/>
      <c r="N17" s="3790"/>
      <c r="O17" s="3790"/>
      <c r="P17" s="3790"/>
      <c r="Q17" s="3790"/>
      <c r="R17" s="3790"/>
      <c r="S17" s="3790"/>
      <c r="T17" s="3790"/>
      <c r="U17" s="3790"/>
      <c r="V17" s="3790"/>
      <c r="W17" s="3790"/>
      <c r="X17" s="3790"/>
      <c r="Y17" s="3790"/>
      <c r="Z17" s="3790"/>
      <c r="AA17" s="3790"/>
      <c r="AB17" s="3790"/>
      <c r="AC17" s="3790"/>
      <c r="AD17" s="3790"/>
      <c r="AE17" s="3790"/>
      <c r="AF17" s="3790"/>
      <c r="AG17" s="3790"/>
      <c r="AH17" s="3790"/>
      <c r="AI17" s="3790"/>
      <c r="AJ17" s="3790"/>
      <c r="AK17" s="3790"/>
      <c r="AL17" s="3790"/>
      <c r="AM17" s="3790"/>
    </row>
    <row r="18" spans="2:40" ht="54" customHeight="1">
      <c r="B18" s="3782"/>
      <c r="C18" s="3782"/>
      <c r="D18" s="3782"/>
      <c r="E18" s="3782"/>
      <c r="F18" s="3782"/>
      <c r="G18" s="3782"/>
      <c r="H18" s="3782"/>
      <c r="I18" s="3782"/>
      <c r="J18" s="3782"/>
      <c r="K18" s="3782"/>
      <c r="L18" s="3782"/>
      <c r="M18" s="3782"/>
      <c r="N18" s="3782"/>
      <c r="O18" s="3782"/>
      <c r="P18" s="3782"/>
      <c r="Q18" s="3782"/>
      <c r="R18" s="3782"/>
      <c r="S18" s="3782"/>
      <c r="T18" s="3782"/>
      <c r="U18" s="3782"/>
      <c r="V18" s="3782"/>
      <c r="W18" s="3782"/>
      <c r="X18" s="3782"/>
      <c r="Y18" s="3782"/>
      <c r="Z18" s="3782"/>
      <c r="AA18" s="3782"/>
      <c r="AB18" s="3782"/>
      <c r="AC18" s="3782"/>
      <c r="AD18" s="3782"/>
      <c r="AE18" s="3782"/>
      <c r="AF18" s="3782"/>
      <c r="AG18" s="3782"/>
      <c r="AH18" s="3782"/>
      <c r="AI18" s="3782"/>
      <c r="AJ18" s="3782"/>
      <c r="AK18" s="3782"/>
      <c r="AL18" s="3782"/>
      <c r="AM18" s="3782"/>
    </row>
    <row r="19" spans="2:40" ht="36" customHeight="1">
      <c r="B19" s="3642"/>
      <c r="C19" s="3642"/>
      <c r="D19" s="3642"/>
      <c r="E19" s="3642"/>
      <c r="F19" s="3642"/>
      <c r="G19" s="3642"/>
      <c r="H19" s="3642"/>
      <c r="I19" s="3642"/>
      <c r="J19" s="3642"/>
      <c r="K19" s="3642"/>
      <c r="L19" s="3642"/>
      <c r="M19" s="3642"/>
      <c r="N19" s="3642"/>
      <c r="O19" s="3642"/>
      <c r="P19" s="3642"/>
      <c r="Q19" s="3642"/>
      <c r="R19" s="3642"/>
      <c r="S19" s="3642"/>
      <c r="T19" s="3642"/>
      <c r="U19" s="3642"/>
      <c r="V19" s="3642"/>
      <c r="W19" s="3642"/>
      <c r="X19" s="3804" t="s">
        <v>4017</v>
      </c>
      <c r="Y19" s="3804"/>
      <c r="Z19" s="3804"/>
      <c r="AA19" s="3804"/>
      <c r="AB19" s="3804" t="s">
        <v>4018</v>
      </c>
      <c r="AC19" s="3804"/>
      <c r="AD19" s="3804"/>
      <c r="AE19" s="3804"/>
      <c r="AF19" s="3804" t="s">
        <v>4019</v>
      </c>
      <c r="AG19" s="3804"/>
      <c r="AH19" s="3804"/>
      <c r="AI19" s="3804"/>
      <c r="AJ19" s="3804"/>
      <c r="AK19" s="3804"/>
      <c r="AL19" s="3804"/>
      <c r="AM19" s="3804"/>
    </row>
    <row r="20" spans="2:40" ht="36" customHeight="1">
      <c r="B20" s="3800" t="s">
        <v>4020</v>
      </c>
      <c r="C20" s="3801"/>
      <c r="D20" s="3801"/>
      <c r="E20" s="3801"/>
      <c r="F20" s="3801"/>
      <c r="G20" s="3801"/>
      <c r="H20" s="3801"/>
      <c r="I20" s="3801"/>
      <c r="J20" s="3801"/>
      <c r="K20" s="3801"/>
      <c r="L20" s="3801"/>
      <c r="M20" s="3801"/>
      <c r="N20" s="3801"/>
      <c r="O20" s="3801"/>
      <c r="P20" s="3801"/>
      <c r="Q20" s="3801"/>
      <c r="R20" s="3801"/>
      <c r="S20" s="3801"/>
      <c r="T20" s="3801"/>
      <c r="U20" s="3801"/>
      <c r="V20" s="3801"/>
      <c r="W20" s="3802"/>
      <c r="X20" s="3806"/>
      <c r="Y20" s="3032"/>
      <c r="Z20" s="3032"/>
      <c r="AA20" s="3032"/>
      <c r="AB20" s="3032"/>
      <c r="AC20" s="3032"/>
      <c r="AD20" s="3032"/>
      <c r="AE20" s="3032"/>
      <c r="AF20" s="3805"/>
      <c r="AG20" s="3805"/>
      <c r="AH20" s="3805"/>
      <c r="AI20" s="3805"/>
      <c r="AJ20" s="3805"/>
      <c r="AK20" s="3805"/>
      <c r="AL20" s="3805"/>
      <c r="AM20" s="3805"/>
    </row>
    <row r="21" spans="2:40" ht="18" customHeight="1">
      <c r="B21" s="3496" t="s">
        <v>4021</v>
      </c>
      <c r="C21" s="3497"/>
      <c r="D21" s="3497"/>
      <c r="E21" s="3497"/>
      <c r="F21" s="3497"/>
      <c r="G21" s="3497"/>
      <c r="H21" s="3497"/>
      <c r="I21" s="3497"/>
      <c r="J21" s="3497"/>
      <c r="K21" s="3497"/>
      <c r="L21" s="3497"/>
      <c r="M21" s="3497"/>
      <c r="N21" s="3497"/>
      <c r="O21" s="3497"/>
      <c r="P21" s="3497"/>
      <c r="Q21" s="3497"/>
      <c r="R21" s="3497"/>
      <c r="S21" s="3497"/>
      <c r="T21" s="3497"/>
      <c r="U21" s="3497"/>
      <c r="V21" s="3497"/>
      <c r="W21" s="3803"/>
      <c r="X21" s="3806"/>
      <c r="Y21" s="3032"/>
      <c r="Z21" s="3032"/>
      <c r="AA21" s="3032"/>
      <c r="AB21" s="3032"/>
      <c r="AC21" s="3032"/>
      <c r="AD21" s="3032"/>
      <c r="AE21" s="3032"/>
      <c r="AF21" s="3805"/>
      <c r="AG21" s="3805"/>
      <c r="AH21" s="3805"/>
      <c r="AI21" s="3805"/>
      <c r="AJ21" s="3805"/>
      <c r="AK21" s="3805"/>
      <c r="AL21" s="3805"/>
      <c r="AM21" s="3805"/>
    </row>
    <row r="22" spans="2:40" ht="18" customHeight="1">
      <c r="B22" s="3789" t="s">
        <v>4016</v>
      </c>
      <c r="C22" s="3789"/>
      <c r="D22" s="3789"/>
      <c r="E22" s="3789"/>
      <c r="F22" s="3789"/>
      <c r="G22" s="3789"/>
      <c r="H22" s="3789"/>
      <c r="I22" s="3789"/>
      <c r="J22" s="3789"/>
      <c r="K22" s="3789"/>
      <c r="L22" s="3789"/>
      <c r="M22" s="3789"/>
      <c r="N22" s="3789"/>
      <c r="O22" s="3789"/>
      <c r="P22" s="3789"/>
      <c r="Q22" s="3789"/>
      <c r="R22" s="3789"/>
      <c r="S22" s="3789"/>
      <c r="T22" s="3789"/>
      <c r="U22" s="3789"/>
      <c r="V22" s="3789"/>
      <c r="W22" s="3789"/>
      <c r="X22" s="3790"/>
      <c r="Y22" s="3790"/>
      <c r="Z22" s="3790"/>
      <c r="AA22" s="3790"/>
      <c r="AB22" s="3790"/>
      <c r="AC22" s="3790"/>
      <c r="AD22" s="3790"/>
      <c r="AE22" s="3790"/>
      <c r="AF22" s="3790"/>
      <c r="AG22" s="3790"/>
      <c r="AH22" s="3790"/>
      <c r="AI22" s="3790"/>
      <c r="AJ22" s="3790"/>
      <c r="AK22" s="3790"/>
      <c r="AL22" s="3790"/>
      <c r="AM22" s="3790"/>
    </row>
    <row r="23" spans="2:40" ht="54" customHeight="1">
      <c r="B23" s="3782"/>
      <c r="C23" s="3782"/>
      <c r="D23" s="3782"/>
      <c r="E23" s="3782"/>
      <c r="F23" s="3782"/>
      <c r="G23" s="3782"/>
      <c r="H23" s="3782"/>
      <c r="I23" s="3782"/>
      <c r="J23" s="3782"/>
      <c r="K23" s="3782"/>
      <c r="L23" s="3782"/>
      <c r="M23" s="3782"/>
      <c r="N23" s="3782"/>
      <c r="O23" s="3782"/>
      <c r="P23" s="3782"/>
      <c r="Q23" s="3782"/>
      <c r="R23" s="3782"/>
      <c r="S23" s="3782"/>
      <c r="T23" s="3782"/>
      <c r="U23" s="3782"/>
      <c r="V23" s="3782"/>
      <c r="W23" s="3782"/>
      <c r="X23" s="3782"/>
      <c r="Y23" s="3782"/>
      <c r="Z23" s="3782"/>
      <c r="AA23" s="3782"/>
      <c r="AB23" s="3782"/>
      <c r="AC23" s="3782"/>
      <c r="AD23" s="3782"/>
      <c r="AE23" s="3782"/>
      <c r="AF23" s="3782"/>
      <c r="AG23" s="3782"/>
      <c r="AH23" s="3782"/>
      <c r="AI23" s="3782"/>
      <c r="AJ23" s="3782"/>
      <c r="AK23" s="3782"/>
      <c r="AL23" s="3782"/>
      <c r="AM23" s="3782"/>
    </row>
    <row r="24" spans="2:40" ht="9" customHeight="1"/>
    <row r="25" spans="2:40" ht="18" customHeight="1">
      <c r="B25" s="3798" t="s">
        <v>3991</v>
      </c>
      <c r="C25" s="3798"/>
      <c r="D25" s="3798"/>
      <c r="E25" s="3819"/>
      <c r="F25" s="3819"/>
      <c r="G25" s="3819"/>
      <c r="H25" s="3819"/>
      <c r="I25" s="2503"/>
      <c r="J25" s="2503"/>
      <c r="K25" s="2503"/>
      <c r="L25" s="2503"/>
      <c r="M25" s="2503"/>
      <c r="N25" s="2503"/>
      <c r="O25" s="2503"/>
      <c r="P25" s="2503"/>
      <c r="Q25" s="2503"/>
      <c r="R25" s="2503"/>
      <c r="S25" s="2503"/>
      <c r="T25" s="2503"/>
      <c r="U25" s="2503"/>
      <c r="V25" s="2503"/>
      <c r="W25" s="2503"/>
      <c r="X25" s="2503"/>
      <c r="Y25" s="2503"/>
      <c r="Z25" s="2503"/>
      <c r="AA25" s="2503"/>
      <c r="AB25" s="2503"/>
      <c r="AC25" s="2503"/>
      <c r="AD25" s="2503"/>
      <c r="AE25" s="2503"/>
      <c r="AF25" s="2503"/>
      <c r="AG25" s="2503"/>
      <c r="AH25" s="2503"/>
      <c r="AI25" s="2503"/>
      <c r="AJ25" s="2503"/>
      <c r="AK25" s="2503"/>
      <c r="AL25" s="2503"/>
      <c r="AM25" s="2503"/>
    </row>
    <row r="26" spans="2:40" ht="18" customHeight="1">
      <c r="B26" s="3793" t="s">
        <v>3992</v>
      </c>
      <c r="C26" s="3794"/>
      <c r="D26" s="3794"/>
      <c r="E26" s="3794"/>
      <c r="F26" s="3794"/>
      <c r="G26" s="3794"/>
      <c r="H26" s="3794"/>
      <c r="I26" s="3794"/>
      <c r="J26" s="3794"/>
      <c r="K26" s="3794"/>
      <c r="L26" s="3794"/>
      <c r="M26" s="3795"/>
      <c r="N26" s="3791"/>
      <c r="O26" s="3791"/>
      <c r="P26" s="3791"/>
      <c r="Q26" s="3791"/>
      <c r="R26" s="3791"/>
      <c r="S26" s="3791"/>
      <c r="T26" s="3791"/>
      <c r="U26" s="3791"/>
      <c r="V26" s="3791"/>
      <c r="W26" s="3791"/>
      <c r="X26" s="3791"/>
      <c r="Y26" s="3791"/>
      <c r="Z26" s="3791"/>
      <c r="AA26" s="3791"/>
      <c r="AB26" s="3791"/>
      <c r="AC26" s="3791"/>
      <c r="AD26" s="3791"/>
      <c r="AE26" s="3791"/>
      <c r="AF26" s="3791"/>
      <c r="AG26" s="3791"/>
      <c r="AH26" s="3791"/>
      <c r="AI26" s="3791"/>
      <c r="AJ26" s="3791"/>
      <c r="AK26" s="3791"/>
      <c r="AL26" s="3791"/>
      <c r="AM26" s="3791"/>
    </row>
    <row r="27" spans="2:40" ht="18" customHeight="1">
      <c r="B27" s="3796" t="s">
        <v>4022</v>
      </c>
      <c r="C27" s="2524"/>
      <c r="D27" s="2524"/>
      <c r="E27" s="2524"/>
      <c r="F27" s="2524"/>
      <c r="G27" s="2524"/>
      <c r="H27" s="2524"/>
      <c r="I27" s="2524"/>
      <c r="J27" s="2524"/>
      <c r="K27" s="2524"/>
      <c r="L27" s="2524"/>
      <c r="M27" s="3797"/>
      <c r="N27" s="3792"/>
      <c r="O27" s="3791"/>
      <c r="P27" s="3791"/>
      <c r="Q27" s="3791"/>
      <c r="R27" s="3791"/>
      <c r="S27" s="3791"/>
      <c r="T27" s="3791"/>
      <c r="U27" s="3791"/>
      <c r="V27" s="3791"/>
      <c r="W27" s="3791"/>
      <c r="X27" s="3791"/>
      <c r="Y27" s="3791"/>
      <c r="Z27" s="3791"/>
      <c r="AA27" s="3791"/>
      <c r="AB27" s="3791"/>
      <c r="AC27" s="3791"/>
      <c r="AD27" s="3791"/>
      <c r="AE27" s="3791"/>
      <c r="AF27" s="3791"/>
      <c r="AG27" s="3791"/>
      <c r="AH27" s="3791"/>
      <c r="AI27" s="3791"/>
      <c r="AJ27" s="3791"/>
      <c r="AK27" s="3791"/>
      <c r="AL27" s="3791"/>
      <c r="AM27" s="3791"/>
      <c r="AN27" s="167"/>
    </row>
    <row r="28" spans="2:40" ht="18" customHeight="1">
      <c r="B28" s="3813" t="s">
        <v>3994</v>
      </c>
      <c r="C28" s="2524"/>
      <c r="D28" s="2524"/>
      <c r="E28" s="2524"/>
      <c r="F28" s="2524"/>
      <c r="G28" s="2524"/>
      <c r="H28" s="2524"/>
      <c r="I28" s="2524"/>
      <c r="J28" s="2524"/>
      <c r="K28" s="2524"/>
      <c r="L28" s="2524"/>
      <c r="M28" s="3797"/>
      <c r="N28" s="3792"/>
      <c r="O28" s="3791"/>
      <c r="P28" s="3791"/>
      <c r="Q28" s="3791"/>
      <c r="R28" s="3791"/>
      <c r="S28" s="3791"/>
      <c r="T28" s="3791"/>
      <c r="U28" s="3791"/>
      <c r="V28" s="3791"/>
      <c r="W28" s="3791"/>
      <c r="X28" s="3791"/>
      <c r="Y28" s="3791"/>
      <c r="Z28" s="3791"/>
      <c r="AA28" s="3791"/>
      <c r="AB28" s="3791"/>
      <c r="AC28" s="3791"/>
      <c r="AD28" s="3791"/>
      <c r="AE28" s="3791"/>
      <c r="AF28" s="3791"/>
      <c r="AG28" s="3791"/>
      <c r="AH28" s="3791"/>
      <c r="AI28" s="3791"/>
      <c r="AJ28" s="3791"/>
      <c r="AK28" s="3791"/>
      <c r="AL28" s="3791"/>
      <c r="AM28" s="3791"/>
    </row>
    <row r="29" spans="2:40" ht="18" customHeight="1">
      <c r="B29" s="3813" t="s">
        <v>3995</v>
      </c>
      <c r="C29" s="2524"/>
      <c r="D29" s="2524"/>
      <c r="E29" s="2524"/>
      <c r="F29" s="2524"/>
      <c r="G29" s="2524"/>
      <c r="H29" s="2524"/>
      <c r="I29" s="2524"/>
      <c r="J29" s="2524"/>
      <c r="K29" s="2524"/>
      <c r="L29" s="2524"/>
      <c r="M29" s="3797"/>
      <c r="N29" s="3792"/>
      <c r="O29" s="3791"/>
      <c r="P29" s="3791"/>
      <c r="Q29" s="3791"/>
      <c r="R29" s="3791"/>
      <c r="S29" s="3791"/>
      <c r="T29" s="3791"/>
      <c r="U29" s="3791"/>
      <c r="V29" s="3791"/>
      <c r="W29" s="3791"/>
      <c r="X29" s="3791"/>
      <c r="Y29" s="3791"/>
      <c r="Z29" s="3791"/>
      <c r="AA29" s="3791"/>
      <c r="AB29" s="3791"/>
      <c r="AC29" s="3791"/>
      <c r="AD29" s="3791"/>
      <c r="AE29" s="3791"/>
      <c r="AF29" s="3791"/>
      <c r="AG29" s="3791"/>
      <c r="AH29" s="3791"/>
      <c r="AI29" s="3791"/>
      <c r="AJ29" s="3791"/>
      <c r="AK29" s="3791"/>
      <c r="AL29" s="3791"/>
      <c r="AM29" s="3791"/>
    </row>
    <row r="30" spans="2:40" ht="18" customHeight="1">
      <c r="B30" s="3813" t="s">
        <v>3996</v>
      </c>
      <c r="C30" s="2524"/>
      <c r="D30" s="2524"/>
      <c r="E30" s="2524"/>
      <c r="F30" s="2524"/>
      <c r="G30" s="2524"/>
      <c r="H30" s="2524"/>
      <c r="I30" s="2524"/>
      <c r="J30" s="2524"/>
      <c r="K30" s="2524"/>
      <c r="L30" s="2524"/>
      <c r="M30" s="3797"/>
      <c r="N30" s="3792"/>
      <c r="O30" s="3791"/>
      <c r="P30" s="3791"/>
      <c r="Q30" s="3791"/>
      <c r="R30" s="3791"/>
      <c r="S30" s="3791"/>
      <c r="T30" s="3791"/>
      <c r="U30" s="3791"/>
      <c r="V30" s="3791"/>
      <c r="W30" s="3791"/>
      <c r="X30" s="3791"/>
      <c r="Y30" s="3791"/>
      <c r="Z30" s="3791"/>
      <c r="AA30" s="3791"/>
      <c r="AB30" s="3791"/>
      <c r="AC30" s="3791"/>
      <c r="AD30" s="3791"/>
      <c r="AE30" s="3791"/>
      <c r="AF30" s="3791"/>
      <c r="AG30" s="3791"/>
      <c r="AH30" s="3791"/>
      <c r="AI30" s="3791"/>
      <c r="AJ30" s="3791"/>
      <c r="AK30" s="3791"/>
      <c r="AL30" s="3791"/>
      <c r="AM30" s="3791"/>
    </row>
    <row r="31" spans="2:40" ht="18" customHeight="1">
      <c r="B31" s="3820" t="s">
        <v>3997</v>
      </c>
      <c r="C31" s="3821"/>
      <c r="D31" s="3821"/>
      <c r="E31" s="3821"/>
      <c r="F31" s="3821"/>
      <c r="G31" s="3821"/>
      <c r="H31" s="3821"/>
      <c r="I31" s="3821"/>
      <c r="J31" s="3821"/>
      <c r="K31" s="3821"/>
      <c r="L31" s="3821"/>
      <c r="M31" s="3822"/>
      <c r="N31" s="3823"/>
      <c r="O31" s="3824"/>
      <c r="P31" s="3824"/>
      <c r="Q31" s="3824"/>
      <c r="R31" s="3824"/>
      <c r="S31" s="3824"/>
      <c r="T31" s="3824"/>
      <c r="U31" s="3824"/>
      <c r="V31" s="3824"/>
      <c r="W31" s="3824"/>
      <c r="X31" s="3824"/>
      <c r="Y31" s="3824"/>
      <c r="Z31" s="3824"/>
      <c r="AA31" s="3824"/>
      <c r="AB31" s="3824"/>
      <c r="AC31" s="3824"/>
      <c r="AD31" s="3824"/>
      <c r="AE31" s="3824"/>
      <c r="AF31" s="3824"/>
      <c r="AG31" s="3824"/>
      <c r="AH31" s="3824"/>
      <c r="AI31" s="3824"/>
      <c r="AJ31" s="3824"/>
      <c r="AK31" s="3824"/>
      <c r="AL31" s="3824"/>
      <c r="AM31" s="3824"/>
    </row>
    <row r="33" spans="2:39" ht="18" customHeight="1">
      <c r="B33" s="2489" t="s">
        <v>639</v>
      </c>
      <c r="C33" s="2489"/>
      <c r="D33" s="2489"/>
      <c r="E33" s="2489"/>
      <c r="F33" s="2489"/>
      <c r="G33" s="2489"/>
      <c r="H33" s="2489"/>
      <c r="I33" s="2489"/>
      <c r="J33" s="2489"/>
      <c r="K33" s="2489"/>
      <c r="L33" s="2489"/>
      <c r="M33" s="2489"/>
      <c r="N33" s="2489"/>
      <c r="O33" s="2489"/>
      <c r="P33" s="2489"/>
      <c r="Q33" s="2489"/>
      <c r="R33" s="2489"/>
      <c r="S33" s="2489"/>
      <c r="T33" s="2489"/>
      <c r="U33" s="2489"/>
      <c r="V33" s="2489"/>
      <c r="W33" s="2489"/>
      <c r="X33" s="2489"/>
      <c r="Y33" s="2489"/>
      <c r="Z33" s="2489"/>
      <c r="AA33" s="2489"/>
      <c r="AB33" s="2489"/>
      <c r="AC33" s="2489"/>
      <c r="AD33" s="2489"/>
      <c r="AE33" s="2489"/>
      <c r="AF33" s="2489"/>
      <c r="AG33" s="2489"/>
      <c r="AH33" s="2489"/>
      <c r="AI33" s="2489"/>
      <c r="AJ33" s="2489"/>
      <c r="AK33" s="2489"/>
      <c r="AL33" s="2489"/>
      <c r="AM33" s="2489"/>
    </row>
  </sheetData>
  <mergeCells count="66">
    <mergeCell ref="B29:M29"/>
    <mergeCell ref="B30:M30"/>
    <mergeCell ref="B31:M31"/>
    <mergeCell ref="N29:AM29"/>
    <mergeCell ref="N30:AM30"/>
    <mergeCell ref="N31:AM31"/>
    <mergeCell ref="AI15:AM15"/>
    <mergeCell ref="N28:AM28"/>
    <mergeCell ref="B28:M28"/>
    <mergeCell ref="V15:X15"/>
    <mergeCell ref="V16:X16"/>
    <mergeCell ref="B15:U16"/>
    <mergeCell ref="B17:AM17"/>
    <mergeCell ref="AI16:AM16"/>
    <mergeCell ref="AD15:AH15"/>
    <mergeCell ref="AD16:AH16"/>
    <mergeCell ref="Y15:AC15"/>
    <mergeCell ref="E25:H25"/>
    <mergeCell ref="I25:AM25"/>
    <mergeCell ref="B10:M10"/>
    <mergeCell ref="B11:M11"/>
    <mergeCell ref="N11:AM11"/>
    <mergeCell ref="B12:AM12"/>
    <mergeCell ref="AI14:AM14"/>
    <mergeCell ref="B14:X14"/>
    <mergeCell ref="AD14:AH14"/>
    <mergeCell ref="Y14:AC14"/>
    <mergeCell ref="B13:AK13"/>
    <mergeCell ref="AL13:AM13"/>
    <mergeCell ref="B3:AM3"/>
    <mergeCell ref="B4:M4"/>
    <mergeCell ref="B5:M5"/>
    <mergeCell ref="N4:AM4"/>
    <mergeCell ref="N5:AM5"/>
    <mergeCell ref="B2:AM2"/>
    <mergeCell ref="B20:W20"/>
    <mergeCell ref="B21:W21"/>
    <mergeCell ref="B19:W19"/>
    <mergeCell ref="AF19:AM19"/>
    <mergeCell ref="AF20:AM20"/>
    <mergeCell ref="AF21:AM21"/>
    <mergeCell ref="X19:AA19"/>
    <mergeCell ref="X20:AA20"/>
    <mergeCell ref="X21:AA21"/>
    <mergeCell ref="AB19:AE19"/>
    <mergeCell ref="AB20:AE20"/>
    <mergeCell ref="AB21:AE21"/>
    <mergeCell ref="B6:M6"/>
    <mergeCell ref="B7:M7"/>
    <mergeCell ref="B8:M8"/>
    <mergeCell ref="B33:AM33"/>
    <mergeCell ref="N6:AM6"/>
    <mergeCell ref="N7:AM7"/>
    <mergeCell ref="N8:AM8"/>
    <mergeCell ref="N9:AM9"/>
    <mergeCell ref="N10:AM10"/>
    <mergeCell ref="B22:AM22"/>
    <mergeCell ref="B23:AM23"/>
    <mergeCell ref="N26:AM26"/>
    <mergeCell ref="N27:AM27"/>
    <mergeCell ref="B26:M26"/>
    <mergeCell ref="B27:M27"/>
    <mergeCell ref="B25:D25"/>
    <mergeCell ref="Y16:AC16"/>
    <mergeCell ref="B18:AM18"/>
    <mergeCell ref="B9:M9"/>
  </mergeCells>
  <dataValidations count="3">
    <dataValidation type="list" allowBlank="1" showInputMessage="1" showErrorMessage="1" sqref="AB20:AB21 X20:X21" xr:uid="{00000000-0002-0000-1E00-000000000000}">
      <formula1>"X"</formula1>
    </dataValidation>
    <dataValidation type="list" allowBlank="1" showInputMessage="1" showErrorMessage="1" sqref="Y15:AC16" xr:uid="{98A368D7-3371-4FFD-BEE1-C62644C345DC}">
      <formula1>"N/A"</formula1>
    </dataValidation>
    <dataValidation type="list" allowBlank="1" showInputMessage="1" showErrorMessage="1" sqref="AL13:AM13" xr:uid="{2B53D1DA-B175-48E0-A5EE-781CA865D6C5}">
      <formula1>"Yes,No"</formula1>
    </dataValidation>
  </dataValidations>
  <printOptions horizontalCentered="1"/>
  <pageMargins left="0.25" right="0.25" top="0.5" bottom="0" header="0.25" footer="0.25"/>
  <pageSetup scale="66" firstPageNumber="61" fitToHeight="0" orientation="portrait" r:id="rId1"/>
  <headerFooter>
    <oddFooter>&amp;L&amp;F&amp;C&amp;P of &amp;N&amp;R &amp;A</oddFoot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4">
    <pageSetUpPr fitToPage="1"/>
  </sheetPr>
  <dimension ref="B2:AP46"/>
  <sheetViews>
    <sheetView showGridLines="0" zoomScaleNormal="100" zoomScaleSheetLayoutView="100" workbookViewId="0"/>
  </sheetViews>
  <sheetFormatPr defaultColWidth="9.109375" defaultRowHeight="18" customHeight="1"/>
  <cols>
    <col min="1" max="39" width="4.109375" style="14" customWidth="1"/>
    <col min="40" max="41" width="6.44140625" style="14" customWidth="1"/>
    <col min="42" max="42" width="7" style="14" customWidth="1"/>
    <col min="43" max="16384" width="9.109375" style="14"/>
  </cols>
  <sheetData>
    <row r="2" spans="2:42" ht="17.399999999999999">
      <c r="B2" s="3750" t="s">
        <v>4023</v>
      </c>
      <c r="C2" s="3750"/>
      <c r="D2" s="3750"/>
      <c r="E2" s="3750"/>
      <c r="F2" s="3750"/>
      <c r="G2" s="3750"/>
      <c r="H2" s="3750"/>
      <c r="I2" s="3750"/>
      <c r="J2" s="3750"/>
      <c r="K2" s="3750"/>
      <c r="L2" s="3750"/>
      <c r="M2" s="3750"/>
      <c r="N2" s="3750"/>
      <c r="O2" s="3750"/>
      <c r="P2" s="3750"/>
      <c r="Q2" s="3750"/>
      <c r="R2" s="3750"/>
      <c r="S2" s="3750"/>
      <c r="T2" s="3750"/>
      <c r="U2" s="3750"/>
      <c r="V2" s="3750"/>
      <c r="W2" s="3750"/>
      <c r="X2" s="3750"/>
      <c r="Y2" s="3750"/>
      <c r="Z2" s="3750"/>
      <c r="AA2" s="3750"/>
      <c r="AB2" s="3750"/>
      <c r="AC2" s="3750"/>
      <c r="AD2" s="3750"/>
      <c r="AE2" s="3750"/>
      <c r="AF2" s="3750"/>
      <c r="AG2" s="3750"/>
      <c r="AH2" s="3750"/>
      <c r="AI2" s="3750"/>
      <c r="AJ2" s="3750"/>
      <c r="AK2" s="3750"/>
      <c r="AL2" s="3750"/>
      <c r="AM2" s="3750"/>
      <c r="AN2" s="3856"/>
      <c r="AO2" s="3857"/>
      <c r="AP2" s="168"/>
    </row>
    <row r="3" spans="2:42" ht="9" customHeight="1">
      <c r="B3" s="1573"/>
      <c r="C3" s="1573"/>
      <c r="D3" s="1573"/>
      <c r="E3" s="1573"/>
      <c r="F3" s="1573"/>
      <c r="G3" s="1573"/>
      <c r="H3" s="1573"/>
      <c r="I3" s="1573"/>
      <c r="J3" s="1573"/>
      <c r="K3" s="1573"/>
      <c r="L3" s="1573"/>
      <c r="M3" s="1573"/>
      <c r="N3" s="1573"/>
      <c r="O3" s="1573"/>
      <c r="P3" s="1573"/>
      <c r="Q3" s="1573"/>
      <c r="R3" s="1573"/>
      <c r="S3" s="1573"/>
      <c r="T3" s="1573"/>
      <c r="U3" s="1573"/>
      <c r="V3" s="1573"/>
      <c r="W3" s="1573"/>
      <c r="X3" s="1573"/>
      <c r="Y3" s="1573"/>
      <c r="Z3" s="1573"/>
      <c r="AA3" s="1573"/>
      <c r="AB3" s="1573"/>
      <c r="AC3" s="1573"/>
      <c r="AD3" s="1573"/>
      <c r="AE3" s="1573"/>
      <c r="AF3" s="1573"/>
      <c r="AG3" s="1573"/>
      <c r="AH3" s="1573"/>
      <c r="AI3" s="1573"/>
      <c r="AJ3" s="1573"/>
      <c r="AK3" s="1573"/>
      <c r="AL3" s="1573"/>
      <c r="AM3" s="1573"/>
      <c r="AN3" s="1581"/>
      <c r="AO3" s="1582"/>
      <c r="AP3" s="168"/>
    </row>
    <row r="4" spans="2:42" ht="18" customHeight="1">
      <c r="B4" s="3831" t="s">
        <v>4024</v>
      </c>
      <c r="C4" s="3832"/>
      <c r="D4" s="3832"/>
      <c r="E4" s="3832"/>
      <c r="F4" s="3832"/>
      <c r="G4" s="3832"/>
      <c r="H4" s="3832"/>
      <c r="I4" s="3832"/>
      <c r="J4" s="3832"/>
      <c r="K4" s="3832"/>
      <c r="L4" s="3832"/>
      <c r="M4" s="3832"/>
      <c r="N4" s="3832"/>
      <c r="O4" s="3832"/>
      <c r="P4" s="3832"/>
      <c r="Q4" s="3832"/>
      <c r="R4" s="3832"/>
      <c r="S4" s="3832"/>
      <c r="T4" s="3832"/>
      <c r="U4" s="3832"/>
      <c r="V4" s="3832"/>
      <c r="W4" s="3832"/>
      <c r="X4" s="3832"/>
      <c r="Y4" s="3832"/>
      <c r="Z4" s="3832"/>
      <c r="AA4" s="3832"/>
      <c r="AB4" s="3832"/>
      <c r="AC4" s="3832"/>
      <c r="AD4" s="3832"/>
      <c r="AE4" s="3832"/>
      <c r="AF4" s="3832"/>
      <c r="AG4" s="3832"/>
      <c r="AH4" s="3832"/>
      <c r="AI4" s="3832"/>
      <c r="AJ4" s="3832"/>
      <c r="AK4" s="3832"/>
      <c r="AL4" s="3832"/>
      <c r="AM4" s="3833"/>
    </row>
    <row r="5" spans="2:42" ht="18" customHeight="1">
      <c r="B5" s="3825" t="s">
        <v>4025</v>
      </c>
      <c r="C5" s="3826"/>
      <c r="D5" s="3826"/>
      <c r="E5" s="3826"/>
      <c r="F5" s="3826"/>
      <c r="G5" s="3826"/>
      <c r="H5" s="3826"/>
      <c r="I5" s="3826"/>
      <c r="J5" s="3826"/>
      <c r="K5" s="3826"/>
      <c r="L5" s="3826"/>
      <c r="M5" s="3826"/>
      <c r="N5" s="3826"/>
      <c r="O5" s="3826"/>
      <c r="P5" s="3826"/>
      <c r="Q5" s="3826"/>
      <c r="R5" s="3826"/>
      <c r="S5" s="3826"/>
      <c r="T5" s="3826"/>
      <c r="U5" s="3826"/>
      <c r="V5" s="3826"/>
      <c r="W5" s="3826"/>
      <c r="X5" s="3826"/>
      <c r="Y5" s="3826"/>
      <c r="Z5" s="3826"/>
      <c r="AA5" s="3826"/>
      <c r="AB5" s="3826"/>
      <c r="AC5" s="3826"/>
      <c r="AD5" s="3826"/>
      <c r="AE5" s="3826"/>
      <c r="AF5" s="3826"/>
      <c r="AG5" s="3826"/>
      <c r="AH5" s="3826"/>
      <c r="AI5" s="3826"/>
      <c r="AJ5" s="3826"/>
      <c r="AK5" s="3826"/>
      <c r="AL5" s="3826"/>
      <c r="AM5" s="3827"/>
      <c r="AN5" s="3854"/>
      <c r="AO5" s="3855"/>
      <c r="AP5" s="171"/>
    </row>
    <row r="6" spans="2:42" ht="18" customHeight="1">
      <c r="B6" s="3825" t="s">
        <v>4026</v>
      </c>
      <c r="C6" s="3826"/>
      <c r="D6" s="3826"/>
      <c r="E6" s="3826"/>
      <c r="F6" s="3826"/>
      <c r="G6" s="3826"/>
      <c r="H6" s="3826"/>
      <c r="I6" s="3826"/>
      <c r="J6" s="3826"/>
      <c r="K6" s="3826"/>
      <c r="L6" s="3826"/>
      <c r="M6" s="3826"/>
      <c r="N6" s="3826"/>
      <c r="O6" s="3826"/>
      <c r="P6" s="3826"/>
      <c r="Q6" s="3826"/>
      <c r="R6" s="3826"/>
      <c r="S6" s="3826"/>
      <c r="T6" s="3826"/>
      <c r="U6" s="3826"/>
      <c r="V6" s="3826"/>
      <c r="W6" s="3826"/>
      <c r="X6" s="3826"/>
      <c r="Y6" s="3826"/>
      <c r="Z6" s="3826"/>
      <c r="AA6" s="3826"/>
      <c r="AB6" s="3826"/>
      <c r="AC6" s="3826"/>
      <c r="AD6" s="3826"/>
      <c r="AE6" s="3826"/>
      <c r="AF6" s="3826"/>
      <c r="AG6" s="3826"/>
      <c r="AH6" s="3826"/>
      <c r="AI6" s="3826"/>
      <c r="AJ6" s="3826"/>
      <c r="AK6" s="3826"/>
      <c r="AL6" s="3826"/>
      <c r="AM6" s="3827"/>
    </row>
    <row r="7" spans="2:42" ht="54" customHeight="1">
      <c r="B7" s="3828" t="s">
        <v>4027</v>
      </c>
      <c r="C7" s="3829"/>
      <c r="D7" s="3829"/>
      <c r="E7" s="3829"/>
      <c r="F7" s="3829"/>
      <c r="G7" s="3829"/>
      <c r="H7" s="3829"/>
      <c r="I7" s="3829"/>
      <c r="J7" s="3829"/>
      <c r="K7" s="3829"/>
      <c r="L7" s="3829"/>
      <c r="M7" s="3829"/>
      <c r="N7" s="3829"/>
      <c r="O7" s="3829"/>
      <c r="P7" s="3829"/>
      <c r="Q7" s="3829"/>
      <c r="R7" s="3829"/>
      <c r="S7" s="3829"/>
      <c r="T7" s="3829"/>
      <c r="U7" s="3829"/>
      <c r="V7" s="3829"/>
      <c r="W7" s="3829"/>
      <c r="X7" s="3829"/>
      <c r="Y7" s="3829"/>
      <c r="Z7" s="3829"/>
      <c r="AA7" s="3829"/>
      <c r="AB7" s="3829"/>
      <c r="AC7" s="3829"/>
      <c r="AD7" s="3829"/>
      <c r="AE7" s="3829"/>
      <c r="AF7" s="3829"/>
      <c r="AG7" s="3829"/>
      <c r="AH7" s="3829"/>
      <c r="AI7" s="3829"/>
      <c r="AJ7" s="3829"/>
      <c r="AK7" s="3829"/>
      <c r="AL7" s="3829"/>
      <c r="AM7" s="3830"/>
    </row>
    <row r="8" spans="2:42" ht="54" customHeight="1">
      <c r="B8" s="3837"/>
      <c r="C8" s="3837"/>
      <c r="D8" s="3837"/>
      <c r="E8" s="3837"/>
      <c r="F8" s="3837"/>
      <c r="G8" s="3837"/>
      <c r="H8" s="3837"/>
      <c r="I8" s="3837"/>
      <c r="J8" s="3837"/>
      <c r="K8" s="3837"/>
      <c r="L8" s="3837"/>
      <c r="M8" s="3837"/>
      <c r="N8" s="3837"/>
      <c r="O8" s="3837"/>
      <c r="P8" s="3837"/>
      <c r="Q8" s="3837"/>
      <c r="R8" s="3837"/>
      <c r="S8" s="3837"/>
      <c r="T8" s="3837"/>
      <c r="U8" s="3837"/>
      <c r="V8" s="3837"/>
      <c r="W8" s="3837"/>
      <c r="X8" s="3837"/>
      <c r="Y8" s="3837"/>
      <c r="Z8" s="3837"/>
      <c r="AA8" s="3837"/>
      <c r="AB8" s="3837"/>
      <c r="AC8" s="3837"/>
      <c r="AD8" s="3837"/>
      <c r="AE8" s="3837"/>
      <c r="AF8" s="3837"/>
      <c r="AG8" s="3837"/>
      <c r="AH8" s="3837"/>
      <c r="AI8" s="3837"/>
      <c r="AJ8" s="3837"/>
      <c r="AK8" s="3837"/>
      <c r="AL8" s="3837"/>
      <c r="AM8" s="3837"/>
    </row>
    <row r="9" spans="2:42" ht="36" customHeight="1">
      <c r="B9" s="3838" t="s">
        <v>4028</v>
      </c>
      <c r="C9" s="3839"/>
      <c r="D9" s="3839"/>
      <c r="E9" s="3839"/>
      <c r="F9" s="3839"/>
      <c r="G9" s="3839"/>
      <c r="H9" s="3839"/>
      <c r="I9" s="3839"/>
      <c r="J9" s="3839"/>
      <c r="K9" s="3839"/>
      <c r="L9" s="3839"/>
      <c r="M9" s="3839"/>
      <c r="N9" s="3839"/>
      <c r="O9" s="3839"/>
      <c r="P9" s="3839"/>
      <c r="Q9" s="3839"/>
      <c r="R9" s="3839"/>
      <c r="S9" s="3839"/>
      <c r="T9" s="3839"/>
      <c r="U9" s="3839"/>
      <c r="V9" s="3839"/>
      <c r="W9" s="3839"/>
      <c r="X9" s="3839"/>
      <c r="Y9" s="3839"/>
      <c r="Z9" s="3839"/>
      <c r="AA9" s="3839"/>
      <c r="AB9" s="3839"/>
      <c r="AC9" s="3839"/>
      <c r="AD9" s="3839"/>
      <c r="AE9" s="3839"/>
      <c r="AF9" s="3839"/>
      <c r="AG9" s="3839"/>
      <c r="AH9" s="3839"/>
      <c r="AI9" s="3839"/>
      <c r="AJ9" s="3839"/>
      <c r="AK9" s="3839"/>
      <c r="AL9" s="3839"/>
      <c r="AM9" s="3840"/>
    </row>
    <row r="10" spans="2:42" ht="18" customHeight="1">
      <c r="B10" s="3841" t="s">
        <v>4029</v>
      </c>
      <c r="C10" s="3842"/>
      <c r="D10" s="3842"/>
      <c r="E10" s="3842"/>
      <c r="F10" s="3842"/>
      <c r="G10" s="3842"/>
      <c r="H10" s="3842"/>
      <c r="I10" s="3842"/>
      <c r="J10" s="3842"/>
      <c r="K10" s="3842"/>
      <c r="L10" s="3842"/>
      <c r="M10" s="3842"/>
      <c r="N10" s="3842"/>
      <c r="O10" s="3842"/>
      <c r="P10" s="3842"/>
      <c r="Q10" s="3842"/>
      <c r="R10" s="3842"/>
      <c r="S10" s="3842"/>
      <c r="T10" s="3842"/>
      <c r="U10" s="3842"/>
      <c r="V10" s="3842"/>
      <c r="W10" s="3842"/>
      <c r="X10" s="3842"/>
      <c r="Y10" s="3842"/>
      <c r="Z10" s="3842"/>
      <c r="AA10" s="3842"/>
      <c r="AB10" s="3842"/>
      <c r="AC10" s="3842"/>
      <c r="AD10" s="3842"/>
      <c r="AE10" s="3842"/>
      <c r="AF10" s="3842"/>
      <c r="AG10" s="3842"/>
      <c r="AH10" s="3842"/>
      <c r="AI10" s="3842"/>
      <c r="AJ10" s="3842"/>
      <c r="AK10" s="3842"/>
      <c r="AL10" s="3842"/>
      <c r="AM10" s="3843"/>
    </row>
    <row r="11" spans="2:42" ht="18" customHeight="1">
      <c r="B11" s="3825" t="s">
        <v>4030</v>
      </c>
      <c r="C11" s="3826"/>
      <c r="D11" s="3826"/>
      <c r="E11" s="3826"/>
      <c r="F11" s="3826"/>
      <c r="G11" s="3826"/>
      <c r="H11" s="3826"/>
      <c r="I11" s="3826"/>
      <c r="J11" s="3826"/>
      <c r="K11" s="3826"/>
      <c r="L11" s="3826"/>
      <c r="M11" s="3826"/>
      <c r="N11" s="3826"/>
      <c r="O11" s="3826"/>
      <c r="P11" s="3826"/>
      <c r="Q11" s="3826"/>
      <c r="R11" s="3826"/>
      <c r="S11" s="3826"/>
      <c r="T11" s="3826"/>
      <c r="U11" s="3826"/>
      <c r="V11" s="3826"/>
      <c r="W11" s="3826"/>
      <c r="X11" s="3826"/>
      <c r="Y11" s="3826"/>
      <c r="Z11" s="3826"/>
      <c r="AA11" s="3826"/>
      <c r="AB11" s="3826"/>
      <c r="AC11" s="3826"/>
      <c r="AD11" s="3826"/>
      <c r="AE11" s="3826"/>
      <c r="AF11" s="3826"/>
      <c r="AG11" s="3826"/>
      <c r="AH11" s="3826"/>
      <c r="AI11" s="3826"/>
      <c r="AJ11" s="3826"/>
      <c r="AK11" s="3826"/>
      <c r="AL11" s="3826"/>
      <c r="AM11" s="3827"/>
    </row>
    <row r="12" spans="2:42" ht="18" customHeight="1">
      <c r="B12" s="3861"/>
      <c r="C12" s="3862"/>
      <c r="D12" s="3862"/>
      <c r="E12" s="3862"/>
      <c r="F12" s="3862"/>
      <c r="G12" s="3862"/>
      <c r="H12" s="3862"/>
      <c r="I12" s="3862"/>
      <c r="J12" s="3862"/>
      <c r="K12" s="3863"/>
      <c r="L12" s="3862"/>
      <c r="M12" s="3862"/>
      <c r="N12" s="3862"/>
      <c r="O12" s="3862"/>
      <c r="P12" s="3862"/>
      <c r="Q12" s="3862"/>
      <c r="R12" s="3862"/>
      <c r="S12" s="3862"/>
      <c r="T12" s="3862"/>
      <c r="U12" s="3863"/>
      <c r="V12" s="3862"/>
      <c r="W12" s="3862"/>
      <c r="X12" s="3862"/>
      <c r="Y12" s="3862"/>
      <c r="Z12" s="3862"/>
      <c r="AA12" s="3862"/>
      <c r="AB12" s="3862"/>
      <c r="AC12" s="3862"/>
      <c r="AD12" s="3862"/>
      <c r="AE12" s="3862"/>
      <c r="AF12" s="3862"/>
      <c r="AG12" s="3862"/>
      <c r="AH12" s="3862"/>
      <c r="AI12" s="3862"/>
      <c r="AJ12" s="3863"/>
      <c r="AK12" s="3862"/>
      <c r="AL12" s="3862"/>
      <c r="AM12" s="3864"/>
    </row>
    <row r="13" spans="2:42" ht="18" customHeight="1">
      <c r="B13" s="3869"/>
      <c r="C13" s="3870"/>
      <c r="D13" s="3870"/>
      <c r="E13" s="3870"/>
      <c r="F13" s="3870"/>
      <c r="G13" s="3870"/>
      <c r="H13" s="3870"/>
      <c r="I13" s="3870"/>
      <c r="J13" s="3871"/>
      <c r="K13" s="1419"/>
      <c r="L13" s="3869"/>
      <c r="M13" s="3870"/>
      <c r="N13" s="3870"/>
      <c r="O13" s="3870"/>
      <c r="P13" s="3870"/>
      <c r="Q13" s="3870"/>
      <c r="R13" s="3870"/>
      <c r="S13" s="3870"/>
      <c r="T13" s="3871"/>
      <c r="U13" s="1420"/>
      <c r="V13" s="3872"/>
      <c r="W13" s="3873"/>
      <c r="X13" s="3873"/>
      <c r="Y13" s="3873"/>
      <c r="Z13" s="3873"/>
      <c r="AA13" s="3873"/>
      <c r="AB13" s="3873"/>
      <c r="AC13" s="3873"/>
      <c r="AD13" s="3873"/>
      <c r="AE13" s="3873"/>
      <c r="AF13" s="3873"/>
      <c r="AG13" s="3873"/>
      <c r="AH13" s="3873"/>
      <c r="AI13" s="3873"/>
      <c r="AJ13" s="1421"/>
      <c r="AK13" s="3874"/>
      <c r="AL13" s="3874"/>
      <c r="AM13" s="3874"/>
    </row>
    <row r="14" spans="2:42" ht="18" customHeight="1">
      <c r="B14" s="3834" t="s">
        <v>4031</v>
      </c>
      <c r="C14" s="3835"/>
      <c r="D14" s="3835"/>
      <c r="E14" s="3835"/>
      <c r="F14" s="3835"/>
      <c r="G14" s="3835"/>
      <c r="H14" s="3835"/>
      <c r="I14" s="3835"/>
      <c r="J14" s="3835"/>
      <c r="K14" s="416"/>
      <c r="L14" s="3835" t="s">
        <v>4032</v>
      </c>
      <c r="M14" s="3835"/>
      <c r="N14" s="3835"/>
      <c r="O14" s="3835"/>
      <c r="P14" s="3835"/>
      <c r="Q14" s="3835"/>
      <c r="R14" s="3835"/>
      <c r="S14" s="3835"/>
      <c r="T14" s="3835"/>
      <c r="U14" s="417"/>
      <c r="V14" s="3836" t="s">
        <v>4033</v>
      </c>
      <c r="W14" s="3836"/>
      <c r="X14" s="3836"/>
      <c r="Y14" s="3836"/>
      <c r="Z14" s="3836"/>
      <c r="AA14" s="3836"/>
      <c r="AB14" s="3836"/>
      <c r="AC14" s="3836"/>
      <c r="AD14" s="3836"/>
      <c r="AE14" s="3836"/>
      <c r="AF14" s="3836"/>
      <c r="AG14" s="3836"/>
      <c r="AH14" s="3836"/>
      <c r="AI14" s="3836"/>
      <c r="AJ14" s="418"/>
      <c r="AK14" s="3836" t="s">
        <v>826</v>
      </c>
      <c r="AL14" s="3836"/>
      <c r="AM14" s="3858"/>
      <c r="AN14" s="24"/>
      <c r="AO14" s="110"/>
    </row>
    <row r="15" spans="2:42" ht="18" customHeight="1">
      <c r="B15" s="1583"/>
      <c r="C15" s="1584"/>
      <c r="D15" s="1584"/>
      <c r="E15" s="1584"/>
      <c r="F15" s="1584"/>
      <c r="G15" s="1584"/>
      <c r="H15" s="1584"/>
      <c r="I15" s="1584"/>
      <c r="J15" s="1584"/>
      <c r="K15" s="419"/>
      <c r="L15" s="1584"/>
      <c r="M15" s="1584"/>
      <c r="N15" s="1584"/>
      <c r="O15" s="1584"/>
      <c r="P15" s="1584"/>
      <c r="Q15" s="1584"/>
      <c r="R15" s="1584"/>
      <c r="S15" s="1584"/>
      <c r="T15" s="1584"/>
      <c r="U15" s="420"/>
      <c r="V15" s="421"/>
      <c r="W15" s="421"/>
      <c r="X15" s="421"/>
      <c r="Y15" s="421"/>
      <c r="Z15" s="421"/>
      <c r="AA15" s="421"/>
      <c r="AB15" s="421"/>
      <c r="AC15" s="421"/>
      <c r="AD15" s="421"/>
      <c r="AE15" s="421"/>
      <c r="AF15" s="421"/>
      <c r="AG15" s="421"/>
      <c r="AH15" s="421"/>
      <c r="AI15" s="421"/>
      <c r="AJ15" s="422"/>
      <c r="AK15" s="421"/>
      <c r="AL15" s="421"/>
      <c r="AM15" s="1602"/>
      <c r="AN15" s="24"/>
      <c r="AO15" s="110"/>
    </row>
    <row r="16" spans="2:42" s="134" customFormat="1" ht="18" customHeight="1">
      <c r="B16" s="3865" t="s">
        <v>4034</v>
      </c>
      <c r="C16" s="3866"/>
      <c r="D16" s="3866"/>
      <c r="E16" s="3866"/>
      <c r="F16" s="3866"/>
      <c r="G16" s="3866"/>
      <c r="H16" s="3866"/>
      <c r="I16" s="3866"/>
      <c r="J16" s="3866"/>
      <c r="K16" s="3866"/>
      <c r="L16" s="3866"/>
      <c r="M16" s="3866"/>
      <c r="N16" s="3866"/>
      <c r="O16" s="3866"/>
      <c r="P16" s="3866"/>
      <c r="Q16" s="3866"/>
      <c r="R16" s="3866"/>
      <c r="S16" s="3866"/>
      <c r="T16" s="3866"/>
      <c r="U16" s="3866"/>
      <c r="V16" s="3866"/>
      <c r="W16" s="3866"/>
      <c r="X16" s="3866"/>
      <c r="Y16" s="3866"/>
      <c r="Z16" s="3866"/>
      <c r="AA16" s="3866"/>
      <c r="AB16" s="3866"/>
      <c r="AC16" s="3866"/>
      <c r="AD16" s="3866"/>
      <c r="AE16" s="3866"/>
      <c r="AF16" s="3866"/>
      <c r="AG16" s="3866"/>
      <c r="AH16" s="3866"/>
      <c r="AI16" s="3866"/>
      <c r="AJ16" s="3866"/>
      <c r="AK16" s="3866"/>
      <c r="AL16" s="3866"/>
      <c r="AM16" s="3867"/>
    </row>
    <row r="17" spans="2:40" s="135" customFormat="1" ht="36" customHeight="1">
      <c r="B17" s="3868" t="s">
        <v>4035</v>
      </c>
      <c r="C17" s="3868"/>
      <c r="D17" s="3868"/>
      <c r="E17" s="3868"/>
      <c r="F17" s="3868"/>
      <c r="G17" s="3868"/>
      <c r="H17" s="3868"/>
      <c r="I17" s="3868"/>
      <c r="J17" s="3868"/>
      <c r="K17" s="3868"/>
      <c r="L17" s="3868"/>
      <c r="M17" s="3868"/>
      <c r="N17" s="3868"/>
      <c r="O17" s="3868"/>
      <c r="P17" s="3868"/>
      <c r="Q17" s="3868"/>
      <c r="R17" s="3868"/>
      <c r="S17" s="3868"/>
      <c r="T17" s="3868"/>
      <c r="U17" s="3868"/>
      <c r="V17" s="3868"/>
      <c r="W17" s="3868"/>
      <c r="X17" s="3868"/>
      <c r="Y17" s="3868"/>
      <c r="Z17" s="3868"/>
      <c r="AA17" s="3868"/>
      <c r="AB17" s="3868"/>
      <c r="AC17" s="3868"/>
      <c r="AD17" s="3868"/>
      <c r="AE17" s="3868"/>
      <c r="AF17" s="3868"/>
      <c r="AG17" s="3868"/>
      <c r="AH17" s="3868"/>
      <c r="AI17" s="3868"/>
      <c r="AJ17" s="3868"/>
      <c r="AK17" s="3868"/>
      <c r="AL17" s="3868"/>
      <c r="AM17" s="3868"/>
      <c r="AN17" s="173"/>
    </row>
    <row r="18" spans="2:40" s="136" customFormat="1" ht="72" customHeight="1">
      <c r="B18" s="3847" t="s">
        <v>4036</v>
      </c>
      <c r="C18" s="3848"/>
      <c r="D18" s="3848"/>
      <c r="E18" s="3848"/>
      <c r="F18" s="3848"/>
      <c r="G18" s="3848"/>
      <c r="H18" s="3848"/>
      <c r="I18" s="3848"/>
      <c r="J18" s="3848"/>
      <c r="K18" s="3848"/>
      <c r="L18" s="3848"/>
      <c r="M18" s="3848"/>
      <c r="N18" s="3848"/>
      <c r="O18" s="3848"/>
      <c r="P18" s="3848"/>
      <c r="Q18" s="3848"/>
      <c r="R18" s="3848"/>
      <c r="S18" s="3848"/>
      <c r="T18" s="3848"/>
      <c r="U18" s="3848"/>
      <c r="V18" s="3848"/>
      <c r="W18" s="3848"/>
      <c r="X18" s="3848"/>
      <c r="Y18" s="3848"/>
      <c r="Z18" s="3848"/>
      <c r="AA18" s="3848"/>
      <c r="AB18" s="3848"/>
      <c r="AC18" s="3848"/>
      <c r="AD18" s="3848"/>
      <c r="AE18" s="3848"/>
      <c r="AF18" s="3848"/>
      <c r="AG18" s="3848"/>
      <c r="AH18" s="3848"/>
      <c r="AI18" s="3848"/>
      <c r="AJ18" s="3848"/>
      <c r="AK18" s="3848"/>
      <c r="AL18" s="3848"/>
      <c r="AM18" s="3849"/>
    </row>
    <row r="19" spans="2:40" s="137" customFormat="1" ht="18" customHeight="1">
      <c r="B19" s="3847" t="s">
        <v>4037</v>
      </c>
      <c r="C19" s="3848"/>
      <c r="D19" s="3848"/>
      <c r="E19" s="3848"/>
      <c r="F19" s="3848"/>
      <c r="G19" s="3848"/>
      <c r="H19" s="3848"/>
      <c r="I19" s="3848"/>
      <c r="J19" s="3848"/>
      <c r="K19" s="3848"/>
      <c r="L19" s="3848"/>
      <c r="M19" s="3848"/>
      <c r="N19" s="3848"/>
      <c r="O19" s="3848"/>
      <c r="P19" s="3848"/>
      <c r="Q19" s="3848"/>
      <c r="R19" s="3848"/>
      <c r="S19" s="3848"/>
      <c r="T19" s="3848"/>
      <c r="U19" s="3848"/>
      <c r="V19" s="3848"/>
      <c r="W19" s="3848"/>
      <c r="X19" s="3848"/>
      <c r="Y19" s="3848"/>
      <c r="Z19" s="3848"/>
      <c r="AA19" s="3848"/>
      <c r="AB19" s="3848"/>
      <c r="AC19" s="3848"/>
      <c r="AD19" s="3848"/>
      <c r="AE19" s="3848"/>
      <c r="AF19" s="3848"/>
      <c r="AG19" s="3848"/>
      <c r="AH19" s="3848"/>
      <c r="AI19" s="3848"/>
      <c r="AJ19" s="3848"/>
      <c r="AK19" s="3848"/>
      <c r="AL19" s="3848"/>
      <c r="AM19" s="3849"/>
    </row>
    <row r="20" spans="2:40" s="137" customFormat="1" ht="18" customHeight="1">
      <c r="B20" s="3844" t="s">
        <v>4038</v>
      </c>
      <c r="C20" s="3845"/>
      <c r="D20" s="3845"/>
      <c r="E20" s="3845"/>
      <c r="F20" s="3845"/>
      <c r="G20" s="3845"/>
      <c r="H20" s="3845"/>
      <c r="I20" s="3845"/>
      <c r="J20" s="3845"/>
      <c r="K20" s="3845"/>
      <c r="L20" s="3845"/>
      <c r="M20" s="3845"/>
      <c r="N20" s="3845"/>
      <c r="O20" s="3845"/>
      <c r="P20" s="3845"/>
      <c r="Q20" s="3845"/>
      <c r="R20" s="3845"/>
      <c r="S20" s="3845"/>
      <c r="T20" s="3845"/>
      <c r="U20" s="3845"/>
      <c r="V20" s="3845"/>
      <c r="W20" s="3845"/>
      <c r="X20" s="3845"/>
      <c r="Y20" s="3845"/>
      <c r="Z20" s="3845"/>
      <c r="AA20" s="3845"/>
      <c r="AB20" s="3845"/>
      <c r="AC20" s="3845"/>
      <c r="AD20" s="3845"/>
      <c r="AE20" s="3845"/>
      <c r="AF20" s="3845"/>
      <c r="AG20" s="3845"/>
      <c r="AH20" s="3845"/>
      <c r="AI20" s="3845"/>
      <c r="AJ20" s="3845"/>
      <c r="AK20" s="3845"/>
      <c r="AL20" s="3845"/>
      <c r="AM20" s="3846"/>
    </row>
    <row r="21" spans="2:40" s="138" customFormat="1" ht="18" customHeight="1">
      <c r="B21" s="3878" t="s">
        <v>4039</v>
      </c>
      <c r="C21" s="3878"/>
      <c r="D21" s="3878"/>
      <c r="E21" s="3878"/>
      <c r="F21" s="3878"/>
      <c r="G21" s="3878"/>
      <c r="H21" s="3878"/>
      <c r="I21" s="3878"/>
      <c r="J21" s="3878"/>
      <c r="K21" s="3878"/>
      <c r="L21" s="3878"/>
      <c r="M21" s="3878"/>
      <c r="N21" s="3878"/>
      <c r="O21" s="3878"/>
      <c r="P21" s="3878"/>
      <c r="Q21" s="3878"/>
      <c r="R21" s="3878"/>
      <c r="S21" s="3878"/>
      <c r="T21" s="3878"/>
      <c r="U21" s="3878"/>
      <c r="V21" s="3878"/>
      <c r="W21" s="3878"/>
      <c r="X21" s="3878"/>
      <c r="Y21" s="3878"/>
      <c r="Z21" s="3878"/>
      <c r="AA21" s="3878"/>
      <c r="AB21" s="3878"/>
      <c r="AC21" s="3878"/>
      <c r="AD21" s="3878"/>
      <c r="AE21" s="3878"/>
      <c r="AF21" s="3878"/>
      <c r="AG21" s="3878"/>
      <c r="AH21" s="3878"/>
      <c r="AI21" s="3878"/>
      <c r="AJ21" s="3878"/>
      <c r="AK21" s="3878"/>
      <c r="AL21" s="3878"/>
      <c r="AM21" s="3878"/>
    </row>
    <row r="22" spans="2:40" s="137" customFormat="1" ht="36" customHeight="1">
      <c r="B22" s="3847" t="s">
        <v>4040</v>
      </c>
      <c r="C22" s="3848"/>
      <c r="D22" s="3848"/>
      <c r="E22" s="3848"/>
      <c r="F22" s="3848"/>
      <c r="G22" s="3848"/>
      <c r="H22" s="3848"/>
      <c r="I22" s="3848"/>
      <c r="J22" s="3848"/>
      <c r="K22" s="3848"/>
      <c r="L22" s="3848"/>
      <c r="M22" s="3848"/>
      <c r="N22" s="3848"/>
      <c r="O22" s="3848"/>
      <c r="P22" s="3848"/>
      <c r="Q22" s="3848"/>
      <c r="R22" s="3848"/>
      <c r="S22" s="3848"/>
      <c r="T22" s="3848"/>
      <c r="U22" s="3848"/>
      <c r="V22" s="3848"/>
      <c r="W22" s="3848"/>
      <c r="X22" s="3848"/>
      <c r="Y22" s="3848"/>
      <c r="Z22" s="3848"/>
      <c r="AA22" s="3848"/>
      <c r="AB22" s="3848"/>
      <c r="AC22" s="3848"/>
      <c r="AD22" s="3848"/>
      <c r="AE22" s="3848"/>
      <c r="AF22" s="3848"/>
      <c r="AG22" s="3848"/>
      <c r="AH22" s="3848"/>
      <c r="AI22" s="3848"/>
      <c r="AJ22" s="3848"/>
      <c r="AK22" s="3848"/>
      <c r="AL22" s="3848"/>
      <c r="AM22" s="3849"/>
    </row>
    <row r="23" spans="2:40" s="137" customFormat="1" ht="54" customHeight="1">
      <c r="B23" s="3847" t="s">
        <v>4041</v>
      </c>
      <c r="C23" s="3848"/>
      <c r="D23" s="3848"/>
      <c r="E23" s="3848"/>
      <c r="F23" s="3848"/>
      <c r="G23" s="3848"/>
      <c r="H23" s="3848"/>
      <c r="I23" s="3848"/>
      <c r="J23" s="3848"/>
      <c r="K23" s="3848"/>
      <c r="L23" s="3848"/>
      <c r="M23" s="3848"/>
      <c r="N23" s="3848"/>
      <c r="O23" s="3848"/>
      <c r="P23" s="3848"/>
      <c r="Q23" s="3848"/>
      <c r="R23" s="3848"/>
      <c r="S23" s="3848"/>
      <c r="T23" s="3848"/>
      <c r="U23" s="3848"/>
      <c r="V23" s="3848"/>
      <c r="W23" s="3848"/>
      <c r="X23" s="3848"/>
      <c r="Y23" s="3848"/>
      <c r="Z23" s="3848"/>
      <c r="AA23" s="3848"/>
      <c r="AB23" s="3848"/>
      <c r="AC23" s="3848"/>
      <c r="AD23" s="3848"/>
      <c r="AE23" s="3848"/>
      <c r="AF23" s="3848"/>
      <c r="AG23" s="3848"/>
      <c r="AH23" s="3848"/>
      <c r="AI23" s="3848"/>
      <c r="AJ23" s="3848"/>
      <c r="AK23" s="3848"/>
      <c r="AL23" s="3848"/>
      <c r="AM23" s="3849"/>
    </row>
    <row r="24" spans="2:40" s="139" customFormat="1" ht="18" customHeight="1">
      <c r="B24" s="3850" t="s">
        <v>4042</v>
      </c>
      <c r="C24" s="3850"/>
      <c r="D24" s="3850"/>
      <c r="E24" s="3850"/>
      <c r="F24" s="3850"/>
      <c r="G24" s="3850"/>
      <c r="H24" s="3850"/>
      <c r="I24" s="3850"/>
      <c r="J24" s="3850"/>
      <c r="K24" s="3850"/>
      <c r="L24" s="3850"/>
      <c r="M24" s="3850"/>
      <c r="N24" s="3850"/>
      <c r="O24" s="3850"/>
      <c r="P24" s="3850"/>
      <c r="Q24" s="3850"/>
      <c r="R24" s="3850"/>
      <c r="S24" s="3850"/>
      <c r="T24" s="3850"/>
      <c r="U24" s="3850"/>
      <c r="V24" s="3850"/>
      <c r="W24" s="3850"/>
      <c r="X24" s="3850"/>
      <c r="Y24" s="3850"/>
      <c r="Z24" s="3850"/>
      <c r="AA24" s="3850"/>
      <c r="AB24" s="3850"/>
      <c r="AC24" s="3850"/>
      <c r="AD24" s="3850"/>
      <c r="AE24" s="3850"/>
      <c r="AF24" s="3850"/>
      <c r="AG24" s="3850"/>
      <c r="AH24" s="3850"/>
      <c r="AI24" s="3850"/>
      <c r="AJ24" s="3850"/>
      <c r="AK24" s="3850"/>
      <c r="AL24" s="3851"/>
      <c r="AM24" s="3851"/>
    </row>
    <row r="25" spans="2:40" s="137" customFormat="1" ht="36" customHeight="1">
      <c r="B25" s="3875" t="s">
        <v>4043</v>
      </c>
      <c r="C25" s="3876"/>
      <c r="D25" s="3876"/>
      <c r="E25" s="3876"/>
      <c r="F25" s="3876"/>
      <c r="G25" s="3876"/>
      <c r="H25" s="3876"/>
      <c r="I25" s="3876"/>
      <c r="J25" s="3876"/>
      <c r="K25" s="3876"/>
      <c r="L25" s="3876"/>
      <c r="M25" s="3876"/>
      <c r="N25" s="3876"/>
      <c r="O25" s="3876"/>
      <c r="P25" s="3876"/>
      <c r="Q25" s="3876"/>
      <c r="R25" s="3876"/>
      <c r="S25" s="3876"/>
      <c r="T25" s="3876"/>
      <c r="U25" s="3876"/>
      <c r="V25" s="3876"/>
      <c r="W25" s="3876"/>
      <c r="X25" s="3876"/>
      <c r="Y25" s="3876"/>
      <c r="Z25" s="3876"/>
      <c r="AA25" s="3876"/>
      <c r="AB25" s="3876"/>
      <c r="AC25" s="3876"/>
      <c r="AD25" s="3876"/>
      <c r="AE25" s="3876"/>
      <c r="AF25" s="3876"/>
      <c r="AG25" s="3876"/>
      <c r="AH25" s="3876"/>
      <c r="AI25" s="3876"/>
      <c r="AJ25" s="3876"/>
      <c r="AK25" s="3877"/>
      <c r="AL25" s="3852"/>
      <c r="AM25" s="3853"/>
    </row>
    <row r="26" spans="2:40" s="137" customFormat="1" ht="36" customHeight="1">
      <c r="B26" s="3875" t="s">
        <v>4044</v>
      </c>
      <c r="C26" s="3876"/>
      <c r="D26" s="3876"/>
      <c r="E26" s="3876"/>
      <c r="F26" s="3876"/>
      <c r="G26" s="3876"/>
      <c r="H26" s="3876"/>
      <c r="I26" s="3876"/>
      <c r="J26" s="3876"/>
      <c r="K26" s="3876"/>
      <c r="L26" s="3876"/>
      <c r="M26" s="3876"/>
      <c r="N26" s="3876"/>
      <c r="O26" s="3876"/>
      <c r="P26" s="3876"/>
      <c r="Q26" s="3876"/>
      <c r="R26" s="3876"/>
      <c r="S26" s="3876"/>
      <c r="T26" s="3876"/>
      <c r="U26" s="3876"/>
      <c r="V26" s="3876"/>
      <c r="W26" s="3876"/>
      <c r="X26" s="3876"/>
      <c r="Y26" s="3876"/>
      <c r="Z26" s="3876"/>
      <c r="AA26" s="3876"/>
      <c r="AB26" s="3876"/>
      <c r="AC26" s="3876"/>
      <c r="AD26" s="3876"/>
      <c r="AE26" s="3876"/>
      <c r="AF26" s="3876"/>
      <c r="AG26" s="3876"/>
      <c r="AH26" s="3876"/>
      <c r="AI26" s="3876"/>
      <c r="AJ26" s="3876"/>
      <c r="AK26" s="3877"/>
      <c r="AL26" s="3852"/>
      <c r="AM26" s="3853"/>
    </row>
    <row r="27" spans="2:40" s="137" customFormat="1" ht="36" customHeight="1">
      <c r="B27" s="3875" t="s">
        <v>4045</v>
      </c>
      <c r="C27" s="3876"/>
      <c r="D27" s="3876"/>
      <c r="E27" s="3876"/>
      <c r="F27" s="3876"/>
      <c r="G27" s="3876"/>
      <c r="H27" s="3876"/>
      <c r="I27" s="3876"/>
      <c r="J27" s="3876"/>
      <c r="K27" s="3876"/>
      <c r="L27" s="3876"/>
      <c r="M27" s="3876"/>
      <c r="N27" s="3876"/>
      <c r="O27" s="3876"/>
      <c r="P27" s="3876"/>
      <c r="Q27" s="3876"/>
      <c r="R27" s="3876"/>
      <c r="S27" s="3876"/>
      <c r="T27" s="3876"/>
      <c r="U27" s="3876"/>
      <c r="V27" s="3876"/>
      <c r="W27" s="3876"/>
      <c r="X27" s="3876"/>
      <c r="Y27" s="3876"/>
      <c r="Z27" s="3876"/>
      <c r="AA27" s="3876"/>
      <c r="AB27" s="3876"/>
      <c r="AC27" s="3876"/>
      <c r="AD27" s="3876"/>
      <c r="AE27" s="3876"/>
      <c r="AF27" s="3876"/>
      <c r="AG27" s="3876"/>
      <c r="AH27" s="3876"/>
      <c r="AI27" s="3876"/>
      <c r="AJ27" s="3876"/>
      <c r="AK27" s="3877"/>
      <c r="AL27" s="3852"/>
      <c r="AM27" s="3853"/>
    </row>
    <row r="28" spans="2:40" s="137" customFormat="1" ht="36" customHeight="1">
      <c r="B28" s="3875" t="s">
        <v>4046</v>
      </c>
      <c r="C28" s="3876"/>
      <c r="D28" s="3876"/>
      <c r="E28" s="3876"/>
      <c r="F28" s="3876"/>
      <c r="G28" s="3876"/>
      <c r="H28" s="3876"/>
      <c r="I28" s="3876"/>
      <c r="J28" s="3876"/>
      <c r="K28" s="3876"/>
      <c r="L28" s="3876"/>
      <c r="M28" s="3876"/>
      <c r="N28" s="3876"/>
      <c r="O28" s="3876"/>
      <c r="P28" s="3876"/>
      <c r="Q28" s="3876"/>
      <c r="R28" s="3876"/>
      <c r="S28" s="3876"/>
      <c r="T28" s="3876"/>
      <c r="U28" s="3876"/>
      <c r="V28" s="3876"/>
      <c r="W28" s="3876"/>
      <c r="X28" s="3876"/>
      <c r="Y28" s="3876"/>
      <c r="Z28" s="3876"/>
      <c r="AA28" s="3876"/>
      <c r="AB28" s="3876"/>
      <c r="AC28" s="3876"/>
      <c r="AD28" s="3876"/>
      <c r="AE28" s="3876"/>
      <c r="AF28" s="3876"/>
      <c r="AG28" s="3876"/>
      <c r="AH28" s="3876"/>
      <c r="AI28" s="3876"/>
      <c r="AJ28" s="3876"/>
      <c r="AK28" s="3877"/>
      <c r="AL28" s="3852"/>
      <c r="AM28" s="3853"/>
    </row>
    <row r="29" spans="2:40" s="137" customFormat="1" ht="54" customHeight="1">
      <c r="B29" s="3875" t="s">
        <v>4047</v>
      </c>
      <c r="C29" s="3876"/>
      <c r="D29" s="3876"/>
      <c r="E29" s="3876"/>
      <c r="F29" s="3876"/>
      <c r="G29" s="3876"/>
      <c r="H29" s="3876"/>
      <c r="I29" s="3876"/>
      <c r="J29" s="3876"/>
      <c r="K29" s="3876"/>
      <c r="L29" s="3876"/>
      <c r="M29" s="3876"/>
      <c r="N29" s="3876"/>
      <c r="O29" s="3876"/>
      <c r="P29" s="3876"/>
      <c r="Q29" s="3876"/>
      <c r="R29" s="3876"/>
      <c r="S29" s="3876"/>
      <c r="T29" s="3876"/>
      <c r="U29" s="3876"/>
      <c r="V29" s="3876"/>
      <c r="W29" s="3876"/>
      <c r="X29" s="3876"/>
      <c r="Y29" s="3876"/>
      <c r="Z29" s="3876"/>
      <c r="AA29" s="3876"/>
      <c r="AB29" s="3876"/>
      <c r="AC29" s="3876"/>
      <c r="AD29" s="3876"/>
      <c r="AE29" s="3876"/>
      <c r="AF29" s="3876"/>
      <c r="AG29" s="3876"/>
      <c r="AH29" s="3876"/>
      <c r="AI29" s="3876"/>
      <c r="AJ29" s="3876"/>
      <c r="AK29" s="3877"/>
      <c r="AL29" s="3852"/>
      <c r="AM29" s="3853"/>
    </row>
    <row r="30" spans="2:40" s="139" customFormat="1" ht="18" customHeight="1">
      <c r="B30" s="3850" t="s">
        <v>4048</v>
      </c>
      <c r="C30" s="3850"/>
      <c r="D30" s="3850"/>
      <c r="E30" s="3850"/>
      <c r="F30" s="3850"/>
      <c r="G30" s="3850"/>
      <c r="H30" s="3850"/>
      <c r="I30" s="3850"/>
      <c r="J30" s="3850"/>
      <c r="K30" s="3850"/>
      <c r="L30" s="3850"/>
      <c r="M30" s="3850"/>
      <c r="N30" s="3850"/>
      <c r="O30" s="3850"/>
      <c r="P30" s="3850"/>
      <c r="Q30" s="3850"/>
      <c r="R30" s="3850"/>
      <c r="S30" s="3850"/>
      <c r="T30" s="3850"/>
      <c r="U30" s="3850"/>
      <c r="V30" s="3850"/>
      <c r="W30" s="3850"/>
      <c r="X30" s="3850"/>
      <c r="Y30" s="3850"/>
      <c r="Z30" s="3850"/>
      <c r="AA30" s="3850"/>
      <c r="AB30" s="3850"/>
      <c r="AC30" s="3850"/>
      <c r="AD30" s="3850"/>
      <c r="AE30" s="3850"/>
      <c r="AF30" s="3850"/>
      <c r="AG30" s="3850"/>
      <c r="AH30" s="3850"/>
      <c r="AI30" s="3850"/>
      <c r="AJ30" s="3850"/>
      <c r="AK30" s="3850"/>
      <c r="AL30" s="3851"/>
      <c r="AM30" s="3851"/>
    </row>
    <row r="31" spans="2:40" s="137" customFormat="1" ht="36" customHeight="1">
      <c r="B31" s="3875" t="s">
        <v>4049</v>
      </c>
      <c r="C31" s="3876"/>
      <c r="D31" s="3876"/>
      <c r="E31" s="3876"/>
      <c r="F31" s="3876"/>
      <c r="G31" s="3876"/>
      <c r="H31" s="3876"/>
      <c r="I31" s="3876"/>
      <c r="J31" s="3876"/>
      <c r="K31" s="3876"/>
      <c r="L31" s="3876"/>
      <c r="M31" s="3876"/>
      <c r="N31" s="3876"/>
      <c r="O31" s="3876"/>
      <c r="P31" s="3876"/>
      <c r="Q31" s="3876"/>
      <c r="R31" s="3876"/>
      <c r="S31" s="3876"/>
      <c r="T31" s="3876"/>
      <c r="U31" s="3876"/>
      <c r="V31" s="3876"/>
      <c r="W31" s="3876"/>
      <c r="X31" s="3876"/>
      <c r="Y31" s="3876"/>
      <c r="Z31" s="3876"/>
      <c r="AA31" s="3876"/>
      <c r="AB31" s="3876"/>
      <c r="AC31" s="3876"/>
      <c r="AD31" s="3876"/>
      <c r="AE31" s="3876"/>
      <c r="AF31" s="3876"/>
      <c r="AG31" s="3876"/>
      <c r="AH31" s="3876"/>
      <c r="AI31" s="3876"/>
      <c r="AJ31" s="3876"/>
      <c r="AK31" s="3877"/>
      <c r="AL31" s="3852"/>
      <c r="AM31" s="3853"/>
    </row>
    <row r="32" spans="2:40" s="137" customFormat="1" ht="54" customHeight="1">
      <c r="B32" s="3875" t="s">
        <v>4050</v>
      </c>
      <c r="C32" s="3876"/>
      <c r="D32" s="3876"/>
      <c r="E32" s="3876"/>
      <c r="F32" s="3876"/>
      <c r="G32" s="3876"/>
      <c r="H32" s="3876"/>
      <c r="I32" s="3876"/>
      <c r="J32" s="3876"/>
      <c r="K32" s="3876"/>
      <c r="L32" s="3876"/>
      <c r="M32" s="3876"/>
      <c r="N32" s="3876"/>
      <c r="O32" s="3876"/>
      <c r="P32" s="3876"/>
      <c r="Q32" s="3876"/>
      <c r="R32" s="3876"/>
      <c r="S32" s="3876"/>
      <c r="T32" s="3876"/>
      <c r="U32" s="3876"/>
      <c r="V32" s="3876"/>
      <c r="W32" s="3876"/>
      <c r="X32" s="3876"/>
      <c r="Y32" s="3876"/>
      <c r="Z32" s="3876"/>
      <c r="AA32" s="3876"/>
      <c r="AB32" s="3876"/>
      <c r="AC32" s="3876"/>
      <c r="AD32" s="3876"/>
      <c r="AE32" s="3876"/>
      <c r="AF32" s="3876"/>
      <c r="AG32" s="3876"/>
      <c r="AH32" s="3876"/>
      <c r="AI32" s="3876"/>
      <c r="AJ32" s="3876"/>
      <c r="AK32" s="3877"/>
      <c r="AL32" s="3852"/>
      <c r="AM32" s="3853"/>
    </row>
    <row r="33" spans="2:40" s="137" customFormat="1" ht="54" customHeight="1">
      <c r="B33" s="3875" t="s">
        <v>4051</v>
      </c>
      <c r="C33" s="3876"/>
      <c r="D33" s="3876"/>
      <c r="E33" s="3876"/>
      <c r="F33" s="3876"/>
      <c r="G33" s="3876"/>
      <c r="H33" s="3876"/>
      <c r="I33" s="3876"/>
      <c r="J33" s="3876"/>
      <c r="K33" s="3876"/>
      <c r="L33" s="3876"/>
      <c r="M33" s="3876"/>
      <c r="N33" s="3876"/>
      <c r="O33" s="3876"/>
      <c r="P33" s="3876"/>
      <c r="Q33" s="3876"/>
      <c r="R33" s="3876"/>
      <c r="S33" s="3876"/>
      <c r="T33" s="3876"/>
      <c r="U33" s="3876"/>
      <c r="V33" s="3876"/>
      <c r="W33" s="3876"/>
      <c r="X33" s="3876"/>
      <c r="Y33" s="3876"/>
      <c r="Z33" s="3876"/>
      <c r="AA33" s="3876"/>
      <c r="AB33" s="3876"/>
      <c r="AC33" s="3876"/>
      <c r="AD33" s="3876"/>
      <c r="AE33" s="3876"/>
      <c r="AF33" s="3876"/>
      <c r="AG33" s="3876"/>
      <c r="AH33" s="3876"/>
      <c r="AI33" s="3876"/>
      <c r="AJ33" s="3876"/>
      <c r="AK33" s="3877"/>
      <c r="AL33" s="3852"/>
      <c r="AM33" s="3853"/>
    </row>
    <row r="34" spans="2:40" s="137" customFormat="1" ht="36" customHeight="1">
      <c r="B34" s="3875" t="s">
        <v>4052</v>
      </c>
      <c r="C34" s="3876"/>
      <c r="D34" s="3876"/>
      <c r="E34" s="3876"/>
      <c r="F34" s="3876"/>
      <c r="G34" s="3876"/>
      <c r="H34" s="3876"/>
      <c r="I34" s="3876"/>
      <c r="J34" s="3876"/>
      <c r="K34" s="3876"/>
      <c r="L34" s="3876"/>
      <c r="M34" s="3876"/>
      <c r="N34" s="3876"/>
      <c r="O34" s="3876"/>
      <c r="P34" s="3876"/>
      <c r="Q34" s="3876"/>
      <c r="R34" s="3876"/>
      <c r="S34" s="3876"/>
      <c r="T34" s="3876"/>
      <c r="U34" s="3876"/>
      <c r="V34" s="3876"/>
      <c r="W34" s="3876"/>
      <c r="X34" s="3876"/>
      <c r="Y34" s="3876"/>
      <c r="Z34" s="3876"/>
      <c r="AA34" s="3876"/>
      <c r="AB34" s="3876"/>
      <c r="AC34" s="3876"/>
      <c r="AD34" s="3876"/>
      <c r="AE34" s="3876"/>
      <c r="AF34" s="3876"/>
      <c r="AG34" s="3876"/>
      <c r="AH34" s="3876"/>
      <c r="AI34" s="3876"/>
      <c r="AJ34" s="3876"/>
      <c r="AK34" s="3877"/>
      <c r="AL34" s="3852"/>
      <c r="AM34" s="3853"/>
    </row>
    <row r="35" spans="2:40" s="137" customFormat="1" ht="18" customHeight="1">
      <c r="B35" s="3875" t="s">
        <v>4053</v>
      </c>
      <c r="C35" s="3876"/>
      <c r="D35" s="3876"/>
      <c r="E35" s="3876"/>
      <c r="F35" s="3876"/>
      <c r="G35" s="3876"/>
      <c r="H35" s="3876"/>
      <c r="I35" s="3876"/>
      <c r="J35" s="3876"/>
      <c r="K35" s="3876"/>
      <c r="L35" s="3876"/>
      <c r="M35" s="3876"/>
      <c r="N35" s="3876"/>
      <c r="O35" s="3876"/>
      <c r="P35" s="3876"/>
      <c r="Q35" s="3876"/>
      <c r="R35" s="3876"/>
      <c r="S35" s="3876"/>
      <c r="T35" s="3876"/>
      <c r="U35" s="3876"/>
      <c r="V35" s="3876"/>
      <c r="W35" s="3876"/>
      <c r="X35" s="3876"/>
      <c r="Y35" s="3876"/>
      <c r="Z35" s="3876"/>
      <c r="AA35" s="3876"/>
      <c r="AB35" s="3876"/>
      <c r="AC35" s="3876"/>
      <c r="AD35" s="3876"/>
      <c r="AE35" s="3876"/>
      <c r="AF35" s="3876"/>
      <c r="AG35" s="3876"/>
      <c r="AH35" s="3876"/>
      <c r="AI35" s="3876"/>
      <c r="AJ35" s="3876"/>
      <c r="AK35" s="3877"/>
      <c r="AL35" s="3852"/>
      <c r="AM35" s="3853"/>
    </row>
    <row r="36" spans="2:40" s="137" customFormat="1" ht="18" customHeight="1">
      <c r="B36" s="3875" t="s">
        <v>4054</v>
      </c>
      <c r="C36" s="3876"/>
      <c r="D36" s="3876"/>
      <c r="E36" s="3876"/>
      <c r="F36" s="3876"/>
      <c r="G36" s="3876"/>
      <c r="H36" s="3876"/>
      <c r="I36" s="3876"/>
      <c r="J36" s="3876"/>
      <c r="K36" s="3876"/>
      <c r="L36" s="3876"/>
      <c r="M36" s="3876"/>
      <c r="N36" s="3876"/>
      <c r="O36" s="3876"/>
      <c r="P36" s="3876"/>
      <c r="Q36" s="3876"/>
      <c r="R36" s="3876"/>
      <c r="S36" s="3876"/>
      <c r="T36" s="3876"/>
      <c r="U36" s="3876"/>
      <c r="V36" s="3876"/>
      <c r="W36" s="3876"/>
      <c r="X36" s="3876"/>
      <c r="Y36" s="3876"/>
      <c r="Z36" s="3876"/>
      <c r="AA36" s="3876"/>
      <c r="AB36" s="3876"/>
      <c r="AC36" s="3876"/>
      <c r="AD36" s="3876"/>
      <c r="AE36" s="3876"/>
      <c r="AF36" s="3876"/>
      <c r="AG36" s="3876"/>
      <c r="AH36" s="3876"/>
      <c r="AI36" s="3876"/>
      <c r="AJ36" s="3876"/>
      <c r="AK36" s="3877"/>
      <c r="AL36" s="3852"/>
      <c r="AM36" s="3853"/>
    </row>
    <row r="37" spans="2:40" s="137" customFormat="1" ht="18" customHeight="1">
      <c r="B37" s="3875" t="s">
        <v>4055</v>
      </c>
      <c r="C37" s="3876"/>
      <c r="D37" s="3876"/>
      <c r="E37" s="3876"/>
      <c r="F37" s="3876"/>
      <c r="G37" s="3876"/>
      <c r="H37" s="3876"/>
      <c r="I37" s="3876"/>
      <c r="J37" s="3876"/>
      <c r="K37" s="3876"/>
      <c r="L37" s="3876"/>
      <c r="M37" s="3876"/>
      <c r="N37" s="3876"/>
      <c r="O37" s="3876"/>
      <c r="P37" s="3876"/>
      <c r="Q37" s="3876"/>
      <c r="R37" s="3876"/>
      <c r="S37" s="3876"/>
      <c r="T37" s="3876"/>
      <c r="U37" s="3876"/>
      <c r="V37" s="3876"/>
      <c r="W37" s="3876"/>
      <c r="X37" s="3876"/>
      <c r="Y37" s="3876"/>
      <c r="Z37" s="3876"/>
      <c r="AA37" s="3876"/>
      <c r="AB37" s="3876"/>
      <c r="AC37" s="3876"/>
      <c r="AD37" s="3876"/>
      <c r="AE37" s="3876"/>
      <c r="AF37" s="3876"/>
      <c r="AG37" s="3876"/>
      <c r="AH37" s="3876"/>
      <c r="AI37" s="3876"/>
      <c r="AJ37" s="3876"/>
      <c r="AK37" s="3877"/>
      <c r="AL37" s="3852"/>
      <c r="AM37" s="3853"/>
    </row>
    <row r="38" spans="2:40" s="137" customFormat="1" ht="18" customHeight="1">
      <c r="B38" s="3881" t="s">
        <v>4056</v>
      </c>
      <c r="C38" s="3882"/>
      <c r="D38" s="3882"/>
      <c r="E38" s="3882"/>
      <c r="F38" s="3882"/>
      <c r="G38" s="3882"/>
      <c r="H38" s="3882"/>
      <c r="I38" s="3882"/>
      <c r="J38" s="3882"/>
      <c r="K38" s="3882"/>
      <c r="L38" s="3882"/>
      <c r="M38" s="3882"/>
      <c r="N38" s="3882"/>
      <c r="O38" s="3882"/>
      <c r="P38" s="3882"/>
      <c r="Q38" s="3882"/>
      <c r="R38" s="3882"/>
      <c r="S38" s="3882"/>
      <c r="T38" s="3882"/>
      <c r="U38" s="3882"/>
      <c r="V38" s="3882"/>
      <c r="W38" s="3882"/>
      <c r="X38" s="3882"/>
      <c r="Y38" s="3882"/>
      <c r="Z38" s="3882"/>
      <c r="AA38" s="3882"/>
      <c r="AB38" s="3882"/>
      <c r="AC38" s="3882"/>
      <c r="AD38" s="3882"/>
      <c r="AE38" s="3882"/>
      <c r="AF38" s="3882"/>
      <c r="AG38" s="3882"/>
      <c r="AH38" s="3882"/>
      <c r="AI38" s="3882"/>
      <c r="AJ38" s="3882"/>
      <c r="AK38" s="3882"/>
      <c r="AL38" s="3882"/>
      <c r="AM38" s="3883"/>
    </row>
    <row r="39" spans="2:40" ht="54" customHeight="1">
      <c r="B39" s="1866" t="s">
        <v>676</v>
      </c>
      <c r="C39" s="1866"/>
      <c r="D39" s="1866"/>
      <c r="E39" s="1859" t="str">
        <f>'Document Checklist'!$E$147</f>
        <v>62. Sponsor Certification LOE</v>
      </c>
      <c r="F39" s="1859"/>
      <c r="G39" s="1859"/>
      <c r="H39" s="1859"/>
      <c r="I39" s="1859"/>
      <c r="J39" s="1859"/>
      <c r="K39" s="1859"/>
      <c r="L39" s="1859"/>
      <c r="M39" s="1859"/>
      <c r="N39" s="1859" t="str">
        <f>'Document Checklist'!$N$147</f>
        <v>Letter of Explanation(s) for Certification &amp; Legal "Yes" answers, or as clarification deemed necessary by the Sponsor for information included in this application.</v>
      </c>
      <c r="O39" s="1859"/>
      <c r="P39" s="1859"/>
      <c r="Q39" s="1859"/>
      <c r="R39" s="1859"/>
      <c r="S39" s="1859"/>
      <c r="T39" s="1859"/>
      <c r="U39" s="1859"/>
      <c r="V39" s="1859"/>
      <c r="W39" s="1859"/>
      <c r="X39" s="1859"/>
      <c r="Y39" s="1859"/>
      <c r="Z39" s="1859"/>
      <c r="AA39" s="1859"/>
      <c r="AB39" s="1859"/>
      <c r="AC39" s="1859"/>
      <c r="AD39" s="1859"/>
      <c r="AE39" s="1859"/>
      <c r="AF39" s="3561" t="s">
        <v>843</v>
      </c>
      <c r="AG39" s="3561"/>
      <c r="AH39" s="3561"/>
      <c r="AI39" s="3561"/>
      <c r="AJ39" s="3561"/>
      <c r="AK39" s="3561"/>
      <c r="AL39" s="3742"/>
      <c r="AM39" s="3742"/>
      <c r="AN39" s="110"/>
    </row>
    <row r="40" spans="2:40" ht="18" customHeight="1">
      <c r="B40" s="3887"/>
      <c r="C40" s="3888"/>
      <c r="D40" s="3888"/>
      <c r="E40" s="3888"/>
      <c r="F40" s="3888"/>
      <c r="G40" s="3888"/>
      <c r="H40" s="3888"/>
      <c r="I40" s="3888"/>
      <c r="J40" s="3888"/>
      <c r="K40" s="3888"/>
      <c r="L40" s="3888"/>
      <c r="M40" s="3888"/>
      <c r="N40" s="3888"/>
      <c r="O40" s="3888"/>
      <c r="P40" s="3888"/>
      <c r="Q40" s="3888"/>
      <c r="R40" s="3888"/>
      <c r="S40" s="3888"/>
      <c r="T40" s="3888"/>
      <c r="U40" s="3888"/>
      <c r="V40" s="3888"/>
      <c r="W40" s="3888"/>
      <c r="X40" s="3888"/>
      <c r="Y40" s="3888"/>
      <c r="Z40" s="3888"/>
      <c r="AA40" s="3888"/>
      <c r="AB40" s="3888"/>
      <c r="AC40" s="3888"/>
      <c r="AD40" s="3888"/>
      <c r="AE40" s="3888"/>
      <c r="AF40" s="3888"/>
      <c r="AG40" s="3888"/>
      <c r="AH40" s="3888"/>
      <c r="AI40" s="3888"/>
      <c r="AJ40" s="3888"/>
      <c r="AK40" s="3888"/>
      <c r="AL40" s="3888"/>
      <c r="AM40" s="3889"/>
    </row>
    <row r="41" spans="2:40" ht="18" customHeight="1">
      <c r="B41" s="3884"/>
      <c r="C41" s="3885"/>
      <c r="D41" s="3885"/>
      <c r="E41" s="3885"/>
      <c r="F41" s="3885"/>
      <c r="G41" s="3885"/>
      <c r="H41" s="3885"/>
      <c r="I41" s="3885"/>
      <c r="J41" s="3885"/>
      <c r="K41" s="3885"/>
      <c r="L41" s="3885"/>
      <c r="M41" s="3885"/>
      <c r="N41" s="3885"/>
      <c r="O41" s="3885"/>
      <c r="P41" s="3885"/>
      <c r="Q41" s="3885"/>
      <c r="R41" s="3885"/>
      <c r="S41" s="3885"/>
      <c r="T41" s="3885"/>
      <c r="U41" s="3885"/>
      <c r="V41" s="3885"/>
      <c r="W41" s="3885"/>
      <c r="X41" s="3885"/>
      <c r="Y41" s="3885"/>
      <c r="Z41" s="3885"/>
      <c r="AA41" s="3885"/>
      <c r="AB41" s="3885"/>
      <c r="AC41" s="3885"/>
      <c r="AD41" s="3885"/>
      <c r="AE41" s="3885"/>
      <c r="AF41" s="3885"/>
      <c r="AG41" s="3885"/>
      <c r="AH41" s="3885"/>
      <c r="AI41" s="3885"/>
      <c r="AJ41" s="3885"/>
      <c r="AK41" s="3885"/>
      <c r="AL41" s="3885"/>
      <c r="AM41" s="3886"/>
    </row>
    <row r="42" spans="2:40" ht="18" customHeight="1">
      <c r="B42" s="3869"/>
      <c r="C42" s="3870"/>
      <c r="D42" s="3870"/>
      <c r="E42" s="3870"/>
      <c r="F42" s="3870"/>
      <c r="G42" s="3870"/>
      <c r="H42" s="3870"/>
      <c r="I42" s="3870"/>
      <c r="J42" s="3871"/>
      <c r="K42" s="1419"/>
      <c r="L42" s="3869"/>
      <c r="M42" s="3870"/>
      <c r="N42" s="3870"/>
      <c r="O42" s="3870"/>
      <c r="P42" s="3870"/>
      <c r="Q42" s="3870"/>
      <c r="R42" s="3870"/>
      <c r="S42" s="3870"/>
      <c r="T42" s="3871"/>
      <c r="U42" s="1422"/>
      <c r="V42" s="3872"/>
      <c r="W42" s="3873"/>
      <c r="X42" s="3873"/>
      <c r="Y42" s="3873"/>
      <c r="Z42" s="3873"/>
      <c r="AA42" s="3873"/>
      <c r="AB42" s="3873"/>
      <c r="AC42" s="3873"/>
      <c r="AD42" s="3873"/>
      <c r="AE42" s="3873"/>
      <c r="AF42" s="3873"/>
      <c r="AG42" s="3873"/>
      <c r="AH42" s="3873"/>
      <c r="AI42" s="3873"/>
      <c r="AJ42" s="1423"/>
      <c r="AK42" s="3874"/>
      <c r="AL42" s="3874"/>
      <c r="AM42" s="3874"/>
    </row>
    <row r="43" spans="2:40" s="134" customFormat="1" ht="18" customHeight="1">
      <c r="B43" s="3879" t="s">
        <v>4031</v>
      </c>
      <c r="C43" s="3880"/>
      <c r="D43" s="3880"/>
      <c r="E43" s="3880"/>
      <c r="F43" s="3880"/>
      <c r="G43" s="3880"/>
      <c r="H43" s="3880"/>
      <c r="I43" s="3880"/>
      <c r="J43" s="3880"/>
      <c r="K43" s="140"/>
      <c r="L43" s="3880" t="s">
        <v>4032</v>
      </c>
      <c r="M43" s="3880"/>
      <c r="N43" s="3880"/>
      <c r="O43" s="3880"/>
      <c r="P43" s="3880"/>
      <c r="Q43" s="3880"/>
      <c r="R43" s="3880"/>
      <c r="S43" s="3880"/>
      <c r="T43" s="3880"/>
      <c r="U43" s="141"/>
      <c r="V43" s="3859" t="s">
        <v>4033</v>
      </c>
      <c r="W43" s="3859"/>
      <c r="X43" s="3859"/>
      <c r="Y43" s="3859"/>
      <c r="Z43" s="3859"/>
      <c r="AA43" s="3859"/>
      <c r="AB43" s="3859"/>
      <c r="AC43" s="3859"/>
      <c r="AD43" s="3859"/>
      <c r="AE43" s="3859"/>
      <c r="AF43" s="3859"/>
      <c r="AG43" s="3859"/>
      <c r="AH43" s="3859"/>
      <c r="AI43" s="3859"/>
      <c r="AJ43" s="142"/>
      <c r="AK43" s="3859" t="s">
        <v>826</v>
      </c>
      <c r="AL43" s="3859"/>
      <c r="AM43" s="3860"/>
    </row>
    <row r="44" spans="2:40" s="134" customFormat="1" ht="18" customHeight="1"/>
    <row r="45" spans="2:40" s="134" customFormat="1" ht="18" customHeight="1">
      <c r="B45" s="2489" t="s">
        <v>639</v>
      </c>
      <c r="C45" s="2489"/>
      <c r="D45" s="2489"/>
      <c r="E45" s="2489"/>
      <c r="F45" s="2489"/>
      <c r="G45" s="2489"/>
      <c r="H45" s="2489"/>
      <c r="I45" s="2489"/>
      <c r="J45" s="2489"/>
      <c r="K45" s="2489"/>
      <c r="L45" s="2489"/>
      <c r="M45" s="2489"/>
      <c r="N45" s="2489"/>
      <c r="O45" s="2489"/>
      <c r="P45" s="2489"/>
      <c r="Q45" s="2489"/>
      <c r="R45" s="2489"/>
      <c r="S45" s="2489"/>
      <c r="T45" s="2489"/>
      <c r="U45" s="2489"/>
      <c r="V45" s="2489"/>
      <c r="W45" s="2489"/>
      <c r="X45" s="2489"/>
      <c r="Y45" s="2489"/>
      <c r="Z45" s="2489"/>
      <c r="AA45" s="2489"/>
      <c r="AB45" s="2489"/>
      <c r="AC45" s="2489"/>
      <c r="AD45" s="2489"/>
      <c r="AE45" s="2489"/>
      <c r="AF45" s="2489"/>
      <c r="AG45" s="2489"/>
      <c r="AH45" s="2489"/>
      <c r="AI45" s="2489"/>
      <c r="AJ45" s="2489"/>
      <c r="AK45" s="2489"/>
      <c r="AL45" s="2489"/>
      <c r="AM45" s="2489"/>
    </row>
    <row r="46" spans="2:40" ht="18" customHeight="1">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row>
  </sheetData>
  <mergeCells count="71">
    <mergeCell ref="B2:AM2"/>
    <mergeCell ref="AL37:AM37"/>
    <mergeCell ref="E39:M39"/>
    <mergeCell ref="B28:AK28"/>
    <mergeCell ref="B30:AM30"/>
    <mergeCell ref="B34:AK34"/>
    <mergeCell ref="AL36:AM36"/>
    <mergeCell ref="AL35:AM35"/>
    <mergeCell ref="AL34:AM34"/>
    <mergeCell ref="B33:AK33"/>
    <mergeCell ref="AL33:AM33"/>
    <mergeCell ref="B36:AK36"/>
    <mergeCell ref="B35:AK35"/>
    <mergeCell ref="AL32:AM32"/>
    <mergeCell ref="AL31:AM31"/>
    <mergeCell ref="B32:AK32"/>
    <mergeCell ref="B31:AK31"/>
    <mergeCell ref="B43:J43"/>
    <mergeCell ref="L43:T43"/>
    <mergeCell ref="V43:AI43"/>
    <mergeCell ref="B38:AM38"/>
    <mergeCell ref="B42:J42"/>
    <mergeCell ref="L42:T42"/>
    <mergeCell ref="V42:AI42"/>
    <mergeCell ref="AK42:AM42"/>
    <mergeCell ref="AF39:AK39"/>
    <mergeCell ref="AL39:AM39"/>
    <mergeCell ref="B41:AM41"/>
    <mergeCell ref="B39:D39"/>
    <mergeCell ref="N39:AE39"/>
    <mergeCell ref="B40:AM40"/>
    <mergeCell ref="B37:AK37"/>
    <mergeCell ref="AL28:AM28"/>
    <mergeCell ref="AL27:AM27"/>
    <mergeCell ref="AL26:AM26"/>
    <mergeCell ref="AL25:AM25"/>
    <mergeCell ref="B25:AK25"/>
    <mergeCell ref="B26:AK26"/>
    <mergeCell ref="B27:AK27"/>
    <mergeCell ref="AN5:AO5"/>
    <mergeCell ref="AN2:AO2"/>
    <mergeCell ref="AK14:AM14"/>
    <mergeCell ref="AK43:AM43"/>
    <mergeCell ref="B12:AM12"/>
    <mergeCell ref="B16:AM16"/>
    <mergeCell ref="B17:AM17"/>
    <mergeCell ref="B18:AM18"/>
    <mergeCell ref="B19:AM19"/>
    <mergeCell ref="B13:J13"/>
    <mergeCell ref="L13:T13"/>
    <mergeCell ref="V13:AI13"/>
    <mergeCell ref="AK13:AM13"/>
    <mergeCell ref="B29:AK29"/>
    <mergeCell ref="B21:AM21"/>
    <mergeCell ref="B22:AM22"/>
    <mergeCell ref="B45:AM45"/>
    <mergeCell ref="B6:AM6"/>
    <mergeCell ref="B7:AM7"/>
    <mergeCell ref="B4:AM4"/>
    <mergeCell ref="B5:AM5"/>
    <mergeCell ref="B14:J14"/>
    <mergeCell ref="L14:T14"/>
    <mergeCell ref="V14:AI14"/>
    <mergeCell ref="B8:AM8"/>
    <mergeCell ref="B9:AM9"/>
    <mergeCell ref="B10:AM10"/>
    <mergeCell ref="B11:AM11"/>
    <mergeCell ref="B20:AM20"/>
    <mergeCell ref="B23:AM23"/>
    <mergeCell ref="B24:AM24"/>
    <mergeCell ref="AL29:AM29"/>
  </mergeCells>
  <conditionalFormatting sqref="AL39">
    <cfRule type="cellIs" dxfId="349" priority="6" operator="equal">
      <formula>"No"</formula>
    </cfRule>
  </conditionalFormatting>
  <conditionalFormatting sqref="AL31:AL37">
    <cfRule type="cellIs" dxfId="348" priority="5" operator="equal">
      <formula>"Yes"</formula>
    </cfRule>
  </conditionalFormatting>
  <conditionalFormatting sqref="AL25:AL29">
    <cfRule type="cellIs" dxfId="347" priority="4" operator="equal">
      <formula>"Yes"</formula>
    </cfRule>
  </conditionalFormatting>
  <conditionalFormatting sqref="K16 AL16">
    <cfRule type="cellIs" dxfId="346" priority="1" operator="equal">
      <formula>"No"</formula>
    </cfRule>
  </conditionalFormatting>
  <conditionalFormatting sqref="K16">
    <cfRule type="cellIs" dxfId="345" priority="3" operator="equal">
      <formula>"No"</formula>
    </cfRule>
  </conditionalFormatting>
  <conditionalFormatting sqref="AL16">
    <cfRule type="cellIs" dxfId="344" priority="2" operator="equal">
      <formula>"No"</formula>
    </cfRule>
  </conditionalFormatting>
  <dataValidations count="2">
    <dataValidation type="list" allowBlank="1" showInputMessage="1" showErrorMessage="1" sqref="AL31:AM37 AL25:AM29" xr:uid="{00000000-0002-0000-2100-000000000000}">
      <formula1>"Yes,No"</formula1>
    </dataValidation>
    <dataValidation type="list" allowBlank="1" showInputMessage="1" showErrorMessage="1" sqref="AL39:AM39" xr:uid="{00000000-0002-0000-2100-000001000000}">
      <formula1>"Yes,No,N/A"</formula1>
    </dataValidation>
  </dataValidations>
  <printOptions horizontalCentered="1"/>
  <pageMargins left="0" right="0.25" top="0" bottom="0" header="0.25" footer="0.25"/>
  <pageSetup scale="67" orientation="portrait" r:id="rId1"/>
  <headerFooter>
    <oddFooter>&amp;L&amp;F&amp;C&amp;P of &amp;N&amp;R &amp;A</oddFooter>
  </headerFooter>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B2:AR51"/>
  <sheetViews>
    <sheetView showGridLines="0" zoomScaleNormal="100" zoomScaleSheetLayoutView="100" workbookViewId="0">
      <selection activeCell="B6" sqref="B6:AM6"/>
    </sheetView>
  </sheetViews>
  <sheetFormatPr defaultColWidth="9.109375" defaultRowHeight="18" customHeight="1"/>
  <cols>
    <col min="1" max="39" width="4.109375" style="310" customWidth="1"/>
    <col min="40" max="40" width="5.6640625" style="310" customWidth="1"/>
    <col min="41" max="41" width="5.88671875" style="310" customWidth="1"/>
    <col min="42" max="42" width="6" style="310" customWidth="1"/>
    <col min="43" max="16384" width="9.109375" style="310"/>
  </cols>
  <sheetData>
    <row r="2" spans="2:42" s="304" customFormat="1" ht="17.399999999999999">
      <c r="B2" s="3799" t="s">
        <v>4057</v>
      </c>
      <c r="C2" s="3799"/>
      <c r="D2" s="3799"/>
      <c r="E2" s="3799"/>
      <c r="F2" s="3799"/>
      <c r="G2" s="3799"/>
      <c r="H2" s="3799"/>
      <c r="I2" s="3799"/>
      <c r="J2" s="3799"/>
      <c r="K2" s="3799"/>
      <c r="L2" s="3799"/>
      <c r="M2" s="3799"/>
      <c r="N2" s="3799"/>
      <c r="O2" s="3799"/>
      <c r="P2" s="3799"/>
      <c r="Q2" s="3799"/>
      <c r="R2" s="3799"/>
      <c r="S2" s="3799"/>
      <c r="T2" s="3799"/>
      <c r="U2" s="3799"/>
      <c r="V2" s="3799"/>
      <c r="W2" s="3799"/>
      <c r="X2" s="3799"/>
      <c r="Y2" s="3799"/>
      <c r="Z2" s="3799"/>
      <c r="AA2" s="3799"/>
      <c r="AB2" s="3799"/>
      <c r="AC2" s="3799"/>
      <c r="AD2" s="3799"/>
      <c r="AE2" s="3799"/>
      <c r="AF2" s="3799"/>
      <c r="AG2" s="3799"/>
      <c r="AH2" s="3799"/>
      <c r="AI2" s="3799"/>
      <c r="AJ2" s="3799"/>
      <c r="AK2" s="3799"/>
      <c r="AL2" s="3799"/>
      <c r="AM2" s="3799"/>
      <c r="AN2" s="3856"/>
      <c r="AO2" s="3857"/>
      <c r="AP2" s="305"/>
    </row>
    <row r="3" spans="2:42" s="313" customFormat="1" ht="9" customHeight="1">
      <c r="B3" s="1558"/>
      <c r="C3" s="1558"/>
      <c r="D3" s="1558"/>
      <c r="E3" s="1558"/>
      <c r="F3" s="1558"/>
      <c r="G3" s="1558"/>
      <c r="H3" s="1558"/>
      <c r="I3" s="1558"/>
      <c r="J3" s="1558"/>
      <c r="K3" s="1558"/>
      <c r="L3" s="1558"/>
      <c r="M3" s="1558"/>
      <c r="N3" s="1558"/>
      <c r="O3" s="1558"/>
      <c r="P3" s="1558"/>
      <c r="Q3" s="1558"/>
      <c r="R3" s="1558"/>
      <c r="S3" s="1558"/>
      <c r="T3" s="1558"/>
      <c r="U3" s="1558"/>
      <c r="V3" s="1558"/>
      <c r="W3" s="1558"/>
      <c r="X3" s="1558"/>
      <c r="Y3" s="1558"/>
      <c r="Z3" s="1558"/>
      <c r="AA3" s="1558"/>
      <c r="AB3" s="1558"/>
      <c r="AC3" s="1558"/>
      <c r="AD3" s="1558"/>
      <c r="AE3" s="1558"/>
      <c r="AF3" s="1558"/>
      <c r="AG3" s="1558"/>
      <c r="AH3" s="1558"/>
      <c r="AI3" s="1558"/>
      <c r="AJ3" s="1558"/>
      <c r="AK3" s="1558"/>
      <c r="AL3" s="1558"/>
      <c r="AM3" s="1558"/>
      <c r="AN3" s="1581"/>
      <c r="AO3" s="1581"/>
      <c r="AP3" s="314"/>
    </row>
    <row r="4" spans="2:42" s="306" customFormat="1" ht="18" customHeight="1">
      <c r="B4" s="3897" t="s">
        <v>4058</v>
      </c>
      <c r="C4" s="3897"/>
      <c r="D4" s="3897"/>
      <c r="E4" s="3897"/>
      <c r="F4" s="3897"/>
      <c r="G4" s="3897"/>
      <c r="H4" s="3897"/>
      <c r="I4" s="3897"/>
      <c r="J4" s="3897"/>
      <c r="K4" s="3897"/>
      <c r="L4" s="3897"/>
      <c r="M4" s="3897"/>
      <c r="N4" s="3897"/>
      <c r="O4" s="3897"/>
      <c r="P4" s="3897"/>
      <c r="Q4" s="3897"/>
      <c r="R4" s="3897"/>
      <c r="S4" s="3897"/>
      <c r="T4" s="3897"/>
      <c r="U4" s="3897"/>
      <c r="V4" s="3897"/>
      <c r="W4" s="3897"/>
      <c r="X4" s="3897"/>
      <c r="Y4" s="3897"/>
      <c r="Z4" s="3897"/>
      <c r="AA4" s="3897"/>
      <c r="AB4" s="3897"/>
      <c r="AC4" s="3897"/>
      <c r="AD4" s="3897"/>
      <c r="AE4" s="3897"/>
      <c r="AF4" s="3897"/>
      <c r="AG4" s="3897"/>
      <c r="AH4" s="3897"/>
      <c r="AI4" s="3897"/>
      <c r="AJ4" s="3897"/>
      <c r="AK4" s="3897"/>
      <c r="AL4" s="3897"/>
      <c r="AM4" s="3897"/>
      <c r="AN4" s="307"/>
    </row>
    <row r="5" spans="2:42" s="306" customFormat="1" ht="18" customHeight="1">
      <c r="B5" s="3816" t="s">
        <v>4059</v>
      </c>
      <c r="C5" s="3816"/>
      <c r="D5" s="3816"/>
      <c r="E5" s="3816"/>
      <c r="F5" s="3816"/>
      <c r="G5" s="3816"/>
      <c r="H5" s="3816"/>
      <c r="I5" s="3816"/>
      <c r="J5" s="3816"/>
      <c r="K5" s="3816"/>
      <c r="L5" s="3816"/>
      <c r="M5" s="3816"/>
      <c r="N5" s="3816"/>
      <c r="O5" s="3816"/>
      <c r="P5" s="3816"/>
      <c r="Q5" s="3816"/>
      <c r="R5" s="3816"/>
      <c r="S5" s="3816"/>
      <c r="T5" s="3816"/>
      <c r="U5" s="3816"/>
      <c r="V5" s="3816"/>
      <c r="W5" s="3816"/>
      <c r="X5" s="3816"/>
      <c r="Y5" s="3816"/>
      <c r="Z5" s="3816"/>
      <c r="AA5" s="3816"/>
      <c r="AB5" s="3816"/>
      <c r="AC5" s="3816"/>
      <c r="AD5" s="3816"/>
      <c r="AE5" s="3816"/>
      <c r="AF5" s="3816"/>
      <c r="AG5" s="3816"/>
      <c r="AH5" s="3816"/>
      <c r="AI5" s="3816"/>
      <c r="AJ5" s="3816"/>
      <c r="AK5" s="3816"/>
      <c r="AL5" s="3816"/>
      <c r="AM5" s="3816"/>
      <c r="AN5" s="3891"/>
      <c r="AO5" s="3857"/>
      <c r="AP5" s="308"/>
    </row>
    <row r="6" spans="2:42" s="306" customFormat="1" ht="18" customHeight="1">
      <c r="B6" s="2513" t="s">
        <v>4060</v>
      </c>
      <c r="C6" s="2514"/>
      <c r="D6" s="2514"/>
      <c r="E6" s="2514"/>
      <c r="F6" s="2514"/>
      <c r="G6" s="2514"/>
      <c r="H6" s="2514"/>
      <c r="I6" s="2514"/>
      <c r="J6" s="2514"/>
      <c r="K6" s="2514"/>
      <c r="L6" s="2514"/>
      <c r="M6" s="2514"/>
      <c r="N6" s="2514"/>
      <c r="O6" s="2514"/>
      <c r="P6" s="2514"/>
      <c r="Q6" s="2514"/>
      <c r="R6" s="2514"/>
      <c r="S6" s="2514"/>
      <c r="T6" s="2514"/>
      <c r="U6" s="2514"/>
      <c r="V6" s="2514"/>
      <c r="W6" s="2514"/>
      <c r="X6" s="2514"/>
      <c r="Y6" s="2514"/>
      <c r="Z6" s="2514"/>
      <c r="AA6" s="2514"/>
      <c r="AB6" s="2514"/>
      <c r="AC6" s="2514"/>
      <c r="AD6" s="2514"/>
      <c r="AE6" s="2514"/>
      <c r="AF6" s="2514"/>
      <c r="AG6" s="2514"/>
      <c r="AH6" s="2514"/>
      <c r="AI6" s="2514"/>
      <c r="AJ6" s="2514"/>
      <c r="AK6" s="2514"/>
      <c r="AL6" s="2514"/>
      <c r="AM6" s="2515"/>
    </row>
    <row r="7" spans="2:42" s="306" customFormat="1" ht="18" customHeight="1">
      <c r="B7" s="2507" t="s">
        <v>4061</v>
      </c>
      <c r="C7" s="2507"/>
      <c r="D7" s="2507"/>
      <c r="E7" s="2507"/>
      <c r="F7" s="2507"/>
      <c r="G7" s="2507"/>
      <c r="H7" s="2507"/>
      <c r="I7" s="2507"/>
      <c r="J7" s="2507"/>
      <c r="K7" s="2507"/>
      <c r="L7" s="2507"/>
      <c r="M7" s="2507"/>
      <c r="N7" s="2507"/>
      <c r="O7" s="2507"/>
      <c r="P7" s="2507"/>
      <c r="Q7" s="2507"/>
      <c r="R7" s="2507"/>
      <c r="S7" s="2507"/>
      <c r="T7" s="2507"/>
      <c r="U7" s="2507"/>
      <c r="V7" s="2507"/>
      <c r="W7" s="2507"/>
      <c r="X7" s="2507"/>
      <c r="Y7" s="2507"/>
      <c r="Z7" s="2507"/>
      <c r="AA7" s="2507"/>
      <c r="AB7" s="2507"/>
      <c r="AC7" s="2507"/>
      <c r="AD7" s="2507"/>
      <c r="AE7" s="2507"/>
      <c r="AF7" s="2507"/>
      <c r="AG7" s="2507"/>
      <c r="AH7" s="2507"/>
      <c r="AI7" s="2507"/>
      <c r="AJ7" s="2507"/>
      <c r="AK7" s="2507"/>
      <c r="AL7" s="2507"/>
      <c r="AM7" s="2507"/>
    </row>
    <row r="8" spans="2:42" s="306" customFormat="1" ht="36" customHeight="1">
      <c r="B8" s="2507" t="s">
        <v>4062</v>
      </c>
      <c r="C8" s="2507"/>
      <c r="D8" s="2507"/>
      <c r="E8" s="2507"/>
      <c r="F8" s="2507"/>
      <c r="G8" s="2507"/>
      <c r="H8" s="2507"/>
      <c r="I8" s="2507"/>
      <c r="J8" s="2507"/>
      <c r="K8" s="2507"/>
      <c r="L8" s="2507"/>
      <c r="M8" s="2507"/>
      <c r="N8" s="2507"/>
      <c r="O8" s="2507"/>
      <c r="P8" s="2507"/>
      <c r="Q8" s="2507"/>
      <c r="R8" s="2507"/>
      <c r="S8" s="2507"/>
      <c r="T8" s="2507"/>
      <c r="U8" s="2507"/>
      <c r="V8" s="2507"/>
      <c r="W8" s="2507"/>
      <c r="X8" s="2507"/>
      <c r="Y8" s="2507"/>
      <c r="Z8" s="2507"/>
      <c r="AA8" s="2507"/>
      <c r="AB8" s="2507"/>
      <c r="AC8" s="2507"/>
      <c r="AD8" s="2507"/>
      <c r="AE8" s="2507"/>
      <c r="AF8" s="2507"/>
      <c r="AG8" s="2507"/>
      <c r="AH8" s="2507"/>
      <c r="AI8" s="2507"/>
      <c r="AJ8" s="2507"/>
      <c r="AK8" s="2507"/>
      <c r="AL8" s="2507"/>
      <c r="AM8" s="2507"/>
    </row>
    <row r="9" spans="2:42" s="309" customFormat="1" ht="18" customHeight="1">
      <c r="B9" s="2507" t="s">
        <v>4063</v>
      </c>
      <c r="C9" s="2507"/>
      <c r="D9" s="2507"/>
      <c r="E9" s="2507"/>
      <c r="F9" s="2507"/>
      <c r="G9" s="2507"/>
      <c r="H9" s="2507"/>
      <c r="I9" s="2507"/>
      <c r="J9" s="2507"/>
      <c r="K9" s="2507"/>
      <c r="L9" s="2507"/>
      <c r="M9" s="2507"/>
      <c r="N9" s="2507"/>
      <c r="O9" s="2507"/>
      <c r="P9" s="2507"/>
      <c r="Q9" s="2507"/>
      <c r="R9" s="2507"/>
      <c r="S9" s="2507"/>
      <c r="T9" s="2507"/>
      <c r="U9" s="2507"/>
      <c r="V9" s="2507"/>
      <c r="W9" s="2507"/>
      <c r="X9" s="2507"/>
      <c r="Y9" s="2507"/>
      <c r="Z9" s="2507"/>
      <c r="AA9" s="2507"/>
      <c r="AB9" s="2507"/>
      <c r="AC9" s="2507"/>
      <c r="AD9" s="2507"/>
      <c r="AE9" s="2507"/>
      <c r="AF9" s="2507"/>
      <c r="AG9" s="2507"/>
      <c r="AH9" s="2507"/>
      <c r="AI9" s="2507"/>
      <c r="AJ9" s="2507"/>
      <c r="AK9" s="2507"/>
      <c r="AL9" s="2507"/>
      <c r="AM9" s="2507"/>
    </row>
    <row r="10" spans="2:42" s="306" customFormat="1" ht="18" customHeight="1">
      <c r="B10" s="2507" t="s">
        <v>4064</v>
      </c>
      <c r="C10" s="2507"/>
      <c r="D10" s="2507"/>
      <c r="E10" s="2507"/>
      <c r="F10" s="2507"/>
      <c r="G10" s="2507"/>
      <c r="H10" s="2507"/>
      <c r="I10" s="2507"/>
      <c r="J10" s="2507"/>
      <c r="K10" s="2507"/>
      <c r="L10" s="2507"/>
      <c r="M10" s="2507"/>
      <c r="N10" s="2507"/>
      <c r="O10" s="2507"/>
      <c r="P10" s="2507"/>
      <c r="Q10" s="2507"/>
      <c r="R10" s="2507"/>
      <c r="S10" s="2507"/>
      <c r="T10" s="2507"/>
      <c r="U10" s="2507"/>
      <c r="V10" s="2507"/>
      <c r="W10" s="2507"/>
      <c r="X10" s="2507"/>
      <c r="Y10" s="2507"/>
      <c r="Z10" s="2507"/>
      <c r="AA10" s="2507"/>
      <c r="AB10" s="2507"/>
      <c r="AC10" s="2507"/>
      <c r="AD10" s="2507"/>
      <c r="AE10" s="2507"/>
      <c r="AF10" s="2507"/>
      <c r="AG10" s="2507"/>
      <c r="AH10" s="2507"/>
      <c r="AI10" s="2507"/>
      <c r="AJ10" s="2507"/>
      <c r="AK10" s="2507"/>
      <c r="AL10" s="2507"/>
      <c r="AM10" s="2507"/>
    </row>
    <row r="11" spans="2:42" s="306" customFormat="1" ht="18" customHeight="1">
      <c r="B11" s="2507" t="s">
        <v>4065</v>
      </c>
      <c r="C11" s="2507"/>
      <c r="D11" s="2507"/>
      <c r="E11" s="2507"/>
      <c r="F11" s="2507"/>
      <c r="G11" s="2507"/>
      <c r="H11" s="2507"/>
      <c r="I11" s="2507"/>
      <c r="J11" s="2507"/>
      <c r="K11" s="2507"/>
      <c r="L11" s="2507"/>
      <c r="M11" s="2507"/>
      <c r="N11" s="2507"/>
      <c r="O11" s="2507"/>
      <c r="P11" s="2507"/>
      <c r="Q11" s="2507"/>
      <c r="R11" s="2507"/>
      <c r="S11" s="2507"/>
      <c r="T11" s="2507"/>
      <c r="U11" s="2507"/>
      <c r="V11" s="2507"/>
      <c r="W11" s="2507"/>
      <c r="X11" s="2507"/>
      <c r="Y11" s="2507"/>
      <c r="Z11" s="2507"/>
      <c r="AA11" s="2507"/>
      <c r="AB11" s="2507"/>
      <c r="AC11" s="2507"/>
      <c r="AD11" s="2507"/>
      <c r="AE11" s="2507"/>
      <c r="AF11" s="2507"/>
      <c r="AG11" s="2507"/>
      <c r="AH11" s="2507"/>
      <c r="AI11" s="2507"/>
      <c r="AJ11" s="2507"/>
      <c r="AK11" s="2507"/>
      <c r="AL11" s="2507"/>
      <c r="AM11" s="2507"/>
    </row>
    <row r="12" spans="2:42" s="306" customFormat="1" ht="18" customHeight="1">
      <c r="B12" s="2507" t="s">
        <v>4066</v>
      </c>
      <c r="C12" s="2507"/>
      <c r="D12" s="2507"/>
      <c r="E12" s="2507"/>
      <c r="F12" s="2507"/>
      <c r="G12" s="2507"/>
      <c r="H12" s="2507"/>
      <c r="I12" s="2507"/>
      <c r="J12" s="2507"/>
      <c r="K12" s="2507"/>
      <c r="L12" s="2507"/>
      <c r="M12" s="2507"/>
      <c r="N12" s="2507"/>
      <c r="O12" s="2507"/>
      <c r="P12" s="2507"/>
      <c r="Q12" s="2507"/>
      <c r="R12" s="2507"/>
      <c r="S12" s="2507"/>
      <c r="T12" s="2507"/>
      <c r="U12" s="2507"/>
      <c r="V12" s="2507"/>
      <c r="W12" s="2507"/>
      <c r="X12" s="2507"/>
      <c r="Y12" s="2507"/>
      <c r="Z12" s="2507"/>
      <c r="AA12" s="2507"/>
      <c r="AB12" s="2507"/>
      <c r="AC12" s="2507"/>
      <c r="AD12" s="2507"/>
      <c r="AE12" s="2507"/>
      <c r="AF12" s="2507"/>
      <c r="AG12" s="2507"/>
      <c r="AH12" s="2507"/>
      <c r="AI12" s="2507"/>
      <c r="AJ12" s="2507"/>
      <c r="AK12" s="2507"/>
      <c r="AL12" s="2507"/>
      <c r="AM12" s="2507"/>
    </row>
    <row r="13" spans="2:42" s="306" customFormat="1" ht="18" customHeight="1">
      <c r="B13" s="2507" t="s">
        <v>4067</v>
      </c>
      <c r="C13" s="2507"/>
      <c r="D13" s="2507"/>
      <c r="E13" s="2507"/>
      <c r="F13" s="2507"/>
      <c r="G13" s="2507"/>
      <c r="H13" s="2507"/>
      <c r="I13" s="2507"/>
      <c r="J13" s="2507"/>
      <c r="K13" s="2507"/>
      <c r="L13" s="2507"/>
      <c r="M13" s="2507"/>
      <c r="N13" s="2507"/>
      <c r="O13" s="2507"/>
      <c r="P13" s="2507"/>
      <c r="Q13" s="2507"/>
      <c r="R13" s="2507"/>
      <c r="S13" s="2507"/>
      <c r="T13" s="2507"/>
      <c r="U13" s="2507"/>
      <c r="V13" s="2507"/>
      <c r="W13" s="2507"/>
      <c r="X13" s="2507"/>
      <c r="Y13" s="2507"/>
      <c r="Z13" s="2507"/>
      <c r="AA13" s="2507"/>
      <c r="AB13" s="2507"/>
      <c r="AC13" s="2507"/>
      <c r="AD13" s="2507"/>
      <c r="AE13" s="2507"/>
      <c r="AF13" s="2507"/>
      <c r="AG13" s="2507"/>
      <c r="AH13" s="2507"/>
      <c r="AI13" s="2507"/>
      <c r="AJ13" s="2507"/>
      <c r="AK13" s="2507"/>
      <c r="AL13" s="2507"/>
      <c r="AM13" s="2507"/>
    </row>
    <row r="14" spans="2:42" s="306" customFormat="1" ht="18" customHeight="1">
      <c r="B14" s="2507" t="s">
        <v>4068</v>
      </c>
      <c r="C14" s="2507"/>
      <c r="D14" s="2507"/>
      <c r="E14" s="2507"/>
      <c r="F14" s="2507"/>
      <c r="G14" s="2507"/>
      <c r="H14" s="2507"/>
      <c r="I14" s="2507"/>
      <c r="J14" s="2507"/>
      <c r="K14" s="2507"/>
      <c r="L14" s="2507"/>
      <c r="M14" s="2507"/>
      <c r="N14" s="2507"/>
      <c r="O14" s="2507"/>
      <c r="P14" s="2507"/>
      <c r="Q14" s="2507"/>
      <c r="R14" s="2507"/>
      <c r="S14" s="2507"/>
      <c r="T14" s="2507"/>
      <c r="U14" s="2507"/>
      <c r="V14" s="2507"/>
      <c r="W14" s="2507"/>
      <c r="X14" s="2507"/>
      <c r="Y14" s="2507"/>
      <c r="Z14" s="2507"/>
      <c r="AA14" s="2507"/>
      <c r="AB14" s="2507"/>
      <c r="AC14" s="2507"/>
      <c r="AD14" s="2507"/>
      <c r="AE14" s="2507"/>
      <c r="AF14" s="2507"/>
      <c r="AG14" s="2507"/>
      <c r="AH14" s="2507"/>
      <c r="AI14" s="2507"/>
      <c r="AJ14" s="2507"/>
      <c r="AK14" s="2507"/>
      <c r="AL14" s="2507"/>
      <c r="AM14" s="2507"/>
    </row>
    <row r="15" spans="2:42" s="306" customFormat="1" ht="18" customHeight="1">
      <c r="B15" s="2507" t="s">
        <v>4069</v>
      </c>
      <c r="C15" s="2507"/>
      <c r="D15" s="2507"/>
      <c r="E15" s="2507"/>
      <c r="F15" s="2507"/>
      <c r="G15" s="2507"/>
      <c r="H15" s="2507"/>
      <c r="I15" s="2507"/>
      <c r="J15" s="2507"/>
      <c r="K15" s="2507"/>
      <c r="L15" s="2507"/>
      <c r="M15" s="2507"/>
      <c r="N15" s="2507"/>
      <c r="O15" s="2507"/>
      <c r="P15" s="2507"/>
      <c r="Q15" s="2507"/>
      <c r="R15" s="2507"/>
      <c r="S15" s="2507"/>
      <c r="T15" s="2507"/>
      <c r="U15" s="2507"/>
      <c r="V15" s="2507"/>
      <c r="W15" s="2507"/>
      <c r="X15" s="2507"/>
      <c r="Y15" s="2507"/>
      <c r="Z15" s="2507"/>
      <c r="AA15" s="2507"/>
      <c r="AB15" s="2507"/>
      <c r="AC15" s="2507"/>
      <c r="AD15" s="2507"/>
      <c r="AE15" s="2507"/>
      <c r="AF15" s="2507"/>
      <c r="AG15" s="2507"/>
      <c r="AH15" s="2507"/>
      <c r="AI15" s="2507"/>
      <c r="AJ15" s="2507"/>
      <c r="AK15" s="2507"/>
      <c r="AL15" s="2507"/>
      <c r="AM15" s="2507"/>
    </row>
    <row r="16" spans="2:42" s="306" customFormat="1" ht="9" customHeight="1">
      <c r="B16" s="3890"/>
      <c r="C16" s="3890"/>
      <c r="D16" s="3890"/>
      <c r="E16" s="3890"/>
      <c r="F16" s="3890"/>
      <c r="G16" s="3890"/>
      <c r="H16" s="3890"/>
      <c r="I16" s="3890"/>
      <c r="J16" s="3890"/>
      <c r="K16" s="3890"/>
      <c r="L16" s="3890"/>
      <c r="M16" s="3890"/>
      <c r="N16" s="3890"/>
      <c r="O16" s="3890"/>
      <c r="P16" s="3890"/>
      <c r="Q16" s="3890"/>
      <c r="R16" s="3890"/>
      <c r="S16" s="3890"/>
      <c r="T16" s="3890"/>
      <c r="U16" s="3890"/>
      <c r="V16" s="3890"/>
      <c r="W16" s="3890"/>
      <c r="X16" s="3890"/>
      <c r="Y16" s="3890"/>
      <c r="Z16" s="3890"/>
      <c r="AA16" s="3890"/>
      <c r="AB16" s="3890"/>
      <c r="AC16" s="3890"/>
      <c r="AD16" s="3890"/>
      <c r="AE16" s="3890"/>
      <c r="AF16" s="3890"/>
      <c r="AG16" s="3890"/>
      <c r="AH16" s="3890"/>
      <c r="AI16" s="3890"/>
      <c r="AJ16" s="3890"/>
      <c r="AK16" s="3890"/>
      <c r="AL16" s="3890"/>
      <c r="AM16" s="3890"/>
    </row>
    <row r="17" spans="2:44" s="306" customFormat="1" ht="18" customHeight="1">
      <c r="B17" s="3896" t="s">
        <v>4070</v>
      </c>
      <c r="C17" s="3896"/>
      <c r="D17" s="3896"/>
      <c r="E17" s="3896"/>
      <c r="F17" s="3896"/>
      <c r="G17" s="3896"/>
      <c r="H17" s="3896"/>
      <c r="I17" s="3896"/>
      <c r="J17" s="3896"/>
      <c r="K17" s="3896"/>
      <c r="L17" s="3896"/>
      <c r="M17" s="3896"/>
      <c r="N17" s="3896"/>
      <c r="O17" s="3896"/>
      <c r="P17" s="3896"/>
      <c r="Q17" s="3896"/>
      <c r="R17" s="3896"/>
      <c r="S17" s="3896"/>
      <c r="T17" s="3896"/>
      <c r="U17" s="3896"/>
      <c r="V17" s="3896"/>
      <c r="W17" s="3896"/>
      <c r="X17" s="3896"/>
      <c r="Y17" s="3896"/>
      <c r="Z17" s="3896"/>
      <c r="AA17" s="3896"/>
      <c r="AB17" s="3896"/>
      <c r="AC17" s="3896"/>
      <c r="AD17" s="3896"/>
      <c r="AE17" s="3896"/>
      <c r="AF17" s="3896"/>
      <c r="AG17" s="3896"/>
      <c r="AH17" s="3896"/>
      <c r="AI17" s="3896"/>
      <c r="AJ17" s="3896"/>
      <c r="AK17" s="3896"/>
      <c r="AL17" s="3896"/>
      <c r="AM17" s="3896"/>
    </row>
    <row r="18" spans="2:44" ht="72" customHeight="1">
      <c r="B18" s="3892" t="s">
        <v>4071</v>
      </c>
      <c r="C18" s="3892"/>
      <c r="D18" s="3892"/>
      <c r="E18" s="3892"/>
      <c r="F18" s="3892"/>
      <c r="G18" s="3892"/>
      <c r="H18" s="3892"/>
      <c r="I18" s="3892"/>
      <c r="J18" s="3892"/>
      <c r="K18" s="3892"/>
      <c r="L18" s="3892"/>
      <c r="M18" s="3892"/>
      <c r="N18" s="3892"/>
      <c r="O18" s="3892"/>
      <c r="P18" s="3892"/>
      <c r="Q18" s="3892"/>
      <c r="R18" s="3892"/>
      <c r="S18" s="3892"/>
      <c r="T18" s="3892"/>
      <c r="U18" s="3892"/>
      <c r="V18" s="3892"/>
      <c r="W18" s="3892"/>
      <c r="X18" s="3892"/>
      <c r="Y18" s="3892"/>
      <c r="Z18" s="3892"/>
      <c r="AA18" s="3892"/>
      <c r="AB18" s="3892"/>
      <c r="AC18" s="3892"/>
      <c r="AD18" s="3892"/>
      <c r="AE18" s="3892"/>
      <c r="AF18" s="3892"/>
      <c r="AG18" s="3892"/>
      <c r="AH18" s="3892"/>
      <c r="AI18" s="3892"/>
      <c r="AJ18" s="3892"/>
      <c r="AK18" s="3892"/>
      <c r="AL18" s="3892"/>
      <c r="AM18" s="3892"/>
      <c r="AN18" s="153"/>
      <c r="AO18" s="304"/>
      <c r="AP18" s="304"/>
      <c r="AQ18" s="304"/>
      <c r="AR18" s="304"/>
    </row>
    <row r="19" spans="2:44" ht="9.75" customHeight="1">
      <c r="B19" s="3890"/>
      <c r="C19" s="3890"/>
      <c r="D19" s="3890"/>
      <c r="E19" s="3890"/>
      <c r="F19" s="3890"/>
      <c r="G19" s="3890"/>
      <c r="H19" s="3890"/>
      <c r="I19" s="3890"/>
      <c r="J19" s="3890"/>
      <c r="K19" s="3890"/>
      <c r="L19" s="3890"/>
      <c r="M19" s="3890"/>
      <c r="N19" s="3890"/>
      <c r="O19" s="3890"/>
      <c r="P19" s="3890"/>
      <c r="Q19" s="3890"/>
      <c r="R19" s="3890"/>
      <c r="S19" s="3890"/>
      <c r="T19" s="3890"/>
      <c r="U19" s="3890"/>
      <c r="V19" s="3890"/>
      <c r="W19" s="3890"/>
      <c r="X19" s="3890"/>
      <c r="Y19" s="3890"/>
      <c r="Z19" s="3890"/>
      <c r="AA19" s="3890"/>
      <c r="AB19" s="3890"/>
      <c r="AC19" s="3890"/>
      <c r="AD19" s="3890"/>
      <c r="AE19" s="3890"/>
      <c r="AF19" s="3890"/>
      <c r="AG19" s="3890"/>
      <c r="AH19" s="3890"/>
      <c r="AI19" s="3890"/>
      <c r="AJ19" s="3890"/>
      <c r="AK19" s="3890"/>
      <c r="AL19" s="3890"/>
      <c r="AM19" s="3890"/>
    </row>
    <row r="20" spans="2:44" ht="18" customHeight="1">
      <c r="B20" s="3896" t="s">
        <v>4072</v>
      </c>
      <c r="C20" s="3896"/>
      <c r="D20" s="3896"/>
      <c r="E20" s="3896"/>
      <c r="F20" s="3896"/>
      <c r="G20" s="3896"/>
      <c r="H20" s="3896"/>
      <c r="I20" s="3896"/>
      <c r="J20" s="3896"/>
      <c r="K20" s="3896"/>
      <c r="L20" s="3896"/>
      <c r="M20" s="3896"/>
      <c r="N20" s="3896"/>
      <c r="O20" s="3896"/>
      <c r="P20" s="3896"/>
      <c r="Q20" s="3896"/>
      <c r="R20" s="3896"/>
      <c r="S20" s="3896"/>
      <c r="T20" s="3896"/>
      <c r="U20" s="3896"/>
      <c r="V20" s="3896"/>
      <c r="W20" s="3896"/>
      <c r="X20" s="3896"/>
      <c r="Y20" s="3896"/>
      <c r="Z20" s="3896"/>
      <c r="AA20" s="3896"/>
      <c r="AB20" s="3896"/>
      <c r="AC20" s="3896"/>
      <c r="AD20" s="3896"/>
      <c r="AE20" s="3896"/>
      <c r="AF20" s="3896"/>
      <c r="AG20" s="3896"/>
      <c r="AH20" s="3896"/>
      <c r="AI20" s="3896"/>
      <c r="AJ20" s="3896"/>
      <c r="AK20" s="3896"/>
      <c r="AL20" s="3896"/>
      <c r="AM20" s="3896"/>
      <c r="AN20" s="304"/>
      <c r="AO20" s="304"/>
      <c r="AP20" s="304"/>
      <c r="AQ20" s="304"/>
      <c r="AR20" s="304"/>
    </row>
    <row r="21" spans="2:44" s="309" customFormat="1" ht="18" customHeight="1">
      <c r="B21" s="3895" t="s">
        <v>4073</v>
      </c>
      <c r="C21" s="3895"/>
      <c r="D21" s="3895"/>
      <c r="E21" s="3895"/>
      <c r="F21" s="3895"/>
      <c r="G21" s="3895"/>
      <c r="H21" s="3895"/>
      <c r="I21" s="3895"/>
      <c r="J21" s="3895"/>
      <c r="K21" s="3895"/>
      <c r="L21" s="3895"/>
      <c r="M21" s="3895"/>
      <c r="N21" s="3895"/>
      <c r="O21" s="3895"/>
      <c r="P21" s="3895"/>
      <c r="Q21" s="3895"/>
      <c r="R21" s="3895"/>
      <c r="S21" s="3895"/>
      <c r="T21" s="3895"/>
      <c r="U21" s="3895"/>
      <c r="V21" s="3895"/>
      <c r="W21" s="3895"/>
      <c r="X21" s="3895"/>
      <c r="Y21" s="3895"/>
      <c r="Z21" s="3895"/>
      <c r="AA21" s="3895"/>
      <c r="AB21" s="3895"/>
      <c r="AC21" s="3895"/>
      <c r="AD21" s="3895"/>
      <c r="AE21" s="3895"/>
      <c r="AF21" s="3895"/>
      <c r="AG21" s="3895"/>
      <c r="AH21" s="3895"/>
      <c r="AI21" s="3895"/>
      <c r="AJ21" s="3895"/>
      <c r="AK21" s="3895"/>
      <c r="AL21" s="3895"/>
      <c r="AM21" s="3895"/>
    </row>
    <row r="22" spans="2:44" s="309" customFormat="1" ht="9" customHeight="1">
      <c r="B22" s="3890"/>
      <c r="C22" s="3890"/>
      <c r="D22" s="3890"/>
      <c r="E22" s="3890"/>
      <c r="F22" s="3890"/>
      <c r="G22" s="3890"/>
      <c r="H22" s="3890"/>
      <c r="I22" s="3890"/>
      <c r="J22" s="3890"/>
      <c r="K22" s="3890"/>
      <c r="L22" s="3890"/>
      <c r="M22" s="3890"/>
      <c r="N22" s="3890"/>
      <c r="O22" s="3890"/>
      <c r="P22" s="3890"/>
      <c r="Q22" s="3890"/>
      <c r="R22" s="3890"/>
      <c r="S22" s="3890"/>
      <c r="T22" s="3890"/>
      <c r="U22" s="3890"/>
      <c r="V22" s="3890"/>
      <c r="W22" s="3890"/>
      <c r="X22" s="3890"/>
      <c r="Y22" s="3890"/>
      <c r="Z22" s="3890"/>
      <c r="AA22" s="3890"/>
      <c r="AB22" s="3890"/>
      <c r="AC22" s="3890"/>
      <c r="AD22" s="3890"/>
      <c r="AE22" s="3890"/>
      <c r="AF22" s="3890"/>
      <c r="AG22" s="3890"/>
      <c r="AH22" s="3890"/>
      <c r="AI22" s="3890"/>
      <c r="AJ22" s="3890"/>
      <c r="AK22" s="3890"/>
      <c r="AL22" s="3890"/>
      <c r="AM22" s="3890"/>
    </row>
    <row r="23" spans="2:44" ht="18" customHeight="1">
      <c r="B23" s="3896" t="s">
        <v>4074</v>
      </c>
      <c r="C23" s="3896"/>
      <c r="D23" s="3896"/>
      <c r="E23" s="3896"/>
      <c r="F23" s="3896"/>
      <c r="G23" s="3896"/>
      <c r="H23" s="3896"/>
      <c r="I23" s="3896"/>
      <c r="J23" s="3896"/>
      <c r="K23" s="3896"/>
      <c r="L23" s="3896"/>
      <c r="M23" s="3896"/>
      <c r="N23" s="3896"/>
      <c r="O23" s="3896"/>
      <c r="P23" s="3896"/>
      <c r="Q23" s="3896"/>
      <c r="R23" s="3896"/>
      <c r="S23" s="3896"/>
      <c r="T23" s="3896"/>
      <c r="U23" s="3896"/>
      <c r="V23" s="3896"/>
      <c r="W23" s="3896"/>
      <c r="X23" s="3896"/>
      <c r="Y23" s="3896"/>
      <c r="Z23" s="3896"/>
      <c r="AA23" s="3896"/>
      <c r="AB23" s="3896"/>
      <c r="AC23" s="3896"/>
      <c r="AD23" s="3896"/>
      <c r="AE23" s="3896"/>
      <c r="AF23" s="3896"/>
      <c r="AG23" s="3896"/>
      <c r="AH23" s="3896"/>
      <c r="AI23" s="3896"/>
      <c r="AJ23" s="3896"/>
      <c r="AK23" s="3896"/>
      <c r="AL23" s="3896"/>
      <c r="AM23" s="3896"/>
      <c r="AN23" s="304"/>
      <c r="AO23" s="304"/>
      <c r="AP23" s="304"/>
      <c r="AQ23" s="304"/>
      <c r="AR23" s="304"/>
    </row>
    <row r="24" spans="2:44" ht="144" customHeight="1">
      <c r="B24" s="3895" t="s">
        <v>4075</v>
      </c>
      <c r="C24" s="3895"/>
      <c r="D24" s="3895"/>
      <c r="E24" s="3895"/>
      <c r="F24" s="3895"/>
      <c r="G24" s="3895"/>
      <c r="H24" s="3895"/>
      <c r="I24" s="3895"/>
      <c r="J24" s="3895"/>
      <c r="K24" s="3895"/>
      <c r="L24" s="3895"/>
      <c r="M24" s="3895"/>
      <c r="N24" s="3895"/>
      <c r="O24" s="3895"/>
      <c r="P24" s="3895"/>
      <c r="Q24" s="3895"/>
      <c r="R24" s="3895"/>
      <c r="S24" s="3895"/>
      <c r="T24" s="3895"/>
      <c r="U24" s="3895"/>
      <c r="V24" s="3895"/>
      <c r="W24" s="3895"/>
      <c r="X24" s="3895"/>
      <c r="Y24" s="3895"/>
      <c r="Z24" s="3895"/>
      <c r="AA24" s="3895"/>
      <c r="AB24" s="3895"/>
      <c r="AC24" s="3895"/>
      <c r="AD24" s="3895"/>
      <c r="AE24" s="3895"/>
      <c r="AF24" s="3895"/>
      <c r="AG24" s="3895"/>
      <c r="AH24" s="3895"/>
      <c r="AI24" s="3895"/>
      <c r="AJ24" s="3895"/>
      <c r="AK24" s="3895"/>
      <c r="AL24" s="3895"/>
      <c r="AM24" s="3895"/>
    </row>
    <row r="25" spans="2:44" ht="9" customHeight="1">
      <c r="B25" s="3890"/>
      <c r="C25" s="3890"/>
      <c r="D25" s="3890"/>
      <c r="E25" s="3890"/>
      <c r="F25" s="3890"/>
      <c r="G25" s="3890"/>
      <c r="H25" s="3890"/>
      <c r="I25" s="3890"/>
      <c r="J25" s="3890"/>
      <c r="K25" s="3890"/>
      <c r="L25" s="3890"/>
      <c r="M25" s="3890"/>
      <c r="N25" s="3890"/>
      <c r="O25" s="3890"/>
      <c r="P25" s="3890"/>
      <c r="Q25" s="3890"/>
      <c r="R25" s="3890"/>
      <c r="S25" s="3890"/>
      <c r="T25" s="3890"/>
      <c r="U25" s="3890"/>
      <c r="V25" s="3890"/>
      <c r="W25" s="3890"/>
      <c r="X25" s="3890"/>
      <c r="Y25" s="3890"/>
      <c r="Z25" s="3890"/>
      <c r="AA25" s="3890"/>
      <c r="AB25" s="3890"/>
      <c r="AC25" s="3890"/>
      <c r="AD25" s="3890"/>
      <c r="AE25" s="3890"/>
      <c r="AF25" s="3890"/>
      <c r="AG25" s="3890"/>
      <c r="AH25" s="3890"/>
      <c r="AI25" s="3890"/>
      <c r="AJ25" s="3890"/>
      <c r="AK25" s="3890"/>
      <c r="AL25" s="3890"/>
      <c r="AM25" s="3890"/>
    </row>
    <row r="26" spans="2:44" ht="18" customHeight="1">
      <c r="B26" s="3896" t="s">
        <v>4076</v>
      </c>
      <c r="C26" s="3896"/>
      <c r="D26" s="3896"/>
      <c r="E26" s="3896"/>
      <c r="F26" s="3896"/>
      <c r="G26" s="3896"/>
      <c r="H26" s="3896"/>
      <c r="I26" s="3896"/>
      <c r="J26" s="3896"/>
      <c r="K26" s="3896"/>
      <c r="L26" s="3896"/>
      <c r="M26" s="3896"/>
      <c r="N26" s="3896"/>
      <c r="O26" s="3896"/>
      <c r="P26" s="3896"/>
      <c r="Q26" s="3896"/>
      <c r="R26" s="3896"/>
      <c r="S26" s="3896"/>
      <c r="T26" s="3896"/>
      <c r="U26" s="3896"/>
      <c r="V26" s="3896"/>
      <c r="W26" s="3896"/>
      <c r="X26" s="3896"/>
      <c r="Y26" s="3896"/>
      <c r="Z26" s="3896"/>
      <c r="AA26" s="3896"/>
      <c r="AB26" s="3896"/>
      <c r="AC26" s="3896"/>
      <c r="AD26" s="3896"/>
      <c r="AE26" s="3896"/>
      <c r="AF26" s="3896"/>
      <c r="AG26" s="3896"/>
      <c r="AH26" s="3896"/>
      <c r="AI26" s="3896"/>
      <c r="AJ26" s="3896"/>
      <c r="AK26" s="3896"/>
      <c r="AL26" s="3896"/>
      <c r="AM26" s="3896"/>
      <c r="AN26" s="311"/>
    </row>
    <row r="27" spans="2:44" ht="108" customHeight="1">
      <c r="B27" s="3895" t="s">
        <v>4077</v>
      </c>
      <c r="C27" s="3895"/>
      <c r="D27" s="3895"/>
      <c r="E27" s="3895"/>
      <c r="F27" s="3895"/>
      <c r="G27" s="3895"/>
      <c r="H27" s="3895"/>
      <c r="I27" s="3895"/>
      <c r="J27" s="3895"/>
      <c r="K27" s="3895"/>
      <c r="L27" s="3895"/>
      <c r="M27" s="3895"/>
      <c r="N27" s="3895"/>
      <c r="O27" s="3895"/>
      <c r="P27" s="3895"/>
      <c r="Q27" s="3895"/>
      <c r="R27" s="3895"/>
      <c r="S27" s="3895"/>
      <c r="T27" s="3895"/>
      <c r="U27" s="3895"/>
      <c r="V27" s="3895"/>
      <c r="W27" s="3895"/>
      <c r="X27" s="3895"/>
      <c r="Y27" s="3895"/>
      <c r="Z27" s="3895"/>
      <c r="AA27" s="3895"/>
      <c r="AB27" s="3895"/>
      <c r="AC27" s="3895"/>
      <c r="AD27" s="3895"/>
      <c r="AE27" s="3895"/>
      <c r="AF27" s="3895"/>
      <c r="AG27" s="3895"/>
      <c r="AH27" s="3895"/>
      <c r="AI27" s="3895"/>
      <c r="AJ27" s="3895"/>
      <c r="AK27" s="3895"/>
      <c r="AL27" s="3895"/>
      <c r="AM27" s="3895"/>
    </row>
    <row r="28" spans="2:44" ht="9" customHeight="1">
      <c r="B28" s="3890"/>
      <c r="C28" s="3890"/>
      <c r="D28" s="3890"/>
      <c r="E28" s="3890"/>
      <c r="F28" s="3890"/>
      <c r="G28" s="3890"/>
      <c r="H28" s="3890"/>
      <c r="I28" s="3890"/>
      <c r="J28" s="3890"/>
      <c r="K28" s="3890"/>
      <c r="L28" s="3890"/>
      <c r="M28" s="3890"/>
      <c r="N28" s="3890"/>
      <c r="O28" s="3890"/>
      <c r="P28" s="3890"/>
      <c r="Q28" s="3890"/>
      <c r="R28" s="3890"/>
      <c r="S28" s="3890"/>
      <c r="T28" s="3890"/>
      <c r="U28" s="3890"/>
      <c r="V28" s="3890"/>
      <c r="W28" s="3890"/>
      <c r="X28" s="3890"/>
      <c r="Y28" s="3890"/>
      <c r="Z28" s="3890"/>
      <c r="AA28" s="3890"/>
      <c r="AB28" s="3890"/>
      <c r="AC28" s="3890"/>
      <c r="AD28" s="3890"/>
      <c r="AE28" s="3890"/>
      <c r="AF28" s="3890"/>
      <c r="AG28" s="3890"/>
      <c r="AH28" s="3890"/>
      <c r="AI28" s="3890"/>
      <c r="AJ28" s="3890"/>
      <c r="AK28" s="3890"/>
      <c r="AL28" s="3890"/>
      <c r="AM28" s="3890"/>
    </row>
    <row r="29" spans="2:44" ht="18" customHeight="1">
      <c r="B29" s="3896" t="s">
        <v>4078</v>
      </c>
      <c r="C29" s="3896"/>
      <c r="D29" s="3896"/>
      <c r="E29" s="3896"/>
      <c r="F29" s="3896"/>
      <c r="G29" s="3896"/>
      <c r="H29" s="3896"/>
      <c r="I29" s="3896"/>
      <c r="J29" s="3896"/>
      <c r="K29" s="3896"/>
      <c r="L29" s="3896"/>
      <c r="M29" s="3896"/>
      <c r="N29" s="3896"/>
      <c r="O29" s="3896"/>
      <c r="P29" s="3896"/>
      <c r="Q29" s="3896"/>
      <c r="R29" s="3896"/>
      <c r="S29" s="3896"/>
      <c r="T29" s="3896"/>
      <c r="U29" s="3896"/>
      <c r="V29" s="3896"/>
      <c r="W29" s="3896"/>
      <c r="X29" s="3896"/>
      <c r="Y29" s="3896"/>
      <c r="Z29" s="3896"/>
      <c r="AA29" s="3896"/>
      <c r="AB29" s="3896"/>
      <c r="AC29" s="3896"/>
      <c r="AD29" s="3896"/>
      <c r="AE29" s="3896"/>
      <c r="AF29" s="3896"/>
      <c r="AG29" s="3896"/>
      <c r="AH29" s="3896"/>
      <c r="AI29" s="3896"/>
      <c r="AJ29" s="3896"/>
      <c r="AK29" s="3896"/>
      <c r="AL29" s="3896"/>
      <c r="AM29" s="3896"/>
    </row>
    <row r="30" spans="2:44" s="315" customFormat="1" ht="99" customHeight="1">
      <c r="B30" s="3893" t="s">
        <v>4079</v>
      </c>
      <c r="C30" s="3894"/>
      <c r="D30" s="3894"/>
      <c r="E30" s="3894"/>
      <c r="F30" s="3894"/>
      <c r="G30" s="3894"/>
      <c r="H30" s="3894"/>
      <c r="I30" s="3894"/>
      <c r="J30" s="3894"/>
      <c r="K30" s="3894"/>
      <c r="L30" s="3894"/>
      <c r="M30" s="3894"/>
      <c r="N30" s="3894"/>
      <c r="O30" s="3894"/>
      <c r="P30" s="3894"/>
      <c r="Q30" s="3894"/>
      <c r="R30" s="3894"/>
      <c r="S30" s="3894"/>
      <c r="T30" s="3894"/>
      <c r="U30" s="3894"/>
      <c r="V30" s="3894"/>
      <c r="W30" s="3894"/>
      <c r="X30" s="3894"/>
      <c r="Y30" s="3894"/>
      <c r="Z30" s="3894"/>
      <c r="AA30" s="3894"/>
      <c r="AB30" s="3894"/>
      <c r="AC30" s="3894"/>
      <c r="AD30" s="3894"/>
      <c r="AE30" s="3894"/>
      <c r="AF30" s="3894"/>
      <c r="AG30" s="3894"/>
      <c r="AH30" s="3894"/>
      <c r="AI30" s="3894"/>
      <c r="AJ30" s="3894"/>
      <c r="AK30" s="3894"/>
      <c r="AL30" s="3894"/>
      <c r="AM30" s="3894"/>
    </row>
    <row r="31" spans="2:44" ht="9" customHeight="1">
      <c r="B31" s="3890"/>
      <c r="C31" s="3890"/>
      <c r="D31" s="3890"/>
      <c r="E31" s="3890"/>
      <c r="F31" s="3890"/>
      <c r="G31" s="3890"/>
      <c r="H31" s="3890"/>
      <c r="I31" s="3890"/>
      <c r="J31" s="3890"/>
      <c r="K31" s="3890"/>
      <c r="L31" s="3890"/>
      <c r="M31" s="3890"/>
      <c r="N31" s="3890"/>
      <c r="O31" s="3890"/>
      <c r="P31" s="3890"/>
      <c r="Q31" s="3890"/>
      <c r="R31" s="3890"/>
      <c r="S31" s="3890"/>
      <c r="T31" s="3890"/>
      <c r="U31" s="3890"/>
      <c r="V31" s="3890"/>
      <c r="W31" s="3890"/>
      <c r="X31" s="3890"/>
      <c r="Y31" s="3890"/>
      <c r="Z31" s="3890"/>
      <c r="AA31" s="3890"/>
      <c r="AB31" s="3890"/>
      <c r="AC31" s="3890"/>
      <c r="AD31" s="3890"/>
      <c r="AE31" s="3890"/>
      <c r="AF31" s="3890"/>
      <c r="AG31" s="3890"/>
      <c r="AH31" s="3890"/>
      <c r="AI31" s="3890"/>
      <c r="AJ31" s="3890"/>
      <c r="AK31" s="3890"/>
      <c r="AL31" s="3890"/>
      <c r="AM31" s="3890"/>
    </row>
    <row r="32" spans="2:44" ht="18" customHeight="1">
      <c r="B32" s="3896" t="s">
        <v>3155</v>
      </c>
      <c r="C32" s="3896"/>
      <c r="D32" s="3896"/>
      <c r="E32" s="3896"/>
      <c r="F32" s="3896"/>
      <c r="G32" s="3896"/>
      <c r="H32" s="3896"/>
      <c r="I32" s="3896"/>
      <c r="J32" s="3896"/>
      <c r="K32" s="3896"/>
      <c r="L32" s="3896"/>
      <c r="M32" s="3896"/>
      <c r="N32" s="3896"/>
      <c r="O32" s="3896"/>
      <c r="P32" s="3896"/>
      <c r="Q32" s="3896"/>
      <c r="R32" s="3896"/>
      <c r="S32" s="3896"/>
      <c r="T32" s="3896"/>
      <c r="U32" s="3896"/>
      <c r="V32" s="3896"/>
      <c r="W32" s="3896"/>
      <c r="X32" s="3896"/>
      <c r="Y32" s="3896"/>
      <c r="Z32" s="3896"/>
      <c r="AA32" s="3896"/>
      <c r="AB32" s="3896"/>
      <c r="AC32" s="3896"/>
      <c r="AD32" s="3896"/>
      <c r="AE32" s="3896"/>
      <c r="AF32" s="3896"/>
      <c r="AG32" s="3896"/>
      <c r="AH32" s="3896"/>
      <c r="AI32" s="3896"/>
      <c r="AJ32" s="3896"/>
      <c r="AK32" s="3896"/>
      <c r="AL32" s="3896"/>
      <c r="AM32" s="3896"/>
    </row>
    <row r="33" spans="2:39" ht="36" customHeight="1">
      <c r="B33" s="3895" t="s">
        <v>4080</v>
      </c>
      <c r="C33" s="3898"/>
      <c r="D33" s="3898"/>
      <c r="E33" s="3898"/>
      <c r="F33" s="3898"/>
      <c r="G33" s="3898"/>
      <c r="H33" s="3898"/>
      <c r="I33" s="3898"/>
      <c r="J33" s="3898"/>
      <c r="K33" s="3898"/>
      <c r="L33" s="3898"/>
      <c r="M33" s="3898"/>
      <c r="N33" s="3898"/>
      <c r="O33" s="3898"/>
      <c r="P33" s="3898"/>
      <c r="Q33" s="3898"/>
      <c r="R33" s="3898"/>
      <c r="S33" s="3898"/>
      <c r="T33" s="3898"/>
      <c r="U33" s="3898"/>
      <c r="V33" s="3898"/>
      <c r="W33" s="3898"/>
      <c r="X33" s="3898"/>
      <c r="Y33" s="3898"/>
      <c r="Z33" s="3898"/>
      <c r="AA33" s="3898"/>
      <c r="AB33" s="3898"/>
      <c r="AC33" s="3898"/>
      <c r="AD33" s="3898"/>
      <c r="AE33" s="3898"/>
      <c r="AF33" s="3898"/>
      <c r="AG33" s="3898"/>
      <c r="AH33" s="3898"/>
      <c r="AI33" s="3898"/>
      <c r="AJ33" s="3898"/>
      <c r="AK33" s="3898"/>
      <c r="AL33" s="3898"/>
      <c r="AM33" s="3898"/>
    </row>
    <row r="34" spans="2:39" ht="18" customHeight="1">
      <c r="B34" s="312"/>
      <c r="C34" s="312"/>
      <c r="D34" s="312"/>
      <c r="E34" s="312"/>
      <c r="F34" s="312"/>
      <c r="G34" s="312"/>
      <c r="H34" s="312"/>
      <c r="I34" s="312"/>
      <c r="J34" s="312"/>
      <c r="K34" s="312"/>
    </row>
    <row r="35" spans="2:39" ht="18" customHeight="1">
      <c r="B35" s="2489" t="s">
        <v>639</v>
      </c>
      <c r="C35" s="2489"/>
      <c r="D35" s="2489"/>
      <c r="E35" s="2489"/>
      <c r="F35" s="2489"/>
      <c r="G35" s="2489"/>
      <c r="H35" s="2489"/>
      <c r="I35" s="2489"/>
      <c r="J35" s="2489"/>
      <c r="K35" s="2489"/>
      <c r="L35" s="2489"/>
      <c r="M35" s="2489"/>
      <c r="N35" s="2489"/>
      <c r="O35" s="2489"/>
      <c r="P35" s="2489"/>
      <c r="Q35" s="2489"/>
      <c r="R35" s="2489"/>
      <c r="S35" s="2489"/>
      <c r="T35" s="2489"/>
      <c r="U35" s="2489"/>
      <c r="V35" s="2489"/>
      <c r="W35" s="2489"/>
      <c r="X35" s="2489"/>
      <c r="Y35" s="2489"/>
      <c r="Z35" s="2489"/>
      <c r="AA35" s="2489"/>
      <c r="AB35" s="2489"/>
      <c r="AC35" s="2489"/>
      <c r="AD35" s="2489"/>
      <c r="AE35" s="2489"/>
      <c r="AF35" s="2489"/>
      <c r="AG35" s="2489"/>
      <c r="AH35" s="2489"/>
      <c r="AI35" s="2489"/>
      <c r="AJ35" s="2489"/>
      <c r="AK35" s="2489"/>
      <c r="AL35" s="2489"/>
      <c r="AM35" s="2489"/>
    </row>
    <row r="36" spans="2:39" ht="18" customHeight="1">
      <c r="B36" s="312"/>
      <c r="C36" s="312"/>
      <c r="D36" s="312"/>
      <c r="E36" s="312"/>
      <c r="F36" s="312"/>
      <c r="G36" s="312"/>
      <c r="H36" s="312"/>
      <c r="I36" s="312"/>
      <c r="J36" s="312"/>
      <c r="K36" s="312"/>
    </row>
    <row r="37" spans="2:39" ht="18" customHeight="1">
      <c r="B37" s="312"/>
      <c r="C37" s="312"/>
      <c r="D37" s="312"/>
      <c r="E37" s="312"/>
      <c r="F37" s="312"/>
      <c r="G37" s="312"/>
      <c r="H37" s="312"/>
      <c r="I37" s="312"/>
      <c r="J37" s="312"/>
      <c r="K37" s="312"/>
    </row>
    <row r="38" spans="2:39" ht="18" customHeight="1">
      <c r="B38" s="312"/>
      <c r="C38" s="312"/>
      <c r="D38" s="312"/>
      <c r="E38" s="312"/>
      <c r="F38" s="312"/>
      <c r="G38" s="312"/>
      <c r="H38" s="312"/>
      <c r="I38" s="312"/>
      <c r="J38" s="312"/>
      <c r="K38" s="312"/>
    </row>
    <row r="39" spans="2:39" ht="18" customHeight="1">
      <c r="B39" s="312"/>
      <c r="C39" s="312"/>
      <c r="D39" s="312"/>
      <c r="E39" s="312"/>
      <c r="F39" s="312"/>
      <c r="G39" s="312"/>
      <c r="H39" s="312"/>
      <c r="I39" s="312"/>
      <c r="J39" s="312"/>
      <c r="K39" s="312"/>
    </row>
    <row r="40" spans="2:39" ht="18" customHeight="1">
      <c r="B40" s="312"/>
      <c r="C40" s="312"/>
      <c r="D40" s="312"/>
      <c r="E40" s="312"/>
      <c r="F40" s="312"/>
      <c r="G40" s="312"/>
      <c r="H40" s="312"/>
      <c r="I40" s="312"/>
      <c r="J40" s="312"/>
      <c r="K40" s="312"/>
    </row>
    <row r="41" spans="2:39" ht="18" customHeight="1">
      <c r="B41" s="312"/>
      <c r="C41" s="312"/>
      <c r="D41" s="312"/>
      <c r="E41" s="312"/>
      <c r="F41" s="312"/>
      <c r="G41" s="312"/>
      <c r="H41" s="312"/>
      <c r="I41" s="312"/>
      <c r="J41" s="312"/>
      <c r="K41" s="312"/>
    </row>
    <row r="42" spans="2:39" ht="18" customHeight="1">
      <c r="B42" s="312"/>
      <c r="C42" s="312"/>
      <c r="D42" s="312"/>
      <c r="E42" s="312"/>
      <c r="F42" s="312"/>
      <c r="G42" s="312"/>
      <c r="H42" s="312"/>
      <c r="I42" s="312"/>
      <c r="J42" s="312"/>
      <c r="K42" s="312"/>
    </row>
    <row r="43" spans="2:39" ht="18" customHeight="1">
      <c r="B43" s="312"/>
      <c r="C43" s="312"/>
      <c r="D43" s="312"/>
      <c r="E43" s="312"/>
      <c r="F43" s="312"/>
      <c r="G43" s="312"/>
      <c r="H43" s="312"/>
      <c r="I43" s="312"/>
      <c r="J43" s="312"/>
      <c r="K43" s="312"/>
    </row>
    <row r="44" spans="2:39" ht="18" customHeight="1">
      <c r="B44" s="312"/>
      <c r="C44" s="312"/>
      <c r="D44" s="312"/>
      <c r="E44" s="312"/>
      <c r="F44" s="312"/>
      <c r="G44" s="312"/>
      <c r="H44" s="312"/>
      <c r="I44" s="312"/>
      <c r="J44" s="312"/>
      <c r="K44" s="312"/>
    </row>
    <row r="45" spans="2:39" ht="18" customHeight="1">
      <c r="B45" s="312"/>
      <c r="C45" s="312"/>
      <c r="D45" s="312"/>
      <c r="E45" s="312"/>
      <c r="F45" s="312"/>
      <c r="G45" s="312"/>
      <c r="H45" s="312"/>
      <c r="I45" s="312"/>
      <c r="J45" s="312"/>
      <c r="K45" s="312"/>
    </row>
    <row r="46" spans="2:39" ht="18" customHeight="1">
      <c r="B46" s="312"/>
      <c r="C46" s="312"/>
      <c r="D46" s="312"/>
      <c r="E46" s="312"/>
      <c r="F46" s="312"/>
      <c r="G46" s="312"/>
      <c r="H46" s="312"/>
      <c r="I46" s="312"/>
      <c r="J46" s="312"/>
      <c r="K46" s="312"/>
    </row>
    <row r="47" spans="2:39" ht="18" customHeight="1">
      <c r="B47" s="312"/>
      <c r="C47" s="312"/>
      <c r="D47" s="312"/>
      <c r="E47" s="312"/>
      <c r="F47" s="312"/>
      <c r="G47" s="312"/>
      <c r="H47" s="312"/>
      <c r="I47" s="312"/>
      <c r="J47" s="312"/>
      <c r="K47" s="312"/>
    </row>
    <row r="48" spans="2:39" ht="18" customHeight="1">
      <c r="B48" s="312"/>
      <c r="C48" s="312"/>
      <c r="D48" s="312"/>
      <c r="E48" s="312"/>
      <c r="F48" s="312"/>
      <c r="G48" s="312"/>
      <c r="H48" s="312"/>
      <c r="I48" s="312"/>
      <c r="J48" s="312"/>
      <c r="K48" s="312"/>
    </row>
    <row r="49" spans="2:11" ht="18" customHeight="1">
      <c r="B49" s="312"/>
      <c r="C49" s="312"/>
      <c r="D49" s="312"/>
      <c r="E49" s="312"/>
      <c r="F49" s="312"/>
      <c r="G49" s="312"/>
      <c r="H49" s="312"/>
      <c r="I49" s="312"/>
      <c r="J49" s="312"/>
      <c r="K49" s="312"/>
    </row>
    <row r="50" spans="2:11" ht="18" customHeight="1">
      <c r="B50" s="312"/>
      <c r="C50" s="312"/>
      <c r="D50" s="312"/>
      <c r="E50" s="312"/>
      <c r="F50" s="312"/>
      <c r="G50" s="312"/>
      <c r="H50" s="312"/>
      <c r="I50" s="312"/>
      <c r="J50" s="312"/>
      <c r="K50" s="312"/>
    </row>
    <row r="51" spans="2:11" ht="18" customHeight="1">
      <c r="B51" s="312"/>
      <c r="C51" s="312"/>
      <c r="D51" s="312"/>
      <c r="E51" s="312"/>
      <c r="F51" s="312"/>
      <c r="G51" s="312"/>
      <c r="H51" s="312"/>
      <c r="I51" s="312"/>
      <c r="J51" s="312"/>
      <c r="K51" s="312"/>
    </row>
  </sheetData>
  <mergeCells count="34">
    <mergeCell ref="B35:AM35"/>
    <mergeCell ref="B8:AM8"/>
    <mergeCell ref="B4:AM4"/>
    <mergeCell ref="B5:AM5"/>
    <mergeCell ref="B7:AM7"/>
    <mergeCell ref="B20:AM20"/>
    <mergeCell ref="B9:AM9"/>
    <mergeCell ref="B10:AM10"/>
    <mergeCell ref="B11:AM11"/>
    <mergeCell ref="B12:AM12"/>
    <mergeCell ref="B13:AM13"/>
    <mergeCell ref="B14:AM14"/>
    <mergeCell ref="B15:AM15"/>
    <mergeCell ref="B17:AM17"/>
    <mergeCell ref="B32:AM32"/>
    <mergeCell ref="B33:AM33"/>
    <mergeCell ref="AN5:AO5"/>
    <mergeCell ref="AN2:AO2"/>
    <mergeCell ref="B6:AM6"/>
    <mergeCell ref="B18:AM18"/>
    <mergeCell ref="B30:AM30"/>
    <mergeCell ref="B21:AM21"/>
    <mergeCell ref="B26:AM26"/>
    <mergeCell ref="B23:AM23"/>
    <mergeCell ref="B24:AM24"/>
    <mergeCell ref="B27:AM27"/>
    <mergeCell ref="B29:AM29"/>
    <mergeCell ref="B2:AM2"/>
    <mergeCell ref="B28:AM28"/>
    <mergeCell ref="B31:AM31"/>
    <mergeCell ref="B16:AM16"/>
    <mergeCell ref="B19:AM19"/>
    <mergeCell ref="B22:AM22"/>
    <mergeCell ref="B25:AM25"/>
  </mergeCells>
  <hyperlinks>
    <hyperlink ref="B4:AM4" r:id="rId1" location="forms" display="Sponsor Authorizing Resolutions" xr:uid="{00000000-0004-0000-0F00-000000000000}"/>
  </hyperlinks>
  <printOptions horizontalCentered="1"/>
  <pageMargins left="0" right="0.25" top="0" bottom="0" header="0.25" footer="0.25"/>
  <pageSetup scale="67" orientation="portrait" r:id="rId2"/>
  <headerFooter>
    <oddFooter>&amp;L&amp;F&amp;C&amp;P of &amp;N&amp;R &amp;A</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97191-942D-49B2-9D52-88F79FE20B63}">
  <sheetPr codeName="Sheet18">
    <tabColor rgb="FF7030A0"/>
  </sheetPr>
  <dimension ref="A2:AP321"/>
  <sheetViews>
    <sheetView showGridLines="0" zoomScaleNormal="100" workbookViewId="0">
      <selection activeCell="AL126" sqref="AL126:AM126"/>
    </sheetView>
  </sheetViews>
  <sheetFormatPr defaultColWidth="4" defaultRowHeight="18" customHeight="1"/>
  <cols>
    <col min="1" max="1" width="5.6640625" style="944" customWidth="1"/>
    <col min="2" max="3" width="4.109375" style="447" customWidth="1"/>
    <col min="4" max="39" width="4.109375" style="944" customWidth="1"/>
    <col min="40" max="16384" width="4" style="944"/>
  </cols>
  <sheetData>
    <row r="2" spans="1:41" ht="18" customHeight="1">
      <c r="A2" s="1486"/>
      <c r="B2" s="3918" t="s">
        <v>1393</v>
      </c>
      <c r="C2" s="3918"/>
      <c r="D2" s="3918"/>
      <c r="E2" s="3918"/>
      <c r="F2" s="3918"/>
      <c r="G2" s="3918"/>
      <c r="H2" s="3918"/>
      <c r="I2" s="3918"/>
      <c r="J2" s="3918"/>
      <c r="K2" s="3918"/>
      <c r="L2" s="3918"/>
      <c r="M2" s="3918"/>
      <c r="N2" s="3918"/>
      <c r="O2" s="3918"/>
      <c r="P2" s="3918"/>
      <c r="Q2" s="3918"/>
      <c r="R2" s="3918"/>
      <c r="S2" s="3918"/>
      <c r="T2" s="3918"/>
      <c r="U2" s="3918"/>
      <c r="V2" s="3918"/>
      <c r="W2" s="3918"/>
      <c r="X2" s="3918"/>
      <c r="Y2" s="3918"/>
      <c r="Z2" s="3918"/>
      <c r="AA2" s="3918"/>
      <c r="AB2" s="3918"/>
      <c r="AC2" s="3918"/>
      <c r="AD2" s="3918"/>
      <c r="AE2" s="3918"/>
      <c r="AF2" s="3918"/>
      <c r="AG2" s="3918"/>
      <c r="AH2" s="3918"/>
      <c r="AI2" s="3918"/>
      <c r="AJ2" s="3918"/>
      <c r="AK2" s="3918"/>
      <c r="AL2" s="3918"/>
      <c r="AM2" s="3918"/>
      <c r="AN2" s="1486"/>
      <c r="AO2" s="1486"/>
    </row>
    <row r="4" spans="1:41" ht="36" customHeight="1">
      <c r="A4" s="1486"/>
      <c r="B4" s="3901" t="s">
        <v>1394</v>
      </c>
      <c r="C4" s="3901"/>
      <c r="D4" s="3901"/>
      <c r="E4" s="3901"/>
      <c r="F4" s="3901"/>
      <c r="G4" s="3901"/>
      <c r="H4" s="3901"/>
      <c r="I4" s="3901"/>
      <c r="J4" s="3901"/>
      <c r="K4" s="3901"/>
      <c r="L4" s="3901"/>
      <c r="M4" s="3901"/>
      <c r="N4" s="3901"/>
      <c r="O4" s="3901"/>
      <c r="P4" s="3901"/>
      <c r="Q4" s="3901"/>
      <c r="R4" s="3901"/>
      <c r="S4" s="3901"/>
      <c r="T4" s="3901"/>
      <c r="U4" s="3901"/>
      <c r="V4" s="3901"/>
      <c r="W4" s="3901"/>
      <c r="X4" s="3901"/>
      <c r="Y4" s="3901"/>
      <c r="Z4" s="3901"/>
      <c r="AA4" s="3901"/>
      <c r="AB4" s="3901"/>
      <c r="AC4" s="3901"/>
      <c r="AD4" s="3901"/>
      <c r="AE4" s="3901"/>
      <c r="AF4" s="3901"/>
      <c r="AG4" s="3901"/>
      <c r="AH4" s="3901"/>
      <c r="AI4" s="3901"/>
      <c r="AJ4" s="3901"/>
      <c r="AK4" s="3901"/>
      <c r="AL4" s="3901"/>
      <c r="AM4" s="3901"/>
      <c r="AN4" s="1486"/>
      <c r="AO4" s="1486"/>
    </row>
    <row r="5" spans="1:41" ht="24" customHeight="1" thickBot="1">
      <c r="A5" s="1486"/>
      <c r="B5" s="3920" t="s">
        <v>1395</v>
      </c>
      <c r="C5" s="3920"/>
      <c r="D5" s="3920"/>
      <c r="E5" s="3920"/>
      <c r="F5" s="3921" t="s">
        <v>1396</v>
      </c>
      <c r="G5" s="3921"/>
      <c r="H5" s="3921"/>
      <c r="I5" s="3921"/>
      <c r="J5" s="3921"/>
      <c r="K5" s="3921"/>
      <c r="L5" s="3921"/>
      <c r="M5" s="3921"/>
      <c r="N5" s="3921"/>
      <c r="O5" s="3921"/>
      <c r="P5" s="3921"/>
      <c r="Q5" s="3921"/>
      <c r="R5" s="3921"/>
      <c r="S5" s="3921"/>
      <c r="T5" s="3921"/>
      <c r="U5" s="3921"/>
      <c r="V5" s="3921"/>
      <c r="W5" s="3921"/>
      <c r="X5" s="3921"/>
      <c r="Y5" s="3921"/>
      <c r="Z5" s="3921"/>
      <c r="AA5" s="3921"/>
      <c r="AB5" s="3921"/>
      <c r="AC5" s="3921"/>
      <c r="AD5" s="3921"/>
      <c r="AE5" s="3921"/>
      <c r="AF5" s="3921"/>
      <c r="AG5" s="3921"/>
      <c r="AH5" s="3921"/>
      <c r="AI5" s="3921"/>
      <c r="AJ5" s="3921"/>
      <c r="AK5" s="3921"/>
      <c r="AL5" s="3921"/>
      <c r="AM5" s="3921"/>
      <c r="AN5" s="1486"/>
      <c r="AO5" s="1486"/>
    </row>
    <row r="6" spans="1:41" s="1191" customFormat="1" ht="18" customHeight="1">
      <c r="A6" s="1486"/>
      <c r="B6" s="1532"/>
      <c r="C6" s="1532"/>
      <c r="D6" s="1532"/>
      <c r="E6" s="1507"/>
      <c r="F6" s="1507"/>
      <c r="G6" s="1507"/>
      <c r="H6" s="1507"/>
      <c r="I6" s="1507"/>
      <c r="J6" s="1507"/>
      <c r="K6" s="1507"/>
      <c r="L6" s="1507"/>
      <c r="M6" s="1507"/>
      <c r="N6" s="1507"/>
      <c r="O6" s="1507"/>
      <c r="P6" s="1507"/>
      <c r="Q6" s="1507"/>
      <c r="R6" s="1507"/>
      <c r="S6" s="1507"/>
      <c r="T6" s="1507"/>
      <c r="U6" s="1507"/>
      <c r="V6" s="1507"/>
      <c r="W6" s="1507"/>
      <c r="X6" s="1507"/>
      <c r="Y6" s="1507"/>
      <c r="Z6" s="1507"/>
      <c r="AA6" s="1507"/>
      <c r="AB6" s="1507"/>
      <c r="AC6" s="1507"/>
      <c r="AD6" s="1507"/>
      <c r="AE6" s="1507"/>
      <c r="AF6" s="1507"/>
      <c r="AG6" s="1507"/>
      <c r="AH6" s="1507"/>
      <c r="AI6" s="1507"/>
      <c r="AJ6" s="1507"/>
      <c r="AK6" s="1507"/>
      <c r="AL6" s="1507"/>
      <c r="AM6" s="1507"/>
      <c r="AN6" s="1486"/>
      <c r="AO6" s="1486"/>
    </row>
    <row r="7" spans="1:41" s="1191" customFormat="1" ht="18" customHeight="1">
      <c r="A7" s="1486"/>
      <c r="B7" s="1208" t="s">
        <v>1397</v>
      </c>
      <c r="C7" s="3910" t="s">
        <v>1398</v>
      </c>
      <c r="D7" s="3910"/>
      <c r="E7" s="3910"/>
      <c r="F7" s="3910"/>
      <c r="G7" s="3910"/>
      <c r="H7" s="3910"/>
      <c r="I7" s="3910"/>
      <c r="J7" s="3910"/>
      <c r="K7" s="3910"/>
      <c r="L7" s="3910"/>
      <c r="M7" s="3910"/>
      <c r="N7" s="3910"/>
      <c r="O7" s="3910"/>
      <c r="P7" s="3910"/>
      <c r="Q7" s="3910"/>
      <c r="R7" s="3910"/>
      <c r="S7" s="3910"/>
      <c r="T7" s="3910"/>
      <c r="U7" s="3910"/>
      <c r="V7" s="3910"/>
      <c r="W7" s="3910"/>
      <c r="X7" s="3910"/>
      <c r="Y7" s="3910"/>
      <c r="Z7" s="3910"/>
      <c r="AA7" s="3910"/>
      <c r="AB7" s="3910"/>
      <c r="AC7" s="3910"/>
      <c r="AD7" s="3910"/>
      <c r="AE7" s="3910"/>
      <c r="AF7" s="3910"/>
      <c r="AG7" s="3910"/>
      <c r="AH7" s="3910"/>
      <c r="AI7" s="3910"/>
      <c r="AJ7" s="3910"/>
      <c r="AK7" s="3910"/>
      <c r="AL7" s="1507"/>
      <c r="AM7" s="1507"/>
      <c r="AN7" s="1486"/>
      <c r="AO7" s="1486"/>
    </row>
    <row r="8" spans="1:41" ht="18" customHeight="1">
      <c r="A8" s="1486"/>
      <c r="B8" s="1486"/>
      <c r="C8" s="1202" t="s">
        <v>1397</v>
      </c>
      <c r="D8" s="3899" t="str">
        <f>IF(AND(IsMhp,'Project Overview'!$I$147&gt;0),"P","O")</f>
        <v>P</v>
      </c>
      <c r="E8" s="3899"/>
      <c r="F8" s="1531"/>
      <c r="G8" s="1531"/>
      <c r="H8" s="1531"/>
      <c r="I8" s="1531"/>
      <c r="J8" s="1531"/>
      <c r="K8" s="1531"/>
      <c r="L8" s="1531"/>
      <c r="M8" s="1531"/>
      <c r="N8" s="1531"/>
      <c r="O8" s="1531"/>
      <c r="P8" s="1531"/>
      <c r="Q8" s="1531"/>
      <c r="R8" s="1531"/>
      <c r="S8" s="1531"/>
      <c r="T8" s="1531"/>
      <c r="U8" s="1531"/>
      <c r="V8" s="1531"/>
      <c r="W8" s="1531"/>
      <c r="X8" s="1531"/>
      <c r="Y8" s="1531"/>
      <c r="Z8" s="1531"/>
      <c r="AA8" s="1531"/>
      <c r="AB8" s="1531"/>
      <c r="AC8" s="1531"/>
      <c r="AD8" s="1531"/>
      <c r="AE8" s="1531"/>
      <c r="AF8" s="1531"/>
      <c r="AG8" s="1531"/>
      <c r="AH8" s="1531"/>
      <c r="AI8" s="1531"/>
      <c r="AJ8" s="1531"/>
      <c r="AK8" s="1531"/>
      <c r="AL8" s="1486"/>
      <c r="AM8" s="1486"/>
      <c r="AN8" s="1508"/>
      <c r="AO8" s="1508"/>
    </row>
    <row r="9" spans="1:41" ht="18" customHeight="1">
      <c r="A9" s="1486"/>
      <c r="B9" s="1511"/>
      <c r="C9" s="1202" t="s">
        <v>1399</v>
      </c>
      <c r="D9" s="3899" t="str">
        <f>IF(AND(IsMhp,'Project Overview'!$AL$151="Yes"),"P","O")</f>
        <v>O</v>
      </c>
      <c r="E9" s="3899"/>
      <c r="F9" s="1508"/>
      <c r="G9" s="1508"/>
      <c r="H9" s="1508"/>
      <c r="I9" s="1508"/>
      <c r="J9" s="1508"/>
      <c r="K9" s="1508"/>
      <c r="L9" s="1508"/>
      <c r="M9" s="1508"/>
      <c r="N9" s="1508"/>
      <c r="O9" s="1508"/>
      <c r="P9" s="1508"/>
      <c r="Q9" s="1508"/>
      <c r="R9" s="1508"/>
      <c r="S9" s="1508"/>
      <c r="T9" s="1508"/>
      <c r="U9" s="1508"/>
      <c r="V9" s="1508"/>
      <c r="W9" s="1508"/>
      <c r="X9" s="1508"/>
      <c r="Y9" s="1508"/>
      <c r="Z9" s="1508"/>
      <c r="AA9" s="1508"/>
      <c r="AB9" s="1508"/>
      <c r="AC9" s="1508"/>
      <c r="AD9" s="1508"/>
      <c r="AE9" s="1508"/>
      <c r="AF9" s="1508"/>
      <c r="AG9" s="1508"/>
      <c r="AH9" s="1508"/>
      <c r="AI9" s="1508"/>
      <c r="AJ9" s="1508"/>
      <c r="AK9" s="1508"/>
      <c r="AL9" s="1486"/>
      <c r="AM9" s="1486"/>
      <c r="AN9" s="1486"/>
      <c r="AO9" s="1486"/>
    </row>
    <row r="10" spans="1:41" s="1191" customFormat="1" ht="18" customHeight="1">
      <c r="A10" s="1486"/>
      <c r="B10" s="1486"/>
      <c r="C10" s="1202" t="s">
        <v>1400</v>
      </c>
      <c r="D10" s="3899" t="str">
        <f>IF(AND(IsMhp,'Project Overview'!$AL$152="Yes"),"P","O")</f>
        <v>O</v>
      </c>
      <c r="E10" s="3899"/>
      <c r="F10" s="1508"/>
      <c r="G10" s="1508"/>
      <c r="H10" s="1508"/>
      <c r="I10" s="1508"/>
      <c r="J10" s="1508"/>
      <c r="K10" s="1508"/>
      <c r="L10" s="1508"/>
      <c r="M10" s="1508"/>
      <c r="N10" s="1508"/>
      <c r="O10" s="1508"/>
      <c r="P10" s="1508"/>
      <c r="Q10" s="1508"/>
      <c r="R10" s="1508"/>
      <c r="S10" s="1508"/>
      <c r="T10" s="1508"/>
      <c r="U10" s="1508"/>
      <c r="V10" s="1508"/>
      <c r="W10" s="1508"/>
      <c r="X10" s="1508"/>
      <c r="Y10" s="1508"/>
      <c r="Z10" s="1508"/>
      <c r="AA10" s="1508"/>
      <c r="AB10" s="1508"/>
      <c r="AC10" s="1508"/>
      <c r="AD10" s="1508"/>
      <c r="AE10" s="1508"/>
      <c r="AF10" s="1508"/>
      <c r="AG10" s="1508"/>
      <c r="AH10" s="1508"/>
      <c r="AI10" s="1508"/>
      <c r="AJ10" s="1508"/>
      <c r="AK10" s="1508"/>
      <c r="AL10" s="1508"/>
      <c r="AM10" s="1508"/>
      <c r="AN10" s="1486"/>
      <c r="AO10" s="1486"/>
    </row>
    <row r="11" spans="1:41" s="1191" customFormat="1" ht="18" customHeight="1">
      <c r="A11" s="1486"/>
      <c r="B11" s="1511"/>
      <c r="C11" s="1202" t="s">
        <v>1401</v>
      </c>
      <c r="D11" s="3899" t="str">
        <f>IF(AND(IsMhp,'Project Overview'!$AL$148="Yes"),"P","O")</f>
        <v>O</v>
      </c>
      <c r="E11" s="3899"/>
      <c r="F11" s="1510"/>
      <c r="G11" s="1510"/>
      <c r="H11" s="1510"/>
      <c r="I11" s="1510"/>
      <c r="J11" s="1510"/>
      <c r="K11" s="1510"/>
      <c r="L11" s="1510"/>
      <c r="M11" s="1510"/>
      <c r="N11" s="1510"/>
      <c r="O11" s="1510"/>
      <c r="P11" s="1510"/>
      <c r="Q11" s="1510"/>
      <c r="R11" s="1510"/>
      <c r="S11" s="1510"/>
      <c r="T11" s="1510"/>
      <c r="U11" s="1510"/>
      <c r="V11" s="1510"/>
      <c r="W11" s="1510"/>
      <c r="X11" s="1510"/>
      <c r="Y11" s="1510"/>
      <c r="Z11" s="1510"/>
      <c r="AA11" s="1510"/>
      <c r="AB11" s="1510"/>
      <c r="AC11" s="1510"/>
      <c r="AD11" s="1510"/>
      <c r="AE11" s="1510"/>
      <c r="AF11" s="1510"/>
      <c r="AG11" s="1510"/>
      <c r="AH11" s="1510"/>
      <c r="AI11" s="1510"/>
      <c r="AJ11" s="1510"/>
      <c r="AK11" s="1510"/>
      <c r="AL11" s="1486"/>
      <c r="AM11" s="1486"/>
      <c r="AN11" s="1486"/>
      <c r="AO11" s="1486"/>
    </row>
    <row r="12" spans="1:41" s="1191" customFormat="1" ht="18" customHeight="1">
      <c r="A12" s="1486"/>
      <c r="B12" s="1511"/>
      <c r="C12" s="1511"/>
      <c r="D12" s="1206" t="s">
        <v>1402</v>
      </c>
      <c r="E12" s="3919" t="str">
        <f>IF(IsMhp,IF('Project Overview'!$AL$71="No","N/A",'Project Overview'!$AL$71))</f>
        <v>Yes</v>
      </c>
      <c r="F12" s="3919"/>
      <c r="G12" s="1510"/>
      <c r="H12" s="1510"/>
      <c r="I12" s="1510"/>
      <c r="J12" s="1510"/>
      <c r="K12" s="1510"/>
      <c r="L12" s="1510"/>
      <c r="M12" s="1510"/>
      <c r="N12" s="1510"/>
      <c r="O12" s="1510"/>
      <c r="P12" s="1510"/>
      <c r="Q12" s="1510"/>
      <c r="R12" s="1510"/>
      <c r="S12" s="1510"/>
      <c r="T12" s="1510"/>
      <c r="U12" s="1510"/>
      <c r="V12" s="1510"/>
      <c r="W12" s="1510"/>
      <c r="X12" s="1510"/>
      <c r="Y12" s="1510"/>
      <c r="Z12" s="1510"/>
      <c r="AA12" s="1510"/>
      <c r="AB12" s="1510"/>
      <c r="AC12" s="1510"/>
      <c r="AD12" s="1510"/>
      <c r="AE12" s="1510"/>
      <c r="AF12" s="1510"/>
      <c r="AG12" s="1510"/>
      <c r="AH12" s="1510"/>
      <c r="AI12" s="1510"/>
      <c r="AJ12" s="1510"/>
      <c r="AK12" s="1510"/>
      <c r="AL12" s="1486"/>
      <c r="AM12" s="1486"/>
      <c r="AN12" s="1486"/>
      <c r="AO12" s="1486"/>
    </row>
    <row r="13" spans="1:41" s="1191" customFormat="1" ht="18" customHeight="1">
      <c r="A13" s="1486"/>
      <c r="B13" s="1570"/>
      <c r="C13" s="1511"/>
      <c r="D13" s="1206" t="s">
        <v>1403</v>
      </c>
      <c r="E13" s="3919" t="str">
        <f>IF(IsMhp,IF('Project Overview'!$AL$67="No","N/A",'Project Overview'!$AL$67))</f>
        <v>Yes</v>
      </c>
      <c r="F13" s="3919"/>
      <c r="G13" s="1510"/>
      <c r="H13" s="1510"/>
      <c r="I13" s="1510"/>
      <c r="J13" s="1510"/>
      <c r="K13" s="1510"/>
      <c r="L13" s="1510"/>
      <c r="M13" s="1510"/>
      <c r="N13" s="1510"/>
      <c r="O13" s="1510"/>
      <c r="P13" s="1510"/>
      <c r="Q13" s="1510"/>
      <c r="R13" s="1510"/>
      <c r="S13" s="1510"/>
      <c r="T13" s="1510"/>
      <c r="U13" s="1510"/>
      <c r="V13" s="1510"/>
      <c r="W13" s="1510"/>
      <c r="X13" s="1510"/>
      <c r="Y13" s="1510"/>
      <c r="Z13" s="1510"/>
      <c r="AA13" s="1510"/>
      <c r="AB13" s="1510"/>
      <c r="AC13" s="1510"/>
      <c r="AD13" s="1510"/>
      <c r="AE13" s="1510"/>
      <c r="AF13" s="1510"/>
      <c r="AG13" s="1510"/>
      <c r="AH13" s="1510"/>
      <c r="AI13" s="1510"/>
      <c r="AJ13" s="1510"/>
      <c r="AK13" s="1510"/>
      <c r="AL13" s="1486"/>
      <c r="AM13" s="1486"/>
      <c r="AN13" s="1486"/>
      <c r="AO13" s="1486"/>
    </row>
    <row r="14" spans="1:41" s="1191" customFormat="1" ht="18" customHeight="1">
      <c r="A14" s="1486"/>
      <c r="B14" s="1511"/>
      <c r="C14" s="1511"/>
      <c r="D14" s="1206" t="s">
        <v>1404</v>
      </c>
      <c r="E14" s="3919" t="str">
        <f>IF(IsMhp,IF(vmSponDev="No","N/A",vmSponDev))</f>
        <v>Yes</v>
      </c>
      <c r="F14" s="3919"/>
      <c r="G14" s="1510"/>
      <c r="H14" s="1510"/>
      <c r="I14" s="1510"/>
      <c r="J14" s="1510"/>
      <c r="K14" s="1510"/>
      <c r="L14" s="1510"/>
      <c r="M14" s="1510"/>
      <c r="N14" s="1510"/>
      <c r="O14" s="1510"/>
      <c r="P14" s="1510"/>
      <c r="Q14" s="1510"/>
      <c r="R14" s="1510"/>
      <c r="S14" s="1510"/>
      <c r="T14" s="1510"/>
      <c r="U14" s="1510"/>
      <c r="V14" s="1510"/>
      <c r="W14" s="1510"/>
      <c r="X14" s="1510"/>
      <c r="Y14" s="1510"/>
      <c r="Z14" s="1510"/>
      <c r="AA14" s="1510"/>
      <c r="AB14" s="1510"/>
      <c r="AC14" s="1510"/>
      <c r="AD14" s="1510"/>
      <c r="AE14" s="1510"/>
      <c r="AF14" s="1510"/>
      <c r="AG14" s="1510"/>
      <c r="AH14" s="1510"/>
      <c r="AI14" s="1510"/>
      <c r="AJ14" s="1510"/>
      <c r="AK14" s="1510"/>
      <c r="AL14" s="1486"/>
      <c r="AM14" s="1486"/>
      <c r="AN14" s="1486"/>
      <c r="AO14" s="1486"/>
    </row>
    <row r="15" spans="1:41" s="1191" customFormat="1" ht="36" hidden="1" customHeight="1">
      <c r="A15" s="1486" t="s">
        <v>1405</v>
      </c>
      <c r="B15" s="1511"/>
      <c r="C15" s="1511"/>
      <c r="D15" s="1206" t="s">
        <v>1406</v>
      </c>
      <c r="E15" s="3901" t="s">
        <v>1407</v>
      </c>
      <c r="F15" s="3901"/>
      <c r="G15" s="3901"/>
      <c r="H15" s="3901"/>
      <c r="I15" s="3901"/>
      <c r="J15" s="3901"/>
      <c r="K15" s="3901"/>
      <c r="L15" s="3901"/>
      <c r="M15" s="3901"/>
      <c r="N15" s="3901"/>
      <c r="O15" s="3901"/>
      <c r="P15" s="3901"/>
      <c r="Q15" s="3901"/>
      <c r="R15" s="3901"/>
      <c r="S15" s="3901"/>
      <c r="T15" s="3901"/>
      <c r="U15" s="3901"/>
      <c r="V15" s="3901"/>
      <c r="W15" s="3901"/>
      <c r="X15" s="3901"/>
      <c r="Y15" s="3901"/>
      <c r="Z15" s="3901"/>
      <c r="AA15" s="3901"/>
      <c r="AB15" s="3901"/>
      <c r="AC15" s="3901"/>
      <c r="AD15" s="3901"/>
      <c r="AE15" s="3901"/>
      <c r="AF15" s="3901"/>
      <c r="AG15" s="3901"/>
      <c r="AH15" s="3901"/>
      <c r="AI15" s="3901"/>
      <c r="AJ15" s="3901"/>
      <c r="AK15" s="3901"/>
      <c r="AL15" s="1510"/>
      <c r="AM15" s="1486"/>
      <c r="AN15" s="1486"/>
      <c r="AO15" s="1486"/>
    </row>
    <row r="16" spans="1:41" s="1191" customFormat="1" ht="18" hidden="1" customHeight="1">
      <c r="A16" s="1486"/>
      <c r="B16" s="1511"/>
      <c r="C16" s="1511"/>
      <c r="D16" s="1486"/>
      <c r="E16" s="950" t="s">
        <v>1408</v>
      </c>
      <c r="F16" s="3909" t="str">
        <f>IF(AND(IsMhp,'Project Overview'!$AL$189="Yes"),"P","O")</f>
        <v>O</v>
      </c>
      <c r="G16" s="3909"/>
      <c r="H16" s="1508"/>
      <c r="I16" s="1508"/>
      <c r="J16" s="1508"/>
      <c r="K16" s="1508"/>
      <c r="L16" s="1508"/>
      <c r="M16" s="1508"/>
      <c r="N16" s="1508"/>
      <c r="O16" s="1508"/>
      <c r="P16" s="1508"/>
      <c r="Q16" s="1508"/>
      <c r="R16" s="1508"/>
      <c r="S16" s="1508"/>
      <c r="T16" s="1508"/>
      <c r="U16" s="1508"/>
      <c r="V16" s="1508"/>
      <c r="W16" s="1508"/>
      <c r="X16" s="1508"/>
      <c r="Y16" s="1508"/>
      <c r="Z16" s="1508"/>
      <c r="AA16" s="1508"/>
      <c r="AB16" s="1508"/>
      <c r="AC16" s="1508"/>
      <c r="AD16" s="1508"/>
      <c r="AE16" s="1508"/>
      <c r="AF16" s="1508"/>
      <c r="AG16" s="1508"/>
      <c r="AH16" s="1508"/>
      <c r="AI16" s="1508"/>
      <c r="AJ16" s="1508"/>
      <c r="AK16" s="1508"/>
      <c r="AL16" s="1486"/>
      <c r="AM16" s="1486"/>
      <c r="AN16" s="1486"/>
      <c r="AO16" s="1486"/>
    </row>
    <row r="17" spans="1:39" s="1191" customFormat="1" ht="18" hidden="1" customHeight="1">
      <c r="A17" s="1486"/>
      <c r="B17" s="1511"/>
      <c r="C17" s="1511"/>
      <c r="D17" s="1486"/>
      <c r="E17" s="950" t="s">
        <v>1409</v>
      </c>
      <c r="F17" s="3909" t="str">
        <f>IF(AND(IsMhp,'Project Overview'!$AL$190="Yes"),"P","O")</f>
        <v>O</v>
      </c>
      <c r="G17" s="3909"/>
      <c r="H17" s="1510"/>
      <c r="I17" s="1510"/>
      <c r="J17" s="1510"/>
      <c r="K17" s="1510"/>
      <c r="L17" s="1510"/>
      <c r="M17" s="1510"/>
      <c r="N17" s="1510"/>
      <c r="O17" s="1510"/>
      <c r="P17" s="1510"/>
      <c r="Q17" s="1510"/>
      <c r="R17" s="1510"/>
      <c r="S17" s="1510"/>
      <c r="T17" s="1510"/>
      <c r="U17" s="1510"/>
      <c r="V17" s="1510"/>
      <c r="W17" s="1510"/>
      <c r="X17" s="1510"/>
      <c r="Y17" s="1510"/>
      <c r="Z17" s="1510"/>
      <c r="AA17" s="1510"/>
      <c r="AB17" s="1510"/>
      <c r="AC17" s="1510"/>
      <c r="AD17" s="1510"/>
      <c r="AE17" s="1510"/>
      <c r="AF17" s="1510"/>
      <c r="AG17" s="1510"/>
      <c r="AH17" s="1510"/>
      <c r="AI17" s="1510"/>
      <c r="AJ17" s="1510"/>
      <c r="AK17" s="1510"/>
      <c r="AL17" s="1486"/>
      <c r="AM17" s="1486"/>
    </row>
    <row r="18" spans="1:39" s="1191" customFormat="1" ht="18" hidden="1" customHeight="1">
      <c r="A18" s="1486"/>
      <c r="B18" s="1511"/>
      <c r="C18" s="1511"/>
      <c r="D18" s="1486"/>
      <c r="E18" s="950" t="s">
        <v>1410</v>
      </c>
      <c r="F18" s="3909" t="str">
        <f>IF(AND(IsMhp,'Project Overview'!$AL$190="Yes"),"P","O")</f>
        <v>O</v>
      </c>
      <c r="G18" s="3909"/>
      <c r="H18" s="1510"/>
      <c r="I18" s="1510"/>
      <c r="J18" s="1510"/>
      <c r="K18" s="1510"/>
      <c r="L18" s="1510"/>
      <c r="M18" s="1510"/>
      <c r="N18" s="1510"/>
      <c r="O18" s="1510"/>
      <c r="P18" s="1510"/>
      <c r="Q18" s="1510"/>
      <c r="R18" s="1510"/>
      <c r="S18" s="1510"/>
      <c r="T18" s="1510"/>
      <c r="U18" s="1510"/>
      <c r="V18" s="1510"/>
      <c r="W18" s="1510"/>
      <c r="X18" s="1510"/>
      <c r="Y18" s="1510"/>
      <c r="Z18" s="1510"/>
      <c r="AA18" s="1510"/>
      <c r="AB18" s="1510"/>
      <c r="AC18" s="1510"/>
      <c r="AD18" s="1510"/>
      <c r="AE18" s="1510"/>
      <c r="AF18" s="1510"/>
      <c r="AG18" s="1510"/>
      <c r="AH18" s="1510"/>
      <c r="AI18" s="1510"/>
      <c r="AJ18" s="1510"/>
      <c r="AK18" s="1510"/>
      <c r="AL18" s="1486"/>
      <c r="AM18" s="1486"/>
    </row>
    <row r="19" spans="1:39" s="1191" customFormat="1" ht="18" hidden="1" customHeight="1">
      <c r="A19" s="1486"/>
      <c r="B19" s="1511"/>
      <c r="C19" s="1511"/>
      <c r="D19" s="1486"/>
      <c r="E19" s="950" t="s">
        <v>1411</v>
      </c>
      <c r="F19" s="3909" t="str">
        <f>IF(AND(IsMhp,'Project Overview'!$AL$192="Yes"),"P","O")</f>
        <v>O</v>
      </c>
      <c r="G19" s="3909"/>
      <c r="H19" s="1510"/>
      <c r="I19" s="1510"/>
      <c r="J19" s="1510"/>
      <c r="K19" s="1510"/>
      <c r="L19" s="1510"/>
      <c r="M19" s="1510"/>
      <c r="N19" s="1510"/>
      <c r="O19" s="1510"/>
      <c r="P19" s="1510"/>
      <c r="Q19" s="1510"/>
      <c r="R19" s="1510"/>
      <c r="S19" s="1510"/>
      <c r="T19" s="1510"/>
      <c r="U19" s="1510"/>
      <c r="V19" s="1510"/>
      <c r="W19" s="1510"/>
      <c r="X19" s="1510"/>
      <c r="Y19" s="1510"/>
      <c r="Z19" s="1510"/>
      <c r="AA19" s="1510"/>
      <c r="AB19" s="1510"/>
      <c r="AC19" s="1510"/>
      <c r="AD19" s="1510"/>
      <c r="AE19" s="1510"/>
      <c r="AF19" s="1510"/>
      <c r="AG19" s="1510"/>
      <c r="AH19" s="1510"/>
      <c r="AI19" s="1510"/>
      <c r="AJ19" s="1510"/>
      <c r="AK19" s="1510"/>
      <c r="AL19" s="1486"/>
      <c r="AM19" s="1486"/>
    </row>
    <row r="20" spans="1:39" s="1191" customFormat="1" ht="78" customHeight="1">
      <c r="A20" s="1486"/>
      <c r="B20" s="1511"/>
      <c r="C20" s="1202" t="s">
        <v>1412</v>
      </c>
      <c r="D20" s="3901" t="s">
        <v>1413</v>
      </c>
      <c r="E20" s="3901"/>
      <c r="F20" s="3901"/>
      <c r="G20" s="3901"/>
      <c r="H20" s="3901"/>
      <c r="I20" s="3901"/>
      <c r="J20" s="3901"/>
      <c r="K20" s="3901"/>
      <c r="L20" s="3901"/>
      <c r="M20" s="3901"/>
      <c r="N20" s="3901"/>
      <c r="O20" s="3901"/>
      <c r="P20" s="3901"/>
      <c r="Q20" s="3901"/>
      <c r="R20" s="3901"/>
      <c r="S20" s="3901"/>
      <c r="T20" s="3901"/>
      <c r="U20" s="3901"/>
      <c r="V20" s="3901"/>
      <c r="W20" s="3901"/>
      <c r="X20" s="3901"/>
      <c r="Y20" s="3901"/>
      <c r="Z20" s="3901"/>
      <c r="AA20" s="3901"/>
      <c r="AB20" s="3901"/>
      <c r="AC20" s="3901"/>
      <c r="AD20" s="3901"/>
      <c r="AE20" s="3901"/>
      <c r="AF20" s="3901"/>
      <c r="AG20" s="3901"/>
      <c r="AH20" s="3901"/>
      <c r="AI20" s="3901"/>
      <c r="AJ20" s="3901"/>
      <c r="AK20" s="3901"/>
      <c r="AL20" s="1508"/>
      <c r="AM20" s="1486"/>
    </row>
    <row r="21" spans="1:39" s="1191" customFormat="1" ht="18" customHeight="1">
      <c r="A21" s="1486"/>
      <c r="B21" s="1511"/>
      <c r="C21" s="1511"/>
      <c r="D21" s="2243" t="s">
        <v>1414</v>
      </c>
      <c r="E21" s="2243"/>
      <c r="F21" s="2243"/>
      <c r="G21" s="2243"/>
      <c r="H21" s="2243"/>
      <c r="I21" s="2243"/>
      <c r="J21" s="2243"/>
      <c r="K21" s="2243"/>
      <c r="L21" s="2243"/>
      <c r="M21" s="2243"/>
      <c r="N21" s="2243"/>
      <c r="O21" s="2243"/>
      <c r="P21" s="2243"/>
      <c r="Q21" s="2243"/>
      <c r="R21" s="2243"/>
      <c r="S21" s="2243"/>
      <c r="T21" s="2243"/>
      <c r="U21" s="2243"/>
      <c r="V21" s="2243"/>
      <c r="W21" s="2243"/>
      <c r="X21" s="2243"/>
      <c r="Y21" s="2243"/>
      <c r="Z21" s="2243"/>
      <c r="AA21" s="2243"/>
      <c r="AB21" s="2243"/>
      <c r="AC21" s="2243"/>
      <c r="AD21" s="2243"/>
      <c r="AE21" s="2243"/>
      <c r="AF21" s="2243"/>
      <c r="AG21" s="2243"/>
      <c r="AH21" s="2243"/>
      <c r="AI21" s="2243"/>
      <c r="AJ21" s="2243"/>
      <c r="AK21" s="2243"/>
      <c r="AL21" s="3900"/>
      <c r="AM21" s="3900"/>
    </row>
    <row r="22" spans="1:39" s="1191" customFormat="1" ht="63" customHeight="1">
      <c r="A22" s="1486"/>
      <c r="B22" s="1511"/>
      <c r="C22" s="1202" t="s">
        <v>1415</v>
      </c>
      <c r="D22" s="3901" t="s">
        <v>1416</v>
      </c>
      <c r="E22" s="3901"/>
      <c r="F22" s="3901"/>
      <c r="G22" s="3901"/>
      <c r="H22" s="3901"/>
      <c r="I22" s="3901"/>
      <c r="J22" s="3901"/>
      <c r="K22" s="3901"/>
      <c r="L22" s="3901"/>
      <c r="M22" s="3901"/>
      <c r="N22" s="3901"/>
      <c r="O22" s="3901"/>
      <c r="P22" s="3901"/>
      <c r="Q22" s="3901"/>
      <c r="R22" s="3901"/>
      <c r="S22" s="3901"/>
      <c r="T22" s="3901"/>
      <c r="U22" s="3901"/>
      <c r="V22" s="3901"/>
      <c r="W22" s="3901"/>
      <c r="X22" s="3901"/>
      <c r="Y22" s="3901"/>
      <c r="Z22" s="3901"/>
      <c r="AA22" s="3901"/>
      <c r="AB22" s="3901"/>
      <c r="AC22" s="3901"/>
      <c r="AD22" s="3901"/>
      <c r="AE22" s="3901"/>
      <c r="AF22" s="3901"/>
      <c r="AG22" s="3901"/>
      <c r="AH22" s="3901"/>
      <c r="AI22" s="3901"/>
      <c r="AJ22" s="3901"/>
      <c r="AK22" s="3901"/>
      <c r="AL22" s="1508"/>
      <c r="AM22" s="1486"/>
    </row>
    <row r="23" spans="1:39" s="1191" customFormat="1" ht="18" customHeight="1">
      <c r="A23" s="1486"/>
      <c r="B23" s="1511"/>
      <c r="C23" s="1511"/>
      <c r="D23" s="2243" t="s">
        <v>1417</v>
      </c>
      <c r="E23" s="2243"/>
      <c r="F23" s="2243"/>
      <c r="G23" s="2243"/>
      <c r="H23" s="2243"/>
      <c r="I23" s="2243"/>
      <c r="J23" s="2243"/>
      <c r="K23" s="2243"/>
      <c r="L23" s="2243"/>
      <c r="M23" s="2243"/>
      <c r="N23" s="2243"/>
      <c r="O23" s="2243"/>
      <c r="P23" s="2243"/>
      <c r="Q23" s="2243"/>
      <c r="R23" s="2243"/>
      <c r="S23" s="2243"/>
      <c r="T23" s="2243"/>
      <c r="U23" s="2243"/>
      <c r="V23" s="2243"/>
      <c r="W23" s="2243"/>
      <c r="X23" s="2243"/>
      <c r="Y23" s="2243"/>
      <c r="Z23" s="2243"/>
      <c r="AA23" s="2243"/>
      <c r="AB23" s="2243"/>
      <c r="AC23" s="2243"/>
      <c r="AD23" s="2243"/>
      <c r="AE23" s="2243"/>
      <c r="AF23" s="2243"/>
      <c r="AG23" s="2243"/>
      <c r="AH23" s="2243"/>
      <c r="AI23" s="2243"/>
      <c r="AJ23" s="2243"/>
      <c r="AK23" s="2243"/>
      <c r="AL23" s="3900"/>
      <c r="AM23" s="3900"/>
    </row>
    <row r="24" spans="1:39" s="1207" customFormat="1" ht="18" customHeight="1">
      <c r="A24" s="1486"/>
      <c r="B24" s="2243" t="s">
        <v>1418</v>
      </c>
      <c r="C24" s="2243"/>
      <c r="D24" s="2243"/>
      <c r="E24" s="2243"/>
      <c r="F24" s="2243"/>
      <c r="G24" s="2243"/>
      <c r="H24" s="1486"/>
      <c r="I24" s="1486"/>
      <c r="J24" s="1486"/>
      <c r="K24" s="1486"/>
      <c r="L24" s="1486"/>
      <c r="M24" s="1486"/>
      <c r="N24" s="1486"/>
      <c r="O24" s="1486"/>
      <c r="P24" s="1486"/>
      <c r="Q24" s="1486"/>
      <c r="R24" s="1486"/>
      <c r="S24" s="1486"/>
      <c r="T24" s="1486"/>
      <c r="U24" s="1486"/>
      <c r="V24" s="1486"/>
      <c r="W24" s="1486"/>
      <c r="X24" s="1486"/>
      <c r="Y24" s="1486"/>
      <c r="Z24" s="1486"/>
      <c r="AA24" s="1486"/>
      <c r="AB24" s="1486"/>
      <c r="AC24" s="1486"/>
      <c r="AD24" s="1486"/>
      <c r="AE24" s="1486"/>
      <c r="AF24" s="1486"/>
      <c r="AG24" s="1486"/>
      <c r="AH24" s="1486"/>
      <c r="AI24" s="1486"/>
      <c r="AJ24" s="1486"/>
      <c r="AK24" s="1486"/>
      <c r="AL24" s="1486"/>
      <c r="AM24" s="1486"/>
    </row>
    <row r="25" spans="1:39" s="1207" customFormat="1" ht="36" customHeight="1">
      <c r="A25" s="1486"/>
      <c r="B25" s="3902"/>
      <c r="C25" s="3903"/>
      <c r="D25" s="3903"/>
      <c r="E25" s="3903"/>
      <c r="F25" s="3903"/>
      <c r="G25" s="3903"/>
      <c r="H25" s="3903"/>
      <c r="I25" s="3903"/>
      <c r="J25" s="3903"/>
      <c r="K25" s="3903"/>
      <c r="L25" s="3903"/>
      <c r="M25" s="3903"/>
      <c r="N25" s="3903"/>
      <c r="O25" s="3903"/>
      <c r="P25" s="3903"/>
      <c r="Q25" s="3903"/>
      <c r="R25" s="3903"/>
      <c r="S25" s="3903"/>
      <c r="T25" s="3903"/>
      <c r="U25" s="3903"/>
      <c r="V25" s="3903"/>
      <c r="W25" s="3903"/>
      <c r="X25" s="3903"/>
      <c r="Y25" s="3903"/>
      <c r="Z25" s="3903"/>
      <c r="AA25" s="3903"/>
      <c r="AB25" s="3903"/>
      <c r="AC25" s="3903"/>
      <c r="AD25" s="3903"/>
      <c r="AE25" s="3903"/>
      <c r="AF25" s="3903"/>
      <c r="AG25" s="3903"/>
      <c r="AH25" s="3903"/>
      <c r="AI25" s="3903"/>
      <c r="AJ25" s="3903"/>
      <c r="AK25" s="3903"/>
      <c r="AL25" s="3903"/>
      <c r="AM25" s="3904"/>
    </row>
    <row r="26" spans="1:39" ht="18" customHeight="1">
      <c r="A26" s="1502"/>
      <c r="B26" s="945" t="s">
        <v>1399</v>
      </c>
      <c r="C26" s="2243" t="s">
        <v>1419</v>
      </c>
      <c r="D26" s="2243"/>
      <c r="E26" s="2243"/>
      <c r="F26" s="2243"/>
      <c r="G26" s="2243"/>
      <c r="H26" s="2243"/>
      <c r="I26" s="2243"/>
      <c r="J26" s="2243"/>
      <c r="K26" s="2243"/>
      <c r="L26" s="2243"/>
      <c r="M26" s="2243"/>
      <c r="N26" s="2243"/>
      <c r="O26" s="2243"/>
      <c r="P26" s="2243"/>
      <c r="Q26" s="2243"/>
      <c r="R26" s="1486"/>
      <c r="S26" s="1486"/>
      <c r="T26" s="1486"/>
      <c r="U26" s="1486"/>
      <c r="V26" s="1486"/>
      <c r="W26" s="1486"/>
      <c r="X26" s="1486"/>
      <c r="Y26" s="1486"/>
      <c r="Z26" s="1486"/>
      <c r="AA26" s="1486"/>
      <c r="AB26" s="1486"/>
      <c r="AC26" s="1486"/>
      <c r="AD26" s="1486"/>
      <c r="AE26" s="1486"/>
      <c r="AF26" s="1486"/>
      <c r="AG26" s="1486"/>
      <c r="AH26" s="1486"/>
      <c r="AI26" s="1486"/>
      <c r="AJ26" s="1486"/>
      <c r="AK26" s="1486"/>
      <c r="AL26" s="1486"/>
      <c r="AM26" s="1486"/>
    </row>
    <row r="27" spans="1:39" s="1199" customFormat="1" ht="18" customHeight="1">
      <c r="A27" s="1502"/>
      <c r="B27" s="945"/>
      <c r="C27" s="949" t="s">
        <v>1397</v>
      </c>
      <c r="D27" s="3899" t="str">
        <f>IF(AND(IsMhp,vmNC&gt;0),"P","O")</f>
        <v>P</v>
      </c>
      <c r="E27" s="3899"/>
      <c r="F27" s="1486"/>
      <c r="G27" s="1486"/>
      <c r="H27" s="1486"/>
      <c r="I27" s="1486"/>
      <c r="J27" s="1486"/>
      <c r="K27" s="1486"/>
      <c r="L27" s="1486"/>
      <c r="M27" s="1486"/>
      <c r="N27" s="1486"/>
      <c r="O27" s="1486"/>
      <c r="P27" s="1486"/>
      <c r="Q27" s="1486"/>
      <c r="R27" s="1486"/>
      <c r="S27" s="1486"/>
      <c r="T27" s="1486"/>
      <c r="U27" s="1486"/>
      <c r="V27" s="1486"/>
      <c r="W27" s="1486"/>
      <c r="X27" s="1486"/>
      <c r="Y27" s="1486"/>
      <c r="Z27" s="1486"/>
      <c r="AA27" s="1486"/>
      <c r="AB27" s="1486"/>
      <c r="AC27" s="1486"/>
      <c r="AD27" s="1486"/>
      <c r="AE27" s="1486"/>
      <c r="AF27" s="1486"/>
      <c r="AG27" s="1486"/>
      <c r="AH27" s="1486"/>
      <c r="AI27" s="1486"/>
      <c r="AJ27" s="1486"/>
      <c r="AK27" s="1486"/>
      <c r="AL27" s="1486"/>
      <c r="AM27" s="1486"/>
    </row>
    <row r="28" spans="1:39" ht="18" customHeight="1">
      <c r="A28" s="1486"/>
      <c r="B28" s="1511"/>
      <c r="C28" s="1486"/>
      <c r="D28" s="1210" t="s">
        <v>1402</v>
      </c>
      <c r="E28" s="3899" t="str">
        <f>IF(AND(IsMhp,'Unit Mix'!$D$8&gt;=5),"P","O")</f>
        <v>P</v>
      </c>
      <c r="F28" s="3899"/>
      <c r="G28" s="1486"/>
      <c r="H28" s="1486"/>
      <c r="I28" s="1486"/>
      <c r="J28" s="1486"/>
      <c r="K28" s="1486"/>
      <c r="L28" s="1486"/>
      <c r="M28" s="1486"/>
      <c r="N28" s="1486"/>
      <c r="O28" s="1486"/>
      <c r="P28" s="1486"/>
      <c r="Q28" s="1486"/>
      <c r="R28" s="1486"/>
      <c r="S28" s="1486"/>
      <c r="T28" s="1486"/>
      <c r="U28" s="1486"/>
      <c r="V28" s="1486"/>
      <c r="W28" s="1486"/>
      <c r="X28" s="1486"/>
      <c r="Y28" s="1486"/>
      <c r="Z28" s="1486"/>
      <c r="AA28" s="1486"/>
      <c r="AB28" s="1486"/>
      <c r="AC28" s="1486"/>
      <c r="AD28" s="1486"/>
      <c r="AE28" s="1486"/>
      <c r="AF28" s="1486"/>
      <c r="AG28" s="1486"/>
      <c r="AH28" s="1486"/>
      <c r="AI28" s="1486"/>
      <c r="AJ28" s="1486"/>
      <c r="AK28" s="1486"/>
      <c r="AL28" s="1486"/>
      <c r="AM28" s="1486"/>
    </row>
    <row r="29" spans="1:39" ht="18" customHeight="1">
      <c r="A29" s="1486"/>
      <c r="B29" s="1511"/>
      <c r="C29" s="949" t="s">
        <v>1399</v>
      </c>
      <c r="D29" s="3899" t="str">
        <f>IF(AND(IsMhp,'Project Overview'!$AL$82="Yes"),"P","O")</f>
        <v>P</v>
      </c>
      <c r="E29" s="3899"/>
      <c r="F29" s="1486"/>
      <c r="G29" s="1486"/>
      <c r="H29" s="1486"/>
      <c r="I29" s="1486"/>
      <c r="J29" s="1486"/>
      <c r="K29" s="1486"/>
      <c r="L29" s="1486"/>
      <c r="M29" s="1486"/>
      <c r="N29" s="1486"/>
      <c r="O29" s="1486"/>
      <c r="P29" s="1486"/>
      <c r="Q29" s="1486"/>
      <c r="R29" s="1486"/>
      <c r="S29" s="1486"/>
      <c r="T29" s="1486"/>
      <c r="U29" s="1486"/>
      <c r="V29" s="1486"/>
      <c r="W29" s="1486"/>
      <c r="X29" s="1486"/>
      <c r="Y29" s="1486"/>
      <c r="Z29" s="1486"/>
      <c r="AA29" s="1486"/>
      <c r="AB29" s="1486"/>
      <c r="AC29" s="1486"/>
      <c r="AD29" s="1486"/>
      <c r="AE29" s="1486"/>
      <c r="AF29" s="1486"/>
      <c r="AG29" s="1486"/>
      <c r="AH29" s="1486"/>
      <c r="AI29" s="1486"/>
      <c r="AJ29" s="1486"/>
      <c r="AK29" s="1486"/>
      <c r="AL29" s="1486"/>
      <c r="AM29" s="1486"/>
    </row>
    <row r="30" spans="1:39" ht="18" customHeight="1">
      <c r="A30" s="1486"/>
      <c r="B30" s="1511"/>
      <c r="C30" s="949" t="s">
        <v>1400</v>
      </c>
      <c r="D30" s="3899" t="str">
        <f>IF(AND(IsMhp,'Project Overview'!$AL$85="Yes"),"P","O")</f>
        <v>P</v>
      </c>
      <c r="E30" s="3899"/>
      <c r="F30" s="1486"/>
      <c r="G30" s="1486"/>
      <c r="H30" s="1486"/>
      <c r="I30" s="1486"/>
      <c r="J30" s="1486"/>
      <c r="K30" s="1486"/>
      <c r="L30" s="1486"/>
      <c r="M30" s="1486"/>
      <c r="N30" s="1486"/>
      <c r="O30" s="1486"/>
      <c r="P30" s="1486"/>
      <c r="Q30" s="1486"/>
      <c r="R30" s="1486"/>
      <c r="S30" s="1486"/>
      <c r="T30" s="1486"/>
      <c r="U30" s="1486"/>
      <c r="V30" s="1486"/>
      <c r="W30" s="1486"/>
      <c r="X30" s="1486"/>
      <c r="Y30" s="1486"/>
      <c r="Z30" s="1486"/>
      <c r="AA30" s="1486"/>
      <c r="AB30" s="1486"/>
      <c r="AC30" s="1486"/>
      <c r="AD30" s="1486"/>
      <c r="AE30" s="1486"/>
      <c r="AF30" s="1486"/>
      <c r="AG30" s="1486"/>
      <c r="AH30" s="1486"/>
      <c r="AI30" s="1486"/>
      <c r="AJ30" s="1486"/>
      <c r="AK30" s="1486"/>
      <c r="AL30" s="1486"/>
      <c r="AM30" s="1486"/>
    </row>
    <row r="31" spans="1:39" s="961" customFormat="1" ht="18" customHeight="1">
      <c r="A31" s="1486"/>
      <c r="B31" s="1511"/>
      <c r="C31" s="949" t="s">
        <v>1401</v>
      </c>
      <c r="D31" s="3899" t="str">
        <f>IF(AND(IsMhp,'Project Overview'!$AL$445="Yes",'Project Overview'!$AL$446="Yes"),"P","O")</f>
        <v>O</v>
      </c>
      <c r="E31" s="3899"/>
      <c r="F31" s="1486"/>
      <c r="G31" s="1486"/>
      <c r="H31" s="1486"/>
      <c r="I31" s="1486"/>
      <c r="J31" s="1486"/>
      <c r="K31" s="1486"/>
      <c r="L31" s="1486"/>
      <c r="M31" s="1486"/>
      <c r="N31" s="1486"/>
      <c r="O31" s="1486"/>
      <c r="P31" s="1486"/>
      <c r="Q31" s="1486"/>
      <c r="R31" s="1486"/>
      <c r="S31" s="1486"/>
      <c r="T31" s="1486"/>
      <c r="U31" s="1486"/>
      <c r="V31" s="1486"/>
      <c r="W31" s="1486"/>
      <c r="X31" s="1486"/>
      <c r="Y31" s="1486"/>
      <c r="Z31" s="1486"/>
      <c r="AA31" s="1486"/>
      <c r="AB31" s="1486"/>
      <c r="AC31" s="1486"/>
      <c r="AD31" s="1486"/>
      <c r="AE31" s="1486"/>
      <c r="AF31" s="1486"/>
      <c r="AG31" s="1486"/>
      <c r="AH31" s="1486"/>
      <c r="AI31" s="1486"/>
      <c r="AJ31" s="1486"/>
      <c r="AK31" s="1486"/>
      <c r="AL31" s="1486"/>
      <c r="AM31" s="1486"/>
    </row>
    <row r="32" spans="1:39" ht="18" customHeight="1">
      <c r="A32" s="1486"/>
      <c r="B32" s="1511"/>
      <c r="C32" s="949" t="s">
        <v>1412</v>
      </c>
      <c r="D32" s="401" t="s">
        <v>1420</v>
      </c>
      <c r="E32" s="1486"/>
      <c r="F32" s="1486"/>
      <c r="G32" s="1486"/>
      <c r="H32" s="1486"/>
      <c r="I32" s="1486"/>
      <c r="J32" s="1486"/>
      <c r="K32" s="1486"/>
      <c r="L32" s="1486"/>
      <c r="M32" s="1486"/>
      <c r="N32" s="1486"/>
      <c r="O32" s="1486"/>
      <c r="P32" s="1486"/>
      <c r="Q32" s="1486"/>
      <c r="R32" s="1486"/>
      <c r="S32" s="1486"/>
      <c r="T32" s="1486"/>
      <c r="U32" s="1486"/>
      <c r="V32" s="1486"/>
      <c r="W32" s="1486"/>
      <c r="X32" s="1486"/>
      <c r="Y32" s="1486"/>
      <c r="Z32" s="1486"/>
      <c r="AA32" s="1486"/>
      <c r="AB32" s="1486"/>
      <c r="AC32" s="1486"/>
      <c r="AD32" s="1486"/>
      <c r="AE32" s="1486"/>
      <c r="AF32" s="1486"/>
      <c r="AG32" s="1486"/>
      <c r="AH32" s="1486"/>
      <c r="AI32" s="1486"/>
      <c r="AJ32" s="1486"/>
      <c r="AK32" s="1486"/>
      <c r="AL32" s="1486"/>
      <c r="AM32" s="1486"/>
    </row>
    <row r="33" spans="1:41" s="1199" customFormat="1" ht="18" customHeight="1">
      <c r="A33" s="1486"/>
      <c r="B33" s="1511"/>
      <c r="C33" s="949"/>
      <c r="D33" s="951" t="s">
        <v>1402</v>
      </c>
      <c r="E33" s="3899" t="str">
        <f>IF(AND(IsMhp,'Max Loan and Grant Amounts'!$B$9=TRUE),"P","O")</f>
        <v>O</v>
      </c>
      <c r="F33" s="3899"/>
      <c r="G33" s="1486"/>
      <c r="H33" s="1486"/>
      <c r="I33" s="1486"/>
      <c r="J33" s="1266"/>
      <c r="K33" s="1266"/>
      <c r="L33" s="1486"/>
      <c r="M33" s="1486"/>
      <c r="N33" s="1486"/>
      <c r="O33" s="1486"/>
      <c r="P33" s="1486"/>
      <c r="Q33" s="1486"/>
      <c r="R33" s="1486"/>
      <c r="S33" s="1486"/>
      <c r="T33" s="1486"/>
      <c r="U33" s="1486"/>
      <c r="V33" s="1486"/>
      <c r="W33" s="1486"/>
      <c r="X33" s="1486"/>
      <c r="Y33" s="1486"/>
      <c r="Z33" s="1486"/>
      <c r="AA33" s="1486"/>
      <c r="AB33" s="1486"/>
      <c r="AC33" s="1486"/>
      <c r="AD33" s="1486"/>
      <c r="AE33" s="1486"/>
      <c r="AF33" s="1486"/>
      <c r="AG33" s="1486"/>
      <c r="AH33" s="1486"/>
      <c r="AI33" s="1486"/>
      <c r="AJ33" s="1486"/>
      <c r="AK33" s="1486"/>
      <c r="AL33" s="1486"/>
      <c r="AM33" s="1486"/>
      <c r="AN33" s="1486"/>
      <c r="AO33" s="1486"/>
    </row>
    <row r="34" spans="1:41" s="1199" customFormat="1" ht="18" customHeight="1">
      <c r="A34" s="1267"/>
      <c r="B34" s="1511"/>
      <c r="C34" s="949"/>
      <c r="D34" s="951" t="s">
        <v>1403</v>
      </c>
      <c r="E34" s="3899" t="str">
        <f>IF(AND(IsMhp,IsSpecialNeeds,'Unit Mix'!$K$7&gt;=45%),"P","O")</f>
        <v>O</v>
      </c>
      <c r="F34" s="3899"/>
      <c r="G34" s="1486"/>
      <c r="H34" s="1486"/>
      <c r="I34" s="1486"/>
      <c r="J34" s="1504"/>
      <c r="K34" s="1504"/>
      <c r="L34" s="1486"/>
      <c r="M34" s="1486"/>
      <c r="N34" s="1486"/>
      <c r="O34" s="1486"/>
      <c r="P34" s="1486"/>
      <c r="Q34" s="1486"/>
      <c r="R34" s="1486"/>
      <c r="S34" s="1486"/>
      <c r="T34" s="1486"/>
      <c r="U34" s="1486"/>
      <c r="V34" s="1486"/>
      <c r="W34" s="1486"/>
      <c r="X34" s="1486"/>
      <c r="Y34" s="1486"/>
      <c r="Z34" s="1486"/>
      <c r="AA34" s="1486"/>
      <c r="AB34" s="1486"/>
      <c r="AC34" s="1486"/>
      <c r="AD34" s="1486"/>
      <c r="AE34" s="1486"/>
      <c r="AF34" s="1486"/>
      <c r="AG34" s="1486"/>
      <c r="AH34" s="1486"/>
      <c r="AI34" s="1486"/>
      <c r="AJ34" s="1486"/>
      <c r="AK34" s="1486"/>
      <c r="AL34" s="1486"/>
      <c r="AM34" s="1486"/>
      <c r="AN34" s="1486"/>
      <c r="AO34" s="1486"/>
    </row>
    <row r="35" spans="1:41" s="1199" customFormat="1" ht="18" customHeight="1">
      <c r="A35" s="1486"/>
      <c r="B35" s="1511"/>
      <c r="C35" s="949"/>
      <c r="D35" s="951"/>
      <c r="E35" s="949" t="s">
        <v>1408</v>
      </c>
      <c r="F35" s="3899" t="str">
        <f>IF(AND(IsMhp,'S1 - Supportive Services Plan'!$R$68='S1 - Supportive Services Plan'!$AO$64),"P","O")</f>
        <v>P</v>
      </c>
      <c r="G35" s="3899"/>
      <c r="H35" s="1486"/>
      <c r="I35" s="1486"/>
      <c r="J35" s="1504"/>
      <c r="K35" s="1504"/>
      <c r="L35" s="1486"/>
      <c r="M35" s="1486"/>
      <c r="N35" s="1486"/>
      <c r="O35" s="1486"/>
      <c r="P35" s="1486"/>
      <c r="Q35" s="1486"/>
      <c r="R35" s="1486"/>
      <c r="S35" s="1486"/>
      <c r="T35" s="1486"/>
      <c r="U35" s="1486"/>
      <c r="V35" s="1486"/>
      <c r="W35" s="1486"/>
      <c r="X35" s="1486"/>
      <c r="Y35" s="1486"/>
      <c r="Z35" s="1486"/>
      <c r="AA35" s="1486"/>
      <c r="AB35" s="1486"/>
      <c r="AC35" s="1486"/>
      <c r="AD35" s="1486"/>
      <c r="AE35" s="1486"/>
      <c r="AF35" s="1486"/>
      <c r="AG35" s="1486"/>
      <c r="AH35" s="1486"/>
      <c r="AI35" s="1486"/>
      <c r="AJ35" s="1486"/>
      <c r="AK35" s="1486"/>
      <c r="AL35" s="1486"/>
      <c r="AM35" s="1486"/>
      <c r="AN35" s="1486"/>
      <c r="AO35" s="1486"/>
    </row>
    <row r="36" spans="1:41" s="1199" customFormat="1" ht="18" customHeight="1">
      <c r="A36" s="1486"/>
      <c r="B36" s="1511"/>
      <c r="C36" s="949"/>
      <c r="D36" s="951"/>
      <c r="E36" s="949" t="s">
        <v>1409</v>
      </c>
      <c r="F36" s="3899" t="str">
        <f>IF(AND(IsMhp,Scoring!$AR$91&gt;=1,Scoring!$AS$91&gt;=1),"P","O")</f>
        <v>O</v>
      </c>
      <c r="G36" s="3899"/>
      <c r="H36" s="1486"/>
      <c r="I36" s="1486"/>
      <c r="J36" s="1504"/>
      <c r="K36" s="1504"/>
      <c r="L36" s="1486"/>
      <c r="M36" s="1486"/>
      <c r="N36" s="1486"/>
      <c r="O36" s="1486"/>
      <c r="P36" s="1486"/>
      <c r="Q36" s="1486"/>
      <c r="R36" s="1486"/>
      <c r="S36" s="1486"/>
      <c r="T36" s="1486"/>
      <c r="U36" s="1486"/>
      <c r="V36" s="1486"/>
      <c r="W36" s="1486"/>
      <c r="X36" s="1486"/>
      <c r="Y36" s="1486"/>
      <c r="Z36" s="1486"/>
      <c r="AA36" s="1486"/>
      <c r="AB36" s="1486"/>
      <c r="AC36" s="1486"/>
      <c r="AD36" s="1486"/>
      <c r="AE36" s="1486"/>
      <c r="AF36" s="1486"/>
      <c r="AG36" s="1486"/>
      <c r="AH36" s="1486"/>
      <c r="AI36" s="1486"/>
      <c r="AJ36" s="1486"/>
      <c r="AK36" s="1486"/>
      <c r="AL36" s="1486"/>
      <c r="AM36" s="1486"/>
      <c r="AN36" s="1486"/>
      <c r="AO36" s="1486"/>
    </row>
    <row r="37" spans="1:41" s="1199" customFormat="1" ht="18" customHeight="1">
      <c r="A37" s="1486"/>
      <c r="B37" s="1511"/>
      <c r="C37" s="949"/>
      <c r="D37" s="951"/>
      <c r="E37" s="949" t="s">
        <v>1410</v>
      </c>
      <c r="F37" s="3899" t="str">
        <f>IF(AND(IsMhp,Scoring!$AR$126&gt;=1,Scoring!$AS$126&gt;=1),"P","O")</f>
        <v>O</v>
      </c>
      <c r="G37" s="3899"/>
      <c r="H37" s="1486"/>
      <c r="I37" s="1486"/>
      <c r="J37" s="1504"/>
      <c r="K37" s="1504"/>
      <c r="L37" s="1486"/>
      <c r="M37" s="1486"/>
      <c r="N37" s="1486"/>
      <c r="O37" s="1486"/>
      <c r="P37" s="1486"/>
      <c r="Q37" s="1486"/>
      <c r="R37" s="1486"/>
      <c r="S37" s="1486"/>
      <c r="T37" s="1486"/>
      <c r="U37" s="1486"/>
      <c r="V37" s="1486"/>
      <c r="W37" s="1486"/>
      <c r="X37" s="1486"/>
      <c r="Y37" s="1486"/>
      <c r="Z37" s="1486"/>
      <c r="AA37" s="1486"/>
      <c r="AB37" s="1486"/>
      <c r="AC37" s="1486"/>
      <c r="AD37" s="1486"/>
      <c r="AE37" s="1486"/>
      <c r="AF37" s="1486"/>
      <c r="AG37" s="1486"/>
      <c r="AH37" s="1486"/>
      <c r="AI37" s="1486"/>
      <c r="AJ37" s="1486"/>
      <c r="AK37" s="1486"/>
      <c r="AL37" s="1486"/>
      <c r="AM37" s="1486"/>
      <c r="AN37" s="1486"/>
      <c r="AO37" s="1486"/>
    </row>
    <row r="38" spans="1:41" s="1199" customFormat="1" ht="18" customHeight="1">
      <c r="A38" s="1486"/>
      <c r="B38" s="1511"/>
      <c r="C38" s="949"/>
      <c r="D38" s="951" t="s">
        <v>1404</v>
      </c>
      <c r="E38" s="3899" t="str">
        <f>IF(AND(IsMhp,'Unit Mix'!$S$7=100%),"P","O")</f>
        <v>O</v>
      </c>
      <c r="F38" s="3899"/>
      <c r="G38" s="1486"/>
      <c r="H38" s="1486"/>
      <c r="I38" s="1486"/>
      <c r="J38" s="1504"/>
      <c r="K38" s="1504"/>
      <c r="L38" s="1486"/>
      <c r="M38" s="1486"/>
      <c r="N38" s="1486"/>
      <c r="O38" s="1486"/>
      <c r="P38" s="1486"/>
      <c r="Q38" s="1486"/>
      <c r="R38" s="1486"/>
      <c r="S38" s="1486"/>
      <c r="T38" s="1486"/>
      <c r="U38" s="1486"/>
      <c r="V38" s="1486"/>
      <c r="W38" s="1486"/>
      <c r="X38" s="1486"/>
      <c r="Y38" s="1486"/>
      <c r="Z38" s="1486"/>
      <c r="AA38" s="1486"/>
      <c r="AB38" s="1486"/>
      <c r="AC38" s="1486"/>
      <c r="AD38" s="1486"/>
      <c r="AE38" s="1486"/>
      <c r="AF38" s="1486"/>
      <c r="AG38" s="1486"/>
      <c r="AH38" s="1486"/>
      <c r="AI38" s="1486"/>
      <c r="AJ38" s="1486"/>
      <c r="AK38" s="1486"/>
      <c r="AL38" s="1486"/>
      <c r="AM38" s="1486"/>
      <c r="AN38" s="1486"/>
      <c r="AO38" s="1486"/>
    </row>
    <row r="39" spans="1:41" s="1199" customFormat="1" ht="54" customHeight="1">
      <c r="A39" s="1486"/>
      <c r="B39" s="1511"/>
      <c r="C39" s="949"/>
      <c r="D39" s="951"/>
      <c r="E39" s="951" t="s">
        <v>1408</v>
      </c>
      <c r="F39" s="3901" t="s">
        <v>1421</v>
      </c>
      <c r="G39" s="3901"/>
      <c r="H39" s="3901"/>
      <c r="I39" s="3901"/>
      <c r="J39" s="3901"/>
      <c r="K39" s="3901"/>
      <c r="L39" s="3901"/>
      <c r="M39" s="3901"/>
      <c r="N39" s="3901"/>
      <c r="O39" s="3901"/>
      <c r="P39" s="3901"/>
      <c r="Q39" s="3901"/>
      <c r="R39" s="3901"/>
      <c r="S39" s="3901"/>
      <c r="T39" s="3901"/>
      <c r="U39" s="3901"/>
      <c r="V39" s="3901"/>
      <c r="W39" s="3901"/>
      <c r="X39" s="3901"/>
      <c r="Y39" s="3901"/>
      <c r="Z39" s="3901"/>
      <c r="AA39" s="3901"/>
      <c r="AB39" s="3901"/>
      <c r="AC39" s="3901"/>
      <c r="AD39" s="3901"/>
      <c r="AE39" s="3901"/>
      <c r="AF39" s="3901"/>
      <c r="AG39" s="3901"/>
      <c r="AH39" s="3901"/>
      <c r="AI39" s="3901"/>
      <c r="AJ39" s="3901"/>
      <c r="AK39" s="3901"/>
      <c r="AL39" s="3901"/>
      <c r="AM39" s="3901"/>
      <c r="AN39" s="1486"/>
      <c r="AO39" s="1486"/>
    </row>
    <row r="40" spans="1:41" s="1207" customFormat="1" ht="18" customHeight="1">
      <c r="A40" s="1486"/>
      <c r="B40" s="1511"/>
      <c r="C40" s="949"/>
      <c r="D40" s="951" t="s">
        <v>1406</v>
      </c>
      <c r="E40" s="3899" t="str">
        <f>IF(AND(IsMhp,vmFarmworker,'Unit Mix'!T7&gt;=25%),"P","O")</f>
        <v>O</v>
      </c>
      <c r="F40" s="3899"/>
      <c r="G40" s="1486"/>
      <c r="H40" s="1486"/>
      <c r="I40" s="1486"/>
      <c r="J40" s="1504"/>
      <c r="K40" s="1504"/>
      <c r="L40" s="1486"/>
      <c r="M40" s="1486"/>
      <c r="N40" s="1486"/>
      <c r="O40" s="1486"/>
      <c r="P40" s="1486"/>
      <c r="Q40" s="1486"/>
      <c r="R40" s="1486"/>
      <c r="S40" s="1486"/>
      <c r="T40" s="1486"/>
      <c r="U40" s="1486"/>
      <c r="V40" s="1486"/>
      <c r="W40" s="1486"/>
      <c r="X40" s="1486"/>
      <c r="Y40" s="1486"/>
      <c r="Z40" s="1486"/>
      <c r="AA40" s="1486"/>
      <c r="AB40" s="1486"/>
      <c r="AC40" s="1486"/>
      <c r="AD40" s="1486"/>
      <c r="AE40" s="1486"/>
      <c r="AF40" s="1486"/>
      <c r="AG40" s="1486"/>
      <c r="AH40" s="1486"/>
      <c r="AI40" s="1486"/>
      <c r="AJ40" s="1486"/>
      <c r="AK40" s="1486"/>
      <c r="AL40" s="1486"/>
      <c r="AM40" s="1486"/>
      <c r="AN40" s="1486"/>
      <c r="AO40" s="1486"/>
    </row>
    <row r="41" spans="1:41" s="1207" customFormat="1" ht="36" customHeight="1">
      <c r="A41" s="1486"/>
      <c r="B41" s="1511"/>
      <c r="C41" s="949"/>
      <c r="D41" s="951" t="s">
        <v>1422</v>
      </c>
      <c r="E41" s="3901" t="s">
        <v>1423</v>
      </c>
      <c r="F41" s="3901"/>
      <c r="G41" s="3901"/>
      <c r="H41" s="3901"/>
      <c r="I41" s="3901"/>
      <c r="J41" s="3901"/>
      <c r="K41" s="3901"/>
      <c r="L41" s="3901"/>
      <c r="M41" s="3901"/>
      <c r="N41" s="3901"/>
      <c r="O41" s="3901"/>
      <c r="P41" s="3901"/>
      <c r="Q41" s="3901"/>
      <c r="R41" s="3901"/>
      <c r="S41" s="3901"/>
      <c r="T41" s="3901"/>
      <c r="U41" s="3901"/>
      <c r="V41" s="3901"/>
      <c r="W41" s="3901"/>
      <c r="X41" s="3901"/>
      <c r="Y41" s="3901"/>
      <c r="Z41" s="3901"/>
      <c r="AA41" s="3901"/>
      <c r="AB41" s="3901"/>
      <c r="AC41" s="3901"/>
      <c r="AD41" s="3901"/>
      <c r="AE41" s="3901"/>
      <c r="AF41" s="3901"/>
      <c r="AG41" s="3901"/>
      <c r="AH41" s="3901"/>
      <c r="AI41" s="3901"/>
      <c r="AJ41" s="3901"/>
      <c r="AK41" s="3901"/>
      <c r="AL41" s="3901"/>
      <c r="AM41" s="3901"/>
      <c r="AN41" s="1486"/>
      <c r="AO41" s="1486"/>
    </row>
    <row r="42" spans="1:41" s="1207" customFormat="1" ht="18" customHeight="1">
      <c r="A42" s="1486"/>
      <c r="B42" s="1511"/>
      <c r="C42" s="949"/>
      <c r="D42" s="951"/>
      <c r="E42" s="951" t="s">
        <v>1408</v>
      </c>
      <c r="F42" s="3899" t="str">
        <f>IF(AND(IsMhp,IsAtHighRisk,'At High Risk Req'!$AJ$17="Meets"),"P","O")</f>
        <v>P</v>
      </c>
      <c r="G42" s="3899"/>
      <c r="H42" s="1486"/>
      <c r="I42" s="1486"/>
      <c r="J42" s="1504"/>
      <c r="K42" s="1504"/>
      <c r="L42" s="1486"/>
      <c r="M42" s="1486"/>
      <c r="N42" s="1486"/>
      <c r="O42" s="1486"/>
      <c r="P42" s="1486"/>
      <c r="Q42" s="1486"/>
      <c r="R42" s="1486"/>
      <c r="S42" s="1486"/>
      <c r="T42" s="1486"/>
      <c r="U42" s="1486"/>
      <c r="V42" s="1486"/>
      <c r="W42" s="1486"/>
      <c r="X42" s="1486"/>
      <c r="Y42" s="1486"/>
      <c r="Z42" s="1486"/>
      <c r="AA42" s="1486"/>
      <c r="AB42" s="1486"/>
      <c r="AC42" s="1486"/>
      <c r="AD42" s="1486"/>
      <c r="AE42" s="1486"/>
      <c r="AF42" s="1486"/>
      <c r="AG42" s="1486"/>
      <c r="AH42" s="1486"/>
      <c r="AI42" s="1486"/>
      <c r="AJ42" s="1486"/>
      <c r="AK42" s="1486"/>
      <c r="AL42" s="1486"/>
      <c r="AM42" s="1486"/>
      <c r="AN42" s="1486"/>
      <c r="AO42" s="1486"/>
    </row>
    <row r="43" spans="1:41" s="1207" customFormat="1" ht="18" customHeight="1">
      <c r="A43" s="1486"/>
      <c r="B43" s="1511"/>
      <c r="C43" s="949"/>
      <c r="D43" s="951"/>
      <c r="E43" s="951" t="s">
        <v>1409</v>
      </c>
      <c r="F43" s="3899" t="str">
        <f>IF(AND(IsMhp,IsAtHighRisk,'At High Risk Req'!$AJ$18="Meets"),"P","O")</f>
        <v>P</v>
      </c>
      <c r="G43" s="3899"/>
      <c r="H43" s="1486"/>
      <c r="I43" s="1486"/>
      <c r="J43" s="1504"/>
      <c r="K43" s="1504"/>
      <c r="L43" s="1486"/>
      <c r="M43" s="1486"/>
      <c r="N43" s="1486"/>
      <c r="O43" s="1486"/>
      <c r="P43" s="1486"/>
      <c r="Q43" s="1486"/>
      <c r="R43" s="1486"/>
      <c r="S43" s="1486"/>
      <c r="T43" s="1486"/>
      <c r="U43" s="1486"/>
      <c r="V43" s="1486"/>
      <c r="W43" s="1486"/>
      <c r="X43" s="1486"/>
      <c r="Y43" s="1486"/>
      <c r="Z43" s="1486"/>
      <c r="AA43" s="1486"/>
      <c r="AB43" s="1486"/>
      <c r="AC43" s="1486"/>
      <c r="AD43" s="1486"/>
      <c r="AE43" s="1486"/>
      <c r="AF43" s="1486"/>
      <c r="AG43" s="1486"/>
      <c r="AH43" s="1486"/>
      <c r="AI43" s="1486"/>
      <c r="AJ43" s="1486"/>
      <c r="AK43" s="1486"/>
      <c r="AL43" s="1486"/>
      <c r="AM43" s="1486"/>
      <c r="AN43" s="1486"/>
      <c r="AO43" s="1486"/>
    </row>
    <row r="44" spans="1:41" s="1207" customFormat="1" ht="18" customHeight="1">
      <c r="A44" s="1486"/>
      <c r="B44" s="1511"/>
      <c r="C44" s="949"/>
      <c r="D44" s="951"/>
      <c r="E44" s="951" t="s">
        <v>1410</v>
      </c>
      <c r="F44" s="3899" t="str">
        <f>IF(AND(IsMhp,IsAtHighRisk,'At High Risk Req'!$AJ$19="Meets"),"P","O")</f>
        <v>P</v>
      </c>
      <c r="G44" s="3899"/>
      <c r="H44" s="1486"/>
      <c r="I44" s="1486"/>
      <c r="J44" s="1504"/>
      <c r="K44" s="1504"/>
      <c r="L44" s="1486"/>
      <c r="M44" s="1486"/>
      <c r="N44" s="1486"/>
      <c r="O44" s="1486"/>
      <c r="P44" s="1486"/>
      <c r="Q44" s="1486"/>
      <c r="R44" s="1486"/>
      <c r="S44" s="1486"/>
      <c r="T44" s="1486"/>
      <c r="U44" s="1486"/>
      <c r="V44" s="1486"/>
      <c r="W44" s="1486"/>
      <c r="X44" s="1486"/>
      <c r="Y44" s="1486"/>
      <c r="Z44" s="1486"/>
      <c r="AA44" s="1486"/>
      <c r="AB44" s="1486"/>
      <c r="AC44" s="1486"/>
      <c r="AD44" s="1486"/>
      <c r="AE44" s="1486"/>
      <c r="AF44" s="1486"/>
      <c r="AG44" s="1486"/>
      <c r="AH44" s="1486"/>
      <c r="AI44" s="1486"/>
      <c r="AJ44" s="1486"/>
      <c r="AK44" s="1486"/>
      <c r="AL44" s="1486"/>
      <c r="AM44" s="1486"/>
      <c r="AN44" s="1486"/>
      <c r="AO44" s="1486"/>
    </row>
    <row r="45" spans="1:41" s="1207" customFormat="1" ht="18" customHeight="1">
      <c r="A45" s="1486"/>
      <c r="B45" s="1511"/>
      <c r="C45" s="949"/>
      <c r="D45" s="951"/>
      <c r="E45" s="951" t="s">
        <v>1411</v>
      </c>
      <c r="F45" s="3899" t="str">
        <f>IF(AND(IsMhp,IsAtHighRisk,'At High Risk Req'!$AJ$20="Meets"),"P","O")</f>
        <v>P</v>
      </c>
      <c r="G45" s="3899"/>
      <c r="H45" s="1486"/>
      <c r="I45" s="1486"/>
      <c r="J45" s="1504"/>
      <c r="K45" s="1504"/>
      <c r="L45" s="1486"/>
      <c r="M45" s="1486"/>
      <c r="N45" s="1486"/>
      <c r="O45" s="1486"/>
      <c r="P45" s="1486"/>
      <c r="Q45" s="1486"/>
      <c r="R45" s="1486"/>
      <c r="S45" s="1486"/>
      <c r="T45" s="1486"/>
      <c r="U45" s="1486"/>
      <c r="V45" s="1486"/>
      <c r="W45" s="1486"/>
      <c r="X45" s="1486"/>
      <c r="Y45" s="1486"/>
      <c r="Z45" s="1486"/>
      <c r="AA45" s="1486"/>
      <c r="AB45" s="1486"/>
      <c r="AC45" s="1486"/>
      <c r="AD45" s="1486"/>
      <c r="AE45" s="1486"/>
      <c r="AF45" s="1486"/>
      <c r="AG45" s="1486"/>
      <c r="AH45" s="1486"/>
      <c r="AI45" s="1486"/>
      <c r="AJ45" s="1486"/>
      <c r="AK45" s="1486"/>
      <c r="AL45" s="1486"/>
      <c r="AM45" s="1486"/>
      <c r="AN45" s="1486"/>
      <c r="AO45" s="1486"/>
    </row>
    <row r="46" spans="1:41" s="1207" customFormat="1" ht="18" customHeight="1">
      <c r="A46" s="1486"/>
      <c r="B46" s="1511"/>
      <c r="C46" s="949"/>
      <c r="D46" s="951"/>
      <c r="E46" s="951" t="s">
        <v>1424</v>
      </c>
      <c r="F46" s="3899" t="str">
        <f>IF(AND(IsMhp,IsAtHighRisk,'At High Risk Req'!$AJ$23="Meets"),"P","O")</f>
        <v>P</v>
      </c>
      <c r="G46" s="3899"/>
      <c r="H46" s="1486"/>
      <c r="I46" s="1486"/>
      <c r="J46" s="1504"/>
      <c r="K46" s="1504"/>
      <c r="L46" s="1486"/>
      <c r="M46" s="1486"/>
      <c r="N46" s="1486"/>
      <c r="O46" s="1486"/>
      <c r="P46" s="1486"/>
      <c r="Q46" s="1486"/>
      <c r="R46" s="1486"/>
      <c r="S46" s="1486"/>
      <c r="T46" s="1486"/>
      <c r="U46" s="1486"/>
      <c r="V46" s="1486"/>
      <c r="W46" s="1486"/>
      <c r="X46" s="1486"/>
      <c r="Y46" s="1486"/>
      <c r="Z46" s="1486"/>
      <c r="AA46" s="1486"/>
      <c r="AB46" s="1486"/>
      <c r="AC46" s="1486"/>
      <c r="AD46" s="1486"/>
      <c r="AE46" s="1486"/>
      <c r="AF46" s="1486"/>
      <c r="AG46" s="1486"/>
      <c r="AH46" s="1486"/>
      <c r="AI46" s="1486"/>
      <c r="AJ46" s="1486"/>
      <c r="AK46" s="1486"/>
      <c r="AL46" s="1486"/>
      <c r="AM46" s="1486"/>
      <c r="AN46" s="1486"/>
      <c r="AO46" s="1486"/>
    </row>
    <row r="47" spans="1:41" s="1207" customFormat="1" ht="18" customHeight="1">
      <c r="A47" s="1267"/>
      <c r="B47" s="1511"/>
      <c r="C47" s="949"/>
      <c r="D47" s="951"/>
      <c r="E47" s="951" t="s">
        <v>1425</v>
      </c>
      <c r="F47" s="3899" t="str">
        <f>IF(AND(IsMhp,IsAtHighRisk,'At High Risk Req'!$AJ$24="Meets"),"P","O")</f>
        <v>P</v>
      </c>
      <c r="G47" s="3899"/>
      <c r="H47" s="1486"/>
      <c r="I47" s="1486"/>
      <c r="J47" s="1504"/>
      <c r="K47" s="1504"/>
      <c r="L47" s="1486"/>
      <c r="M47" s="1486"/>
      <c r="N47" s="1486"/>
      <c r="O47" s="1486"/>
      <c r="P47" s="1486"/>
      <c r="Q47" s="1486"/>
      <c r="R47" s="1486"/>
      <c r="S47" s="1486"/>
      <c r="T47" s="1486"/>
      <c r="U47" s="1486"/>
      <c r="V47" s="1486"/>
      <c r="W47" s="1486"/>
      <c r="X47" s="1486"/>
      <c r="Y47" s="1486"/>
      <c r="Z47" s="1486"/>
      <c r="AA47" s="1486"/>
      <c r="AB47" s="1486"/>
      <c r="AC47" s="1486"/>
      <c r="AD47" s="1486"/>
      <c r="AE47" s="1486"/>
      <c r="AF47" s="1486"/>
      <c r="AG47" s="1486"/>
      <c r="AH47" s="1486"/>
      <c r="AI47" s="1486"/>
      <c r="AJ47" s="1486"/>
      <c r="AK47" s="1486"/>
      <c r="AL47" s="1486"/>
      <c r="AM47" s="1486"/>
      <c r="AN47" s="1486"/>
      <c r="AO47" s="1486"/>
    </row>
    <row r="48" spans="1:41" ht="36" customHeight="1">
      <c r="A48" s="1267"/>
      <c r="B48" s="1511"/>
      <c r="C48" s="949" t="s">
        <v>1415</v>
      </c>
      <c r="D48" s="3901" t="s">
        <v>1426</v>
      </c>
      <c r="E48" s="3901"/>
      <c r="F48" s="3901"/>
      <c r="G48" s="3901"/>
      <c r="H48" s="3901"/>
      <c r="I48" s="3901"/>
      <c r="J48" s="3901"/>
      <c r="K48" s="3901"/>
      <c r="L48" s="3901"/>
      <c r="M48" s="3901"/>
      <c r="N48" s="3901"/>
      <c r="O48" s="3901"/>
      <c r="P48" s="3901"/>
      <c r="Q48" s="3901"/>
      <c r="R48" s="3901"/>
      <c r="S48" s="3901"/>
      <c r="T48" s="3901"/>
      <c r="U48" s="3901"/>
      <c r="V48" s="3901"/>
      <c r="W48" s="3901"/>
      <c r="X48" s="3901"/>
      <c r="Y48" s="3901"/>
      <c r="Z48" s="3901"/>
      <c r="AA48" s="3901"/>
      <c r="AB48" s="3901"/>
      <c r="AC48" s="3901"/>
      <c r="AD48" s="3901"/>
      <c r="AE48" s="3901"/>
      <c r="AF48" s="3901"/>
      <c r="AG48" s="3901"/>
      <c r="AH48" s="3901"/>
      <c r="AI48" s="3901"/>
      <c r="AJ48" s="3901"/>
      <c r="AK48" s="3901"/>
      <c r="AL48" s="3901"/>
      <c r="AM48" s="3910"/>
      <c r="AN48" s="1500"/>
      <c r="AO48" s="1486"/>
    </row>
    <row r="49" spans="4:41" s="1216" customFormat="1" ht="35.25" customHeight="1">
      <c r="D49" s="3907" t="s">
        <v>1427</v>
      </c>
      <c r="E49" s="3907"/>
      <c r="F49" s="3907"/>
      <c r="G49" s="3907"/>
      <c r="H49" s="3907"/>
      <c r="I49" s="3907"/>
      <c r="J49" s="3907"/>
      <c r="K49" s="3907"/>
      <c r="L49" s="3907"/>
      <c r="M49" s="3907"/>
      <c r="N49" s="3907"/>
      <c r="O49" s="3907"/>
      <c r="P49" s="3907"/>
      <c r="Q49" s="3907"/>
      <c r="R49" s="3907"/>
      <c r="S49" s="3907"/>
      <c r="T49" s="3907"/>
      <c r="U49" s="3907"/>
      <c r="V49" s="3907"/>
      <c r="W49" s="3907"/>
      <c r="X49" s="3907"/>
      <c r="Y49" s="3907"/>
      <c r="Z49" s="3907"/>
      <c r="AA49" s="3907"/>
      <c r="AB49" s="3907"/>
      <c r="AC49" s="3907"/>
      <c r="AD49" s="3907"/>
      <c r="AE49" s="3907"/>
      <c r="AF49" s="3907"/>
      <c r="AG49" s="3907"/>
      <c r="AH49" s="3907"/>
      <c r="AI49" s="3907"/>
      <c r="AJ49" s="3907"/>
      <c r="AK49" s="3907"/>
      <c r="AL49" s="3911" t="b">
        <f>IF(AND(IsMhp,IsSpecialNeeds,'Unit Mix'!L7&gt;=1),TRUE,FALSE)</f>
        <v>0</v>
      </c>
      <c r="AM49" s="3912"/>
      <c r="AN49" s="1268"/>
      <c r="AO49" s="1216" t="s">
        <v>1428</v>
      </c>
    </row>
    <row r="50" spans="4:41" s="1216" customFormat="1" ht="78" customHeight="1">
      <c r="D50" s="951" t="s">
        <v>1402</v>
      </c>
      <c r="E50" s="3901" t="s">
        <v>1429</v>
      </c>
      <c r="F50" s="3901"/>
      <c r="G50" s="3901"/>
      <c r="H50" s="3901"/>
      <c r="I50" s="3901"/>
      <c r="J50" s="3901"/>
      <c r="K50" s="3901"/>
      <c r="L50" s="3901"/>
      <c r="M50" s="3901"/>
      <c r="N50" s="3901"/>
      <c r="O50" s="3901"/>
      <c r="P50" s="3901"/>
      <c r="Q50" s="3901"/>
      <c r="R50" s="3901"/>
      <c r="S50" s="3901"/>
      <c r="T50" s="3901"/>
      <c r="U50" s="3901"/>
      <c r="V50" s="3901"/>
      <c r="W50" s="3901"/>
      <c r="X50" s="3901"/>
      <c r="Y50" s="3901"/>
      <c r="Z50" s="3901"/>
      <c r="AA50" s="3901"/>
      <c r="AB50" s="3901"/>
      <c r="AC50" s="3901"/>
      <c r="AD50" s="3901"/>
      <c r="AE50" s="3901"/>
      <c r="AF50" s="3901"/>
      <c r="AG50" s="3901"/>
      <c r="AH50" s="3901"/>
      <c r="AI50" s="3901"/>
      <c r="AJ50" s="3901"/>
      <c r="AK50" s="3901"/>
      <c r="AL50" s="3900"/>
      <c r="AM50" s="3900"/>
      <c r="AN50" s="1268"/>
    </row>
    <row r="51" spans="4:41" s="1216" customFormat="1" ht="18" customHeight="1">
      <c r="D51" s="951" t="s">
        <v>1403</v>
      </c>
      <c r="AN51" s="1268"/>
    </row>
    <row r="52" spans="4:41" s="1216" customFormat="1" ht="18" customHeight="1">
      <c r="D52" s="951" t="s">
        <v>1404</v>
      </c>
      <c r="AN52" s="1268"/>
    </row>
    <row r="53" spans="4:41" s="1216" customFormat="1" ht="18" customHeight="1">
      <c r="D53" s="951" t="s">
        <v>1406</v>
      </c>
      <c r="AN53" s="1268"/>
    </row>
    <row r="54" spans="4:41" s="1216" customFormat="1" ht="18" customHeight="1">
      <c r="D54" s="951"/>
      <c r="E54" s="951" t="s">
        <v>1408</v>
      </c>
      <c r="AN54" s="1268"/>
    </row>
    <row r="55" spans="4:41" s="1216" customFormat="1" ht="18" customHeight="1">
      <c r="D55" s="951"/>
      <c r="E55" s="951" t="s">
        <v>1409</v>
      </c>
      <c r="AN55" s="1268"/>
    </row>
    <row r="56" spans="4:41" s="1216" customFormat="1" ht="18" customHeight="1">
      <c r="D56" s="951"/>
      <c r="E56" s="951" t="s">
        <v>1410</v>
      </c>
      <c r="AN56" s="1268"/>
    </row>
    <row r="57" spans="4:41" s="1216" customFormat="1" ht="18" customHeight="1">
      <c r="E57" s="951" t="s">
        <v>1411</v>
      </c>
      <c r="AN57" s="1268"/>
    </row>
    <row r="58" spans="4:41" s="1216" customFormat="1" ht="18" customHeight="1">
      <c r="E58" s="951" t="s">
        <v>1424</v>
      </c>
      <c r="AN58" s="1268"/>
    </row>
    <row r="59" spans="4:41" s="1216" customFormat="1" ht="18" customHeight="1">
      <c r="E59" s="951" t="s">
        <v>1425</v>
      </c>
      <c r="AN59" s="1268"/>
    </row>
    <row r="60" spans="4:41" s="1216" customFormat="1" ht="18" customHeight="1">
      <c r="E60" s="951" t="s">
        <v>1430</v>
      </c>
      <c r="AN60" s="1268"/>
    </row>
    <row r="61" spans="4:41" s="1216" customFormat="1" ht="18" customHeight="1">
      <c r="E61" s="951" t="s">
        <v>1431</v>
      </c>
      <c r="AN61" s="1268"/>
    </row>
    <row r="62" spans="4:41" s="1216" customFormat="1" ht="18" customHeight="1">
      <c r="E62" s="951" t="s">
        <v>1432</v>
      </c>
      <c r="AN62" s="1268"/>
    </row>
    <row r="63" spans="4:41" s="1216" customFormat="1" ht="18" customHeight="1">
      <c r="E63" s="951" t="s">
        <v>1433</v>
      </c>
      <c r="AN63" s="1268"/>
    </row>
    <row r="64" spans="4:41" s="1216" customFormat="1" ht="18" customHeight="1">
      <c r="D64" s="951" t="s">
        <v>1422</v>
      </c>
      <c r="AN64" s="1268"/>
    </row>
    <row r="65" spans="3:40" s="1216" customFormat="1" ht="18" customHeight="1">
      <c r="E65" s="951" t="s">
        <v>1408</v>
      </c>
      <c r="AN65" s="1268"/>
    </row>
    <row r="66" spans="3:40" s="1216" customFormat="1" ht="18" customHeight="1">
      <c r="E66" s="951" t="s">
        <v>1409</v>
      </c>
      <c r="AN66" s="1268"/>
    </row>
    <row r="67" spans="3:40" s="1216" customFormat="1" ht="18" customHeight="1">
      <c r="E67" s="951" t="s">
        <v>1410</v>
      </c>
      <c r="AN67" s="1268"/>
    </row>
    <row r="68" spans="3:40" s="1216" customFormat="1" ht="18" customHeight="1">
      <c r="D68" s="951" t="s">
        <v>1434</v>
      </c>
      <c r="AN68" s="1268"/>
    </row>
    <row r="69" spans="3:40" s="1216" customFormat="1" ht="18" customHeight="1">
      <c r="D69" s="951" t="s">
        <v>1435</v>
      </c>
      <c r="AN69" s="1268"/>
    </row>
    <row r="70" spans="3:40" s="1216" customFormat="1" ht="18" customHeight="1">
      <c r="D70" s="951" t="s">
        <v>1436</v>
      </c>
      <c r="AN70" s="1268"/>
    </row>
    <row r="71" spans="3:40" s="1216" customFormat="1" ht="18" customHeight="1">
      <c r="D71" s="951" t="s">
        <v>1437</v>
      </c>
      <c r="AN71" s="1268"/>
    </row>
    <row r="72" spans="3:40" s="1216" customFormat="1" ht="18" customHeight="1">
      <c r="C72" s="949" t="s">
        <v>1438</v>
      </c>
      <c r="AN72" s="1268"/>
    </row>
    <row r="73" spans="3:40" s="1216" customFormat="1" ht="18" customHeight="1">
      <c r="D73" s="951" t="s">
        <v>1402</v>
      </c>
      <c r="AN73" s="1268"/>
    </row>
    <row r="74" spans="3:40" s="1216" customFormat="1" ht="18" customHeight="1">
      <c r="D74" s="951" t="s">
        <v>1403</v>
      </c>
      <c r="AN74" s="1268"/>
    </row>
    <row r="75" spans="3:40" s="1216" customFormat="1" ht="18" customHeight="1">
      <c r="C75" s="949" t="s">
        <v>1439</v>
      </c>
      <c r="D75" s="2243" t="s">
        <v>1440</v>
      </c>
      <c r="E75" s="2243"/>
      <c r="F75" s="2243"/>
      <c r="G75" s="2243"/>
      <c r="H75" s="2243"/>
      <c r="I75" s="2243"/>
      <c r="J75" s="2243"/>
      <c r="K75" s="2243"/>
      <c r="L75" s="2243"/>
      <c r="M75" s="2243"/>
      <c r="N75" s="2243"/>
      <c r="O75" s="2243"/>
      <c r="P75" s="2243"/>
      <c r="Q75" s="2243"/>
      <c r="R75" s="2243"/>
      <c r="S75" s="2243"/>
      <c r="T75" s="2243"/>
      <c r="U75" s="2243"/>
      <c r="V75" s="2243"/>
      <c r="W75" s="2243"/>
      <c r="X75" s="2243"/>
      <c r="Y75" s="2243"/>
      <c r="Z75" s="2243"/>
      <c r="AA75" s="2243"/>
      <c r="AB75" s="2243"/>
      <c r="AC75" s="2243"/>
      <c r="AD75" s="2243"/>
      <c r="AE75" s="2243"/>
      <c r="AF75" s="2243"/>
      <c r="AG75" s="2243"/>
      <c r="AH75" s="2243"/>
      <c r="AI75" s="2243"/>
      <c r="AJ75" s="2243"/>
      <c r="AK75" s="2243"/>
    </row>
    <row r="76" spans="3:40" s="1216" customFormat="1" ht="53.25" customHeight="1">
      <c r="D76" s="951" t="s">
        <v>1402</v>
      </c>
      <c r="E76" s="3901" t="s">
        <v>1441</v>
      </c>
      <c r="F76" s="3901"/>
      <c r="G76" s="3901"/>
      <c r="H76" s="3901"/>
      <c r="I76" s="3901"/>
      <c r="J76" s="3901"/>
      <c r="K76" s="3901"/>
      <c r="L76" s="3901"/>
      <c r="M76" s="3901"/>
      <c r="N76" s="3901"/>
      <c r="O76" s="3901"/>
      <c r="P76" s="3901"/>
      <c r="Q76" s="3901"/>
      <c r="R76" s="3901"/>
      <c r="S76" s="3901"/>
      <c r="T76" s="3901"/>
      <c r="U76" s="3901"/>
      <c r="V76" s="3901"/>
      <c r="W76" s="3901"/>
      <c r="X76" s="3901"/>
      <c r="Y76" s="3901"/>
      <c r="Z76" s="3901"/>
      <c r="AA76" s="3901"/>
      <c r="AB76" s="3901"/>
      <c r="AC76" s="3901"/>
      <c r="AD76" s="3901"/>
      <c r="AE76" s="3901"/>
      <c r="AF76" s="3901"/>
      <c r="AG76" s="3901"/>
      <c r="AH76" s="3901"/>
      <c r="AI76" s="3901"/>
      <c r="AJ76" s="3901"/>
      <c r="AK76" s="3901"/>
      <c r="AL76" s="3900"/>
      <c r="AM76" s="3900"/>
    </row>
    <row r="77" spans="3:40" s="1216" customFormat="1" ht="36" customHeight="1">
      <c r="D77" s="951" t="s">
        <v>1403</v>
      </c>
      <c r="E77" s="3901" t="s">
        <v>1442</v>
      </c>
      <c r="F77" s="3901"/>
      <c r="G77" s="3901"/>
      <c r="H77" s="3901"/>
      <c r="I77" s="3901"/>
      <c r="J77" s="3901"/>
      <c r="K77" s="3901"/>
      <c r="L77" s="3901"/>
      <c r="M77" s="3901"/>
      <c r="N77" s="3901"/>
      <c r="O77" s="3901"/>
      <c r="P77" s="3901"/>
      <c r="Q77" s="3901"/>
      <c r="R77" s="3901"/>
      <c r="S77" s="3901"/>
      <c r="T77" s="3901"/>
      <c r="U77" s="3901"/>
      <c r="V77" s="3901"/>
      <c r="W77" s="3901"/>
      <c r="X77" s="3901"/>
      <c r="Y77" s="3901"/>
      <c r="Z77" s="3901"/>
      <c r="AA77" s="3901"/>
      <c r="AB77" s="3901"/>
      <c r="AC77" s="3901"/>
      <c r="AD77" s="3901"/>
      <c r="AE77" s="3901"/>
      <c r="AF77" s="3901"/>
      <c r="AG77" s="3901"/>
      <c r="AH77" s="3901"/>
      <c r="AI77" s="3901"/>
      <c r="AJ77" s="3901"/>
      <c r="AK77" s="3901"/>
      <c r="AL77" s="3900"/>
      <c r="AM77" s="3900"/>
    </row>
    <row r="78" spans="3:40" s="1216" customFormat="1" ht="18" customHeight="1">
      <c r="D78" s="951" t="s">
        <v>1404</v>
      </c>
      <c r="E78" s="2243" t="s">
        <v>1443</v>
      </c>
      <c r="F78" s="2243"/>
      <c r="G78" s="2243"/>
      <c r="H78" s="2243"/>
      <c r="I78" s="2243"/>
      <c r="J78" s="2243"/>
      <c r="K78" s="2243"/>
      <c r="L78" s="2243"/>
      <c r="M78" s="2243"/>
      <c r="N78" s="2243"/>
      <c r="O78" s="2243"/>
      <c r="P78" s="2243"/>
      <c r="Q78" s="2243"/>
      <c r="R78" s="2243"/>
      <c r="S78" s="2243"/>
      <c r="T78" s="2243"/>
      <c r="U78" s="2243"/>
      <c r="V78" s="2243"/>
      <c r="W78" s="2243"/>
      <c r="X78" s="2243"/>
      <c r="Y78" s="2243"/>
      <c r="Z78" s="2243"/>
      <c r="AA78" s="2243"/>
      <c r="AB78" s="2243"/>
      <c r="AC78" s="2243"/>
      <c r="AD78" s="2243"/>
      <c r="AE78" s="2243"/>
      <c r="AF78" s="2243"/>
      <c r="AG78" s="2243"/>
      <c r="AH78" s="2243"/>
      <c r="AI78" s="2243"/>
      <c r="AJ78" s="2243"/>
      <c r="AK78" s="2243"/>
      <c r="AL78" s="3900"/>
      <c r="AM78" s="3900"/>
    </row>
    <row r="79" spans="3:40" s="1216" customFormat="1" ht="18" customHeight="1">
      <c r="C79" s="949" t="s">
        <v>402</v>
      </c>
      <c r="D79" s="3901" t="s">
        <v>1444</v>
      </c>
      <c r="E79" s="3901"/>
      <c r="F79" s="3901"/>
      <c r="G79" s="3901"/>
      <c r="H79" s="3901"/>
      <c r="I79" s="3901"/>
      <c r="J79" s="3901"/>
      <c r="K79" s="3901"/>
      <c r="L79" s="3901"/>
      <c r="M79" s="3901"/>
      <c r="N79" s="3901"/>
      <c r="O79" s="3901"/>
      <c r="P79" s="3901"/>
      <c r="Q79" s="3901"/>
      <c r="R79" s="3901"/>
      <c r="S79" s="3901"/>
      <c r="T79" s="3901"/>
      <c r="U79" s="3901"/>
      <c r="V79" s="3901"/>
      <c r="W79" s="3901"/>
      <c r="X79" s="3901"/>
      <c r="Y79" s="3901"/>
      <c r="Z79" s="3901"/>
      <c r="AA79" s="3901"/>
      <c r="AB79" s="3901"/>
      <c r="AC79" s="3901"/>
      <c r="AD79" s="3901"/>
      <c r="AE79" s="3901"/>
      <c r="AF79" s="3901"/>
      <c r="AG79" s="3901"/>
      <c r="AH79" s="3901"/>
      <c r="AI79" s="3901"/>
      <c r="AJ79" s="3901"/>
    </row>
    <row r="80" spans="3:40" s="1216" customFormat="1" ht="18" customHeight="1">
      <c r="C80" s="949"/>
      <c r="D80" s="951" t="s">
        <v>1402</v>
      </c>
      <c r="E80" s="3931" t="s">
        <v>1445</v>
      </c>
      <c r="F80" s="3931"/>
      <c r="G80" s="3931"/>
      <c r="H80" s="3931"/>
      <c r="I80" s="3931"/>
      <c r="J80" s="3931"/>
      <c r="K80" s="3931"/>
      <c r="L80" s="3931"/>
      <c r="M80" s="3931"/>
      <c r="N80" s="3931"/>
      <c r="O80" s="3931"/>
      <c r="P80" s="3931"/>
      <c r="Q80" s="3931"/>
      <c r="R80" s="3931"/>
      <c r="S80" s="3931"/>
      <c r="T80" s="3931"/>
      <c r="U80" s="3931"/>
      <c r="V80" s="3931"/>
      <c r="W80" s="3931"/>
      <c r="X80" s="3931"/>
      <c r="Y80" s="3931"/>
      <c r="Z80" s="3931"/>
      <c r="AA80" s="3931"/>
      <c r="AB80" s="3931"/>
      <c r="AC80" s="3931"/>
      <c r="AD80" s="3931"/>
      <c r="AE80" s="3931"/>
      <c r="AF80" s="3931"/>
      <c r="AG80" s="3931"/>
      <c r="AH80" s="3931"/>
      <c r="AI80" s="3931"/>
      <c r="AJ80" s="3931"/>
      <c r="AK80" s="3931"/>
    </row>
    <row r="81" spans="1:40" s="1216" customFormat="1" ht="18" customHeight="1">
      <c r="D81" s="951"/>
      <c r="E81" s="951" t="s">
        <v>1408</v>
      </c>
      <c r="F81" s="3899" t="str">
        <f>IF(AND(IsMhp,vmTribalEntity="Yes",'Project Overview'!$V$58&gt;0),"P","O")</f>
        <v>P</v>
      </c>
      <c r="G81" s="3899"/>
    </row>
    <row r="82" spans="1:40" s="1216" customFormat="1" ht="36" customHeight="1">
      <c r="D82" s="951"/>
      <c r="E82" s="951" t="s">
        <v>1409</v>
      </c>
      <c r="F82" s="3901" t="s">
        <v>1446</v>
      </c>
      <c r="G82" s="3901"/>
      <c r="H82" s="3901"/>
      <c r="I82" s="3901"/>
      <c r="J82" s="3901"/>
      <c r="K82" s="3901"/>
      <c r="L82" s="3901"/>
      <c r="M82" s="3901"/>
      <c r="N82" s="3901"/>
      <c r="O82" s="3901"/>
      <c r="P82" s="3901"/>
      <c r="Q82" s="3901"/>
      <c r="R82" s="3901"/>
      <c r="S82" s="3901"/>
      <c r="T82" s="3901"/>
      <c r="U82" s="3901"/>
      <c r="V82" s="3901"/>
      <c r="W82" s="3901"/>
      <c r="X82" s="3901"/>
      <c r="Y82" s="3901"/>
      <c r="Z82" s="3901"/>
      <c r="AA82" s="3901"/>
      <c r="AB82" s="3901"/>
      <c r="AC82" s="3901"/>
      <c r="AD82" s="3901"/>
      <c r="AE82" s="3901"/>
      <c r="AF82" s="3901"/>
      <c r="AG82" s="3901"/>
      <c r="AH82" s="3901"/>
      <c r="AI82" s="3901"/>
      <c r="AJ82" s="3901"/>
      <c r="AK82" s="3917"/>
      <c r="AL82" s="3900"/>
      <c r="AM82" s="3900"/>
    </row>
    <row r="83" spans="1:40" s="1216" customFormat="1" ht="36" customHeight="1">
      <c r="D83" s="951" t="s">
        <v>1403</v>
      </c>
      <c r="E83" s="3901" t="s">
        <v>1447</v>
      </c>
      <c r="F83" s="3901"/>
      <c r="G83" s="3901"/>
      <c r="H83" s="3901"/>
      <c r="I83" s="3901"/>
      <c r="J83" s="3901"/>
      <c r="K83" s="3901"/>
      <c r="L83" s="3901"/>
      <c r="M83" s="3901"/>
      <c r="N83" s="3901"/>
      <c r="O83" s="3901"/>
      <c r="P83" s="3901"/>
      <c r="Q83" s="3901"/>
      <c r="R83" s="3901"/>
      <c r="S83" s="3901"/>
      <c r="T83" s="3901"/>
      <c r="U83" s="3901"/>
      <c r="V83" s="3901"/>
      <c r="W83" s="3901"/>
      <c r="X83" s="3901"/>
      <c r="Y83" s="3901"/>
      <c r="Z83" s="3901"/>
      <c r="AA83" s="3901"/>
      <c r="AB83" s="3901"/>
      <c r="AC83" s="3901"/>
      <c r="AD83" s="3901"/>
      <c r="AE83" s="3901"/>
      <c r="AF83" s="3901"/>
      <c r="AG83" s="3901"/>
      <c r="AH83" s="3901"/>
      <c r="AI83" s="3901"/>
      <c r="AJ83" s="3901"/>
      <c r="AK83" s="3901"/>
    </row>
    <row r="84" spans="1:40" s="1216" customFormat="1" ht="18" customHeight="1">
      <c r="E84" s="3935" t="s">
        <v>1448</v>
      </c>
      <c r="F84" s="3935"/>
      <c r="G84" s="3935"/>
      <c r="H84" s="3935"/>
      <c r="I84" s="3935"/>
      <c r="J84" s="3935"/>
      <c r="K84" s="3935"/>
      <c r="L84" s="3935"/>
      <c r="M84" s="3935"/>
      <c r="N84" s="3935"/>
      <c r="O84" s="3935"/>
      <c r="P84" s="3935"/>
      <c r="Q84" s="3935"/>
      <c r="R84" s="3935"/>
      <c r="S84" s="3935"/>
      <c r="T84" s="3935"/>
      <c r="U84" s="3935"/>
      <c r="V84" s="3935"/>
      <c r="W84" s="3935"/>
      <c r="X84" s="3935"/>
      <c r="Y84" s="3935"/>
      <c r="Z84" s="3935"/>
      <c r="AA84" s="3935"/>
      <c r="AB84" s="3935"/>
      <c r="AC84" s="3935"/>
      <c r="AD84" s="3935"/>
      <c r="AE84" s="3935"/>
      <c r="AF84" s="3935"/>
      <c r="AG84" s="3935"/>
      <c r="AH84" s="3935"/>
      <c r="AI84" s="3935"/>
      <c r="AJ84" s="3935"/>
      <c r="AK84" s="3935"/>
      <c r="AL84" s="3900"/>
      <c r="AM84" s="3900"/>
    </row>
    <row r="85" spans="1:40" s="1216" customFormat="1" ht="18" customHeight="1">
      <c r="C85" s="949" t="s">
        <v>1449</v>
      </c>
      <c r="D85" s="2243" t="s">
        <v>1450</v>
      </c>
      <c r="E85" s="2243"/>
      <c r="F85" s="2243"/>
      <c r="G85" s="2243"/>
      <c r="H85" s="2243"/>
      <c r="I85" s="2243"/>
      <c r="J85" s="2243"/>
      <c r="K85" s="2243"/>
      <c r="L85" s="2243"/>
      <c r="M85" s="2243"/>
      <c r="N85" s="2243"/>
      <c r="O85" s="2243"/>
      <c r="P85" s="2243"/>
      <c r="Q85" s="2243"/>
      <c r="R85" s="2243"/>
      <c r="S85" s="2243"/>
      <c r="T85" s="2243"/>
      <c r="U85" s="2243"/>
      <c r="V85" s="2243"/>
      <c r="W85" s="2243"/>
      <c r="X85" s="2243"/>
      <c r="Y85" s="2243"/>
      <c r="Z85" s="2243"/>
      <c r="AA85" s="2243"/>
      <c r="AB85" s="2243"/>
      <c r="AC85" s="2243"/>
      <c r="AD85" s="2243"/>
      <c r="AE85" s="2243"/>
      <c r="AF85" s="2243"/>
      <c r="AG85" s="2243"/>
      <c r="AH85" s="2243"/>
      <c r="AI85" s="2243"/>
      <c r="AJ85" s="2243"/>
      <c r="AK85" s="2243"/>
    </row>
    <row r="86" spans="1:40" s="1216" customFormat="1" ht="18" customHeight="1">
      <c r="D86" s="2243" t="s">
        <v>1451</v>
      </c>
      <c r="E86" s="2243"/>
      <c r="F86" s="2243"/>
      <c r="G86" s="2243"/>
      <c r="H86" s="2243"/>
      <c r="I86" s="2243"/>
      <c r="J86" s="2243"/>
      <c r="K86" s="2243"/>
      <c r="L86" s="2243"/>
      <c r="M86" s="2243"/>
      <c r="N86" s="2243"/>
      <c r="O86" s="2243"/>
      <c r="P86" s="2243"/>
      <c r="Q86" s="2243"/>
      <c r="R86" s="2243"/>
      <c r="S86" s="2243"/>
      <c r="T86" s="2243"/>
      <c r="U86" s="2243"/>
      <c r="V86" s="2243"/>
      <c r="W86" s="2243"/>
      <c r="X86" s="2243"/>
      <c r="Y86" s="2243"/>
      <c r="Z86" s="2243"/>
      <c r="AA86" s="2243"/>
      <c r="AB86" s="2243"/>
      <c r="AC86" s="2243"/>
      <c r="AD86" s="2243"/>
      <c r="AE86" s="2243"/>
      <c r="AF86" s="2243"/>
      <c r="AG86" s="2243"/>
      <c r="AH86" s="2243"/>
      <c r="AI86" s="2243"/>
      <c r="AJ86" s="2243"/>
      <c r="AK86" s="2243"/>
    </row>
    <row r="87" spans="1:40" s="1216" customFormat="1" ht="18" customHeight="1">
      <c r="D87" s="951" t="s">
        <v>1402</v>
      </c>
      <c r="E87" s="3901" t="s">
        <v>1452</v>
      </c>
      <c r="F87" s="3901"/>
      <c r="G87" s="3901"/>
      <c r="H87" s="3901"/>
      <c r="I87" s="3901"/>
      <c r="J87" s="3901"/>
      <c r="K87" s="3901"/>
      <c r="L87" s="3901"/>
      <c r="M87" s="3901"/>
      <c r="N87" s="3901"/>
      <c r="O87" s="3901"/>
      <c r="P87" s="3901"/>
      <c r="Q87" s="3901"/>
      <c r="R87" s="3901"/>
      <c r="S87" s="3901"/>
      <c r="T87" s="3901"/>
      <c r="U87" s="3901"/>
      <c r="V87" s="3901"/>
      <c r="W87" s="3901"/>
      <c r="X87" s="3901"/>
      <c r="Y87" s="3901"/>
      <c r="Z87" s="1510"/>
      <c r="AA87" s="1510"/>
      <c r="AB87" s="1510"/>
      <c r="AC87" s="1510"/>
      <c r="AD87" s="1510"/>
      <c r="AE87" s="1510"/>
      <c r="AF87" s="1510"/>
      <c r="AG87" s="1510"/>
      <c r="AH87" s="1510"/>
      <c r="AI87" s="1510"/>
      <c r="AJ87" s="1510"/>
      <c r="AK87" s="1510"/>
    </row>
    <row r="88" spans="1:40" s="1216" customFormat="1" ht="18" customHeight="1">
      <c r="D88" s="951"/>
      <c r="E88" s="3922" t="s">
        <v>1453</v>
      </c>
      <c r="F88" s="3923"/>
      <c r="G88" s="3923"/>
      <c r="H88" s="3923"/>
      <c r="I88" s="3923"/>
      <c r="J88" s="3923"/>
      <c r="K88" s="3923"/>
      <c r="L88" s="3923"/>
      <c r="M88" s="3923"/>
      <c r="N88" s="3923"/>
      <c r="O88" s="3923"/>
      <c r="P88" s="3923"/>
      <c r="Q88" s="3923"/>
      <c r="R88" s="3923"/>
      <c r="S88" s="3923"/>
      <c r="T88" s="3923"/>
      <c r="U88" s="3923"/>
      <c r="V88" s="3932" t="b">
        <f>IF('Project Overview'!$AL$108="Yes",TRUE,FALSE)</f>
        <v>1</v>
      </c>
      <c r="W88" s="3933"/>
      <c r="X88" s="3934" t="s">
        <v>1454</v>
      </c>
      <c r="Y88" s="3934"/>
      <c r="Z88" s="3934"/>
      <c r="AA88" s="3934"/>
      <c r="AB88" s="3934"/>
      <c r="AC88" s="3934"/>
      <c r="AD88" s="3934"/>
      <c r="AE88" s="3934"/>
      <c r="AF88" s="3934"/>
      <c r="AG88" s="3934"/>
      <c r="AH88" s="3924">
        <f>SUM('Project Overview'!P112:Y114)</f>
        <v>1030968</v>
      </c>
      <c r="AI88" s="3924"/>
      <c r="AJ88" s="3924"/>
      <c r="AK88" s="1428"/>
      <c r="AL88" s="1429"/>
      <c r="AM88" s="1430"/>
    </row>
    <row r="89" spans="1:40" s="1216" customFormat="1" ht="18" customHeight="1">
      <c r="E89" s="3927" t="s">
        <v>1455</v>
      </c>
      <c r="F89" s="3905"/>
      <c r="G89" s="3905"/>
      <c r="H89" s="3905"/>
      <c r="I89" s="3905"/>
      <c r="J89" s="3905"/>
      <c r="K89" s="3905"/>
      <c r="L89" s="3905"/>
      <c r="M89" s="3905"/>
      <c r="N89" s="3905"/>
      <c r="O89" s="3905"/>
      <c r="P89" s="3905"/>
      <c r="Q89" s="3905"/>
      <c r="R89" s="3905"/>
      <c r="S89" s="3905"/>
      <c r="T89" s="3905"/>
      <c r="U89" s="3905"/>
      <c r="V89" s="3905"/>
      <c r="W89" s="3905"/>
      <c r="X89" s="3905"/>
      <c r="Y89" s="3905"/>
      <c r="Z89" s="3905"/>
      <c r="AA89" s="3905"/>
      <c r="AB89" s="3905"/>
      <c r="AC89" s="3905"/>
      <c r="AD89" s="3905"/>
      <c r="AE89" s="3905"/>
      <c r="AF89" s="3905"/>
      <c r="AG89" s="3905"/>
      <c r="AH89" s="3905"/>
      <c r="AI89" s="3905"/>
      <c r="AJ89" s="3905"/>
      <c r="AK89" s="3905"/>
      <c r="AL89" s="3905"/>
      <c r="AM89" s="3906"/>
    </row>
    <row r="90" spans="1:40" s="1216" customFormat="1" ht="18" customHeight="1">
      <c r="E90" s="3925" t="s">
        <v>1456</v>
      </c>
      <c r="F90" s="3926"/>
      <c r="G90" s="3926"/>
      <c r="H90" s="3926"/>
      <c r="I90" s="3911" t="str">
        <f>IF('Max Loan and Grant Amounts'!AL11&lt;=75%,"Does not exceed 75%","Exceeds 75%")</f>
        <v>Does not exceed 75%</v>
      </c>
      <c r="J90" s="3928"/>
      <c r="K90" s="3928"/>
      <c r="L90" s="3928"/>
      <c r="M90" s="3928"/>
      <c r="N90" s="3912"/>
      <c r="O90" s="1431"/>
      <c r="P90" s="1431"/>
      <c r="Q90" s="1431"/>
      <c r="R90" s="1431"/>
      <c r="S90" s="1431"/>
      <c r="T90" s="1431"/>
      <c r="U90" s="1431"/>
      <c r="V90" s="1431"/>
      <c r="W90" s="1431"/>
      <c r="X90" s="1431"/>
      <c r="Y90" s="1431"/>
      <c r="Z90" s="1431"/>
      <c r="AA90" s="1431"/>
      <c r="AB90" s="1431"/>
      <c r="AC90" s="1431"/>
      <c r="AD90" s="1431"/>
      <c r="AE90" s="1431"/>
      <c r="AF90" s="1431"/>
      <c r="AG90" s="1431"/>
      <c r="AH90" s="1431"/>
      <c r="AI90" s="1431"/>
      <c r="AJ90" s="1431"/>
      <c r="AK90" s="1431"/>
      <c r="AL90" s="1431"/>
      <c r="AM90" s="1432"/>
    </row>
    <row r="91" spans="1:40" s="1216" customFormat="1" ht="36" customHeight="1">
      <c r="A91" s="1426"/>
      <c r="B91" s="1427"/>
      <c r="C91" s="1427"/>
      <c r="D91" s="1427"/>
      <c r="E91" s="3936" t="s">
        <v>1457</v>
      </c>
      <c r="F91" s="3936"/>
      <c r="G91" s="3936"/>
      <c r="H91" s="3936"/>
      <c r="I91" s="3936"/>
      <c r="J91" s="3936"/>
      <c r="K91" s="3936"/>
      <c r="L91" s="3936"/>
      <c r="M91" s="3936"/>
      <c r="N91" s="3936"/>
      <c r="O91" s="3936"/>
      <c r="P91" s="3936"/>
      <c r="Q91" s="3936"/>
      <c r="R91" s="3936"/>
      <c r="S91" s="3936"/>
      <c r="T91" s="3936"/>
      <c r="U91" s="3936"/>
      <c r="V91" s="3936"/>
      <c r="W91" s="3936"/>
      <c r="X91" s="3936"/>
      <c r="Y91" s="3936"/>
      <c r="Z91" s="3936"/>
      <c r="AA91" s="3936"/>
      <c r="AB91" s="3936"/>
      <c r="AC91" s="3936"/>
      <c r="AD91" s="3936"/>
      <c r="AE91" s="3936"/>
      <c r="AF91" s="3936"/>
      <c r="AG91" s="3936"/>
      <c r="AH91" s="3936"/>
      <c r="AI91" s="3936"/>
      <c r="AJ91" s="3936"/>
      <c r="AK91" s="3936"/>
      <c r="AL91" s="3900"/>
      <c r="AM91" s="3900"/>
    </row>
    <row r="92" spans="1:40" s="1216" customFormat="1" ht="36" customHeight="1">
      <c r="D92" s="951" t="s">
        <v>1403</v>
      </c>
      <c r="E92" s="3901" t="s">
        <v>1458</v>
      </c>
      <c r="F92" s="3901"/>
      <c r="G92" s="3901"/>
      <c r="H92" s="3901"/>
      <c r="I92" s="3901"/>
      <c r="J92" s="3901"/>
      <c r="K92" s="3901"/>
      <c r="L92" s="3901"/>
      <c r="M92" s="3901"/>
      <c r="N92" s="3901"/>
      <c r="O92" s="3901"/>
      <c r="P92" s="3901"/>
      <c r="Q92" s="3901"/>
      <c r="R92" s="3901"/>
      <c r="S92" s="3901"/>
      <c r="T92" s="3901"/>
      <c r="U92" s="3901"/>
      <c r="V92" s="3901"/>
      <c r="W92" s="3901"/>
      <c r="X92" s="3901"/>
      <c r="Y92" s="3901"/>
      <c r="Z92" s="3901"/>
      <c r="AA92" s="3901"/>
      <c r="AB92" s="3901"/>
      <c r="AC92" s="3901"/>
      <c r="AD92" s="3901"/>
      <c r="AE92" s="3901"/>
      <c r="AF92" s="3901"/>
      <c r="AG92" s="3901"/>
      <c r="AH92" s="3901"/>
      <c r="AI92" s="3901"/>
      <c r="AJ92" s="3901"/>
      <c r="AK92" s="3901"/>
      <c r="AL92" s="3900"/>
      <c r="AM92" s="3900"/>
    </row>
    <row r="93" spans="1:40" s="1216" customFormat="1" ht="44.25" customHeight="1">
      <c r="D93" s="951" t="s">
        <v>1404</v>
      </c>
      <c r="E93" s="3901" t="s">
        <v>1459</v>
      </c>
      <c r="F93" s="3901"/>
      <c r="G93" s="3901"/>
      <c r="H93" s="3901"/>
      <c r="I93" s="3901"/>
      <c r="J93" s="3901"/>
      <c r="K93" s="3901"/>
      <c r="L93" s="3901"/>
      <c r="M93" s="3901"/>
      <c r="N93" s="3901"/>
      <c r="O93" s="3901"/>
      <c r="P93" s="3901"/>
      <c r="Q93" s="3901"/>
      <c r="R93" s="3901"/>
      <c r="S93" s="3901"/>
      <c r="T93" s="3901"/>
      <c r="U93" s="3901"/>
      <c r="V93" s="3901"/>
      <c r="W93" s="3901"/>
      <c r="X93" s="3901"/>
      <c r="Y93" s="3901"/>
      <c r="Z93" s="3901"/>
      <c r="AA93" s="3901"/>
      <c r="AB93" s="3901"/>
      <c r="AC93" s="3901"/>
      <c r="AD93" s="3901"/>
      <c r="AE93" s="3901"/>
      <c r="AF93" s="3901"/>
      <c r="AG93" s="3901"/>
      <c r="AH93" s="3901"/>
      <c r="AI93" s="3901"/>
      <c r="AJ93" s="3901"/>
      <c r="AK93" s="3901"/>
      <c r="AL93" s="3900"/>
      <c r="AM93" s="3900"/>
    </row>
    <row r="94" spans="1:40" s="1216" customFormat="1" ht="18" customHeight="1">
      <c r="C94" s="949" t="s">
        <v>1460</v>
      </c>
      <c r="D94" s="3899" t="str">
        <f>IF(AND(IsMhp,'Project Overview'!AL84="Yes"),"P","O")</f>
        <v>P</v>
      </c>
      <c r="E94" s="3899"/>
      <c r="F94" s="1622"/>
      <c r="G94" s="1622"/>
      <c r="H94" s="1622"/>
      <c r="I94" s="1622"/>
      <c r="J94" s="1622"/>
      <c r="K94" s="1622"/>
      <c r="L94" s="1622"/>
      <c r="M94" s="1622"/>
      <c r="N94" s="1622"/>
      <c r="O94" s="1622"/>
      <c r="P94" s="1622"/>
      <c r="Q94" s="1622"/>
      <c r="R94" s="1622"/>
      <c r="S94" s="1622"/>
      <c r="T94" s="1622"/>
      <c r="U94" s="1622"/>
      <c r="V94" s="1622"/>
      <c r="W94" s="1622"/>
      <c r="X94" s="1622"/>
      <c r="Y94" s="1622"/>
      <c r="Z94" s="1622"/>
      <c r="AA94" s="1622"/>
      <c r="AB94" s="1622"/>
      <c r="AC94" s="1622"/>
      <c r="AD94" s="1622"/>
      <c r="AE94" s="1622"/>
      <c r="AF94" s="1622"/>
      <c r="AG94" s="1622"/>
      <c r="AH94" s="1622"/>
      <c r="AI94" s="1622"/>
      <c r="AJ94" s="1622"/>
      <c r="AK94" s="1622"/>
      <c r="AL94" s="1622"/>
      <c r="AM94" s="1665"/>
      <c r="AN94" s="1666"/>
    </row>
    <row r="95" spans="1:40" s="1216" customFormat="1" ht="18" customHeight="1">
      <c r="B95" s="2243" t="s">
        <v>1418</v>
      </c>
      <c r="C95" s="2243"/>
      <c r="D95" s="2243"/>
      <c r="E95" s="2243"/>
      <c r="F95" s="2243"/>
      <c r="G95" s="2243"/>
      <c r="H95" s="1486"/>
      <c r="I95" s="1486"/>
      <c r="J95" s="1486"/>
      <c r="K95" s="1486"/>
      <c r="L95" s="1486"/>
      <c r="M95" s="1486"/>
      <c r="N95" s="1486"/>
      <c r="O95" s="1486"/>
      <c r="P95" s="1486"/>
      <c r="Q95" s="1486"/>
      <c r="R95" s="1486"/>
      <c r="S95" s="1486"/>
      <c r="T95" s="1486"/>
      <c r="U95" s="1486"/>
      <c r="V95" s="1486"/>
      <c r="W95" s="1486"/>
      <c r="X95" s="1486"/>
      <c r="Y95" s="1486"/>
      <c r="Z95" s="1486"/>
      <c r="AA95" s="1486"/>
      <c r="AB95" s="1486"/>
      <c r="AC95" s="1486"/>
      <c r="AD95" s="1486"/>
      <c r="AE95" s="1486"/>
      <c r="AF95" s="1486"/>
      <c r="AG95" s="1486"/>
      <c r="AH95" s="1486"/>
      <c r="AI95" s="1486"/>
      <c r="AJ95" s="1486"/>
      <c r="AK95" s="1486"/>
      <c r="AL95" s="1486"/>
      <c r="AM95" s="1486"/>
    </row>
    <row r="96" spans="1:40" s="1216" customFormat="1" ht="54" customHeight="1">
      <c r="B96" s="3902"/>
      <c r="C96" s="3903"/>
      <c r="D96" s="3903"/>
      <c r="E96" s="3903"/>
      <c r="F96" s="3903"/>
      <c r="G96" s="3903"/>
      <c r="H96" s="3903"/>
      <c r="I96" s="3903"/>
      <c r="J96" s="3903"/>
      <c r="K96" s="3903"/>
      <c r="L96" s="3903"/>
      <c r="M96" s="3903"/>
      <c r="N96" s="3903"/>
      <c r="O96" s="3903"/>
      <c r="P96" s="3903"/>
      <c r="Q96" s="3903"/>
      <c r="R96" s="3903"/>
      <c r="S96" s="3903"/>
      <c r="T96" s="3903"/>
      <c r="U96" s="3903"/>
      <c r="V96" s="3903"/>
      <c r="W96" s="3903"/>
      <c r="X96" s="3903"/>
      <c r="Y96" s="3903"/>
      <c r="Z96" s="3903"/>
      <c r="AA96" s="3903"/>
      <c r="AB96" s="3903"/>
      <c r="AC96" s="3903"/>
      <c r="AD96" s="3903"/>
      <c r="AE96" s="3903"/>
      <c r="AF96" s="3903"/>
      <c r="AG96" s="3903"/>
      <c r="AH96" s="3903"/>
      <c r="AI96" s="3903"/>
      <c r="AJ96" s="3903"/>
      <c r="AK96" s="3903"/>
      <c r="AL96" s="3903"/>
      <c r="AM96" s="3904"/>
    </row>
    <row r="97" spans="1:42" s="1216" customFormat="1" ht="18" customHeight="1">
      <c r="B97" s="945" t="s">
        <v>1400</v>
      </c>
      <c r="C97" s="2243" t="s">
        <v>1461</v>
      </c>
      <c r="D97" s="2243"/>
      <c r="E97" s="2243"/>
      <c r="F97" s="2243"/>
      <c r="G97" s="2243"/>
      <c r="H97" s="2243"/>
      <c r="I97" s="2243"/>
      <c r="J97" s="2243"/>
      <c r="K97" s="2243"/>
      <c r="L97" s="2243"/>
      <c r="M97" s="2243"/>
      <c r="N97" s="2243"/>
      <c r="O97" s="2243"/>
      <c r="P97" s="2243"/>
      <c r="Q97" s="2243"/>
      <c r="R97" s="2243"/>
      <c r="S97" s="2243"/>
      <c r="T97" s="2243"/>
      <c r="U97" s="2243"/>
      <c r="V97" s="2243"/>
      <c r="W97" s="2243"/>
      <c r="X97" s="2243"/>
      <c r="Y97" s="2243"/>
      <c r="Z97" s="2243"/>
      <c r="AA97" s="2243"/>
      <c r="AB97" s="2243"/>
      <c r="AC97" s="2243"/>
      <c r="AD97" s="2243"/>
      <c r="AE97" s="2243"/>
      <c r="AF97" s="2243"/>
      <c r="AG97" s="2243"/>
      <c r="AH97" s="2243"/>
      <c r="AI97" s="2243"/>
      <c r="AJ97" s="2243"/>
      <c r="AK97" s="2243"/>
    </row>
    <row r="98" spans="1:42" s="1216" customFormat="1" ht="18" customHeight="1">
      <c r="C98" s="949" t="s">
        <v>1397</v>
      </c>
      <c r="D98" s="2243" t="s">
        <v>1462</v>
      </c>
      <c r="E98" s="2243"/>
      <c r="F98" s="2243"/>
      <c r="G98" s="2243"/>
      <c r="H98" s="2243"/>
      <c r="I98" s="2243"/>
      <c r="J98" s="2243"/>
      <c r="K98" s="2243"/>
      <c r="L98" s="2243"/>
      <c r="M98" s="2243"/>
      <c r="N98" s="2243"/>
      <c r="O98" s="2243"/>
      <c r="P98" s="2243"/>
      <c r="Q98" s="2243"/>
      <c r="R98" s="2243"/>
      <c r="S98" s="2243"/>
      <c r="T98" s="2243"/>
      <c r="U98" s="2243"/>
      <c r="V98" s="2243"/>
      <c r="W98" s="2243"/>
      <c r="X98" s="2243"/>
      <c r="Y98" s="2243"/>
      <c r="Z98" s="2243"/>
      <c r="AA98" s="2243"/>
      <c r="AB98" s="2243"/>
      <c r="AC98" s="2243"/>
      <c r="AD98" s="2243"/>
      <c r="AE98" s="2243"/>
      <c r="AF98" s="2243"/>
      <c r="AG98" s="2243"/>
      <c r="AH98" s="2243"/>
      <c r="AI98" s="2243"/>
      <c r="AJ98" s="2243"/>
      <c r="AK98" s="2243"/>
      <c r="AL98" s="3900"/>
      <c r="AM98" s="3900"/>
    </row>
    <row r="99" spans="1:42" s="1216" customFormat="1" ht="18" customHeight="1">
      <c r="C99" s="949" t="s">
        <v>1399</v>
      </c>
      <c r="D99" s="3935" t="s">
        <v>1463</v>
      </c>
      <c r="E99" s="3935"/>
      <c r="F99" s="3935"/>
      <c r="G99" s="3935"/>
      <c r="H99" s="3935"/>
      <c r="I99" s="3935"/>
      <c r="J99" s="3935"/>
      <c r="K99" s="3935"/>
      <c r="L99" s="3935"/>
      <c r="M99" s="3935"/>
      <c r="N99" s="3935"/>
      <c r="O99" s="3935"/>
      <c r="P99" s="3935"/>
      <c r="Q99" s="3935"/>
      <c r="R99" s="3935"/>
      <c r="S99" s="3935"/>
      <c r="T99" s="3935"/>
      <c r="U99" s="3935"/>
      <c r="V99" s="3935"/>
      <c r="W99" s="3935"/>
      <c r="X99" s="3935"/>
      <c r="Y99" s="3935"/>
      <c r="Z99" s="3935"/>
      <c r="AA99" s="3935"/>
      <c r="AB99" s="3935"/>
      <c r="AC99" s="3935"/>
      <c r="AD99" s="3935"/>
      <c r="AE99" s="3935"/>
      <c r="AF99" s="3935"/>
      <c r="AG99" s="3935"/>
      <c r="AH99" s="3935"/>
      <c r="AI99" s="3935"/>
      <c r="AJ99" s="3935"/>
      <c r="AK99" s="3935"/>
      <c r="AL99" s="3900"/>
      <c r="AM99" s="3900"/>
    </row>
    <row r="100" spans="1:42" s="1216" customFormat="1" ht="63" customHeight="1">
      <c r="C100" s="949" t="s">
        <v>1400</v>
      </c>
      <c r="D100" s="3907" t="s">
        <v>1464</v>
      </c>
      <c r="E100" s="3907"/>
      <c r="F100" s="3907"/>
      <c r="G100" s="3907"/>
      <c r="H100" s="3907"/>
      <c r="I100" s="3907"/>
      <c r="J100" s="3907"/>
      <c r="K100" s="3907"/>
      <c r="L100" s="3907"/>
      <c r="M100" s="3907"/>
      <c r="N100" s="3907"/>
      <c r="O100" s="3907"/>
      <c r="P100" s="3907"/>
      <c r="Q100" s="3907"/>
      <c r="R100" s="3907"/>
      <c r="S100" s="3907"/>
      <c r="T100" s="3907"/>
      <c r="U100" s="3907"/>
      <c r="V100" s="3907"/>
      <c r="W100" s="3907"/>
      <c r="X100" s="3907"/>
      <c r="Y100" s="3907"/>
      <c r="Z100" s="3907"/>
      <c r="AA100" s="3907"/>
      <c r="AB100" s="3907"/>
      <c r="AC100" s="3907"/>
      <c r="AD100" s="3907"/>
      <c r="AE100" s="3907"/>
      <c r="AF100" s="3907"/>
      <c r="AG100" s="3907"/>
      <c r="AH100" s="3907"/>
      <c r="AI100" s="3907"/>
      <c r="AJ100" s="3907"/>
      <c r="AK100" s="3907"/>
      <c r="AL100" s="3900"/>
      <c r="AM100" s="3900"/>
    </row>
    <row r="101" spans="1:42" s="1216" customFormat="1" ht="18" customHeight="1">
      <c r="B101" s="2243" t="s">
        <v>1418</v>
      </c>
      <c r="C101" s="2243"/>
      <c r="D101" s="2243"/>
      <c r="E101" s="2243"/>
      <c r="F101" s="2243"/>
      <c r="G101" s="2243"/>
      <c r="H101" s="1486"/>
      <c r="I101" s="1486"/>
      <c r="J101" s="1486"/>
      <c r="K101" s="1486"/>
      <c r="L101" s="1486"/>
      <c r="M101" s="1486"/>
      <c r="N101" s="1486"/>
      <c r="O101" s="1486"/>
      <c r="P101" s="1486"/>
      <c r="Q101" s="1486"/>
      <c r="R101" s="1486"/>
      <c r="S101" s="1486"/>
      <c r="T101" s="1486"/>
      <c r="U101" s="1486"/>
      <c r="V101" s="1486"/>
      <c r="W101" s="1486"/>
      <c r="X101" s="1486"/>
      <c r="Y101" s="1486"/>
      <c r="Z101" s="1486"/>
      <c r="AA101" s="1486"/>
      <c r="AB101" s="1486"/>
      <c r="AC101" s="1486"/>
      <c r="AD101" s="1486"/>
      <c r="AE101" s="1486"/>
      <c r="AF101" s="1486"/>
      <c r="AG101" s="1486"/>
      <c r="AH101" s="1486"/>
      <c r="AI101" s="1486"/>
      <c r="AJ101" s="1486"/>
      <c r="AK101" s="1486"/>
      <c r="AL101" s="1486"/>
      <c r="AM101" s="1486"/>
    </row>
    <row r="102" spans="1:42" s="1216" customFormat="1" ht="36" customHeight="1">
      <c r="B102" s="3902"/>
      <c r="C102" s="3903"/>
      <c r="D102" s="3903"/>
      <c r="E102" s="3903"/>
      <c r="F102" s="3903"/>
      <c r="G102" s="3903"/>
      <c r="H102" s="3903"/>
      <c r="I102" s="3903"/>
      <c r="J102" s="3903"/>
      <c r="K102" s="3903"/>
      <c r="L102" s="3903"/>
      <c r="M102" s="3903"/>
      <c r="N102" s="3903"/>
      <c r="O102" s="3903"/>
      <c r="P102" s="3903"/>
      <c r="Q102" s="3903"/>
      <c r="R102" s="3903"/>
      <c r="S102" s="3903"/>
      <c r="T102" s="3903"/>
      <c r="U102" s="3903"/>
      <c r="V102" s="3903"/>
      <c r="W102" s="3903"/>
      <c r="X102" s="3903"/>
      <c r="Y102" s="3903"/>
      <c r="Z102" s="3903"/>
      <c r="AA102" s="3903"/>
      <c r="AB102" s="3903"/>
      <c r="AC102" s="3903"/>
      <c r="AD102" s="3903"/>
      <c r="AE102" s="3903"/>
      <c r="AF102" s="3903"/>
      <c r="AG102" s="3903"/>
      <c r="AH102" s="3903"/>
      <c r="AI102" s="3903"/>
      <c r="AJ102" s="3903"/>
      <c r="AK102" s="3903"/>
      <c r="AL102" s="3903"/>
      <c r="AM102" s="3904"/>
    </row>
    <row r="103" spans="1:42" ht="18" customHeight="1">
      <c r="A103" s="1267"/>
      <c r="B103" s="945" t="s">
        <v>1401</v>
      </c>
      <c r="C103" s="2243" t="s">
        <v>1465</v>
      </c>
      <c r="D103" s="2243"/>
      <c r="E103" s="2243"/>
      <c r="F103" s="2243"/>
      <c r="G103" s="2243"/>
      <c r="H103" s="2243"/>
      <c r="I103" s="2243"/>
      <c r="J103" s="2243"/>
      <c r="K103" s="2243"/>
      <c r="L103" s="2243"/>
      <c r="M103" s="2243"/>
      <c r="N103" s="2243"/>
      <c r="O103" s="2243"/>
      <c r="P103" s="2243"/>
      <c r="Q103" s="2243"/>
      <c r="R103" s="1486"/>
      <c r="S103" s="1486"/>
      <c r="T103" s="1486"/>
      <c r="U103" s="1486"/>
      <c r="V103" s="1486"/>
      <c r="W103" s="1486"/>
      <c r="X103" s="1486"/>
      <c r="Y103" s="1486"/>
      <c r="Z103" s="1486"/>
      <c r="AA103" s="1486"/>
      <c r="AB103" s="1486"/>
      <c r="AC103" s="1486"/>
      <c r="AD103" s="1486"/>
      <c r="AE103" s="1486"/>
      <c r="AF103" s="1486"/>
      <c r="AG103" s="1486"/>
      <c r="AH103" s="1486"/>
      <c r="AI103" s="1486"/>
      <c r="AJ103" s="1486"/>
      <c r="AK103" s="1486"/>
      <c r="AL103" s="1486"/>
      <c r="AM103" s="1486"/>
      <c r="AN103" s="1486"/>
      <c r="AO103" s="1486"/>
      <c r="AP103" s="1486"/>
    </row>
    <row r="104" spans="1:42" s="1286" customFormat="1" ht="18" customHeight="1">
      <c r="A104" s="1267"/>
      <c r="B104" s="945"/>
      <c r="C104" s="2243" t="s">
        <v>1466</v>
      </c>
      <c r="D104" s="2243"/>
      <c r="E104" s="2243"/>
      <c r="F104" s="2243"/>
      <c r="G104" s="2243"/>
      <c r="H104" s="2243"/>
      <c r="I104" s="2243"/>
      <c r="J104" s="2243"/>
      <c r="K104" s="2243"/>
      <c r="L104" s="2243"/>
      <c r="M104" s="2243"/>
      <c r="N104" s="2243"/>
      <c r="O104" s="2243"/>
      <c r="P104" s="2243"/>
      <c r="Q104" s="1486"/>
      <c r="R104" s="1486"/>
      <c r="S104" s="1486"/>
      <c r="T104" s="1486"/>
      <c r="U104" s="1486"/>
      <c r="V104" s="1486"/>
      <c r="W104" s="1486"/>
      <c r="X104" s="1486"/>
      <c r="Y104" s="1486"/>
      <c r="Z104" s="1486"/>
      <c r="AA104" s="1486"/>
      <c r="AB104" s="1486"/>
      <c r="AC104" s="1486"/>
      <c r="AD104" s="1486"/>
      <c r="AE104" s="1486"/>
      <c r="AF104" s="1486"/>
      <c r="AG104" s="1486"/>
      <c r="AH104" s="1486"/>
      <c r="AI104" s="1486"/>
      <c r="AJ104" s="1486"/>
      <c r="AK104" s="1486"/>
      <c r="AL104" s="3900"/>
      <c r="AM104" s="3900"/>
      <c r="AN104" s="1486"/>
      <c r="AO104" s="1486"/>
      <c r="AP104" s="1486"/>
    </row>
    <row r="105" spans="1:42" ht="18" customHeight="1">
      <c r="A105" s="1267"/>
      <c r="B105" s="1511"/>
      <c r="C105" s="950" t="s">
        <v>1397</v>
      </c>
      <c r="D105" s="2243" t="s">
        <v>1467</v>
      </c>
      <c r="E105" s="2243"/>
      <c r="F105" s="2243"/>
      <c r="G105" s="2243"/>
      <c r="H105" s="2243"/>
      <c r="I105" s="2243"/>
      <c r="J105" s="2243"/>
      <c r="K105" s="2243"/>
      <c r="L105" s="2243"/>
      <c r="M105" s="2243"/>
      <c r="N105" s="2243"/>
      <c r="O105" s="2243"/>
      <c r="P105" s="2243"/>
      <c r="Q105" s="2243"/>
      <c r="R105" s="2243"/>
      <c r="S105" s="2243"/>
      <c r="T105" s="1486"/>
      <c r="U105" s="1486"/>
      <c r="V105" s="1486"/>
      <c r="W105" s="1486"/>
      <c r="X105" s="1486"/>
      <c r="Y105" s="1486"/>
      <c r="Z105" s="1486"/>
      <c r="AA105" s="1486"/>
      <c r="AB105" s="1486"/>
      <c r="AC105" s="1486"/>
      <c r="AD105" s="1486"/>
      <c r="AE105" s="1486"/>
      <c r="AF105" s="1486"/>
      <c r="AG105" s="1486"/>
      <c r="AH105" s="1486"/>
      <c r="AI105" s="1486"/>
      <c r="AJ105" s="1486"/>
      <c r="AK105" s="1486"/>
      <c r="AL105" s="3900"/>
      <c r="AM105" s="3900"/>
      <c r="AN105" s="1486"/>
      <c r="AO105" s="1486"/>
      <c r="AP105" s="1486"/>
    </row>
    <row r="106" spans="1:42" ht="18" customHeight="1">
      <c r="A106" s="1486"/>
      <c r="B106" s="1511"/>
      <c r="C106" s="950" t="s">
        <v>1399</v>
      </c>
      <c r="D106" s="951" t="s">
        <v>1402</v>
      </c>
      <c r="E106" s="3899" t="str">
        <f>IF(AND(IsMhp,'Document Checklist'!$AJ$9="Included"),"P","O")</f>
        <v>O</v>
      </c>
      <c r="F106" s="3899"/>
      <c r="G106" s="1486"/>
      <c r="H106" s="1486"/>
      <c r="I106" s="1486"/>
      <c r="J106" s="1486"/>
      <c r="K106" s="1486"/>
      <c r="L106" s="1486"/>
      <c r="M106" s="1486"/>
      <c r="N106" s="1486"/>
      <c r="O106" s="1486"/>
      <c r="P106" s="1486"/>
      <c r="Q106" s="1486"/>
      <c r="R106" s="1486"/>
      <c r="S106" s="1486"/>
      <c r="T106" s="1486"/>
      <c r="U106" s="1486"/>
      <c r="V106" s="1486"/>
      <c r="W106" s="1486"/>
      <c r="X106" s="1486"/>
      <c r="Y106" s="1486"/>
      <c r="Z106" s="1486"/>
      <c r="AA106" s="1486"/>
      <c r="AB106" s="1486"/>
      <c r="AC106" s="1486"/>
      <c r="AD106" s="1486"/>
      <c r="AE106" s="1486"/>
      <c r="AF106" s="1486"/>
      <c r="AG106" s="1486"/>
      <c r="AH106" s="1486"/>
      <c r="AI106" s="1486"/>
      <c r="AJ106" s="1486"/>
      <c r="AK106" s="1486"/>
      <c r="AL106" s="1486"/>
      <c r="AM106" s="1486"/>
      <c r="AN106" s="1486"/>
      <c r="AO106" s="1486"/>
      <c r="AP106" s="1486"/>
    </row>
    <row r="107" spans="1:42" ht="18" customHeight="1">
      <c r="A107" s="1486"/>
      <c r="B107" s="1511"/>
      <c r="C107" s="1511"/>
      <c r="D107" s="951" t="s">
        <v>1403</v>
      </c>
      <c r="E107" s="2243" t="s">
        <v>1468</v>
      </c>
      <c r="F107" s="2243"/>
      <c r="G107" s="2243"/>
      <c r="H107" s="2243"/>
      <c r="I107" s="2243"/>
      <c r="J107" s="2243"/>
      <c r="K107" s="2243"/>
      <c r="L107" s="2243"/>
      <c r="M107" s="2243"/>
      <c r="N107" s="2243"/>
      <c r="O107" s="2243"/>
      <c r="P107" s="2243"/>
      <c r="Q107" s="2243"/>
      <c r="R107" s="2243"/>
      <c r="S107" s="2243"/>
      <c r="T107" s="2243"/>
      <c r="U107" s="2243"/>
      <c r="V107" s="2243"/>
      <c r="W107" s="2243"/>
      <c r="X107" s="2243"/>
      <c r="Y107" s="2243"/>
      <c r="Z107" s="2243"/>
      <c r="AA107" s="2243"/>
      <c r="AB107" s="2243"/>
      <c r="AC107" s="2243"/>
      <c r="AD107" s="2243"/>
      <c r="AE107" s="2243"/>
      <c r="AF107" s="2243"/>
      <c r="AG107" s="2243"/>
      <c r="AH107" s="1486"/>
      <c r="AI107" s="1486"/>
      <c r="AJ107" s="1486"/>
      <c r="AK107" s="1486"/>
      <c r="AL107" s="3900"/>
      <c r="AM107" s="3900"/>
      <c r="AN107" s="1486"/>
      <c r="AO107" s="1486"/>
      <c r="AP107" s="1486"/>
    </row>
    <row r="108" spans="1:42" ht="36" customHeight="1">
      <c r="A108" s="1486"/>
      <c r="B108" s="1511"/>
      <c r="C108" s="1511"/>
      <c r="D108" s="951" t="s">
        <v>1404</v>
      </c>
      <c r="E108" s="3901" t="s">
        <v>1469</v>
      </c>
      <c r="F108" s="3901"/>
      <c r="G108" s="3901"/>
      <c r="H108" s="3901"/>
      <c r="I108" s="3901"/>
      <c r="J108" s="3901"/>
      <c r="K108" s="3901"/>
      <c r="L108" s="3901"/>
      <c r="M108" s="3901"/>
      <c r="N108" s="3901"/>
      <c r="O108" s="3901"/>
      <c r="P108" s="3901"/>
      <c r="Q108" s="3901"/>
      <c r="R108" s="3901"/>
      <c r="S108" s="3901"/>
      <c r="T108" s="3901"/>
      <c r="U108" s="3901"/>
      <c r="V108" s="3901"/>
      <c r="W108" s="3901"/>
      <c r="X108" s="3901"/>
      <c r="Y108" s="3901"/>
      <c r="Z108" s="3901"/>
      <c r="AA108" s="3901"/>
      <c r="AB108" s="3901"/>
      <c r="AC108" s="3901"/>
      <c r="AD108" s="3901"/>
      <c r="AE108" s="3901"/>
      <c r="AF108" s="3901"/>
      <c r="AG108" s="3901"/>
      <c r="AH108" s="3901"/>
      <c r="AI108" s="3901"/>
      <c r="AJ108" s="3901"/>
      <c r="AK108" s="3901"/>
      <c r="AL108" s="3900"/>
      <c r="AM108" s="3900"/>
      <c r="AN108" s="1486"/>
      <c r="AO108" s="1486"/>
      <c r="AP108" s="1486"/>
    </row>
    <row r="109" spans="1:42" ht="35.25" customHeight="1">
      <c r="A109" s="1486"/>
      <c r="B109" s="1511"/>
      <c r="C109" s="1511"/>
      <c r="D109" s="951" t="s">
        <v>1406</v>
      </c>
      <c r="E109" s="3901" t="s">
        <v>1470</v>
      </c>
      <c r="F109" s="3901"/>
      <c r="G109" s="3901"/>
      <c r="H109" s="3901"/>
      <c r="I109" s="3901"/>
      <c r="J109" s="3901"/>
      <c r="K109" s="3901"/>
      <c r="L109" s="3901"/>
      <c r="M109" s="3901"/>
      <c r="N109" s="3901"/>
      <c r="O109" s="3901"/>
      <c r="P109" s="3901"/>
      <c r="Q109" s="3901"/>
      <c r="R109" s="3901"/>
      <c r="S109" s="3901"/>
      <c r="T109" s="3901"/>
      <c r="U109" s="3901"/>
      <c r="V109" s="3901"/>
      <c r="W109" s="3901"/>
      <c r="X109" s="3901"/>
      <c r="Y109" s="3901"/>
      <c r="Z109" s="3901"/>
      <c r="AA109" s="3901"/>
      <c r="AB109" s="3901"/>
      <c r="AC109" s="3901"/>
      <c r="AD109" s="3901"/>
      <c r="AE109" s="3901"/>
      <c r="AF109" s="3901"/>
      <c r="AG109" s="3901"/>
      <c r="AH109" s="3901"/>
      <c r="AI109" s="3901"/>
      <c r="AJ109" s="3901"/>
      <c r="AK109" s="3901"/>
      <c r="AL109" s="3900"/>
      <c r="AM109" s="3900"/>
      <c r="AN109" s="1486"/>
      <c r="AO109" s="1486"/>
      <c r="AP109" s="1486"/>
    </row>
    <row r="110" spans="1:42" s="948" customFormat="1" ht="63" customHeight="1">
      <c r="A110" s="1486"/>
      <c r="B110" s="1511"/>
      <c r="C110" s="1511"/>
      <c r="D110" s="951" t="s">
        <v>1422</v>
      </c>
      <c r="E110" s="3901" t="s">
        <v>1471</v>
      </c>
      <c r="F110" s="3901"/>
      <c r="G110" s="3901"/>
      <c r="H110" s="3901"/>
      <c r="I110" s="3901"/>
      <c r="J110" s="3901"/>
      <c r="K110" s="3901"/>
      <c r="L110" s="3901"/>
      <c r="M110" s="3901"/>
      <c r="N110" s="3901"/>
      <c r="O110" s="3901"/>
      <c r="P110" s="3901"/>
      <c r="Q110" s="3901"/>
      <c r="R110" s="3901"/>
      <c r="S110" s="3901"/>
      <c r="T110" s="3901"/>
      <c r="U110" s="3901"/>
      <c r="V110" s="3901"/>
      <c r="W110" s="3901"/>
      <c r="X110" s="3901"/>
      <c r="Y110" s="3901"/>
      <c r="Z110" s="3901"/>
      <c r="AA110" s="3901"/>
      <c r="AB110" s="3901"/>
      <c r="AC110" s="3901"/>
      <c r="AD110" s="3901"/>
      <c r="AE110" s="3901"/>
      <c r="AF110" s="3901"/>
      <c r="AG110" s="3901"/>
      <c r="AH110" s="3901"/>
      <c r="AI110" s="3901"/>
      <c r="AJ110" s="3901"/>
      <c r="AK110" s="3901"/>
      <c r="AL110" s="3900"/>
      <c r="AM110" s="3900"/>
      <c r="AN110" s="1486"/>
      <c r="AO110" s="1486"/>
      <c r="AP110" s="1486"/>
    </row>
    <row r="111" spans="1:42" s="961" customFormat="1" ht="63" customHeight="1">
      <c r="A111" s="1486"/>
      <c r="B111" s="1511"/>
      <c r="C111" s="950" t="s">
        <v>1400</v>
      </c>
      <c r="D111" s="3908" t="s">
        <v>1472</v>
      </c>
      <c r="E111" s="3908"/>
      <c r="F111" s="3908"/>
      <c r="G111" s="3908"/>
      <c r="H111" s="3908"/>
      <c r="I111" s="3908"/>
      <c r="J111" s="3908"/>
      <c r="K111" s="3908"/>
      <c r="L111" s="3908"/>
      <c r="M111" s="3908"/>
      <c r="N111" s="3908"/>
      <c r="O111" s="3908"/>
      <c r="P111" s="3908"/>
      <c r="Q111" s="3908"/>
      <c r="R111" s="3908"/>
      <c r="S111" s="3908"/>
      <c r="T111" s="3908"/>
      <c r="U111" s="3908"/>
      <c r="V111" s="3908"/>
      <c r="W111" s="3908"/>
      <c r="X111" s="3908"/>
      <c r="Y111" s="3908"/>
      <c r="Z111" s="3908"/>
      <c r="AA111" s="3908"/>
      <c r="AB111" s="3908"/>
      <c r="AC111" s="3908"/>
      <c r="AD111" s="3908"/>
      <c r="AE111" s="3908"/>
      <c r="AF111" s="3908"/>
      <c r="AG111" s="3908"/>
      <c r="AH111" s="3908"/>
      <c r="AI111" s="3908"/>
      <c r="AJ111" s="3908"/>
      <c r="AK111" s="3908"/>
      <c r="AL111" s="3900"/>
      <c r="AM111" s="3900"/>
      <c r="AN111" s="1486"/>
      <c r="AO111" s="1486"/>
      <c r="AP111" s="1486"/>
    </row>
    <row r="112" spans="1:42" s="952" customFormat="1" ht="18" customHeight="1">
      <c r="A112" s="1508"/>
      <c r="B112" s="1508"/>
      <c r="C112" s="950" t="s">
        <v>1401</v>
      </c>
      <c r="D112" s="1486" t="s">
        <v>1473</v>
      </c>
      <c r="E112" s="1486"/>
      <c r="F112" s="1486"/>
      <c r="G112" s="1486"/>
      <c r="H112" s="1486"/>
      <c r="I112" s="1486"/>
      <c r="J112" s="1486"/>
      <c r="K112" s="1486"/>
      <c r="L112" s="1486"/>
      <c r="M112" s="1486"/>
      <c r="N112" s="1486"/>
      <c r="O112" s="2926" t="b">
        <f>Taxcredit="Hybrid"</f>
        <v>0</v>
      </c>
      <c r="P112" s="2928"/>
      <c r="Q112" s="1508"/>
      <c r="R112" s="1508"/>
      <c r="S112" s="1508"/>
      <c r="T112" s="1508"/>
      <c r="U112" s="1508"/>
      <c r="V112" s="1508"/>
      <c r="W112" s="1508"/>
      <c r="X112" s="1508"/>
      <c r="Y112" s="1508"/>
      <c r="Z112" s="1508"/>
      <c r="AA112" s="1508"/>
      <c r="AB112" s="1508"/>
      <c r="AC112" s="1508"/>
      <c r="AD112" s="1508"/>
      <c r="AE112" s="1508"/>
      <c r="AF112" s="1508"/>
      <c r="AG112" s="1508"/>
      <c r="AH112" s="1508"/>
      <c r="AI112" s="1508"/>
      <c r="AJ112" s="1508"/>
      <c r="AK112" s="1508"/>
      <c r="AL112" s="1508"/>
      <c r="AM112" s="1508"/>
      <c r="AN112" s="1508"/>
      <c r="AO112" s="1508"/>
      <c r="AP112" s="1508"/>
    </row>
    <row r="113" spans="1:42" s="952" customFormat="1" ht="36" hidden="1" customHeight="1">
      <c r="A113" s="1508"/>
      <c r="B113" s="1508"/>
      <c r="C113" s="950"/>
      <c r="D113" s="3901" t="s">
        <v>1474</v>
      </c>
      <c r="E113" s="3901"/>
      <c r="F113" s="3901"/>
      <c r="G113" s="3901"/>
      <c r="H113" s="3901"/>
      <c r="I113" s="3901"/>
      <c r="J113" s="3901"/>
      <c r="K113" s="3901"/>
      <c r="L113" s="3901"/>
      <c r="M113" s="3901"/>
      <c r="N113" s="3901"/>
      <c r="O113" s="3901"/>
      <c r="P113" s="3901"/>
      <c r="Q113" s="3901"/>
      <c r="R113" s="3901"/>
      <c r="S113" s="3901"/>
      <c r="T113" s="3901"/>
      <c r="U113" s="3901"/>
      <c r="V113" s="3901"/>
      <c r="W113" s="3901"/>
      <c r="X113" s="3901"/>
      <c r="Y113" s="3901"/>
      <c r="Z113" s="3901"/>
      <c r="AA113" s="3901"/>
      <c r="AB113" s="3901"/>
      <c r="AC113" s="3901"/>
      <c r="AD113" s="3901"/>
      <c r="AE113" s="3901"/>
      <c r="AF113" s="3901"/>
      <c r="AG113" s="3901"/>
      <c r="AH113" s="3901"/>
      <c r="AI113" s="3901"/>
      <c r="AJ113" s="3901"/>
      <c r="AK113" s="3901"/>
      <c r="AL113" s="1727" t="s">
        <v>1475</v>
      </c>
      <c r="AM113" s="1727"/>
      <c r="AN113" s="1508"/>
      <c r="AO113" s="1508"/>
      <c r="AP113" s="1508"/>
    </row>
    <row r="114" spans="1:42" s="948" customFormat="1" ht="18.75" customHeight="1">
      <c r="A114" s="1486"/>
      <c r="B114" s="1486"/>
      <c r="C114" s="950" t="s">
        <v>1412</v>
      </c>
      <c r="D114" s="3899" t="str">
        <f>IF(AND(IsMhp,'Project Overview'!$AL$68="Yes"),"P","O")</f>
        <v>P</v>
      </c>
      <c r="E114" s="3899"/>
      <c r="F114" s="1510"/>
      <c r="G114" s="1510"/>
      <c r="H114" s="1510"/>
      <c r="I114" s="1510"/>
      <c r="J114" s="1510"/>
      <c r="K114" s="1510"/>
      <c r="L114" s="1510"/>
      <c r="M114" s="1510"/>
      <c r="N114" s="1510"/>
      <c r="O114" s="1510"/>
      <c r="P114" s="1510"/>
      <c r="Q114" s="1510"/>
      <c r="R114" s="1510"/>
      <c r="S114" s="1510"/>
      <c r="T114" s="1510"/>
      <c r="U114" s="1510"/>
      <c r="V114" s="1510"/>
      <c r="W114" s="1510"/>
      <c r="X114" s="1510"/>
      <c r="Y114" s="1510"/>
      <c r="Z114" s="1510"/>
      <c r="AA114" s="1510"/>
      <c r="AB114" s="1510"/>
      <c r="AC114" s="1510"/>
      <c r="AD114" s="1510"/>
      <c r="AE114" s="1510"/>
      <c r="AF114" s="1510"/>
      <c r="AG114" s="1510"/>
      <c r="AH114" s="1510"/>
      <c r="AI114" s="1510"/>
      <c r="AJ114" s="1510"/>
      <c r="AK114" s="1510"/>
      <c r="AL114" s="1486"/>
      <c r="AM114" s="1486"/>
      <c r="AN114" s="1486"/>
      <c r="AO114" s="1486"/>
      <c r="AP114" s="1486"/>
    </row>
    <row r="115" spans="1:42" s="1286" customFormat="1" ht="18.75" customHeight="1">
      <c r="A115" s="1486"/>
      <c r="B115" s="2243" t="s">
        <v>1418</v>
      </c>
      <c r="C115" s="2243"/>
      <c r="D115" s="2243"/>
      <c r="E115" s="2243"/>
      <c r="F115" s="2243"/>
      <c r="G115" s="2243"/>
      <c r="H115" s="1486"/>
      <c r="I115" s="1486"/>
      <c r="J115" s="1486"/>
      <c r="K115" s="1486"/>
      <c r="L115" s="1486"/>
      <c r="M115" s="1486"/>
      <c r="N115" s="1486"/>
      <c r="O115" s="1486"/>
      <c r="P115" s="1486"/>
      <c r="Q115" s="1486"/>
      <c r="R115" s="1486"/>
      <c r="S115" s="1486"/>
      <c r="T115" s="1486"/>
      <c r="U115" s="1486"/>
      <c r="V115" s="1486"/>
      <c r="W115" s="1486"/>
      <c r="X115" s="1486"/>
      <c r="Y115" s="1486"/>
      <c r="Z115" s="1486"/>
      <c r="AA115" s="1486"/>
      <c r="AB115" s="1486"/>
      <c r="AC115" s="1486"/>
      <c r="AD115" s="1486"/>
      <c r="AE115" s="1486"/>
      <c r="AF115" s="1486"/>
      <c r="AG115" s="1486"/>
      <c r="AH115" s="1486"/>
      <c r="AI115" s="1486"/>
      <c r="AJ115" s="1486"/>
      <c r="AK115" s="1486"/>
      <c r="AL115" s="1486"/>
      <c r="AM115" s="1486"/>
      <c r="AN115" s="1486"/>
      <c r="AO115" s="1486"/>
      <c r="AP115" s="1486"/>
    </row>
    <row r="116" spans="1:42" s="1286" customFormat="1" ht="36" customHeight="1">
      <c r="A116" s="1486"/>
      <c r="B116" s="3902"/>
      <c r="C116" s="3903"/>
      <c r="D116" s="3903"/>
      <c r="E116" s="3903"/>
      <c r="F116" s="3903"/>
      <c r="G116" s="3903"/>
      <c r="H116" s="3903"/>
      <c r="I116" s="3903"/>
      <c r="J116" s="3903"/>
      <c r="K116" s="3903"/>
      <c r="L116" s="3903"/>
      <c r="M116" s="3903"/>
      <c r="N116" s="3903"/>
      <c r="O116" s="3903"/>
      <c r="P116" s="3903"/>
      <c r="Q116" s="3903"/>
      <c r="R116" s="3903"/>
      <c r="S116" s="3903"/>
      <c r="T116" s="3903"/>
      <c r="U116" s="3903"/>
      <c r="V116" s="3903"/>
      <c r="W116" s="3903"/>
      <c r="X116" s="3903"/>
      <c r="Y116" s="3903"/>
      <c r="Z116" s="3903"/>
      <c r="AA116" s="3903"/>
      <c r="AB116" s="3903"/>
      <c r="AC116" s="3903"/>
      <c r="AD116" s="3903"/>
      <c r="AE116" s="3903"/>
      <c r="AF116" s="3903"/>
      <c r="AG116" s="3903"/>
      <c r="AH116" s="3903"/>
      <c r="AI116" s="3903"/>
      <c r="AJ116" s="3903"/>
      <c r="AK116" s="3903"/>
      <c r="AL116" s="3903"/>
      <c r="AM116" s="3904"/>
      <c r="AN116" s="1486"/>
      <c r="AO116" s="1486"/>
      <c r="AP116" s="1486"/>
    </row>
    <row r="117" spans="1:42" s="961" customFormat="1" ht="18" customHeight="1">
      <c r="A117" s="1486"/>
      <c r="B117" s="945" t="s">
        <v>1412</v>
      </c>
      <c r="C117" s="3899" t="str">
        <f>IF(AND(IsMhp,Scoring!$AK$3&gt;=110),"P","O")</f>
        <v>O</v>
      </c>
      <c r="D117" s="3899"/>
      <c r="E117" s="1486"/>
      <c r="F117" s="1486"/>
      <c r="G117" s="1486"/>
      <c r="H117" s="1486"/>
      <c r="I117" s="1486"/>
      <c r="J117" s="1486"/>
      <c r="K117" s="1486"/>
      <c r="L117" s="1486"/>
      <c r="M117" s="1486"/>
      <c r="N117" s="1486"/>
      <c r="O117" s="1486"/>
      <c r="P117" s="1486"/>
      <c r="Q117" s="1486"/>
      <c r="R117" s="1486"/>
      <c r="S117" s="1486"/>
      <c r="T117" s="1486"/>
      <c r="U117" s="1486"/>
      <c r="V117" s="1486"/>
      <c r="W117" s="1486"/>
      <c r="X117" s="1486"/>
      <c r="Y117" s="1486"/>
      <c r="Z117" s="1486"/>
      <c r="AA117" s="1486"/>
      <c r="AB117" s="1486"/>
      <c r="AC117" s="1486"/>
      <c r="AD117" s="1486"/>
      <c r="AE117" s="1486"/>
      <c r="AF117" s="1486"/>
      <c r="AG117" s="1486"/>
      <c r="AH117" s="1486"/>
      <c r="AI117" s="1486"/>
      <c r="AJ117" s="1486"/>
      <c r="AK117" s="1486"/>
      <c r="AL117" s="1486"/>
      <c r="AM117" s="1486"/>
      <c r="AN117" s="1486"/>
      <c r="AO117" s="1486"/>
      <c r="AP117" s="1486"/>
    </row>
    <row r="118" spans="1:42" s="961" customFormat="1" ht="54" customHeight="1">
      <c r="A118" s="1486"/>
      <c r="B118" s="945" t="s">
        <v>1415</v>
      </c>
      <c r="C118" s="3901" t="s">
        <v>1476</v>
      </c>
      <c r="D118" s="3901"/>
      <c r="E118" s="3901"/>
      <c r="F118" s="3901"/>
      <c r="G118" s="3901"/>
      <c r="H118" s="3901"/>
      <c r="I118" s="3901"/>
      <c r="J118" s="3901"/>
      <c r="K118" s="3901"/>
      <c r="L118" s="3901"/>
      <c r="M118" s="3901"/>
      <c r="N118" s="3901"/>
      <c r="O118" s="3901"/>
      <c r="P118" s="3901"/>
      <c r="Q118" s="3901"/>
      <c r="R118" s="3901"/>
      <c r="S118" s="3901"/>
      <c r="T118" s="3901"/>
      <c r="U118" s="3901"/>
      <c r="V118" s="3901"/>
      <c r="W118" s="3901"/>
      <c r="X118" s="3901"/>
      <c r="Y118" s="3901"/>
      <c r="Z118" s="3901"/>
      <c r="AA118" s="3901"/>
      <c r="AB118" s="3901"/>
      <c r="AC118" s="3901"/>
      <c r="AD118" s="3901"/>
      <c r="AE118" s="3901"/>
      <c r="AF118" s="3901"/>
      <c r="AG118" s="3901"/>
      <c r="AH118" s="3901"/>
      <c r="AI118" s="3901"/>
      <c r="AJ118" s="3901"/>
      <c r="AK118" s="3917"/>
      <c r="AL118" s="3929"/>
      <c r="AM118" s="3930"/>
      <c r="AN118" s="1486"/>
      <c r="AO118" s="1486"/>
      <c r="AP118" s="1486"/>
    </row>
    <row r="119" spans="1:42" s="948" customFormat="1" ht="36" customHeight="1">
      <c r="A119" s="988"/>
      <c r="B119" s="945" t="s">
        <v>1438</v>
      </c>
      <c r="C119" s="3901" t="s">
        <v>1477</v>
      </c>
      <c r="D119" s="3901"/>
      <c r="E119" s="3901"/>
      <c r="F119" s="3901"/>
      <c r="G119" s="3901"/>
      <c r="H119" s="3901"/>
      <c r="I119" s="3901"/>
      <c r="J119" s="3901"/>
      <c r="K119" s="3901"/>
      <c r="L119" s="3901"/>
      <c r="M119" s="3901"/>
      <c r="N119" s="3901"/>
      <c r="O119" s="3901"/>
      <c r="P119" s="3901"/>
      <c r="Q119" s="3901"/>
      <c r="R119" s="3901"/>
      <c r="S119" s="3901"/>
      <c r="T119" s="3901"/>
      <c r="U119" s="3901"/>
      <c r="V119" s="3901"/>
      <c r="W119" s="3901"/>
      <c r="X119" s="3901"/>
      <c r="Y119" s="3901"/>
      <c r="Z119" s="3901"/>
      <c r="AA119" s="3901"/>
      <c r="AB119" s="3901"/>
      <c r="AC119" s="3901"/>
      <c r="AD119" s="3901"/>
      <c r="AE119" s="3901"/>
      <c r="AF119" s="3901"/>
      <c r="AG119" s="3901"/>
      <c r="AH119" s="3901"/>
      <c r="AI119" s="3901"/>
      <c r="AJ119" s="3901"/>
      <c r="AK119" s="3917"/>
      <c r="AL119" s="3900"/>
      <c r="AM119" s="3900"/>
      <c r="AN119" s="1486"/>
      <c r="AO119" s="1486"/>
      <c r="AP119" s="1486"/>
    </row>
    <row r="120" spans="1:42" s="948" customFormat="1" ht="18" customHeight="1">
      <c r="A120" s="1486"/>
      <c r="B120" s="945" t="s">
        <v>1439</v>
      </c>
      <c r="C120" s="3899" t="str">
        <f>IF(AND(IsMhp,'Project Overview'!$AL$419="Yes"),"P","O")</f>
        <v>O</v>
      </c>
      <c r="D120" s="3899"/>
      <c r="E120" s="1510"/>
      <c r="F120" s="1510"/>
      <c r="G120" s="1510"/>
      <c r="H120" s="1510"/>
      <c r="I120" s="1510"/>
      <c r="J120" s="1510"/>
      <c r="K120" s="1510"/>
      <c r="L120" s="1510"/>
      <c r="M120" s="1510"/>
      <c r="N120" s="1510"/>
      <c r="O120" s="1510"/>
      <c r="P120" s="1510"/>
      <c r="Q120" s="1510"/>
      <c r="R120" s="1510"/>
      <c r="S120" s="1510"/>
      <c r="T120" s="1510"/>
      <c r="U120" s="1510"/>
      <c r="V120" s="1510"/>
      <c r="W120" s="1510"/>
      <c r="X120" s="1510"/>
      <c r="Y120" s="1510"/>
      <c r="Z120" s="1510"/>
      <c r="AA120" s="1510"/>
      <c r="AB120" s="1510"/>
      <c r="AC120" s="1510"/>
      <c r="AD120" s="1510"/>
      <c r="AE120" s="1510"/>
      <c r="AF120" s="1510"/>
      <c r="AG120" s="1510"/>
      <c r="AH120" s="1510"/>
      <c r="AI120" s="1510"/>
      <c r="AJ120" s="1510"/>
      <c r="AK120" s="1510"/>
      <c r="AL120" s="1510"/>
      <c r="AM120" s="1531"/>
      <c r="AN120" s="1500"/>
      <c r="AO120" s="1486"/>
      <c r="AP120" s="1486"/>
    </row>
    <row r="121" spans="1:42" s="948" customFormat="1" ht="36" customHeight="1">
      <c r="A121" s="1486"/>
      <c r="B121" s="945" t="s">
        <v>402</v>
      </c>
      <c r="C121" s="3901" t="s">
        <v>1478</v>
      </c>
      <c r="D121" s="3901"/>
      <c r="E121" s="3901"/>
      <c r="F121" s="3901"/>
      <c r="G121" s="3901"/>
      <c r="H121" s="3901"/>
      <c r="I121" s="3901"/>
      <c r="J121" s="3901"/>
      <c r="K121" s="3901"/>
      <c r="L121" s="3901"/>
      <c r="M121" s="3901"/>
      <c r="N121" s="3901"/>
      <c r="O121" s="3901"/>
      <c r="P121" s="3901"/>
      <c r="Q121" s="3901"/>
      <c r="R121" s="3901"/>
      <c r="S121" s="3901"/>
      <c r="T121" s="3901"/>
      <c r="U121" s="3901"/>
      <c r="V121" s="3901"/>
      <c r="W121" s="3901"/>
      <c r="X121" s="3901"/>
      <c r="Y121" s="3901"/>
      <c r="Z121" s="3901"/>
      <c r="AA121" s="3901"/>
      <c r="AB121" s="3901"/>
      <c r="AC121" s="3901"/>
      <c r="AD121" s="3901"/>
      <c r="AE121" s="3901"/>
      <c r="AF121" s="3901"/>
      <c r="AG121" s="3901"/>
      <c r="AH121" s="3901"/>
      <c r="AI121" s="3901"/>
      <c r="AJ121" s="3901"/>
      <c r="AK121" s="3917"/>
      <c r="AL121" s="3900"/>
      <c r="AM121" s="3900"/>
      <c r="AN121" s="1486"/>
      <c r="AO121" s="1486"/>
      <c r="AP121" s="1486"/>
    </row>
    <row r="122" spans="1:42" s="948" customFormat="1" ht="18" customHeight="1">
      <c r="A122" s="1486"/>
      <c r="B122" s="945" t="s">
        <v>1449</v>
      </c>
      <c r="C122" s="3899" t="str">
        <f>IF(AND(IsMhp,'Project Overview'!AL79="Yes"),"P","O")</f>
        <v>P</v>
      </c>
      <c r="D122" s="3899"/>
      <c r="E122" s="1622"/>
      <c r="F122" s="1622"/>
      <c r="G122" s="1622"/>
      <c r="H122" s="1622"/>
      <c r="I122" s="1622"/>
      <c r="J122" s="1622"/>
      <c r="K122" s="1622"/>
      <c r="L122" s="1622"/>
      <c r="M122" s="1622"/>
      <c r="N122" s="1622"/>
      <c r="O122" s="1622"/>
      <c r="P122" s="1622"/>
      <c r="Q122" s="1622"/>
      <c r="R122" s="1622"/>
      <c r="S122" s="1622"/>
      <c r="T122" s="1622"/>
      <c r="U122" s="1622"/>
      <c r="V122" s="1622"/>
      <c r="W122" s="1622"/>
      <c r="X122" s="1622"/>
      <c r="Y122" s="1622"/>
      <c r="Z122" s="1622"/>
      <c r="AA122" s="1622"/>
      <c r="AB122" s="1622"/>
      <c r="AC122" s="1622"/>
      <c r="AD122" s="1622"/>
      <c r="AE122" s="1622"/>
      <c r="AF122" s="1622"/>
      <c r="AG122" s="1622"/>
      <c r="AH122" s="1622"/>
      <c r="AI122" s="1622"/>
      <c r="AJ122" s="1622"/>
      <c r="AK122" s="1622"/>
      <c r="AL122" s="1622"/>
      <c r="AM122" s="1623"/>
      <c r="AN122" s="1621"/>
      <c r="AO122" s="872"/>
      <c r="AP122" s="1486" t="s">
        <v>1479</v>
      </c>
    </row>
    <row r="123" spans="1:42" s="948" customFormat="1" ht="54" customHeight="1">
      <c r="A123" s="1267"/>
      <c r="B123" s="945" t="s">
        <v>1460</v>
      </c>
      <c r="C123" s="3901" t="s">
        <v>1480</v>
      </c>
      <c r="D123" s="3901"/>
      <c r="E123" s="3901"/>
      <c r="F123" s="3901"/>
      <c r="G123" s="3901"/>
      <c r="H123" s="3901"/>
      <c r="I123" s="3901"/>
      <c r="J123" s="3901"/>
      <c r="K123" s="3901"/>
      <c r="L123" s="3901"/>
      <c r="M123" s="3901"/>
      <c r="N123" s="3901"/>
      <c r="O123" s="3901"/>
      <c r="P123" s="3901"/>
      <c r="Q123" s="3901"/>
      <c r="R123" s="3901"/>
      <c r="S123" s="3901"/>
      <c r="T123" s="3901"/>
      <c r="U123" s="3901"/>
      <c r="V123" s="3901"/>
      <c r="W123" s="3901"/>
      <c r="X123" s="3901"/>
      <c r="Y123" s="3901"/>
      <c r="Z123" s="3901"/>
      <c r="AA123" s="3901"/>
      <c r="AB123" s="3901"/>
      <c r="AC123" s="3901"/>
      <c r="AD123" s="3901"/>
      <c r="AE123" s="3901"/>
      <c r="AF123" s="3901"/>
      <c r="AG123" s="3901"/>
      <c r="AH123" s="3901"/>
      <c r="AI123" s="3901"/>
      <c r="AJ123" s="3901"/>
      <c r="AK123" s="3901"/>
      <c r="AL123" s="3900"/>
      <c r="AM123" s="3900"/>
      <c r="AN123" s="1486"/>
      <c r="AO123" s="1486"/>
      <c r="AP123" s="1486"/>
    </row>
    <row r="124" spans="1:42" s="948" customFormat="1" ht="30" customHeight="1">
      <c r="A124" s="1267"/>
      <c r="B124" s="945" t="s">
        <v>1481</v>
      </c>
      <c r="C124" s="3901" t="s">
        <v>1482</v>
      </c>
      <c r="D124" s="3901"/>
      <c r="E124" s="3901"/>
      <c r="F124" s="3901"/>
      <c r="G124" s="3901"/>
      <c r="H124" s="3901"/>
      <c r="I124" s="3901"/>
      <c r="J124" s="3901"/>
      <c r="K124" s="3901"/>
      <c r="L124" s="3901"/>
      <c r="M124" s="3901"/>
      <c r="N124" s="3901"/>
      <c r="O124" s="3901"/>
      <c r="P124" s="3901"/>
      <c r="Q124" s="3901"/>
      <c r="R124" s="3901"/>
      <c r="S124" s="3901"/>
      <c r="T124" s="3901"/>
      <c r="U124" s="3901"/>
      <c r="V124" s="3901"/>
      <c r="W124" s="3901"/>
      <c r="X124" s="3901"/>
      <c r="Y124" s="3901"/>
      <c r="Z124" s="3901"/>
      <c r="AA124" s="3901"/>
      <c r="AB124" s="3901"/>
      <c r="AC124" s="3901"/>
      <c r="AD124" s="3901"/>
      <c r="AE124" s="3901"/>
      <c r="AF124" s="3901"/>
      <c r="AG124" s="3901"/>
      <c r="AH124" s="3901"/>
      <c r="AI124" s="3901"/>
      <c r="AJ124" s="3901"/>
      <c r="AK124" s="3901"/>
      <c r="AL124" s="3900"/>
      <c r="AM124" s="3900"/>
      <c r="AN124" s="1486"/>
      <c r="AO124" s="872"/>
      <c r="AP124" s="1486" t="s">
        <v>1483</v>
      </c>
    </row>
    <row r="125" spans="1:42" s="948" customFormat="1" ht="18" customHeight="1">
      <c r="A125" s="1267"/>
      <c r="B125" s="945" t="s">
        <v>1484</v>
      </c>
      <c r="C125" s="2243" t="s">
        <v>1485</v>
      </c>
      <c r="D125" s="2243"/>
      <c r="E125" s="2243"/>
      <c r="F125" s="2243"/>
      <c r="G125" s="2243"/>
      <c r="H125" s="2243"/>
      <c r="I125" s="2243"/>
      <c r="J125" s="2243"/>
      <c r="K125" s="2243"/>
      <c r="L125" s="2243"/>
      <c r="M125" s="2243"/>
      <c r="N125" s="2243"/>
      <c r="O125" s="2243"/>
      <c r="P125" s="2243"/>
      <c r="Q125" s="2243"/>
      <c r="R125" s="2243"/>
      <c r="S125" s="2243"/>
      <c r="T125" s="2243"/>
      <c r="U125" s="2243"/>
      <c r="V125" s="2243"/>
      <c r="W125" s="2243"/>
      <c r="X125" s="2243"/>
      <c r="Y125" s="2243"/>
      <c r="Z125" s="2243"/>
      <c r="AA125" s="1486"/>
      <c r="AB125" s="1486"/>
      <c r="AC125" s="1508"/>
      <c r="AD125" s="1486"/>
      <c r="AE125" s="1486"/>
      <c r="AF125" s="1510"/>
      <c r="AG125" s="1510"/>
      <c r="AH125" s="1510"/>
      <c r="AI125" s="1510"/>
      <c r="AJ125" s="1510"/>
      <c r="AK125" s="1510"/>
      <c r="AL125" s="3900"/>
      <c r="AM125" s="3900"/>
      <c r="AN125" s="1500"/>
      <c r="AO125" s="1486"/>
      <c r="AP125" s="1486"/>
    </row>
    <row r="126" spans="1:42" s="948" customFormat="1" ht="63" customHeight="1">
      <c r="A126" s="1267"/>
      <c r="B126" s="945" t="s">
        <v>1486</v>
      </c>
      <c r="C126" s="3901" t="s">
        <v>1487</v>
      </c>
      <c r="D126" s="3901"/>
      <c r="E126" s="3901"/>
      <c r="F126" s="3901"/>
      <c r="G126" s="3901"/>
      <c r="H126" s="3901"/>
      <c r="I126" s="3901"/>
      <c r="J126" s="3901"/>
      <c r="K126" s="3901"/>
      <c r="L126" s="3901"/>
      <c r="M126" s="3901"/>
      <c r="N126" s="3901"/>
      <c r="O126" s="3901"/>
      <c r="P126" s="3901"/>
      <c r="Q126" s="3901"/>
      <c r="R126" s="3901"/>
      <c r="S126" s="3901"/>
      <c r="T126" s="3901"/>
      <c r="U126" s="3901"/>
      <c r="V126" s="3901"/>
      <c r="W126" s="3901"/>
      <c r="X126" s="3901"/>
      <c r="Y126" s="3901"/>
      <c r="Z126" s="3901"/>
      <c r="AA126" s="3901"/>
      <c r="AB126" s="3901"/>
      <c r="AC126" s="3901"/>
      <c r="AD126" s="3901"/>
      <c r="AE126" s="3901"/>
      <c r="AF126" s="3901"/>
      <c r="AG126" s="3901"/>
      <c r="AH126" s="3901"/>
      <c r="AI126" s="3901"/>
      <c r="AJ126" s="3901"/>
      <c r="AK126" s="1486"/>
      <c r="AL126" s="3900"/>
      <c r="AM126" s="3900"/>
      <c r="AN126" s="1486"/>
      <c r="AO126" s="1486"/>
      <c r="AP126" s="1486"/>
    </row>
    <row r="127" spans="1:42" s="1286" customFormat="1" ht="18" customHeight="1">
      <c r="A127" s="1267"/>
      <c r="B127" s="945"/>
      <c r="C127" s="1433" t="s">
        <v>1402</v>
      </c>
      <c r="D127" s="3901" t="s">
        <v>1488</v>
      </c>
      <c r="E127" s="3901"/>
      <c r="F127" s="3901"/>
      <c r="G127" s="3901"/>
      <c r="H127" s="3901"/>
      <c r="I127" s="3901"/>
      <c r="J127" s="3901"/>
      <c r="K127" s="3901"/>
      <c r="L127" s="3901"/>
      <c r="M127" s="3901"/>
      <c r="N127" s="3901"/>
      <c r="O127" s="3901"/>
      <c r="P127" s="3901"/>
      <c r="Q127" s="3901"/>
      <c r="R127" s="3901"/>
      <c r="S127" s="3901"/>
      <c r="T127" s="3901"/>
      <c r="U127" s="3901"/>
      <c r="V127" s="3901"/>
      <c r="W127" s="3901"/>
      <c r="X127" s="3901"/>
      <c r="Y127" s="3901"/>
      <c r="Z127" s="3901"/>
      <c r="AA127" s="3901"/>
      <c r="AB127" s="3901"/>
      <c r="AC127" s="3901"/>
      <c r="AD127" s="3901"/>
      <c r="AE127" s="3901"/>
      <c r="AF127" s="3901"/>
      <c r="AG127" s="3901"/>
      <c r="AH127" s="3901"/>
      <c r="AI127" s="3901"/>
      <c r="AJ127" s="3901"/>
      <c r="AK127" s="3901"/>
      <c r="AL127" s="1510"/>
      <c r="AM127" s="1510"/>
      <c r="AN127" s="1486"/>
      <c r="AO127" s="1486"/>
      <c r="AP127" s="1486"/>
    </row>
    <row r="128" spans="1:42" s="948" customFormat="1" ht="36" customHeight="1">
      <c r="A128" s="1486"/>
      <c r="B128" s="1511"/>
      <c r="C128" s="1434"/>
      <c r="D128" s="1486" t="s">
        <v>1408</v>
      </c>
      <c r="E128" s="3901" t="s">
        <v>1489</v>
      </c>
      <c r="F128" s="3901"/>
      <c r="G128" s="3901"/>
      <c r="H128" s="3901"/>
      <c r="I128" s="3901"/>
      <c r="J128" s="3901"/>
      <c r="K128" s="3901"/>
      <c r="L128" s="3901"/>
      <c r="M128" s="3901"/>
      <c r="N128" s="3901"/>
      <c r="O128" s="3901"/>
      <c r="P128" s="3901"/>
      <c r="Q128" s="3901"/>
      <c r="R128" s="3901"/>
      <c r="S128" s="3901"/>
      <c r="T128" s="3901"/>
      <c r="U128" s="3901"/>
      <c r="V128" s="3901"/>
      <c r="W128" s="3901"/>
      <c r="X128" s="3901"/>
      <c r="Y128" s="3901"/>
      <c r="Z128" s="3901"/>
      <c r="AA128" s="3901"/>
      <c r="AB128" s="3901"/>
      <c r="AC128" s="3901"/>
      <c r="AD128" s="3901"/>
      <c r="AE128" s="3901"/>
      <c r="AF128" s="3901"/>
      <c r="AG128" s="3901"/>
      <c r="AH128" s="3901"/>
      <c r="AI128" s="3901"/>
      <c r="AJ128" s="3901"/>
      <c r="AK128" s="3901"/>
      <c r="AL128" s="1486"/>
      <c r="AM128" s="1486"/>
      <c r="AN128" s="1486"/>
      <c r="AO128" s="1486"/>
      <c r="AP128" s="1486"/>
    </row>
    <row r="129" spans="1:42" s="948" customFormat="1" ht="18" customHeight="1">
      <c r="A129" s="1486"/>
      <c r="B129" s="1511"/>
      <c r="C129" s="1434"/>
      <c r="D129" s="1486" t="s">
        <v>1409</v>
      </c>
      <c r="E129" s="2243" t="s">
        <v>1490</v>
      </c>
      <c r="F129" s="2243"/>
      <c r="G129" s="2243"/>
      <c r="H129" s="2243"/>
      <c r="I129" s="2243"/>
      <c r="J129" s="2243"/>
      <c r="K129" s="2243"/>
      <c r="L129" s="2243"/>
      <c r="M129" s="2243"/>
      <c r="N129" s="2243"/>
      <c r="O129" s="2243"/>
      <c r="P129" s="2243"/>
      <c r="Q129" s="2243"/>
      <c r="R129" s="2243"/>
      <c r="S129" s="2243"/>
      <c r="T129" s="2243"/>
      <c r="U129" s="2243"/>
      <c r="V129" s="2243"/>
      <c r="W129" s="2243"/>
      <c r="X129" s="2243"/>
      <c r="Y129" s="2243"/>
      <c r="Z129" s="2243"/>
      <c r="AA129" s="2243"/>
      <c r="AB129" s="2243"/>
      <c r="AC129" s="2243"/>
      <c r="AD129" s="2243"/>
      <c r="AE129" s="2243"/>
      <c r="AF129" s="2243"/>
      <c r="AG129" s="2243"/>
      <c r="AH129" s="2243"/>
      <c r="AI129" s="2243"/>
      <c r="AJ129" s="2243"/>
      <c r="AK129" s="2243"/>
      <c r="AL129" s="1486"/>
      <c r="AM129" s="1486"/>
      <c r="AN129" s="1486"/>
      <c r="AO129" s="1486"/>
      <c r="AP129" s="1486"/>
    </row>
    <row r="130" spans="1:42" s="948" customFormat="1" ht="18" customHeight="1">
      <c r="A130" s="1486"/>
      <c r="B130" s="2243" t="s">
        <v>1418</v>
      </c>
      <c r="C130" s="2243"/>
      <c r="D130" s="2243"/>
      <c r="E130" s="2243"/>
      <c r="F130" s="2243"/>
      <c r="G130" s="2243"/>
      <c r="H130" s="1486"/>
      <c r="I130" s="1486"/>
      <c r="J130" s="1486"/>
      <c r="K130" s="1486"/>
      <c r="L130" s="1486"/>
      <c r="M130" s="1486"/>
      <c r="N130" s="1486"/>
      <c r="O130" s="1486"/>
      <c r="P130" s="1486"/>
      <c r="Q130" s="1486"/>
      <c r="R130" s="1486"/>
      <c r="S130" s="1486"/>
      <c r="T130" s="1486"/>
      <c r="U130" s="1486"/>
      <c r="V130" s="1486"/>
      <c r="W130" s="1486"/>
      <c r="X130" s="1486"/>
      <c r="Y130" s="1486"/>
      <c r="Z130" s="1486"/>
      <c r="AA130" s="1486"/>
      <c r="AB130" s="1486"/>
      <c r="AC130" s="1486"/>
      <c r="AD130" s="1486"/>
      <c r="AE130" s="1486"/>
      <c r="AF130" s="1486"/>
      <c r="AG130" s="1486"/>
      <c r="AH130" s="1486"/>
      <c r="AI130" s="1486"/>
      <c r="AJ130" s="1486"/>
      <c r="AK130" s="1486"/>
      <c r="AL130" s="1486"/>
      <c r="AM130" s="1486"/>
      <c r="AN130" s="1486"/>
      <c r="AO130" s="1486"/>
      <c r="AP130" s="1486"/>
    </row>
    <row r="131" spans="1:42" s="1286" customFormat="1" ht="54" customHeight="1">
      <c r="A131" s="1486"/>
      <c r="B131" s="3902"/>
      <c r="C131" s="3903"/>
      <c r="D131" s="3903"/>
      <c r="E131" s="3903"/>
      <c r="F131" s="3903"/>
      <c r="G131" s="3903"/>
      <c r="H131" s="3903"/>
      <c r="I131" s="3903"/>
      <c r="J131" s="3903"/>
      <c r="K131" s="3903"/>
      <c r="L131" s="3903"/>
      <c r="M131" s="3903"/>
      <c r="N131" s="3903"/>
      <c r="O131" s="3903"/>
      <c r="P131" s="3903"/>
      <c r="Q131" s="3903"/>
      <c r="R131" s="3903"/>
      <c r="S131" s="3903"/>
      <c r="T131" s="3903"/>
      <c r="U131" s="3903"/>
      <c r="V131" s="3903"/>
      <c r="W131" s="3903"/>
      <c r="X131" s="3903"/>
      <c r="Y131" s="3903"/>
      <c r="Z131" s="3903"/>
      <c r="AA131" s="3903"/>
      <c r="AB131" s="3903"/>
      <c r="AC131" s="3903"/>
      <c r="AD131" s="3903"/>
      <c r="AE131" s="3903"/>
      <c r="AF131" s="3903"/>
      <c r="AG131" s="3903"/>
      <c r="AH131" s="3903"/>
      <c r="AI131" s="3903"/>
      <c r="AJ131" s="3903"/>
      <c r="AK131" s="3903"/>
      <c r="AL131" s="3903"/>
      <c r="AM131" s="3904"/>
      <c r="AN131" s="1486"/>
      <c r="AO131" s="1486"/>
      <c r="AP131" s="1486"/>
    </row>
    <row r="132" spans="1:42" s="1286" customFormat="1" ht="18" customHeight="1">
      <c r="A132" s="1486"/>
      <c r="B132" s="1511"/>
      <c r="C132" s="1511"/>
      <c r="D132" s="1486"/>
      <c r="E132" s="1486"/>
      <c r="F132" s="1486"/>
      <c r="G132" s="1486"/>
      <c r="H132" s="1486"/>
      <c r="I132" s="1486"/>
      <c r="J132" s="1486"/>
      <c r="K132" s="1486"/>
      <c r="L132" s="1486"/>
      <c r="M132" s="1486"/>
      <c r="N132" s="1486"/>
      <c r="O132" s="1486"/>
      <c r="P132" s="1486"/>
      <c r="Q132" s="1486"/>
      <c r="R132" s="1486"/>
      <c r="S132" s="1486"/>
      <c r="T132" s="1486"/>
      <c r="U132" s="1486"/>
      <c r="V132" s="1486"/>
      <c r="W132" s="1486"/>
      <c r="X132" s="1486"/>
      <c r="Y132" s="1486"/>
      <c r="Z132" s="1486"/>
      <c r="AA132" s="1486"/>
      <c r="AB132" s="1486"/>
      <c r="AC132" s="1486"/>
      <c r="AD132" s="1486"/>
      <c r="AE132" s="1486"/>
      <c r="AF132" s="1486"/>
      <c r="AG132" s="1486"/>
      <c r="AH132" s="1486"/>
      <c r="AI132" s="1486"/>
      <c r="AJ132" s="1486"/>
      <c r="AK132" s="1486"/>
      <c r="AL132" s="1486"/>
      <c r="AM132" s="1486"/>
      <c r="AN132" s="1486"/>
      <c r="AO132" s="1486"/>
      <c r="AP132" s="1486"/>
    </row>
    <row r="133" spans="1:42" s="948" customFormat="1" ht="18" customHeight="1">
      <c r="A133" s="1486"/>
      <c r="B133" s="3916" t="s">
        <v>1491</v>
      </c>
      <c r="C133" s="3916"/>
      <c r="D133" s="3916"/>
      <c r="E133" s="3916"/>
      <c r="F133" s="3916"/>
      <c r="G133" s="3916"/>
      <c r="H133" s="3916"/>
      <c r="I133" s="3916"/>
      <c r="J133" s="3916"/>
      <c r="K133" s="3916"/>
      <c r="L133" s="3916"/>
      <c r="M133" s="3916"/>
      <c r="N133" s="3916"/>
      <c r="O133" s="3916"/>
      <c r="P133" s="3916"/>
      <c r="Q133" s="3916"/>
      <c r="R133" s="3916"/>
      <c r="S133" s="3916"/>
      <c r="T133" s="3916"/>
      <c r="U133" s="3916"/>
      <c r="V133" s="3916"/>
      <c r="W133" s="3916"/>
      <c r="X133" s="3916"/>
      <c r="Y133" s="3916"/>
      <c r="Z133" s="3916"/>
      <c r="AA133" s="3916"/>
      <c r="AB133" s="3916"/>
      <c r="AC133" s="3916"/>
      <c r="AD133" s="3916"/>
      <c r="AE133" s="3916"/>
      <c r="AF133" s="3916"/>
      <c r="AG133" s="3916"/>
      <c r="AH133" s="3916"/>
      <c r="AI133" s="3916"/>
      <c r="AJ133" s="3916"/>
      <c r="AK133" s="3916"/>
      <c r="AL133" s="3916"/>
      <c r="AM133" s="3916"/>
      <c r="AN133" s="1486"/>
      <c r="AO133" s="1486"/>
      <c r="AP133" s="1486"/>
    </row>
    <row r="134" spans="1:42" s="948" customFormat="1" ht="18" customHeight="1">
      <c r="A134" s="1486"/>
      <c r="B134" s="1511"/>
      <c r="C134" s="1511"/>
      <c r="D134" s="1486"/>
      <c r="E134" s="1486"/>
      <c r="F134" s="1486"/>
      <c r="G134" s="1486"/>
      <c r="H134" s="1486"/>
      <c r="I134" s="1486"/>
      <c r="J134" s="1486"/>
      <c r="K134" s="1486"/>
      <c r="L134" s="1486"/>
      <c r="M134" s="1486"/>
      <c r="N134" s="1486"/>
      <c r="O134" s="1486"/>
      <c r="P134" s="1486"/>
      <c r="Q134" s="1486"/>
      <c r="R134" s="1486"/>
      <c r="S134" s="1486"/>
      <c r="T134" s="1486"/>
      <c r="U134" s="1486"/>
      <c r="V134" s="1486"/>
      <c r="W134" s="1486"/>
      <c r="X134" s="1486"/>
      <c r="Y134" s="1486"/>
      <c r="Z134" s="1486"/>
      <c r="AA134" s="1486"/>
      <c r="AB134" s="1486"/>
      <c r="AC134" s="1486"/>
      <c r="AD134" s="1486"/>
      <c r="AE134" s="1486"/>
      <c r="AF134" s="1486"/>
      <c r="AG134" s="1486"/>
      <c r="AH134" s="1486"/>
      <c r="AI134" s="1486"/>
      <c r="AJ134" s="1486"/>
      <c r="AK134" s="1486"/>
      <c r="AL134" s="1486"/>
      <c r="AM134" s="1486"/>
      <c r="AN134" s="1486"/>
      <c r="AO134" s="1486"/>
      <c r="AP134" s="1486"/>
    </row>
    <row r="135" spans="1:42" s="1286" customFormat="1" ht="18" customHeight="1">
      <c r="A135" s="986"/>
      <c r="B135" s="2243" t="s">
        <v>1492</v>
      </c>
      <c r="C135" s="2243"/>
      <c r="D135" s="2243"/>
      <c r="E135" s="2243"/>
      <c r="F135" s="2243"/>
      <c r="G135" s="2243"/>
      <c r="H135" s="2243"/>
      <c r="I135" s="2243"/>
      <c r="J135" s="3905"/>
      <c r="K135" s="1500"/>
      <c r="L135" s="1486"/>
      <c r="M135" s="1486"/>
      <c r="N135" s="1486"/>
      <c r="O135" s="1486"/>
      <c r="P135" s="1486"/>
      <c r="Q135" s="1486"/>
      <c r="R135" s="3900"/>
      <c r="S135" s="3900"/>
      <c r="T135" s="1486"/>
      <c r="U135" s="1486"/>
      <c r="V135" s="1486"/>
      <c r="W135" s="1486"/>
      <c r="X135" s="1486"/>
      <c r="Y135" s="1486"/>
      <c r="Z135" s="1486"/>
      <c r="AA135" s="1486"/>
      <c r="AB135" s="1486"/>
      <c r="AC135" s="1486"/>
      <c r="AD135" s="1486"/>
      <c r="AE135" s="1486"/>
      <c r="AF135" s="1486"/>
      <c r="AG135" s="1486"/>
      <c r="AH135" s="1486"/>
      <c r="AI135" s="1486"/>
      <c r="AJ135" s="1486"/>
      <c r="AK135" s="1486"/>
      <c r="AL135" s="1486"/>
      <c r="AM135" s="1486"/>
      <c r="AN135" s="1486"/>
      <c r="AO135" s="1486"/>
      <c r="AP135" s="1486"/>
    </row>
    <row r="136" spans="1:42" s="948" customFormat="1" ht="18" customHeight="1">
      <c r="A136" s="986"/>
      <c r="B136" s="2243" t="s">
        <v>1493</v>
      </c>
      <c r="C136" s="2243"/>
      <c r="D136" s="2243"/>
      <c r="E136" s="2243"/>
      <c r="F136" s="2243"/>
      <c r="G136" s="2243"/>
      <c r="H136" s="2243"/>
      <c r="I136" s="2243"/>
      <c r="J136" s="3905"/>
      <c r="K136" s="1500"/>
      <c r="L136" s="1486"/>
      <c r="M136" s="1486"/>
      <c r="N136" s="1486"/>
      <c r="O136" s="1486"/>
      <c r="P136" s="1486"/>
      <c r="Q136" s="1486"/>
      <c r="R136" s="3900"/>
      <c r="S136" s="3900"/>
      <c r="T136" s="1486"/>
      <c r="U136" s="1486"/>
      <c r="V136" s="1486"/>
      <c r="W136" s="1486"/>
      <c r="X136" s="1486"/>
      <c r="Y136" s="1486"/>
      <c r="Z136" s="1486"/>
      <c r="AA136" s="1486"/>
      <c r="AB136" s="1486"/>
      <c r="AC136" s="1486"/>
      <c r="AD136" s="1486"/>
      <c r="AE136" s="1486"/>
      <c r="AF136" s="1486"/>
      <c r="AG136" s="1486"/>
      <c r="AH136" s="1486"/>
      <c r="AI136" s="1486"/>
      <c r="AJ136" s="1486"/>
      <c r="AK136" s="1486"/>
      <c r="AL136" s="1486"/>
      <c r="AM136" s="1486"/>
      <c r="AN136" s="1486"/>
      <c r="AO136" s="1486"/>
      <c r="AP136" s="1486"/>
    </row>
    <row r="137" spans="1:42" s="961" customFormat="1" ht="18" customHeight="1">
      <c r="A137" s="986"/>
      <c r="B137" s="2243" t="s">
        <v>1494</v>
      </c>
      <c r="C137" s="2243"/>
      <c r="D137" s="2243"/>
      <c r="E137" s="2243"/>
      <c r="F137" s="2243"/>
      <c r="G137" s="2243"/>
      <c r="H137" s="2243"/>
      <c r="I137" s="2243"/>
      <c r="J137" s="3905"/>
      <c r="K137" s="1500"/>
      <c r="L137" s="1486"/>
      <c r="M137" s="1486"/>
      <c r="N137" s="1486"/>
      <c r="O137" s="1486"/>
      <c r="P137" s="1486"/>
      <c r="Q137" s="1486"/>
      <c r="R137" s="3900"/>
      <c r="S137" s="3900"/>
      <c r="T137" s="1486"/>
      <c r="U137" s="1486"/>
      <c r="V137" s="1486"/>
      <c r="W137" s="1486"/>
      <c r="X137" s="1486"/>
      <c r="Y137" s="1486"/>
      <c r="Z137" s="1486"/>
      <c r="AA137" s="1486"/>
      <c r="AB137" s="1486"/>
      <c r="AC137" s="1486"/>
      <c r="AD137" s="1486"/>
      <c r="AE137" s="1486"/>
      <c r="AF137" s="1486"/>
      <c r="AG137" s="1486"/>
      <c r="AH137" s="1486"/>
      <c r="AI137" s="1486"/>
      <c r="AJ137" s="1486"/>
      <c r="AK137" s="1486"/>
      <c r="AL137" s="1486"/>
      <c r="AM137" s="1486"/>
      <c r="AN137" s="1486"/>
      <c r="AO137" s="1486"/>
      <c r="AP137" s="1486"/>
    </row>
    <row r="138" spans="1:42" s="948" customFormat="1" ht="18" customHeight="1">
      <c r="A138" s="986"/>
      <c r="B138" s="2243" t="s">
        <v>1495</v>
      </c>
      <c r="C138" s="2243"/>
      <c r="D138" s="2243"/>
      <c r="E138" s="2243"/>
      <c r="F138" s="2243"/>
      <c r="G138" s="2243"/>
      <c r="H138" s="2243"/>
      <c r="I138" s="2243"/>
      <c r="J138" s="2243"/>
      <c r="K138" s="2243"/>
      <c r="L138" s="2243"/>
      <c r="M138" s="2243"/>
      <c r="N138" s="1486"/>
      <c r="O138" s="1486"/>
      <c r="P138" s="1486"/>
      <c r="Q138" s="1486"/>
      <c r="R138" s="3900"/>
      <c r="S138" s="3900"/>
      <c r="T138" s="1486"/>
      <c r="U138" s="1486"/>
      <c r="V138" s="1486"/>
      <c r="W138" s="1486"/>
      <c r="X138" s="1486"/>
      <c r="Y138" s="1486"/>
      <c r="Z138" s="1486"/>
      <c r="AA138" s="1486"/>
      <c r="AB138" s="1486"/>
      <c r="AC138" s="1486"/>
      <c r="AD138" s="1486"/>
      <c r="AE138" s="1486"/>
      <c r="AF138" s="1486"/>
      <c r="AG138" s="1486"/>
      <c r="AH138" s="1486"/>
      <c r="AI138" s="1486"/>
      <c r="AJ138" s="1486"/>
      <c r="AK138" s="1486"/>
      <c r="AL138" s="1486"/>
      <c r="AM138" s="1486"/>
      <c r="AN138" s="1486"/>
      <c r="AO138" s="1486"/>
      <c r="AP138" s="1486"/>
    </row>
    <row r="139" spans="1:42" s="961" customFormat="1" ht="18" customHeight="1">
      <c r="A139" s="986"/>
      <c r="B139" s="2243" t="s">
        <v>1496</v>
      </c>
      <c r="C139" s="2243"/>
      <c r="D139" s="2243"/>
      <c r="E139" s="2243"/>
      <c r="F139" s="2243"/>
      <c r="G139" s="2243"/>
      <c r="H139" s="2243"/>
      <c r="I139" s="2243"/>
      <c r="J139" s="2243"/>
      <c r="K139" s="2243"/>
      <c r="L139" s="2243"/>
      <c r="M139" s="2243"/>
      <c r="N139" s="1486"/>
      <c r="O139" s="1486"/>
      <c r="P139" s="1486"/>
      <c r="Q139" s="1486"/>
      <c r="R139" s="3900"/>
      <c r="S139" s="3900"/>
      <c r="T139" s="1486"/>
      <c r="U139" s="1486"/>
      <c r="V139" s="1486"/>
      <c r="W139" s="1486"/>
      <c r="X139" s="1486"/>
      <c r="Y139" s="1486"/>
      <c r="Z139" s="1486"/>
      <c r="AA139" s="1486"/>
      <c r="AB139" s="1486"/>
      <c r="AC139" s="1486"/>
      <c r="AD139" s="1486"/>
      <c r="AE139" s="1486"/>
      <c r="AF139" s="1486"/>
      <c r="AG139" s="1486"/>
      <c r="AH139" s="1486"/>
      <c r="AI139" s="1486"/>
      <c r="AJ139" s="1486"/>
      <c r="AK139" s="1486"/>
      <c r="AL139" s="1486"/>
      <c r="AM139" s="1486"/>
      <c r="AN139" s="1486"/>
      <c r="AO139" s="1486"/>
      <c r="AP139" s="1486"/>
    </row>
    <row r="140" spans="1:42" s="961" customFormat="1" ht="18" customHeight="1">
      <c r="A140" s="986"/>
      <c r="B140" s="2243" t="s">
        <v>1497</v>
      </c>
      <c r="C140" s="2243"/>
      <c r="D140" s="2243"/>
      <c r="E140" s="2243"/>
      <c r="F140" s="2243"/>
      <c r="G140" s="2243"/>
      <c r="H140" s="2243"/>
      <c r="I140" s="2243"/>
      <c r="J140" s="2243"/>
      <c r="K140" s="2243"/>
      <c r="L140" s="2243"/>
      <c r="M140" s="2243"/>
      <c r="N140" s="1486"/>
      <c r="O140" s="1486"/>
      <c r="P140" s="1486"/>
      <c r="Q140" s="1486"/>
      <c r="R140" s="3900"/>
      <c r="S140" s="3900"/>
      <c r="T140" s="1486"/>
      <c r="U140" s="1486"/>
      <c r="V140" s="1486"/>
      <c r="W140" s="1486"/>
      <c r="X140" s="1486"/>
      <c r="Y140" s="1486"/>
      <c r="Z140" s="1486"/>
      <c r="AA140" s="1486"/>
      <c r="AB140" s="1486"/>
      <c r="AC140" s="1486"/>
      <c r="AD140" s="1486"/>
      <c r="AE140" s="1486"/>
      <c r="AF140" s="1486"/>
      <c r="AG140" s="1486"/>
      <c r="AH140" s="1486"/>
      <c r="AI140" s="1486"/>
      <c r="AJ140" s="1486"/>
      <c r="AK140" s="1486"/>
      <c r="AL140" s="1486"/>
      <c r="AM140" s="1486"/>
      <c r="AN140" s="1486"/>
      <c r="AO140" s="1486"/>
      <c r="AP140" s="1486"/>
    </row>
    <row r="141" spans="1:42" s="961" customFormat="1" ht="18" customHeight="1">
      <c r="A141" s="986"/>
      <c r="B141" s="2243" t="s">
        <v>1498</v>
      </c>
      <c r="C141" s="2243"/>
      <c r="D141" s="2243"/>
      <c r="E141" s="2243"/>
      <c r="F141" s="2243"/>
      <c r="G141" s="2243"/>
      <c r="H141" s="2243"/>
      <c r="I141" s="2243"/>
      <c r="J141" s="2243"/>
      <c r="K141" s="2243"/>
      <c r="L141" s="2243"/>
      <c r="M141" s="2243"/>
      <c r="N141" s="1486"/>
      <c r="O141" s="1486"/>
      <c r="P141" s="1486"/>
      <c r="Q141" s="1486"/>
      <c r="R141" s="3900"/>
      <c r="S141" s="3900"/>
      <c r="T141" s="1486"/>
      <c r="U141" s="1486"/>
      <c r="V141" s="1486"/>
      <c r="W141" s="1486"/>
      <c r="X141" s="1486"/>
      <c r="Y141" s="1486"/>
      <c r="Z141" s="1486"/>
      <c r="AA141" s="1486"/>
      <c r="AB141" s="1486"/>
      <c r="AC141" s="1486"/>
      <c r="AD141" s="1486"/>
      <c r="AE141" s="1486"/>
      <c r="AF141" s="1486"/>
      <c r="AG141" s="1486"/>
      <c r="AH141" s="1486"/>
      <c r="AI141" s="1486"/>
      <c r="AJ141" s="1486"/>
      <c r="AK141" s="1486"/>
      <c r="AL141" s="1486"/>
      <c r="AM141" s="1486"/>
      <c r="AN141" s="1486"/>
      <c r="AO141" s="1486"/>
      <c r="AP141" s="1486"/>
    </row>
    <row r="142" spans="1:42" s="948" customFormat="1" ht="18" customHeight="1">
      <c r="A142" s="986"/>
      <c r="B142" s="2243" t="s">
        <v>1499</v>
      </c>
      <c r="C142" s="2243"/>
      <c r="D142" s="2243"/>
      <c r="E142" s="2243"/>
      <c r="F142" s="2243"/>
      <c r="G142" s="2243"/>
      <c r="H142" s="1486"/>
      <c r="I142" s="1486"/>
      <c r="J142" s="1486"/>
      <c r="K142" s="1486"/>
      <c r="L142" s="1486"/>
      <c r="M142" s="1486"/>
      <c r="N142" s="1486"/>
      <c r="O142" s="1486"/>
      <c r="P142" s="1486"/>
      <c r="Q142" s="1486"/>
      <c r="R142" s="3900"/>
      <c r="S142" s="3900"/>
      <c r="T142" s="1486"/>
      <c r="U142" s="1486"/>
      <c r="V142" s="1486"/>
      <c r="W142" s="1486"/>
      <c r="X142" s="1486"/>
      <c r="Y142" s="1486"/>
      <c r="Z142" s="1486"/>
      <c r="AA142" s="1486"/>
      <c r="AB142" s="1486"/>
      <c r="AC142" s="1486"/>
      <c r="AD142" s="1486"/>
      <c r="AE142" s="1486"/>
      <c r="AF142" s="1486"/>
      <c r="AG142" s="1486"/>
      <c r="AH142" s="1486"/>
      <c r="AI142" s="1486"/>
      <c r="AJ142" s="1486"/>
      <c r="AK142" s="1486"/>
      <c r="AL142" s="1486"/>
      <c r="AM142" s="1486"/>
      <c r="AN142" s="1486"/>
      <c r="AO142" s="1486"/>
      <c r="AP142" s="1486"/>
    </row>
    <row r="143" spans="1:42" s="948" customFormat="1" ht="18" customHeight="1">
      <c r="A143" s="989"/>
      <c r="B143" s="2243" t="s">
        <v>1500</v>
      </c>
      <c r="C143" s="2243"/>
      <c r="D143" s="2243"/>
      <c r="E143" s="2243"/>
      <c r="F143" s="2243"/>
      <c r="G143" s="2243"/>
      <c r="H143" s="2243"/>
      <c r="I143" s="2243"/>
      <c r="J143" s="2243"/>
      <c r="K143" s="1486"/>
      <c r="L143" s="1486"/>
      <c r="M143" s="1486"/>
      <c r="N143" s="1486"/>
      <c r="O143" s="1486"/>
      <c r="P143" s="1486"/>
      <c r="Q143" s="1486"/>
      <c r="R143" s="3900"/>
      <c r="S143" s="3900"/>
      <c r="T143" s="1486"/>
      <c r="U143" s="1486"/>
      <c r="V143" s="1486"/>
      <c r="W143" s="1486"/>
      <c r="X143" s="1486"/>
      <c r="Y143" s="1486"/>
      <c r="Z143" s="1486"/>
      <c r="AA143" s="1486"/>
      <c r="AB143" s="1486"/>
      <c r="AC143" s="1486"/>
      <c r="AD143" s="1486"/>
      <c r="AE143" s="1486"/>
      <c r="AF143" s="1486"/>
      <c r="AG143" s="1486"/>
      <c r="AH143" s="1486"/>
      <c r="AI143" s="1486"/>
      <c r="AJ143" s="1486"/>
      <c r="AK143" s="1486"/>
      <c r="AL143" s="1486"/>
      <c r="AM143" s="1486"/>
      <c r="AN143" s="1486"/>
      <c r="AO143" s="1486"/>
      <c r="AP143" s="1486"/>
    </row>
    <row r="144" spans="1:42" s="948" customFormat="1" ht="18" customHeight="1">
      <c r="A144" s="986"/>
      <c r="B144" s="2243" t="s">
        <v>1501</v>
      </c>
      <c r="C144" s="2243"/>
      <c r="D144" s="2243"/>
      <c r="E144" s="2243"/>
      <c r="F144" s="2243"/>
      <c r="G144" s="2243"/>
      <c r="H144" s="2243"/>
      <c r="I144" s="2243"/>
      <c r="J144" s="2243"/>
      <c r="K144" s="2243"/>
      <c r="L144" s="2243"/>
      <c r="M144" s="2243"/>
      <c r="N144" s="2243"/>
      <c r="O144" s="2243"/>
      <c r="P144" s="2243"/>
      <c r="Q144" s="2243"/>
      <c r="R144" s="3900"/>
      <c r="S144" s="3900"/>
      <c r="T144" s="1508"/>
      <c r="U144" s="1486"/>
      <c r="V144" s="1486"/>
      <c r="W144" s="1486"/>
      <c r="X144" s="1486"/>
      <c r="Y144" s="1486"/>
      <c r="Z144" s="1486"/>
      <c r="AA144" s="1486"/>
      <c r="AB144" s="1486"/>
      <c r="AC144" s="1486"/>
      <c r="AD144" s="1486"/>
      <c r="AE144" s="1486"/>
      <c r="AF144" s="1486"/>
      <c r="AG144" s="1486"/>
      <c r="AH144" s="1486"/>
      <c r="AI144" s="1486"/>
      <c r="AJ144" s="1486"/>
      <c r="AK144" s="1486"/>
      <c r="AL144" s="1486"/>
      <c r="AM144" s="1486"/>
      <c r="AN144" s="1486"/>
      <c r="AO144" s="1486"/>
      <c r="AP144" s="1486"/>
    </row>
    <row r="145" spans="1:39" s="948" customFormat="1" ht="18" customHeight="1">
      <c r="A145" s="986"/>
      <c r="B145" s="2243" t="s">
        <v>1502</v>
      </c>
      <c r="C145" s="2243"/>
      <c r="D145" s="2243"/>
      <c r="E145" s="2243"/>
      <c r="F145" s="2243"/>
      <c r="G145" s="2243"/>
      <c r="H145" s="2243"/>
      <c r="I145" s="2243"/>
      <c r="J145" s="2243"/>
      <c r="K145" s="1486"/>
      <c r="L145" s="1486"/>
      <c r="M145" s="1486"/>
      <c r="N145" s="1486"/>
      <c r="O145" s="1486"/>
      <c r="P145" s="1486"/>
      <c r="Q145" s="1486"/>
      <c r="R145" s="3900"/>
      <c r="S145" s="3900"/>
      <c r="T145" s="1486"/>
      <c r="U145" s="1486"/>
      <c r="V145" s="1486"/>
      <c r="W145" s="1486"/>
      <c r="X145" s="1486"/>
      <c r="Y145" s="1486"/>
      <c r="Z145" s="1486"/>
      <c r="AA145" s="1486"/>
      <c r="AB145" s="1486"/>
      <c r="AC145" s="1486"/>
      <c r="AD145" s="1486"/>
      <c r="AE145" s="1486"/>
      <c r="AF145" s="1486"/>
      <c r="AG145" s="1486"/>
      <c r="AH145" s="1486"/>
      <c r="AI145" s="1486"/>
      <c r="AJ145" s="1486"/>
      <c r="AK145" s="1486"/>
      <c r="AL145" s="1486"/>
      <c r="AM145" s="1486"/>
    </row>
    <row r="146" spans="1:39" s="948" customFormat="1" ht="18" customHeight="1">
      <c r="A146" s="986"/>
      <c r="B146" s="2243" t="s">
        <v>1503</v>
      </c>
      <c r="C146" s="2243"/>
      <c r="D146" s="2243"/>
      <c r="E146" s="2243"/>
      <c r="F146" s="2243"/>
      <c r="G146" s="2243"/>
      <c r="H146" s="2243"/>
      <c r="I146" s="2243"/>
      <c r="J146" s="3905"/>
      <c r="K146" s="1500"/>
      <c r="L146" s="1486"/>
      <c r="M146" s="1486"/>
      <c r="N146" s="1486"/>
      <c r="O146" s="1486"/>
      <c r="P146" s="1486"/>
      <c r="Q146" s="1486"/>
      <c r="R146" s="3900"/>
      <c r="S146" s="3900"/>
      <c r="T146" s="1486"/>
      <c r="U146" s="1486"/>
      <c r="V146" s="1486"/>
      <c r="W146" s="1486"/>
      <c r="X146" s="1486"/>
      <c r="Y146" s="1486"/>
      <c r="Z146" s="1486"/>
      <c r="AA146" s="1486"/>
      <c r="AB146" s="1486"/>
      <c r="AC146" s="1486"/>
      <c r="AD146" s="1486"/>
      <c r="AE146" s="1486"/>
      <c r="AF146" s="1486"/>
      <c r="AG146" s="1486"/>
      <c r="AH146" s="1486"/>
      <c r="AI146" s="1486"/>
      <c r="AJ146" s="1486"/>
      <c r="AK146" s="1486"/>
      <c r="AL146" s="1486"/>
      <c r="AM146" s="1486"/>
    </row>
    <row r="147" spans="1:39" s="961" customFormat="1" ht="18" customHeight="1">
      <c r="A147" s="986"/>
      <c r="B147" s="2243" t="s">
        <v>1504</v>
      </c>
      <c r="C147" s="2243"/>
      <c r="D147" s="2243"/>
      <c r="E147" s="2243"/>
      <c r="F147" s="2243"/>
      <c r="G147" s="2243"/>
      <c r="H147" s="2243"/>
      <c r="I147" s="2243"/>
      <c r="J147" s="3905"/>
      <c r="K147" s="1500"/>
      <c r="L147" s="1486"/>
      <c r="M147" s="1486"/>
      <c r="N147" s="1486"/>
      <c r="O147" s="1486"/>
      <c r="P147" s="1486"/>
      <c r="Q147" s="1486"/>
      <c r="R147" s="3900"/>
      <c r="S147" s="3900"/>
      <c r="T147" s="1486"/>
      <c r="U147" s="1486"/>
      <c r="V147" s="1486"/>
      <c r="W147" s="1486"/>
      <c r="X147" s="1486"/>
      <c r="Y147" s="1486"/>
      <c r="Z147" s="1486"/>
      <c r="AA147" s="1486"/>
      <c r="AB147" s="1486"/>
      <c r="AC147" s="1486"/>
      <c r="AD147" s="1486"/>
      <c r="AE147" s="1486"/>
      <c r="AF147" s="1486"/>
      <c r="AG147" s="1486"/>
      <c r="AH147" s="1486"/>
      <c r="AI147" s="1486"/>
      <c r="AJ147" s="1486"/>
      <c r="AK147" s="1486"/>
      <c r="AL147" s="1486"/>
      <c r="AM147" s="1486"/>
    </row>
    <row r="148" spans="1:39" s="961" customFormat="1" ht="18" customHeight="1">
      <c r="A148" s="986"/>
      <c r="B148" s="2243" t="s">
        <v>1505</v>
      </c>
      <c r="C148" s="2243"/>
      <c r="D148" s="2243"/>
      <c r="E148" s="2243"/>
      <c r="F148" s="2243"/>
      <c r="G148" s="2243"/>
      <c r="H148" s="2243"/>
      <c r="I148" s="2243"/>
      <c r="J148" s="2243"/>
      <c r="K148" s="2243"/>
      <c r="L148" s="2243"/>
      <c r="M148" s="2243"/>
      <c r="N148" s="2243"/>
      <c r="O148" s="2243"/>
      <c r="P148" s="2243"/>
      <c r="Q148" s="3906"/>
      <c r="R148" s="3900"/>
      <c r="S148" s="3900"/>
      <c r="T148" s="1486"/>
      <c r="U148" s="1486"/>
      <c r="V148" s="1486"/>
      <c r="W148" s="1486"/>
      <c r="X148" s="1486"/>
      <c r="Y148" s="1486"/>
      <c r="Z148" s="1486"/>
      <c r="AA148" s="1486"/>
      <c r="AB148" s="1486"/>
      <c r="AC148" s="1486"/>
      <c r="AD148" s="1486"/>
      <c r="AE148" s="1486"/>
      <c r="AF148" s="1486"/>
      <c r="AG148" s="1486"/>
      <c r="AH148" s="1486"/>
      <c r="AI148" s="1486"/>
      <c r="AJ148" s="1486"/>
      <c r="AK148" s="1486"/>
      <c r="AL148" s="1486"/>
      <c r="AM148" s="1486"/>
    </row>
    <row r="149" spans="1:39" s="948" customFormat="1" ht="18" customHeight="1">
      <c r="A149" s="986"/>
      <c r="B149" s="2243" t="s">
        <v>1506</v>
      </c>
      <c r="C149" s="2243"/>
      <c r="D149" s="2243"/>
      <c r="E149" s="2243"/>
      <c r="F149" s="2243"/>
      <c r="G149" s="2243"/>
      <c r="H149" s="2243"/>
      <c r="I149" s="2243"/>
      <c r="J149" s="2243"/>
      <c r="K149" s="1486"/>
      <c r="L149" s="1486"/>
      <c r="M149" s="1486"/>
      <c r="N149" s="1486"/>
      <c r="O149" s="1486"/>
      <c r="P149" s="1486"/>
      <c r="Q149" s="1486"/>
      <c r="R149" s="3900"/>
      <c r="S149" s="3900"/>
      <c r="T149" s="1486"/>
      <c r="U149" s="1486"/>
      <c r="V149" s="1486"/>
      <c r="W149" s="1486"/>
      <c r="X149" s="1486"/>
      <c r="Y149" s="1486"/>
      <c r="Z149" s="1486"/>
      <c r="AA149" s="1486"/>
      <c r="AB149" s="1486"/>
      <c r="AC149" s="1486"/>
      <c r="AD149" s="1486"/>
      <c r="AE149" s="1486"/>
      <c r="AF149" s="1486"/>
      <c r="AG149" s="1486"/>
      <c r="AH149" s="1486"/>
      <c r="AI149" s="1486"/>
      <c r="AJ149" s="1486"/>
      <c r="AK149" s="1486"/>
      <c r="AL149" s="1486"/>
      <c r="AM149" s="1486"/>
    </row>
    <row r="150" spans="1:39" s="948" customFormat="1" ht="18" customHeight="1">
      <c r="A150" s="986"/>
      <c r="B150" s="2243" t="s">
        <v>1507</v>
      </c>
      <c r="C150" s="2243"/>
      <c r="D150" s="2243"/>
      <c r="E150" s="2243"/>
      <c r="F150" s="2243"/>
      <c r="G150" s="2243"/>
      <c r="H150" s="2243"/>
      <c r="I150" s="2243"/>
      <c r="J150" s="2243"/>
      <c r="K150" s="1486"/>
      <c r="L150" s="1486"/>
      <c r="M150" s="1486"/>
      <c r="N150" s="1486"/>
      <c r="O150" s="1486"/>
      <c r="P150" s="1486"/>
      <c r="Q150" s="1486"/>
      <c r="R150" s="3900"/>
      <c r="S150" s="3900"/>
      <c r="T150" s="1486"/>
      <c r="U150" s="1486"/>
      <c r="V150" s="1486"/>
      <c r="W150" s="1486"/>
      <c r="X150" s="1486"/>
      <c r="Y150" s="1486"/>
      <c r="Z150" s="1486"/>
      <c r="AA150" s="1486"/>
      <c r="AB150" s="1486"/>
      <c r="AC150" s="1486"/>
      <c r="AD150" s="1486"/>
      <c r="AE150" s="1486"/>
      <c r="AF150" s="1486"/>
      <c r="AG150" s="1486"/>
      <c r="AH150" s="1486"/>
      <c r="AI150" s="1486"/>
      <c r="AJ150" s="1486"/>
      <c r="AK150" s="1486"/>
      <c r="AL150" s="1486"/>
      <c r="AM150" s="1486"/>
    </row>
    <row r="151" spans="1:39" s="948" customFormat="1" ht="18" customHeight="1">
      <c r="A151" s="986"/>
      <c r="B151" s="2243" t="s">
        <v>1508</v>
      </c>
      <c r="C151" s="2243"/>
      <c r="D151" s="2243"/>
      <c r="E151" s="2243"/>
      <c r="F151" s="2243"/>
      <c r="G151" s="2243"/>
      <c r="H151" s="2243"/>
      <c r="I151" s="2243"/>
      <c r="J151" s="2243"/>
      <c r="K151" s="2243"/>
      <c r="L151" s="2243"/>
      <c r="M151" s="2243"/>
      <c r="N151" s="2243"/>
      <c r="O151" s="2243"/>
      <c r="P151" s="2243"/>
      <c r="Q151" s="2243"/>
      <c r="R151" s="3900"/>
      <c r="S151" s="3900"/>
      <c r="T151" s="1486"/>
      <c r="U151" s="1486"/>
      <c r="V151" s="1486"/>
      <c r="W151" s="1486"/>
      <c r="X151" s="1486"/>
      <c r="Y151" s="1486"/>
      <c r="Z151" s="1486"/>
      <c r="AA151" s="1486"/>
      <c r="AB151" s="1486"/>
      <c r="AC151" s="1486"/>
      <c r="AD151" s="1486"/>
      <c r="AE151" s="1486"/>
      <c r="AF151" s="1486"/>
      <c r="AG151" s="1486"/>
      <c r="AH151" s="1486"/>
      <c r="AI151" s="1486"/>
      <c r="AJ151" s="1486"/>
      <c r="AK151" s="1486"/>
      <c r="AL151" s="1486"/>
      <c r="AM151" s="1486"/>
    </row>
    <row r="152" spans="1:39" s="948" customFormat="1" ht="18" customHeight="1">
      <c r="A152" s="986"/>
      <c r="B152" s="2243" t="s">
        <v>1509</v>
      </c>
      <c r="C152" s="2243"/>
      <c r="D152" s="2243"/>
      <c r="E152" s="2243"/>
      <c r="F152" s="2243"/>
      <c r="G152" s="2243"/>
      <c r="H152" s="2243"/>
      <c r="I152" s="2243"/>
      <c r="J152" s="2243"/>
      <c r="K152" s="2243"/>
      <c r="L152" s="2243"/>
      <c r="M152" s="1486"/>
      <c r="N152" s="1486"/>
      <c r="O152" s="1486"/>
      <c r="P152" s="1486"/>
      <c r="Q152" s="1486"/>
      <c r="R152" s="3900"/>
      <c r="S152" s="3900"/>
      <c r="T152" s="1486"/>
      <c r="U152" s="1486"/>
      <c r="V152" s="1486"/>
      <c r="W152" s="1486"/>
      <c r="X152" s="1486"/>
      <c r="Y152" s="1486"/>
      <c r="Z152" s="1486"/>
      <c r="AA152" s="1486"/>
      <c r="AB152" s="1486"/>
      <c r="AC152" s="1486"/>
      <c r="AD152" s="1486"/>
      <c r="AE152" s="1486"/>
      <c r="AF152" s="1486"/>
      <c r="AG152" s="1486"/>
      <c r="AH152" s="1486"/>
      <c r="AI152" s="1486"/>
      <c r="AJ152" s="1486"/>
      <c r="AK152" s="1486"/>
      <c r="AL152" s="1486"/>
      <c r="AM152" s="1486"/>
    </row>
    <row r="153" spans="1:39" s="948" customFormat="1" ht="18" customHeight="1">
      <c r="A153" s="986"/>
      <c r="B153" s="2243" t="s">
        <v>1510</v>
      </c>
      <c r="C153" s="2243"/>
      <c r="D153" s="2243"/>
      <c r="E153" s="2243"/>
      <c r="F153" s="2243"/>
      <c r="G153" s="2243"/>
      <c r="H153" s="2243"/>
      <c r="I153" s="2243"/>
      <c r="J153" s="2243"/>
      <c r="K153" s="2243"/>
      <c r="L153" s="2243"/>
      <c r="M153" s="1486"/>
      <c r="N153" s="1486"/>
      <c r="O153" s="1486"/>
      <c r="P153" s="1486"/>
      <c r="Q153" s="1486"/>
      <c r="R153" s="3900"/>
      <c r="S153" s="3900"/>
      <c r="T153" s="1486"/>
      <c r="U153" s="1486"/>
      <c r="V153" s="1486"/>
      <c r="W153" s="1486"/>
      <c r="X153" s="1486"/>
      <c r="Y153" s="1486"/>
      <c r="Z153" s="1486"/>
      <c r="AA153" s="1486"/>
      <c r="AB153" s="1486"/>
      <c r="AC153" s="1486"/>
      <c r="AD153" s="1486"/>
      <c r="AE153" s="1486"/>
      <c r="AF153" s="1486"/>
      <c r="AG153" s="1486"/>
      <c r="AH153" s="1486"/>
      <c r="AI153" s="1486"/>
      <c r="AJ153" s="1486"/>
      <c r="AK153" s="1486"/>
      <c r="AL153" s="1486"/>
      <c r="AM153" s="1486"/>
    </row>
    <row r="154" spans="1:39" s="948" customFormat="1" ht="18" customHeight="1">
      <c r="A154" s="986"/>
      <c r="B154" s="2243" t="s">
        <v>1511</v>
      </c>
      <c r="C154" s="2243"/>
      <c r="D154" s="2243"/>
      <c r="E154" s="2243"/>
      <c r="F154" s="2243"/>
      <c r="G154" s="2243"/>
      <c r="H154" s="2243"/>
      <c r="I154" s="2243"/>
      <c r="J154" s="2243"/>
      <c r="K154" s="2243"/>
      <c r="L154" s="2243"/>
      <c r="M154" s="2243"/>
      <c r="N154" s="2243"/>
      <c r="O154" s="2243"/>
      <c r="P154" s="2243"/>
      <c r="Q154" s="3906"/>
      <c r="R154" s="3900"/>
      <c r="S154" s="3900"/>
      <c r="T154" s="1486"/>
      <c r="U154" s="1486"/>
      <c r="V154" s="1486"/>
      <c r="W154" s="1486"/>
      <c r="X154" s="1486"/>
      <c r="Y154" s="1486"/>
      <c r="Z154" s="1486"/>
      <c r="AA154" s="1486"/>
      <c r="AB154" s="1486"/>
      <c r="AC154" s="1486"/>
      <c r="AD154" s="1486"/>
      <c r="AE154" s="1486"/>
      <c r="AF154" s="1486"/>
      <c r="AG154" s="1486"/>
      <c r="AH154" s="1486"/>
      <c r="AI154" s="1486"/>
      <c r="AJ154" s="1486"/>
      <c r="AK154" s="1486"/>
      <c r="AL154" s="1486"/>
      <c r="AM154" s="1486"/>
    </row>
    <row r="155" spans="1:39" s="961" customFormat="1" ht="18" customHeight="1">
      <c r="A155" s="986"/>
      <c r="B155" s="2243" t="s">
        <v>1512</v>
      </c>
      <c r="C155" s="2243"/>
      <c r="D155" s="2243"/>
      <c r="E155" s="2243"/>
      <c r="F155" s="2243"/>
      <c r="G155" s="2243"/>
      <c r="H155" s="2243"/>
      <c r="I155" s="2243"/>
      <c r="J155" s="2243"/>
      <c r="K155" s="2243"/>
      <c r="L155" s="2243"/>
      <c r="M155" s="2243"/>
      <c r="N155" s="2243"/>
      <c r="O155" s="2243"/>
      <c r="P155" s="2243"/>
      <c r="Q155" s="3906"/>
      <c r="R155" s="3900"/>
      <c r="S155" s="3900"/>
      <c r="T155" s="1486"/>
      <c r="U155" s="1486"/>
      <c r="V155" s="1486"/>
      <c r="W155" s="1486"/>
      <c r="X155" s="1486"/>
      <c r="Y155" s="1486"/>
      <c r="Z155" s="1486"/>
      <c r="AA155" s="1486"/>
      <c r="AB155" s="1486"/>
      <c r="AC155" s="1486"/>
      <c r="AD155" s="1486"/>
      <c r="AE155" s="1486"/>
      <c r="AF155" s="1486"/>
      <c r="AG155" s="1486"/>
      <c r="AH155" s="1486"/>
      <c r="AI155" s="1486"/>
      <c r="AJ155" s="1486"/>
      <c r="AK155" s="1486"/>
      <c r="AL155" s="1486"/>
      <c r="AM155" s="1486"/>
    </row>
    <row r="156" spans="1:39" s="1286" customFormat="1" ht="18" customHeight="1">
      <c r="A156" s="1486"/>
      <c r="B156" s="1511"/>
      <c r="C156" s="1511"/>
      <c r="D156" s="1486"/>
      <c r="E156" s="1486"/>
      <c r="F156" s="1486"/>
      <c r="G156" s="1486"/>
      <c r="H156" s="1486"/>
      <c r="I156" s="1486"/>
      <c r="J156" s="1486"/>
      <c r="K156" s="1486"/>
      <c r="L156" s="1486"/>
      <c r="M156" s="1486"/>
      <c r="N156" s="1486"/>
      <c r="O156" s="1486"/>
      <c r="P156" s="1486"/>
      <c r="Q156" s="1486"/>
      <c r="R156" s="1486"/>
      <c r="S156" s="1486"/>
      <c r="T156" s="1486"/>
      <c r="U156" s="1486"/>
      <c r="V156" s="1486"/>
      <c r="W156" s="1486"/>
      <c r="X156" s="1486"/>
      <c r="Y156" s="1486"/>
      <c r="Z156" s="1486"/>
      <c r="AA156" s="1486"/>
      <c r="AB156" s="1486"/>
      <c r="AC156" s="1486"/>
      <c r="AD156" s="1486"/>
      <c r="AE156" s="1486"/>
      <c r="AF156" s="1486"/>
      <c r="AG156" s="1486"/>
      <c r="AH156" s="1486"/>
      <c r="AI156" s="1486"/>
      <c r="AJ156" s="1486"/>
      <c r="AK156" s="1486"/>
      <c r="AL156" s="1486"/>
      <c r="AM156" s="1486"/>
    </row>
    <row r="157" spans="1:39" s="948" customFormat="1" ht="18" customHeight="1">
      <c r="A157" s="1486"/>
      <c r="B157" s="2894" t="s">
        <v>1513</v>
      </c>
      <c r="C157" s="2894"/>
      <c r="D157" s="2894"/>
      <c r="E157" s="2894"/>
      <c r="F157" s="2894"/>
      <c r="G157" s="1486"/>
      <c r="H157" s="1486"/>
      <c r="I157" s="1486"/>
      <c r="J157" s="1486"/>
      <c r="K157" s="1486"/>
      <c r="L157" s="1486"/>
      <c r="M157" s="1486"/>
      <c r="N157" s="1486"/>
      <c r="O157" s="1486"/>
      <c r="P157" s="1486"/>
      <c r="Q157" s="1486"/>
      <c r="R157" s="1486"/>
      <c r="S157" s="1486"/>
      <c r="T157" s="1486"/>
      <c r="U157" s="1486"/>
      <c r="V157" s="1486"/>
      <c r="W157" s="1486"/>
      <c r="X157" s="1486"/>
      <c r="Y157" s="1486"/>
      <c r="Z157" s="1486"/>
      <c r="AA157" s="1486"/>
      <c r="AB157" s="1486"/>
      <c r="AC157" s="1486"/>
      <c r="AD157" s="1486"/>
      <c r="AE157" s="1486"/>
      <c r="AF157" s="1486"/>
      <c r="AG157" s="1486"/>
      <c r="AH157" s="1486"/>
      <c r="AI157" s="1486"/>
      <c r="AJ157" s="1486"/>
      <c r="AK157" s="1486"/>
      <c r="AL157" s="1486"/>
      <c r="AM157" s="1486"/>
    </row>
    <row r="158" spans="1:39" s="948" customFormat="1" ht="72" customHeight="1">
      <c r="A158" s="1486"/>
      <c r="B158" s="3913"/>
      <c r="C158" s="3914"/>
      <c r="D158" s="3914"/>
      <c r="E158" s="3914"/>
      <c r="F158" s="3914"/>
      <c r="G158" s="3914"/>
      <c r="H158" s="3914"/>
      <c r="I158" s="3914"/>
      <c r="J158" s="3914"/>
      <c r="K158" s="3914"/>
      <c r="L158" s="3914"/>
      <c r="M158" s="3914"/>
      <c r="N158" s="3914"/>
      <c r="O158" s="3914"/>
      <c r="P158" s="3914"/>
      <c r="Q158" s="3914"/>
      <c r="R158" s="3914"/>
      <c r="S158" s="3914"/>
      <c r="T158" s="3914"/>
      <c r="U158" s="3914"/>
      <c r="V158" s="3914"/>
      <c r="W158" s="3914"/>
      <c r="X158" s="3914"/>
      <c r="Y158" s="3914"/>
      <c r="Z158" s="3914"/>
      <c r="AA158" s="3914"/>
      <c r="AB158" s="3914"/>
      <c r="AC158" s="3914"/>
      <c r="AD158" s="3914"/>
      <c r="AE158" s="3914"/>
      <c r="AF158" s="3914"/>
      <c r="AG158" s="3914"/>
      <c r="AH158" s="3914"/>
      <c r="AI158" s="3914"/>
      <c r="AJ158" s="3914"/>
      <c r="AK158" s="3914"/>
      <c r="AL158" s="3914"/>
      <c r="AM158" s="3915"/>
    </row>
    <row r="159" spans="1:39" s="948" customFormat="1" ht="18" customHeight="1">
      <c r="A159" s="1486"/>
      <c r="B159" s="1511"/>
      <c r="C159" s="1511"/>
      <c r="D159" s="1486"/>
      <c r="E159" s="1486"/>
      <c r="F159" s="1486"/>
      <c r="G159" s="1486"/>
      <c r="H159" s="1486"/>
      <c r="I159" s="1486"/>
      <c r="J159" s="1486"/>
      <c r="K159" s="1486"/>
      <c r="L159" s="1486"/>
      <c r="M159" s="1486"/>
      <c r="N159" s="1486"/>
      <c r="O159" s="1486"/>
      <c r="P159" s="1486"/>
      <c r="Q159" s="1486"/>
      <c r="R159" s="1486"/>
      <c r="S159" s="1486"/>
      <c r="T159" s="1486"/>
      <c r="U159" s="1486"/>
      <c r="V159" s="1486"/>
      <c r="W159" s="1486"/>
      <c r="X159" s="1486"/>
      <c r="Y159" s="1486"/>
      <c r="Z159" s="1486"/>
      <c r="AA159" s="1486"/>
      <c r="AB159" s="1486"/>
      <c r="AC159" s="1486"/>
      <c r="AD159" s="1486"/>
      <c r="AE159" s="1486"/>
      <c r="AF159" s="1486"/>
      <c r="AG159" s="1486"/>
      <c r="AH159" s="1486"/>
      <c r="AI159" s="1486"/>
      <c r="AJ159" s="1486"/>
      <c r="AK159" s="1486"/>
      <c r="AL159" s="1486"/>
      <c r="AM159" s="1486"/>
    </row>
    <row r="160" spans="1:39" s="948" customFormat="1" ht="18" customHeight="1">
      <c r="A160" s="1486"/>
      <c r="B160" s="1511"/>
      <c r="C160" s="1511"/>
      <c r="D160" s="1486"/>
      <c r="E160" s="1486"/>
      <c r="F160" s="1486"/>
      <c r="G160" s="1486"/>
      <c r="H160" s="1486"/>
      <c r="I160" s="1486"/>
      <c r="J160" s="1486"/>
      <c r="K160" s="1486"/>
      <c r="L160" s="1486"/>
      <c r="M160" s="1486"/>
      <c r="N160" s="1486"/>
      <c r="O160" s="1486"/>
      <c r="P160" s="1486"/>
      <c r="Q160" s="1486"/>
      <c r="R160" s="1486"/>
      <c r="S160" s="1486"/>
      <c r="T160" s="1486"/>
      <c r="U160" s="1486"/>
      <c r="V160" s="1486"/>
      <c r="W160" s="1486"/>
      <c r="X160" s="1486"/>
      <c r="Y160" s="1486"/>
      <c r="Z160" s="1486"/>
      <c r="AA160" s="1486"/>
      <c r="AB160" s="1486"/>
      <c r="AC160" s="1486"/>
      <c r="AD160" s="1486"/>
      <c r="AE160" s="1486"/>
      <c r="AF160" s="1486"/>
      <c r="AG160" s="1486"/>
      <c r="AH160" s="1486"/>
      <c r="AI160" s="1486"/>
      <c r="AJ160" s="1486"/>
      <c r="AK160" s="1486"/>
      <c r="AL160" s="1486"/>
      <c r="AM160" s="1486"/>
    </row>
    <row r="161" spans="2:39" s="948" customFormat="1" ht="18" customHeight="1">
      <c r="B161" s="1511"/>
      <c r="C161" s="1511"/>
      <c r="D161" s="1486"/>
      <c r="E161" s="1486"/>
      <c r="F161" s="1486"/>
      <c r="G161" s="1486"/>
      <c r="H161" s="1486"/>
      <c r="I161" s="1486"/>
      <c r="J161" s="1486"/>
      <c r="K161" s="1486"/>
      <c r="L161" s="1486"/>
      <c r="M161" s="1486"/>
      <c r="N161" s="1486"/>
      <c r="O161" s="1486"/>
      <c r="P161" s="1486"/>
      <c r="Q161" s="1486"/>
      <c r="R161" s="1486"/>
      <c r="S161" s="1486"/>
      <c r="T161" s="1486"/>
      <c r="U161" s="1486"/>
      <c r="V161" s="1486"/>
      <c r="W161" s="1486"/>
      <c r="X161" s="1486"/>
      <c r="Y161" s="1486"/>
      <c r="Z161" s="1486"/>
      <c r="AA161" s="1486"/>
      <c r="AB161" s="1486"/>
      <c r="AC161" s="1486"/>
      <c r="AD161" s="1486"/>
      <c r="AE161" s="1486"/>
      <c r="AF161" s="1486"/>
      <c r="AG161" s="1486"/>
      <c r="AH161" s="1486"/>
      <c r="AI161" s="1486"/>
      <c r="AJ161" s="1486"/>
      <c r="AK161" s="1486"/>
      <c r="AL161" s="1486"/>
      <c r="AM161" s="1486"/>
    </row>
    <row r="162" spans="2:39" s="948" customFormat="1" ht="18" customHeight="1">
      <c r="B162" s="1511"/>
      <c r="C162" s="1511"/>
      <c r="D162" s="1486"/>
      <c r="E162" s="1486"/>
      <c r="F162" s="1486"/>
      <c r="G162" s="1486"/>
      <c r="H162" s="1486"/>
      <c r="I162" s="1486"/>
      <c r="J162" s="1486"/>
      <c r="K162" s="1486"/>
      <c r="L162" s="1486"/>
      <c r="M162" s="1486"/>
      <c r="N162" s="1486"/>
      <c r="O162" s="1486"/>
      <c r="P162" s="1486"/>
      <c r="Q162" s="1486"/>
      <c r="R162" s="1486"/>
      <c r="S162" s="1486"/>
      <c r="T162" s="1486"/>
      <c r="U162" s="1486"/>
      <c r="V162" s="1486"/>
      <c r="W162" s="1486"/>
      <c r="X162" s="1486"/>
      <c r="Y162" s="1486"/>
      <c r="Z162" s="1486"/>
      <c r="AA162" s="1486"/>
      <c r="AB162" s="1486"/>
      <c r="AC162" s="1486"/>
      <c r="AD162" s="1486"/>
      <c r="AE162" s="1486"/>
      <c r="AF162" s="1486"/>
      <c r="AG162" s="1486"/>
      <c r="AH162" s="1486"/>
      <c r="AI162" s="1486"/>
      <c r="AJ162" s="1486"/>
      <c r="AK162" s="1486"/>
      <c r="AL162" s="1486"/>
      <c r="AM162" s="1486"/>
    </row>
    <row r="163" spans="2:39" s="948" customFormat="1" ht="18" customHeight="1">
      <c r="B163" s="1511"/>
      <c r="C163" s="1511"/>
      <c r="D163" s="1486"/>
      <c r="E163" s="1486"/>
      <c r="F163" s="1486"/>
      <c r="G163" s="1486"/>
      <c r="H163" s="1486"/>
      <c r="I163" s="1486"/>
      <c r="J163" s="1486"/>
      <c r="K163" s="1486"/>
      <c r="L163" s="1486"/>
      <c r="M163" s="1486"/>
      <c r="N163" s="1486"/>
      <c r="O163" s="1486"/>
      <c r="P163" s="1486"/>
      <c r="Q163" s="1486"/>
      <c r="R163" s="1486"/>
      <c r="S163" s="1486"/>
      <c r="T163" s="1486"/>
      <c r="U163" s="1486"/>
      <c r="V163" s="1486"/>
      <c r="W163" s="1486"/>
      <c r="X163" s="1486"/>
      <c r="Y163" s="1486"/>
      <c r="Z163" s="1486"/>
      <c r="AA163" s="1486"/>
      <c r="AB163" s="1486"/>
      <c r="AC163" s="1486"/>
      <c r="AD163" s="1486"/>
      <c r="AE163" s="1486"/>
      <c r="AF163" s="1486"/>
      <c r="AG163" s="1486"/>
      <c r="AH163" s="1486"/>
      <c r="AI163" s="1486"/>
      <c r="AJ163" s="1486"/>
      <c r="AK163" s="1486"/>
      <c r="AL163" s="1486"/>
      <c r="AM163" s="1486"/>
    </row>
    <row r="164" spans="2:39" s="948" customFormat="1" ht="18" customHeight="1">
      <c r="B164" s="1511"/>
      <c r="C164" s="1511"/>
      <c r="D164" s="1486"/>
      <c r="E164" s="1486"/>
      <c r="F164" s="1486"/>
      <c r="G164" s="1486"/>
      <c r="H164" s="1486"/>
      <c r="I164" s="1486"/>
      <c r="J164" s="1486"/>
      <c r="K164" s="1486"/>
      <c r="L164" s="1486"/>
      <c r="M164" s="1486"/>
      <c r="N164" s="1486"/>
      <c r="O164" s="1486"/>
      <c r="P164" s="1486"/>
      <c r="Q164" s="1486"/>
      <c r="R164" s="1486"/>
      <c r="S164" s="1486"/>
      <c r="T164" s="1486"/>
      <c r="U164" s="1486"/>
      <c r="V164" s="1486"/>
      <c r="W164" s="1486"/>
      <c r="X164" s="1486"/>
      <c r="Y164" s="1486"/>
      <c r="Z164" s="1486"/>
      <c r="AA164" s="1486"/>
      <c r="AB164" s="1486"/>
      <c r="AC164" s="1486"/>
      <c r="AD164" s="1486"/>
      <c r="AE164" s="1486"/>
      <c r="AF164" s="1486"/>
      <c r="AG164" s="1486"/>
      <c r="AH164" s="1486"/>
      <c r="AI164" s="1486"/>
      <c r="AJ164" s="1486"/>
      <c r="AK164" s="1486"/>
      <c r="AL164" s="1486"/>
      <c r="AM164" s="1486"/>
    </row>
    <row r="165" spans="2:39" s="948" customFormat="1" ht="18" customHeight="1">
      <c r="B165" s="1511"/>
      <c r="C165" s="1511"/>
      <c r="D165" s="1486"/>
      <c r="E165" s="1486"/>
      <c r="F165" s="1486"/>
      <c r="G165" s="1486"/>
      <c r="H165" s="1486"/>
      <c r="I165" s="1486"/>
      <c r="J165" s="1486"/>
      <c r="K165" s="1486"/>
      <c r="L165" s="1486"/>
      <c r="M165" s="1486"/>
      <c r="N165" s="1486"/>
      <c r="O165" s="1486"/>
      <c r="P165" s="1486"/>
      <c r="Q165" s="1486"/>
      <c r="R165" s="1486"/>
      <c r="S165" s="1486"/>
      <c r="T165" s="1486"/>
      <c r="U165" s="1486"/>
      <c r="V165" s="1486"/>
      <c r="W165" s="1486"/>
      <c r="X165" s="1486"/>
      <c r="Y165" s="1486"/>
      <c r="Z165" s="1486"/>
      <c r="AA165" s="1486"/>
      <c r="AB165" s="1486"/>
      <c r="AC165" s="1486"/>
      <c r="AD165" s="1486"/>
      <c r="AE165" s="1486"/>
      <c r="AF165" s="1486"/>
      <c r="AG165" s="1486"/>
      <c r="AH165" s="1486"/>
      <c r="AI165" s="1486"/>
      <c r="AJ165" s="1486"/>
      <c r="AK165" s="1486"/>
      <c r="AL165" s="1486"/>
      <c r="AM165" s="1486"/>
    </row>
    <row r="166" spans="2:39" s="948" customFormat="1" ht="18" customHeight="1">
      <c r="B166" s="1511"/>
      <c r="C166" s="1511"/>
      <c r="D166" s="1486"/>
      <c r="E166" s="1486"/>
      <c r="F166" s="1486"/>
      <c r="G166" s="1486"/>
      <c r="H166" s="1486"/>
      <c r="I166" s="1486"/>
      <c r="J166" s="1486"/>
      <c r="K166" s="1486"/>
      <c r="L166" s="1486"/>
      <c r="M166" s="1486"/>
      <c r="N166" s="1486"/>
      <c r="O166" s="1486"/>
      <c r="P166" s="1486"/>
      <c r="Q166" s="1486"/>
      <c r="R166" s="1486"/>
      <c r="S166" s="1486"/>
      <c r="T166" s="1486"/>
      <c r="U166" s="1486"/>
      <c r="V166" s="1486"/>
      <c r="W166" s="1486"/>
      <c r="X166" s="1486"/>
      <c r="Y166" s="1486"/>
      <c r="Z166" s="1486"/>
      <c r="AA166" s="1486"/>
      <c r="AB166" s="1486"/>
      <c r="AC166" s="1486"/>
      <c r="AD166" s="1486"/>
      <c r="AE166" s="1486"/>
      <c r="AF166" s="1486"/>
      <c r="AG166" s="1486"/>
      <c r="AH166" s="1486"/>
      <c r="AI166" s="1486"/>
      <c r="AJ166" s="1486"/>
      <c r="AK166" s="1486"/>
      <c r="AL166" s="1486"/>
      <c r="AM166" s="1486"/>
    </row>
    <row r="167" spans="2:39" s="948" customFormat="1" ht="18" customHeight="1">
      <c r="B167" s="1511"/>
      <c r="C167" s="1511"/>
      <c r="D167" s="1486"/>
      <c r="E167" s="1486"/>
      <c r="F167" s="1486"/>
      <c r="G167" s="1486"/>
      <c r="H167" s="1486"/>
      <c r="I167" s="1486"/>
      <c r="J167" s="1486"/>
      <c r="K167" s="1486"/>
      <c r="L167" s="1486"/>
      <c r="M167" s="1486"/>
      <c r="N167" s="1486"/>
      <c r="O167" s="1486"/>
      <c r="P167" s="1486"/>
      <c r="Q167" s="1486"/>
      <c r="R167" s="1486"/>
      <c r="S167" s="1486"/>
      <c r="T167" s="1486"/>
      <c r="U167" s="1486"/>
      <c r="V167" s="1486"/>
      <c r="W167" s="1486"/>
      <c r="X167" s="1486"/>
      <c r="Y167" s="1486"/>
      <c r="Z167" s="1486"/>
      <c r="AA167" s="1486"/>
      <c r="AB167" s="1486"/>
      <c r="AC167" s="1486"/>
      <c r="AD167" s="1486"/>
      <c r="AE167" s="1486"/>
      <c r="AF167" s="1486"/>
      <c r="AG167" s="1486"/>
      <c r="AH167" s="1486"/>
      <c r="AI167" s="1486"/>
      <c r="AJ167" s="1486"/>
      <c r="AK167" s="1486"/>
      <c r="AL167" s="1486"/>
      <c r="AM167" s="1486"/>
    </row>
    <row r="168" spans="2:39" s="948" customFormat="1" ht="18" customHeight="1">
      <c r="B168" s="1511"/>
      <c r="C168" s="1511"/>
      <c r="D168" s="1486"/>
      <c r="E168" s="1486"/>
      <c r="F168" s="1486"/>
      <c r="G168" s="1486"/>
      <c r="H168" s="1486"/>
      <c r="I168" s="1486"/>
      <c r="J168" s="1486"/>
      <c r="K168" s="1486"/>
      <c r="L168" s="1486"/>
      <c r="M168" s="1486"/>
      <c r="N168" s="1486"/>
      <c r="O168" s="1486"/>
      <c r="P168" s="1486"/>
      <c r="Q168" s="1486"/>
      <c r="R168" s="1486"/>
      <c r="S168" s="1486"/>
      <c r="T168" s="1486"/>
      <c r="U168" s="1486"/>
      <c r="V168" s="1486"/>
      <c r="W168" s="1486"/>
      <c r="X168" s="1486"/>
      <c r="Y168" s="1486"/>
      <c r="Z168" s="1486"/>
      <c r="AA168" s="1486"/>
      <c r="AB168" s="1486"/>
      <c r="AC168" s="1486"/>
      <c r="AD168" s="1486"/>
      <c r="AE168" s="1486"/>
      <c r="AF168" s="1486"/>
      <c r="AG168" s="1486"/>
      <c r="AH168" s="1486"/>
      <c r="AI168" s="1486"/>
      <c r="AJ168" s="1486"/>
      <c r="AK168" s="1486"/>
      <c r="AL168" s="1486"/>
      <c r="AM168" s="1486"/>
    </row>
    <row r="169" spans="2:39" s="948" customFormat="1" ht="18" customHeight="1">
      <c r="B169" s="1511"/>
      <c r="C169" s="1511"/>
      <c r="D169" s="1486"/>
      <c r="E169" s="1486"/>
      <c r="F169" s="1486"/>
      <c r="G169" s="1486"/>
      <c r="H169" s="1486"/>
      <c r="I169" s="1486"/>
      <c r="J169" s="1486"/>
      <c r="K169" s="1486"/>
      <c r="L169" s="1486"/>
      <c r="M169" s="1486"/>
      <c r="N169" s="1486"/>
      <c r="O169" s="1486"/>
      <c r="P169" s="1486"/>
      <c r="Q169" s="1486"/>
      <c r="R169" s="1486"/>
      <c r="S169" s="1486"/>
      <c r="T169" s="1486"/>
      <c r="U169" s="1486"/>
      <c r="V169" s="1486"/>
      <c r="W169" s="1486"/>
      <c r="X169" s="1486"/>
      <c r="Y169" s="1486"/>
      <c r="Z169" s="1486"/>
      <c r="AA169" s="1486"/>
      <c r="AB169" s="1486"/>
      <c r="AC169" s="1486"/>
      <c r="AD169" s="1486"/>
      <c r="AE169" s="1486"/>
      <c r="AF169" s="1486"/>
      <c r="AG169" s="1486"/>
      <c r="AH169" s="1486"/>
      <c r="AI169" s="1486"/>
      <c r="AJ169" s="1486"/>
      <c r="AK169" s="1486"/>
      <c r="AL169" s="1486"/>
      <c r="AM169" s="1486"/>
    </row>
    <row r="170" spans="2:39" s="948" customFormat="1" ht="18" customHeight="1">
      <c r="B170" s="1511"/>
      <c r="C170" s="1511"/>
      <c r="D170" s="1486"/>
      <c r="E170" s="1486"/>
      <c r="F170" s="1486"/>
      <c r="G170" s="1486"/>
      <c r="H170" s="1486"/>
      <c r="I170" s="1486"/>
      <c r="J170" s="1486"/>
      <c r="K170" s="1486"/>
      <c r="L170" s="1486"/>
      <c r="M170" s="1486"/>
      <c r="N170" s="1486"/>
      <c r="O170" s="1486"/>
      <c r="P170" s="1486"/>
      <c r="Q170" s="1486"/>
      <c r="R170" s="1486"/>
      <c r="S170" s="1486"/>
      <c r="T170" s="1486"/>
      <c r="U170" s="1486"/>
      <c r="V170" s="1486"/>
      <c r="W170" s="1486"/>
      <c r="X170" s="1486"/>
      <c r="Y170" s="1486"/>
      <c r="Z170" s="1486"/>
      <c r="AA170" s="1486"/>
      <c r="AB170" s="1486"/>
      <c r="AC170" s="1486"/>
      <c r="AD170" s="1486"/>
      <c r="AE170" s="1486"/>
      <c r="AF170" s="1486"/>
      <c r="AG170" s="1486"/>
      <c r="AH170" s="1486"/>
      <c r="AI170" s="1486"/>
      <c r="AJ170" s="1486"/>
      <c r="AK170" s="1486"/>
      <c r="AL170" s="1486"/>
      <c r="AM170" s="1486"/>
    </row>
    <row r="171" spans="2:39" s="948" customFormat="1" ht="18" customHeight="1">
      <c r="B171" s="1511"/>
      <c r="C171" s="1511"/>
      <c r="D171" s="1486"/>
      <c r="E171" s="1486"/>
      <c r="F171" s="1486"/>
      <c r="G171" s="1486"/>
      <c r="H171" s="1486"/>
      <c r="I171" s="1486"/>
      <c r="J171" s="1486"/>
      <c r="K171" s="1486"/>
      <c r="L171" s="1486"/>
      <c r="M171" s="1486"/>
      <c r="N171" s="1486"/>
      <c r="O171" s="1486"/>
      <c r="P171" s="1486"/>
      <c r="Q171" s="1486"/>
      <c r="R171" s="1486"/>
      <c r="S171" s="1486"/>
      <c r="T171" s="1486"/>
      <c r="U171" s="1486"/>
      <c r="V171" s="1486"/>
      <c r="W171" s="1486"/>
      <c r="X171" s="1486"/>
      <c r="Y171" s="1486"/>
      <c r="Z171" s="1486"/>
      <c r="AA171" s="1486"/>
      <c r="AB171" s="1486"/>
      <c r="AC171" s="1486"/>
      <c r="AD171" s="1486"/>
      <c r="AE171" s="1486"/>
      <c r="AF171" s="1486"/>
      <c r="AG171" s="1486"/>
      <c r="AH171" s="1486"/>
      <c r="AI171" s="1486"/>
      <c r="AJ171" s="1486"/>
      <c r="AK171" s="1486"/>
      <c r="AL171" s="1486"/>
      <c r="AM171" s="1486"/>
    </row>
    <row r="172" spans="2:39" s="948" customFormat="1" ht="18" customHeight="1">
      <c r="B172" s="1511"/>
      <c r="C172" s="1511"/>
      <c r="D172" s="1486"/>
      <c r="E172" s="1486"/>
      <c r="F172" s="1486"/>
      <c r="G172" s="1486"/>
      <c r="H172" s="1486"/>
      <c r="I172" s="1486"/>
      <c r="J172" s="1486"/>
      <c r="K172" s="1486"/>
      <c r="L172" s="1486"/>
      <c r="M172" s="1486"/>
      <c r="N172" s="1486"/>
      <c r="O172" s="1486"/>
      <c r="P172" s="1486"/>
      <c r="Q172" s="1486"/>
      <c r="R172" s="1486"/>
      <c r="S172" s="1486"/>
      <c r="T172" s="1486"/>
      <c r="U172" s="1486"/>
      <c r="V172" s="1486"/>
      <c r="W172" s="1486"/>
      <c r="X172" s="1486"/>
      <c r="Y172" s="1486"/>
      <c r="Z172" s="1486"/>
      <c r="AA172" s="1486"/>
      <c r="AB172" s="1486"/>
      <c r="AC172" s="1486"/>
      <c r="AD172" s="1486"/>
      <c r="AE172" s="1486"/>
      <c r="AF172" s="1486"/>
      <c r="AG172" s="1486"/>
      <c r="AH172" s="1486"/>
      <c r="AI172" s="1486"/>
      <c r="AJ172" s="1486"/>
      <c r="AK172" s="1486"/>
      <c r="AL172" s="1486"/>
      <c r="AM172" s="1486"/>
    </row>
    <row r="173" spans="2:39" s="948" customFormat="1" ht="18" customHeight="1">
      <c r="B173" s="1511"/>
      <c r="C173" s="1511"/>
      <c r="D173" s="1486"/>
      <c r="E173" s="1486"/>
      <c r="F173" s="1486"/>
      <c r="G173" s="1486"/>
      <c r="H173" s="1486"/>
      <c r="I173" s="1486"/>
      <c r="J173" s="1486"/>
      <c r="K173" s="1486"/>
      <c r="L173" s="1486"/>
      <c r="M173" s="1486"/>
      <c r="N173" s="1486"/>
      <c r="O173" s="1486"/>
      <c r="P173" s="1486"/>
      <c r="Q173" s="1486"/>
      <c r="R173" s="1486"/>
      <c r="S173" s="1486"/>
      <c r="T173" s="1486"/>
      <c r="U173" s="1486"/>
      <c r="V173" s="1486"/>
      <c r="W173" s="1486"/>
      <c r="X173" s="1486"/>
      <c r="Y173" s="1486"/>
      <c r="Z173" s="1486"/>
      <c r="AA173" s="1486"/>
      <c r="AB173" s="1486"/>
      <c r="AC173" s="1486"/>
      <c r="AD173" s="1486"/>
      <c r="AE173" s="1486"/>
      <c r="AF173" s="1486"/>
      <c r="AG173" s="1486"/>
      <c r="AH173" s="1486"/>
      <c r="AI173" s="1486"/>
      <c r="AJ173" s="1486"/>
      <c r="AK173" s="1486"/>
      <c r="AL173" s="1486"/>
      <c r="AM173" s="1486"/>
    </row>
    <row r="174" spans="2:39" s="948" customFormat="1" ht="18" customHeight="1">
      <c r="B174" s="1511"/>
      <c r="C174" s="1511"/>
      <c r="D174" s="1486"/>
      <c r="E174" s="1486"/>
      <c r="F174" s="1486"/>
      <c r="G174" s="1486"/>
      <c r="H174" s="1486"/>
      <c r="I174" s="1486"/>
      <c r="J174" s="1486"/>
      <c r="K174" s="1486"/>
      <c r="L174" s="1486"/>
      <c r="M174" s="1486"/>
      <c r="N174" s="1486"/>
      <c r="O174" s="1486"/>
      <c r="P174" s="1486"/>
      <c r="Q174" s="1486"/>
      <c r="R174" s="1486"/>
      <c r="S174" s="1486"/>
      <c r="T174" s="1486"/>
      <c r="U174" s="1486"/>
      <c r="V174" s="1486"/>
      <c r="W174" s="1486"/>
      <c r="X174" s="1486"/>
      <c r="Y174" s="1486"/>
      <c r="Z174" s="1486"/>
      <c r="AA174" s="1486"/>
      <c r="AB174" s="1486"/>
      <c r="AC174" s="1486"/>
      <c r="AD174" s="1486"/>
      <c r="AE174" s="1486"/>
      <c r="AF174" s="1486"/>
      <c r="AG174" s="1486"/>
      <c r="AH174" s="1486"/>
      <c r="AI174" s="1486"/>
      <c r="AJ174" s="1486"/>
      <c r="AK174" s="1486"/>
      <c r="AL174" s="1486"/>
      <c r="AM174" s="1486"/>
    </row>
    <row r="175" spans="2:39" s="948" customFormat="1" ht="18" customHeight="1">
      <c r="B175" s="1511"/>
      <c r="C175" s="1511"/>
      <c r="D175" s="1486"/>
      <c r="E175" s="1486"/>
      <c r="F175" s="1486"/>
      <c r="G175" s="1486"/>
      <c r="H175" s="1486"/>
      <c r="I175" s="1486"/>
      <c r="J175" s="1486"/>
      <c r="K175" s="1486"/>
      <c r="L175" s="1486"/>
      <c r="M175" s="1486"/>
      <c r="N175" s="1486"/>
      <c r="O175" s="1486"/>
      <c r="P175" s="1486"/>
      <c r="Q175" s="1486"/>
      <c r="R175" s="1486"/>
      <c r="S175" s="1486"/>
      <c r="T175" s="1486"/>
      <c r="U175" s="1486"/>
      <c r="V175" s="1486"/>
      <c r="W175" s="1486"/>
      <c r="X175" s="1486"/>
      <c r="Y175" s="1486"/>
      <c r="Z175" s="1486"/>
      <c r="AA175" s="1486"/>
      <c r="AB175" s="1486"/>
      <c r="AC175" s="1486"/>
      <c r="AD175" s="1486"/>
      <c r="AE175" s="1486"/>
      <c r="AF175" s="1486"/>
      <c r="AG175" s="1486"/>
      <c r="AH175" s="1486"/>
      <c r="AI175" s="1486"/>
      <c r="AJ175" s="1486"/>
      <c r="AK175" s="1486"/>
      <c r="AL175" s="1486"/>
      <c r="AM175" s="1486"/>
    </row>
    <row r="176" spans="2:39" s="948" customFormat="1" ht="18" customHeight="1">
      <c r="B176" s="1511"/>
      <c r="C176" s="1511"/>
      <c r="D176" s="1486"/>
      <c r="E176" s="1486"/>
      <c r="F176" s="1486"/>
      <c r="G176" s="1486"/>
      <c r="H176" s="1486"/>
      <c r="I176" s="1486"/>
      <c r="J176" s="1486"/>
      <c r="K176" s="1486"/>
      <c r="L176" s="1486"/>
      <c r="M176" s="1486"/>
      <c r="N176" s="1486"/>
      <c r="O176" s="1486"/>
      <c r="P176" s="1486"/>
      <c r="Q176" s="1486"/>
      <c r="R176" s="1486"/>
      <c r="S176" s="1486"/>
      <c r="T176" s="1486"/>
      <c r="U176" s="1486"/>
      <c r="V176" s="1486"/>
      <c r="W176" s="1486"/>
      <c r="X176" s="1486"/>
      <c r="Y176" s="1486"/>
      <c r="Z176" s="1486"/>
      <c r="AA176" s="1486"/>
      <c r="AB176" s="1486"/>
      <c r="AC176" s="1486"/>
      <c r="AD176" s="1486"/>
      <c r="AE176" s="1486"/>
      <c r="AF176" s="1486"/>
      <c r="AG176" s="1486"/>
      <c r="AH176" s="1486"/>
      <c r="AI176" s="1486"/>
      <c r="AJ176" s="1486"/>
      <c r="AK176" s="1486"/>
      <c r="AL176" s="1486"/>
      <c r="AM176" s="1486"/>
    </row>
    <row r="177" spans="2:3" s="948" customFormat="1" ht="18" customHeight="1">
      <c r="B177" s="1511"/>
      <c r="C177" s="1511"/>
    </row>
    <row r="178" spans="2:3" s="948" customFormat="1" ht="18" customHeight="1">
      <c r="B178" s="1511"/>
      <c r="C178" s="1511"/>
    </row>
    <row r="179" spans="2:3" s="948" customFormat="1" ht="18" customHeight="1">
      <c r="B179" s="1511"/>
      <c r="C179" s="1511"/>
    </row>
    <row r="180" spans="2:3" s="948" customFormat="1" ht="18" customHeight="1">
      <c r="B180" s="1511"/>
      <c r="C180" s="1511"/>
    </row>
    <row r="181" spans="2:3" s="948" customFormat="1" ht="18" customHeight="1">
      <c r="B181" s="1511"/>
      <c r="C181" s="1511"/>
    </row>
    <row r="182" spans="2:3" s="948" customFormat="1" ht="18" customHeight="1">
      <c r="B182" s="1511"/>
      <c r="C182" s="1511"/>
    </row>
    <row r="183" spans="2:3" s="948" customFormat="1" ht="18" customHeight="1">
      <c r="B183" s="1511"/>
      <c r="C183" s="1511"/>
    </row>
    <row r="184" spans="2:3" s="948" customFormat="1" ht="18" customHeight="1">
      <c r="B184" s="1511"/>
      <c r="C184" s="1511"/>
    </row>
    <row r="185" spans="2:3" s="948" customFormat="1" ht="18" customHeight="1">
      <c r="B185" s="1511"/>
      <c r="C185" s="1511"/>
    </row>
    <row r="186" spans="2:3" s="948" customFormat="1" ht="18" customHeight="1">
      <c r="B186" s="1511"/>
      <c r="C186" s="1511"/>
    </row>
    <row r="187" spans="2:3" s="948" customFormat="1" ht="18" customHeight="1">
      <c r="B187" s="1511"/>
      <c r="C187" s="1511"/>
    </row>
    <row r="188" spans="2:3" s="948" customFormat="1" ht="18" customHeight="1">
      <c r="B188" s="1511"/>
      <c r="C188" s="1511"/>
    </row>
    <row r="189" spans="2:3" s="948" customFormat="1" ht="18" customHeight="1">
      <c r="B189" s="1511"/>
      <c r="C189" s="1511"/>
    </row>
    <row r="190" spans="2:3" s="948" customFormat="1" ht="18" customHeight="1">
      <c r="B190" s="1511"/>
      <c r="C190" s="1511"/>
    </row>
    <row r="191" spans="2:3" s="948" customFormat="1" ht="18" customHeight="1">
      <c r="B191" s="1511"/>
      <c r="C191" s="1511"/>
    </row>
    <row r="192" spans="2:3" s="948" customFormat="1" ht="18" customHeight="1">
      <c r="B192" s="1511"/>
      <c r="C192" s="1511"/>
    </row>
    <row r="193" spans="2:3" s="948" customFormat="1" ht="18" customHeight="1">
      <c r="B193" s="1511"/>
      <c r="C193" s="1511"/>
    </row>
    <row r="194" spans="2:3" s="948" customFormat="1" ht="18" customHeight="1">
      <c r="B194" s="1511"/>
      <c r="C194" s="1511"/>
    </row>
    <row r="195" spans="2:3" s="948" customFormat="1" ht="18" customHeight="1">
      <c r="B195" s="1511"/>
      <c r="C195" s="1511"/>
    </row>
    <row r="196" spans="2:3" s="948" customFormat="1" ht="18" customHeight="1">
      <c r="B196" s="1511"/>
      <c r="C196" s="1511"/>
    </row>
    <row r="197" spans="2:3" s="948" customFormat="1" ht="18" customHeight="1">
      <c r="B197" s="1511"/>
      <c r="C197" s="1511"/>
    </row>
    <row r="198" spans="2:3" s="948" customFormat="1" ht="18" customHeight="1">
      <c r="B198" s="1511"/>
      <c r="C198" s="1511"/>
    </row>
    <row r="199" spans="2:3" s="948" customFormat="1" ht="18" customHeight="1">
      <c r="B199" s="1511"/>
      <c r="C199" s="1511"/>
    </row>
    <row r="200" spans="2:3" s="948" customFormat="1" ht="18" customHeight="1">
      <c r="B200" s="1511"/>
      <c r="C200" s="1511"/>
    </row>
    <row r="201" spans="2:3" s="948" customFormat="1" ht="18" customHeight="1">
      <c r="B201" s="1511"/>
      <c r="C201" s="1511"/>
    </row>
    <row r="202" spans="2:3" s="948" customFormat="1" ht="18" customHeight="1">
      <c r="B202" s="1511"/>
      <c r="C202" s="1511"/>
    </row>
    <row r="203" spans="2:3" s="948" customFormat="1" ht="18" customHeight="1">
      <c r="B203" s="1511"/>
      <c r="C203" s="1511"/>
    </row>
    <row r="204" spans="2:3" s="948" customFormat="1" ht="18" customHeight="1">
      <c r="B204" s="1511"/>
      <c r="C204" s="1511"/>
    </row>
    <row r="205" spans="2:3" s="948" customFormat="1" ht="18" customHeight="1">
      <c r="B205" s="1511"/>
      <c r="C205" s="1511"/>
    </row>
    <row r="206" spans="2:3" s="948" customFormat="1" ht="18" customHeight="1">
      <c r="B206" s="1511"/>
      <c r="C206" s="1511"/>
    </row>
    <row r="207" spans="2:3" s="948" customFormat="1" ht="18" customHeight="1">
      <c r="B207" s="1511"/>
      <c r="C207" s="1511"/>
    </row>
    <row r="208" spans="2:3" s="948" customFormat="1" ht="18" customHeight="1">
      <c r="B208" s="1511"/>
      <c r="C208" s="1511"/>
    </row>
    <row r="209" spans="2:3" s="948" customFormat="1" ht="18" customHeight="1">
      <c r="B209" s="1511"/>
      <c r="C209" s="1511"/>
    </row>
    <row r="210" spans="2:3" s="948" customFormat="1" ht="18" customHeight="1">
      <c r="B210" s="1511"/>
      <c r="C210" s="1511"/>
    </row>
    <row r="211" spans="2:3" s="948" customFormat="1" ht="18" customHeight="1">
      <c r="B211" s="1511"/>
      <c r="C211" s="1511"/>
    </row>
    <row r="212" spans="2:3" s="948" customFormat="1" ht="18" customHeight="1">
      <c r="B212" s="1511"/>
      <c r="C212" s="1511"/>
    </row>
    <row r="213" spans="2:3" s="948" customFormat="1" ht="18" customHeight="1">
      <c r="B213" s="1511"/>
      <c r="C213" s="1511"/>
    </row>
    <row r="214" spans="2:3" s="948" customFormat="1" ht="18" customHeight="1">
      <c r="B214" s="1511"/>
      <c r="C214" s="1511"/>
    </row>
    <row r="215" spans="2:3" s="948" customFormat="1" ht="18" customHeight="1">
      <c r="B215" s="1511"/>
      <c r="C215" s="1511"/>
    </row>
    <row r="216" spans="2:3" s="948" customFormat="1" ht="18" customHeight="1">
      <c r="B216" s="1511"/>
      <c r="C216" s="1511"/>
    </row>
    <row r="217" spans="2:3" s="948" customFormat="1" ht="18" customHeight="1">
      <c r="B217" s="1511"/>
      <c r="C217" s="1511"/>
    </row>
    <row r="218" spans="2:3" s="948" customFormat="1" ht="18" customHeight="1">
      <c r="B218" s="1511"/>
      <c r="C218" s="1511"/>
    </row>
    <row r="219" spans="2:3" s="948" customFormat="1" ht="18" customHeight="1">
      <c r="B219" s="1511"/>
      <c r="C219" s="1511"/>
    </row>
    <row r="220" spans="2:3" s="948" customFormat="1" ht="18" customHeight="1">
      <c r="B220" s="1511"/>
      <c r="C220" s="1511"/>
    </row>
    <row r="221" spans="2:3" s="948" customFormat="1" ht="18" customHeight="1">
      <c r="B221" s="1511"/>
      <c r="C221" s="1511"/>
    </row>
    <row r="222" spans="2:3" s="948" customFormat="1" ht="18" customHeight="1">
      <c r="B222" s="1511"/>
      <c r="C222" s="1511"/>
    </row>
    <row r="223" spans="2:3" s="948" customFormat="1" ht="18" customHeight="1">
      <c r="B223" s="1511"/>
      <c r="C223" s="1511"/>
    </row>
    <row r="224" spans="2:3" s="948" customFormat="1" ht="18" customHeight="1">
      <c r="B224" s="1511"/>
      <c r="C224" s="1511"/>
    </row>
    <row r="225" spans="2:3" s="948" customFormat="1" ht="18" customHeight="1">
      <c r="B225" s="1511"/>
      <c r="C225" s="1511"/>
    </row>
    <row r="226" spans="2:3" s="948" customFormat="1" ht="18" customHeight="1">
      <c r="B226" s="1511"/>
      <c r="C226" s="1511"/>
    </row>
    <row r="227" spans="2:3" s="948" customFormat="1" ht="18" customHeight="1">
      <c r="B227" s="1511"/>
      <c r="C227" s="1511"/>
    </row>
    <row r="228" spans="2:3" s="948" customFormat="1" ht="18" customHeight="1">
      <c r="B228" s="1511"/>
      <c r="C228" s="1511"/>
    </row>
    <row r="229" spans="2:3" s="948" customFormat="1" ht="18" customHeight="1">
      <c r="B229" s="1511"/>
      <c r="C229" s="1511"/>
    </row>
    <row r="230" spans="2:3" s="948" customFormat="1" ht="18" customHeight="1">
      <c r="B230" s="1511"/>
      <c r="C230" s="1511"/>
    </row>
    <row r="231" spans="2:3" s="948" customFormat="1" ht="18" customHeight="1">
      <c r="B231" s="1511"/>
      <c r="C231" s="1511"/>
    </row>
    <row r="232" spans="2:3" s="948" customFormat="1" ht="18" customHeight="1">
      <c r="B232" s="1511"/>
      <c r="C232" s="1511"/>
    </row>
    <row r="233" spans="2:3" s="948" customFormat="1" ht="18" customHeight="1">
      <c r="B233" s="1511"/>
      <c r="C233" s="1511"/>
    </row>
    <row r="234" spans="2:3" s="948" customFormat="1" ht="18" customHeight="1">
      <c r="B234" s="1511"/>
      <c r="C234" s="1511"/>
    </row>
    <row r="235" spans="2:3" s="948" customFormat="1" ht="18" customHeight="1">
      <c r="B235" s="1511"/>
      <c r="C235" s="1511"/>
    </row>
    <row r="236" spans="2:3" s="948" customFormat="1" ht="18" customHeight="1">
      <c r="B236" s="1511"/>
      <c r="C236" s="1511"/>
    </row>
    <row r="237" spans="2:3" s="948" customFormat="1" ht="18" customHeight="1">
      <c r="B237" s="1511"/>
      <c r="C237" s="1511"/>
    </row>
    <row r="238" spans="2:3" s="948" customFormat="1" ht="18" customHeight="1">
      <c r="B238" s="1511"/>
      <c r="C238" s="1511"/>
    </row>
    <row r="239" spans="2:3" s="948" customFormat="1" ht="18" customHeight="1">
      <c r="B239" s="1511"/>
      <c r="C239" s="1511"/>
    </row>
    <row r="240" spans="2:3" s="948" customFormat="1" ht="18" customHeight="1">
      <c r="B240" s="1511"/>
      <c r="C240" s="1511"/>
    </row>
    <row r="241" spans="2:3" s="948" customFormat="1" ht="18" customHeight="1">
      <c r="B241" s="1511"/>
      <c r="C241" s="1511"/>
    </row>
    <row r="242" spans="2:3" s="948" customFormat="1" ht="18" customHeight="1">
      <c r="B242" s="1511"/>
      <c r="C242" s="1511"/>
    </row>
    <row r="243" spans="2:3" s="948" customFormat="1" ht="18" customHeight="1">
      <c r="B243" s="1511"/>
      <c r="C243" s="1511"/>
    </row>
    <row r="244" spans="2:3" s="948" customFormat="1" ht="18" customHeight="1">
      <c r="B244" s="1511"/>
      <c r="C244" s="1511"/>
    </row>
    <row r="245" spans="2:3" s="948" customFormat="1" ht="18" customHeight="1">
      <c r="B245" s="1511"/>
      <c r="C245" s="1511"/>
    </row>
    <row r="246" spans="2:3" s="948" customFormat="1" ht="18" customHeight="1">
      <c r="B246" s="1511"/>
      <c r="C246" s="1511"/>
    </row>
    <row r="247" spans="2:3" s="948" customFormat="1" ht="18" customHeight="1">
      <c r="B247" s="1511"/>
      <c r="C247" s="1511"/>
    </row>
    <row r="248" spans="2:3" s="948" customFormat="1" ht="18" customHeight="1">
      <c r="B248" s="1511"/>
      <c r="C248" s="1511"/>
    </row>
    <row r="249" spans="2:3" s="948" customFormat="1" ht="18" customHeight="1">
      <c r="B249" s="1511"/>
      <c r="C249" s="1511"/>
    </row>
    <row r="250" spans="2:3" s="948" customFormat="1" ht="18" customHeight="1">
      <c r="B250" s="1511"/>
      <c r="C250" s="1511"/>
    </row>
    <row r="251" spans="2:3" s="948" customFormat="1" ht="18" customHeight="1">
      <c r="B251" s="1511"/>
      <c r="C251" s="1511"/>
    </row>
    <row r="252" spans="2:3" s="948" customFormat="1" ht="18" customHeight="1">
      <c r="B252" s="1511"/>
      <c r="C252" s="1511"/>
    </row>
    <row r="253" spans="2:3" s="948" customFormat="1" ht="18" customHeight="1">
      <c r="B253" s="1511"/>
      <c r="C253" s="1511"/>
    </row>
    <row r="254" spans="2:3" s="948" customFormat="1" ht="18" customHeight="1">
      <c r="B254" s="1511"/>
      <c r="C254" s="1511"/>
    </row>
    <row r="255" spans="2:3" s="948" customFormat="1" ht="18" customHeight="1">
      <c r="B255" s="1511"/>
      <c r="C255" s="1511"/>
    </row>
    <row r="256" spans="2:3" s="948" customFormat="1" ht="18" customHeight="1">
      <c r="B256" s="1511"/>
      <c r="C256" s="1511"/>
    </row>
    <row r="257" spans="2:3" s="948" customFormat="1" ht="18" customHeight="1">
      <c r="B257" s="1511"/>
      <c r="C257" s="1511"/>
    </row>
    <row r="258" spans="2:3" s="948" customFormat="1" ht="18" customHeight="1">
      <c r="B258" s="1511"/>
      <c r="C258" s="1511"/>
    </row>
    <row r="259" spans="2:3" s="948" customFormat="1" ht="18" customHeight="1">
      <c r="B259" s="1511"/>
      <c r="C259" s="1511"/>
    </row>
    <row r="260" spans="2:3" s="948" customFormat="1" ht="18" customHeight="1">
      <c r="B260" s="1511"/>
      <c r="C260" s="1511"/>
    </row>
    <row r="261" spans="2:3" s="948" customFormat="1" ht="18" customHeight="1">
      <c r="B261" s="1511"/>
      <c r="C261" s="1511"/>
    </row>
    <row r="262" spans="2:3" s="948" customFormat="1" ht="18" customHeight="1">
      <c r="B262" s="1511"/>
      <c r="C262" s="1511"/>
    </row>
    <row r="263" spans="2:3" s="948" customFormat="1" ht="18" customHeight="1">
      <c r="B263" s="1511"/>
      <c r="C263" s="1511"/>
    </row>
    <row r="264" spans="2:3" s="948" customFormat="1" ht="18" customHeight="1">
      <c r="B264" s="1511"/>
      <c r="C264" s="1511"/>
    </row>
    <row r="265" spans="2:3" s="948" customFormat="1" ht="18" customHeight="1">
      <c r="B265" s="1511"/>
      <c r="C265" s="1511"/>
    </row>
    <row r="266" spans="2:3" s="948" customFormat="1" ht="18" customHeight="1">
      <c r="B266" s="1511"/>
      <c r="C266" s="1511"/>
    </row>
    <row r="267" spans="2:3" s="948" customFormat="1" ht="18" customHeight="1">
      <c r="B267" s="1511"/>
      <c r="C267" s="1511"/>
    </row>
    <row r="268" spans="2:3" s="948" customFormat="1" ht="18" customHeight="1">
      <c r="B268" s="1511"/>
      <c r="C268" s="1511"/>
    </row>
    <row r="269" spans="2:3" s="948" customFormat="1" ht="18" customHeight="1">
      <c r="B269" s="1511"/>
      <c r="C269" s="1511"/>
    </row>
    <row r="270" spans="2:3" s="948" customFormat="1" ht="18" customHeight="1">
      <c r="B270" s="1511"/>
      <c r="C270" s="1511"/>
    </row>
    <row r="271" spans="2:3" s="948" customFormat="1" ht="18" customHeight="1">
      <c r="B271" s="1511"/>
      <c r="C271" s="1511"/>
    </row>
    <row r="272" spans="2:3" s="948" customFormat="1" ht="18" customHeight="1">
      <c r="B272" s="1511"/>
      <c r="C272" s="1511"/>
    </row>
    <row r="273" spans="2:3" s="948" customFormat="1" ht="18" customHeight="1">
      <c r="B273" s="1511"/>
      <c r="C273" s="1511"/>
    </row>
    <row r="274" spans="2:3" s="948" customFormat="1" ht="18" customHeight="1">
      <c r="B274" s="1511"/>
      <c r="C274" s="1511"/>
    </row>
    <row r="275" spans="2:3" s="948" customFormat="1" ht="18" customHeight="1">
      <c r="B275" s="1511"/>
      <c r="C275" s="1511"/>
    </row>
    <row r="276" spans="2:3" s="948" customFormat="1" ht="18" customHeight="1">
      <c r="B276" s="1511"/>
      <c r="C276" s="1511"/>
    </row>
    <row r="277" spans="2:3" s="948" customFormat="1" ht="18" customHeight="1">
      <c r="B277" s="1511"/>
      <c r="C277" s="1511"/>
    </row>
    <row r="278" spans="2:3" s="948" customFormat="1" ht="18" customHeight="1">
      <c r="B278" s="1511"/>
      <c r="C278" s="1511"/>
    </row>
    <row r="279" spans="2:3" s="948" customFormat="1" ht="18" customHeight="1">
      <c r="B279" s="1511"/>
      <c r="C279" s="1511"/>
    </row>
    <row r="280" spans="2:3" s="948" customFormat="1" ht="18" customHeight="1">
      <c r="B280" s="1511"/>
      <c r="C280" s="1511"/>
    </row>
    <row r="281" spans="2:3" s="948" customFormat="1" ht="18" customHeight="1">
      <c r="B281" s="1511"/>
      <c r="C281" s="1511"/>
    </row>
    <row r="282" spans="2:3" s="948" customFormat="1" ht="18" customHeight="1">
      <c r="B282" s="1511"/>
      <c r="C282" s="1511"/>
    </row>
    <row r="283" spans="2:3" s="948" customFormat="1" ht="18" customHeight="1">
      <c r="B283" s="1511"/>
      <c r="C283" s="1511"/>
    </row>
    <row r="284" spans="2:3" s="948" customFormat="1" ht="18" customHeight="1">
      <c r="B284" s="1511"/>
      <c r="C284" s="1511"/>
    </row>
    <row r="285" spans="2:3" s="948" customFormat="1" ht="18" customHeight="1">
      <c r="B285" s="1511"/>
      <c r="C285" s="1511"/>
    </row>
    <row r="286" spans="2:3" s="948" customFormat="1" ht="18" customHeight="1">
      <c r="B286" s="1511"/>
      <c r="C286" s="1511"/>
    </row>
    <row r="287" spans="2:3" s="948" customFormat="1" ht="18" customHeight="1">
      <c r="B287" s="1511"/>
      <c r="C287" s="1511"/>
    </row>
    <row r="288" spans="2:3" s="948" customFormat="1" ht="18" customHeight="1">
      <c r="B288" s="1511"/>
      <c r="C288" s="1511"/>
    </row>
    <row r="289" spans="2:3" s="948" customFormat="1" ht="18" customHeight="1">
      <c r="B289" s="1511"/>
      <c r="C289" s="1511"/>
    </row>
    <row r="290" spans="2:3" s="948" customFormat="1" ht="18" customHeight="1">
      <c r="B290" s="1511"/>
      <c r="C290" s="1511"/>
    </row>
    <row r="291" spans="2:3" s="948" customFormat="1" ht="18" customHeight="1">
      <c r="B291" s="1511"/>
      <c r="C291" s="1511"/>
    </row>
    <row r="292" spans="2:3" s="948" customFormat="1" ht="18" customHeight="1">
      <c r="B292" s="1511"/>
      <c r="C292" s="1511"/>
    </row>
    <row r="293" spans="2:3" s="948" customFormat="1" ht="18" customHeight="1">
      <c r="B293" s="1511"/>
      <c r="C293" s="1511"/>
    </row>
    <row r="294" spans="2:3" s="948" customFormat="1" ht="18" customHeight="1">
      <c r="B294" s="1511"/>
      <c r="C294" s="1511"/>
    </row>
    <row r="295" spans="2:3" s="948" customFormat="1" ht="18" customHeight="1">
      <c r="B295" s="1511"/>
      <c r="C295" s="1511"/>
    </row>
    <row r="296" spans="2:3" s="948" customFormat="1" ht="18" customHeight="1">
      <c r="B296" s="1511"/>
      <c r="C296" s="1511"/>
    </row>
    <row r="297" spans="2:3" s="948" customFormat="1" ht="18" customHeight="1">
      <c r="B297" s="1511"/>
      <c r="C297" s="1511"/>
    </row>
    <row r="298" spans="2:3" s="948" customFormat="1" ht="18" customHeight="1">
      <c r="B298" s="1511"/>
      <c r="C298" s="1511"/>
    </row>
    <row r="299" spans="2:3" s="948" customFormat="1" ht="18" customHeight="1">
      <c r="B299" s="1511"/>
      <c r="C299" s="1511"/>
    </row>
    <row r="300" spans="2:3" s="948" customFormat="1" ht="18" customHeight="1">
      <c r="B300" s="1511"/>
      <c r="C300" s="1511"/>
    </row>
    <row r="301" spans="2:3" s="948" customFormat="1" ht="18" customHeight="1">
      <c r="B301" s="1511"/>
      <c r="C301" s="1511"/>
    </row>
    <row r="302" spans="2:3" s="948" customFormat="1" ht="18" customHeight="1">
      <c r="B302" s="1511"/>
      <c r="C302" s="1511"/>
    </row>
    <row r="303" spans="2:3" s="948" customFormat="1" ht="18" customHeight="1">
      <c r="B303" s="1511"/>
      <c r="C303" s="1511"/>
    </row>
    <row r="304" spans="2:3" s="948" customFormat="1" ht="18" customHeight="1">
      <c r="B304" s="1511"/>
      <c r="C304" s="1511"/>
    </row>
    <row r="305" spans="2:3" s="948" customFormat="1" ht="18" customHeight="1">
      <c r="B305" s="1511"/>
      <c r="C305" s="1511"/>
    </row>
    <row r="306" spans="2:3" s="948" customFormat="1" ht="18" customHeight="1">
      <c r="B306" s="1511"/>
      <c r="C306" s="1511"/>
    </row>
    <row r="307" spans="2:3" s="948" customFormat="1" ht="18" customHeight="1">
      <c r="B307" s="1511"/>
      <c r="C307" s="1511"/>
    </row>
    <row r="308" spans="2:3" s="948" customFormat="1" ht="18" customHeight="1">
      <c r="B308" s="1511"/>
      <c r="C308" s="1511"/>
    </row>
    <row r="309" spans="2:3" s="948" customFormat="1" ht="18" customHeight="1">
      <c r="B309" s="1511"/>
      <c r="C309" s="1511"/>
    </row>
    <row r="310" spans="2:3" s="948" customFormat="1" ht="18" customHeight="1">
      <c r="B310" s="1511"/>
      <c r="C310" s="1511"/>
    </row>
    <row r="311" spans="2:3" s="948" customFormat="1" ht="18" customHeight="1">
      <c r="B311" s="1511"/>
      <c r="C311" s="1511"/>
    </row>
    <row r="312" spans="2:3" s="948" customFormat="1" ht="18" customHeight="1">
      <c r="B312" s="1511"/>
      <c r="C312" s="1511"/>
    </row>
    <row r="313" spans="2:3" s="948" customFormat="1" ht="18" customHeight="1">
      <c r="B313" s="1511"/>
      <c r="C313" s="1511"/>
    </row>
    <row r="314" spans="2:3" s="948" customFormat="1" ht="18" customHeight="1">
      <c r="B314" s="1511"/>
      <c r="C314" s="1511"/>
    </row>
    <row r="315" spans="2:3" s="948" customFormat="1" ht="18" customHeight="1">
      <c r="B315" s="1511"/>
      <c r="C315" s="1511"/>
    </row>
    <row r="316" spans="2:3" s="948" customFormat="1" ht="18" customHeight="1">
      <c r="B316" s="1511"/>
      <c r="C316" s="1511"/>
    </row>
    <row r="317" spans="2:3" s="948" customFormat="1" ht="18" customHeight="1">
      <c r="B317" s="1511"/>
      <c r="C317" s="1511"/>
    </row>
    <row r="318" spans="2:3" s="948" customFormat="1" ht="18" customHeight="1">
      <c r="B318" s="1511"/>
      <c r="C318" s="1511"/>
    </row>
    <row r="319" spans="2:3" s="948" customFormat="1" ht="18" customHeight="1">
      <c r="B319" s="1511"/>
      <c r="C319" s="1511"/>
    </row>
    <row r="320" spans="2:3" s="948" customFormat="1" ht="18" customHeight="1">
      <c r="B320" s="1511"/>
      <c r="C320" s="1511"/>
    </row>
    <row r="321" spans="2:3" s="948" customFormat="1" ht="18" customHeight="1">
      <c r="B321" s="1511"/>
      <c r="C321" s="1511"/>
    </row>
  </sheetData>
  <mergeCells count="183">
    <mergeCell ref="AL50:AM50"/>
    <mergeCell ref="E38:F38"/>
    <mergeCell ref="E13:F13"/>
    <mergeCell ref="E14:F14"/>
    <mergeCell ref="E15:AK15"/>
    <mergeCell ref="D20:AK20"/>
    <mergeCell ref="D21:AK21"/>
    <mergeCell ref="AL21:AM21"/>
    <mergeCell ref="F35:G35"/>
    <mergeCell ref="F36:G36"/>
    <mergeCell ref="F37:G37"/>
    <mergeCell ref="D27:E27"/>
    <mergeCell ref="D30:E30"/>
    <mergeCell ref="D29:E29"/>
    <mergeCell ref="D31:E31"/>
    <mergeCell ref="E33:F33"/>
    <mergeCell ref="E34:F34"/>
    <mergeCell ref="D22:AK22"/>
    <mergeCell ref="E28:F28"/>
    <mergeCell ref="AL84:AM84"/>
    <mergeCell ref="E80:AK80"/>
    <mergeCell ref="D86:AK86"/>
    <mergeCell ref="E87:Y87"/>
    <mergeCell ref="AL82:AM82"/>
    <mergeCell ref="F82:AK82"/>
    <mergeCell ref="E76:AK76"/>
    <mergeCell ref="AL109:AM109"/>
    <mergeCell ref="F81:G81"/>
    <mergeCell ref="V88:W88"/>
    <mergeCell ref="X88:AG88"/>
    <mergeCell ref="E83:AK83"/>
    <mergeCell ref="E84:AK84"/>
    <mergeCell ref="E91:AK91"/>
    <mergeCell ref="AL91:AM91"/>
    <mergeCell ref="E92:AK92"/>
    <mergeCell ref="AL92:AM92"/>
    <mergeCell ref="E93:AK93"/>
    <mergeCell ref="AL93:AM93"/>
    <mergeCell ref="C97:AK97"/>
    <mergeCell ref="B95:G95"/>
    <mergeCell ref="B96:AM96"/>
    <mergeCell ref="AL98:AM98"/>
    <mergeCell ref="D99:AK99"/>
    <mergeCell ref="AL119:AM119"/>
    <mergeCell ref="C119:AK119"/>
    <mergeCell ref="D113:AK113"/>
    <mergeCell ref="AL113:AM113"/>
    <mergeCell ref="AL111:AM111"/>
    <mergeCell ref="C118:AK118"/>
    <mergeCell ref="AL118:AM118"/>
    <mergeCell ref="E109:AK109"/>
    <mergeCell ref="E108:AK108"/>
    <mergeCell ref="AL108:AM108"/>
    <mergeCell ref="B2:AM2"/>
    <mergeCell ref="E107:AG107"/>
    <mergeCell ref="AL107:AM107"/>
    <mergeCell ref="B4:AM4"/>
    <mergeCell ref="AL105:AM105"/>
    <mergeCell ref="C26:Q26"/>
    <mergeCell ref="D8:E8"/>
    <mergeCell ref="D11:E11"/>
    <mergeCell ref="E12:F12"/>
    <mergeCell ref="B5:E5"/>
    <mergeCell ref="F5:AM5"/>
    <mergeCell ref="C7:AK7"/>
    <mergeCell ref="AL23:AM23"/>
    <mergeCell ref="AL76:AM76"/>
    <mergeCell ref="E77:AK77"/>
    <mergeCell ref="AL77:AM77"/>
    <mergeCell ref="E78:AK78"/>
    <mergeCell ref="E88:U88"/>
    <mergeCell ref="AH88:AJ88"/>
    <mergeCell ref="E90:H90"/>
    <mergeCell ref="E89:AM89"/>
    <mergeCell ref="D85:AK85"/>
    <mergeCell ref="I90:N90"/>
    <mergeCell ref="D23:AK23"/>
    <mergeCell ref="AL121:AM121"/>
    <mergeCell ref="B143:J143"/>
    <mergeCell ref="R143:S143"/>
    <mergeCell ref="C123:AK123"/>
    <mergeCell ref="AL123:AM123"/>
    <mergeCell ref="C126:AJ126"/>
    <mergeCell ref="AL126:AM126"/>
    <mergeCell ref="C124:AK124"/>
    <mergeCell ref="AL124:AM124"/>
    <mergeCell ref="AL125:AM125"/>
    <mergeCell ref="C125:Z125"/>
    <mergeCell ref="B133:AM133"/>
    <mergeCell ref="R136:S136"/>
    <mergeCell ref="B136:J136"/>
    <mergeCell ref="B137:J137"/>
    <mergeCell ref="R137:S137"/>
    <mergeCell ref="C121:AK121"/>
    <mergeCell ref="B130:G130"/>
    <mergeCell ref="B131:AM131"/>
    <mergeCell ref="B142:G142"/>
    <mergeCell ref="R142:S142"/>
    <mergeCell ref="B135:J135"/>
    <mergeCell ref="B158:AM158"/>
    <mergeCell ref="B155:Q155"/>
    <mergeCell ref="R155:S155"/>
    <mergeCell ref="B152:L152"/>
    <mergeCell ref="R152:S152"/>
    <mergeCell ref="B153:L153"/>
    <mergeCell ref="R153:S153"/>
    <mergeCell ref="R154:S154"/>
    <mergeCell ref="B154:Q154"/>
    <mergeCell ref="B157:F157"/>
    <mergeCell ref="D9:E9"/>
    <mergeCell ref="D10:E10"/>
    <mergeCell ref="F16:G16"/>
    <mergeCell ref="F17:G17"/>
    <mergeCell ref="F18:G18"/>
    <mergeCell ref="F19:G19"/>
    <mergeCell ref="AL78:AM78"/>
    <mergeCell ref="D75:AK75"/>
    <mergeCell ref="D79:AJ79"/>
    <mergeCell ref="F47:G47"/>
    <mergeCell ref="B24:G24"/>
    <mergeCell ref="F39:AM39"/>
    <mergeCell ref="E40:F40"/>
    <mergeCell ref="E41:AM41"/>
    <mergeCell ref="F42:G42"/>
    <mergeCell ref="F43:G43"/>
    <mergeCell ref="F44:G44"/>
    <mergeCell ref="F45:G45"/>
    <mergeCell ref="F46:G46"/>
    <mergeCell ref="B25:AM25"/>
    <mergeCell ref="D48:AM48"/>
    <mergeCell ref="D49:AK49"/>
    <mergeCell ref="AL49:AM49"/>
    <mergeCell ref="E50:AK50"/>
    <mergeCell ref="AL99:AM99"/>
    <mergeCell ref="D100:AK100"/>
    <mergeCell ref="AL100:AM100"/>
    <mergeCell ref="C104:P104"/>
    <mergeCell ref="AL104:AM104"/>
    <mergeCell ref="O112:P112"/>
    <mergeCell ref="E110:AK110"/>
    <mergeCell ref="D111:AK111"/>
    <mergeCell ref="AL110:AM110"/>
    <mergeCell ref="C103:Q103"/>
    <mergeCell ref="R145:S145"/>
    <mergeCell ref="B144:Q144"/>
    <mergeCell ref="R144:S144"/>
    <mergeCell ref="B145:J145"/>
    <mergeCell ref="B150:J150"/>
    <mergeCell ref="R150:S150"/>
    <mergeCell ref="B146:J146"/>
    <mergeCell ref="B151:Q151"/>
    <mergeCell ref="R151:S151"/>
    <mergeCell ref="R148:S148"/>
    <mergeCell ref="B148:Q148"/>
    <mergeCell ref="R149:S149"/>
    <mergeCell ref="B147:J147"/>
    <mergeCell ref="R147:S147"/>
    <mergeCell ref="R146:S146"/>
    <mergeCell ref="B149:J149"/>
    <mergeCell ref="D94:E94"/>
    <mergeCell ref="C122:D122"/>
    <mergeCell ref="C120:D120"/>
    <mergeCell ref="B140:M140"/>
    <mergeCell ref="B139:M139"/>
    <mergeCell ref="R139:S139"/>
    <mergeCell ref="R140:S140"/>
    <mergeCell ref="B141:M141"/>
    <mergeCell ref="R141:S141"/>
    <mergeCell ref="R135:S135"/>
    <mergeCell ref="D105:S105"/>
    <mergeCell ref="E106:F106"/>
    <mergeCell ref="D114:E114"/>
    <mergeCell ref="C117:D117"/>
    <mergeCell ref="D127:AK127"/>
    <mergeCell ref="E128:AK128"/>
    <mergeCell ref="E129:AK129"/>
    <mergeCell ref="B138:M138"/>
    <mergeCell ref="R138:S138"/>
    <mergeCell ref="B101:G101"/>
    <mergeCell ref="B102:AM102"/>
    <mergeCell ref="B115:G115"/>
    <mergeCell ref="B116:AM116"/>
    <mergeCell ref="D98:AK98"/>
  </mergeCells>
  <conditionalFormatting sqref="E33 J42:J47">
    <cfRule type="cellIs" dxfId="343" priority="170" operator="equal">
      <formula>"O"</formula>
    </cfRule>
  </conditionalFormatting>
  <conditionalFormatting sqref="AL113:AM113">
    <cfRule type="cellIs" dxfId="342" priority="145" operator="equal">
      <formula>"No"</formula>
    </cfRule>
    <cfRule type="cellIs" dxfId="341" priority="146" operator="equal">
      <formula>"Yes"</formula>
    </cfRule>
  </conditionalFormatting>
  <conditionalFormatting sqref="R136:S137">
    <cfRule type="cellIs" dxfId="340" priority="121" operator="equal">
      <formula>"No"</formula>
    </cfRule>
    <cfRule type="cellIs" dxfId="339" priority="122" operator="equal">
      <formula>"Yes"</formula>
    </cfRule>
  </conditionalFormatting>
  <conditionalFormatting sqref="R138:S138">
    <cfRule type="cellIs" dxfId="338" priority="119" operator="equal">
      <formula>"No"</formula>
    </cfRule>
    <cfRule type="cellIs" dxfId="337" priority="120" operator="equal">
      <formula>"Yes"</formula>
    </cfRule>
  </conditionalFormatting>
  <conditionalFormatting sqref="AL126:AM126">
    <cfRule type="cellIs" dxfId="336" priority="127" operator="equal">
      <formula>"Yes"</formula>
    </cfRule>
  </conditionalFormatting>
  <conditionalFormatting sqref="R142:S142">
    <cfRule type="cellIs" dxfId="335" priority="117" operator="equal">
      <formula>"No"</formula>
    </cfRule>
    <cfRule type="cellIs" dxfId="334" priority="118" operator="equal">
      <formula>"Yes"</formula>
    </cfRule>
  </conditionalFormatting>
  <conditionalFormatting sqref="R143:S143">
    <cfRule type="cellIs" dxfId="333" priority="115" operator="equal">
      <formula>"No"</formula>
    </cfRule>
    <cfRule type="cellIs" dxfId="332" priority="116" operator="equal">
      <formula>"Yes"</formula>
    </cfRule>
  </conditionalFormatting>
  <conditionalFormatting sqref="R144:S144">
    <cfRule type="cellIs" dxfId="331" priority="113" operator="equal">
      <formula>"No"</formula>
    </cfRule>
    <cfRule type="cellIs" dxfId="330" priority="114" operator="equal">
      <formula>"Yes"</formula>
    </cfRule>
  </conditionalFormatting>
  <conditionalFormatting sqref="R145:S145">
    <cfRule type="cellIs" dxfId="329" priority="111" operator="equal">
      <formula>"No"</formula>
    </cfRule>
    <cfRule type="cellIs" dxfId="328" priority="112" operator="equal">
      <formula>"Yes"</formula>
    </cfRule>
  </conditionalFormatting>
  <conditionalFormatting sqref="R146:S146">
    <cfRule type="cellIs" dxfId="327" priority="109" operator="equal">
      <formula>"No"</formula>
    </cfRule>
    <cfRule type="cellIs" dxfId="326" priority="110" operator="equal">
      <formula>"Yes"</formula>
    </cfRule>
  </conditionalFormatting>
  <conditionalFormatting sqref="R149:S149">
    <cfRule type="cellIs" dxfId="325" priority="107" operator="equal">
      <formula>"No"</formula>
    </cfRule>
    <cfRule type="cellIs" dxfId="324" priority="108" operator="equal">
      <formula>"Yes"</formula>
    </cfRule>
  </conditionalFormatting>
  <conditionalFormatting sqref="R150:S150">
    <cfRule type="cellIs" dxfId="323" priority="105" operator="equal">
      <formula>"No"</formula>
    </cfRule>
    <cfRule type="cellIs" dxfId="322" priority="106" operator="equal">
      <formula>"Yes"</formula>
    </cfRule>
  </conditionalFormatting>
  <conditionalFormatting sqref="R151:S151">
    <cfRule type="cellIs" dxfId="321" priority="103" operator="equal">
      <formula>"No"</formula>
    </cfRule>
    <cfRule type="cellIs" dxfId="320" priority="104" operator="equal">
      <formula>"Yes"</formula>
    </cfRule>
  </conditionalFormatting>
  <conditionalFormatting sqref="R152:S152">
    <cfRule type="cellIs" dxfId="319" priority="101" operator="equal">
      <formula>"No"</formula>
    </cfRule>
    <cfRule type="cellIs" dxfId="318" priority="102" operator="equal">
      <formula>"Yes"</formula>
    </cfRule>
  </conditionalFormatting>
  <conditionalFormatting sqref="R153:S153">
    <cfRule type="cellIs" dxfId="317" priority="99" operator="equal">
      <formula>"No"</formula>
    </cfRule>
    <cfRule type="cellIs" dxfId="316" priority="100" operator="equal">
      <formula>"Yes"</formula>
    </cfRule>
  </conditionalFormatting>
  <conditionalFormatting sqref="R154:S154">
    <cfRule type="cellIs" dxfId="315" priority="95" operator="equal">
      <formula>"No"</formula>
    </cfRule>
    <cfRule type="cellIs" dxfId="314" priority="96" operator="equal">
      <formula>"Yes"</formula>
    </cfRule>
  </conditionalFormatting>
  <conditionalFormatting sqref="R139:S139">
    <cfRule type="cellIs" dxfId="313" priority="88" operator="equal">
      <formula>"No"</formula>
    </cfRule>
    <cfRule type="cellIs" dxfId="312" priority="89" operator="equal">
      <formula>"Yes"</formula>
    </cfRule>
  </conditionalFormatting>
  <conditionalFormatting sqref="R155:S155">
    <cfRule type="cellIs" dxfId="311" priority="78" operator="equal">
      <formula>"No"</formula>
    </cfRule>
    <cfRule type="cellIs" dxfId="310" priority="79" operator="equal">
      <formula>"Yes"</formula>
    </cfRule>
  </conditionalFormatting>
  <conditionalFormatting sqref="R140:S140">
    <cfRule type="cellIs" dxfId="309" priority="86" operator="equal">
      <formula>"No"</formula>
    </cfRule>
    <cfRule type="cellIs" dxfId="308" priority="87" operator="equal">
      <formula>"Yes"</formula>
    </cfRule>
  </conditionalFormatting>
  <conditionalFormatting sqref="R141:S141">
    <cfRule type="cellIs" dxfId="307" priority="84" operator="equal">
      <formula>"No"</formula>
    </cfRule>
    <cfRule type="cellIs" dxfId="306" priority="85" operator="equal">
      <formula>"Yes"</formula>
    </cfRule>
  </conditionalFormatting>
  <conditionalFormatting sqref="R147:S147">
    <cfRule type="cellIs" dxfId="305" priority="82" operator="equal">
      <formula>"No"</formula>
    </cfRule>
    <cfRule type="cellIs" dxfId="304" priority="83" operator="equal">
      <formula>"Yes"</formula>
    </cfRule>
  </conditionalFormatting>
  <conditionalFormatting sqref="R148:S148">
    <cfRule type="cellIs" dxfId="303" priority="80" operator="equal">
      <formula>"No"</formula>
    </cfRule>
    <cfRule type="cellIs" dxfId="302" priority="81" operator="equal">
      <formula>"Yes"</formula>
    </cfRule>
  </conditionalFormatting>
  <conditionalFormatting sqref="D8">
    <cfRule type="cellIs" dxfId="301" priority="76" operator="equal">
      <formula>"O"</formula>
    </cfRule>
  </conditionalFormatting>
  <conditionalFormatting sqref="D11">
    <cfRule type="cellIs" dxfId="300" priority="71" operator="equal">
      <formula>"O"</formula>
    </cfRule>
  </conditionalFormatting>
  <conditionalFormatting sqref="E12">
    <cfRule type="cellIs" dxfId="299" priority="69" operator="equal">
      <formula>"Y"</formula>
    </cfRule>
    <cfRule type="cellIs" dxfId="298" priority="70" operator="equal">
      <formula>"N"</formula>
    </cfRule>
  </conditionalFormatting>
  <conditionalFormatting sqref="E13">
    <cfRule type="cellIs" dxfId="297" priority="65" operator="equal">
      <formula>"Y"</formula>
    </cfRule>
    <cfRule type="cellIs" dxfId="296" priority="66" operator="equal">
      <formula>"N"</formula>
    </cfRule>
  </conditionalFormatting>
  <conditionalFormatting sqref="E14">
    <cfRule type="cellIs" dxfId="295" priority="61" operator="equal">
      <formula>"Y"</formula>
    </cfRule>
    <cfRule type="cellIs" dxfId="294" priority="62" operator="equal">
      <formula>"N"</formula>
    </cfRule>
  </conditionalFormatting>
  <conditionalFormatting sqref="E12:E14">
    <cfRule type="cellIs" dxfId="293" priority="60" operator="equal">
      <formula>0</formula>
    </cfRule>
  </conditionalFormatting>
  <conditionalFormatting sqref="D9">
    <cfRule type="cellIs" dxfId="292" priority="56" operator="equal">
      <formula>"O"</formula>
    </cfRule>
  </conditionalFormatting>
  <conditionalFormatting sqref="D10">
    <cfRule type="cellIs" dxfId="291" priority="55" operator="equal">
      <formula>"O"</formula>
    </cfRule>
  </conditionalFormatting>
  <conditionalFormatting sqref="F16">
    <cfRule type="cellIs" dxfId="290" priority="54" operator="equal">
      <formula>"O"</formula>
    </cfRule>
  </conditionalFormatting>
  <conditionalFormatting sqref="F17">
    <cfRule type="cellIs" dxfId="289" priority="53" operator="equal">
      <formula>"O"</formula>
    </cfRule>
  </conditionalFormatting>
  <conditionalFormatting sqref="F18">
    <cfRule type="cellIs" dxfId="288" priority="52" operator="equal">
      <formula>"O"</formula>
    </cfRule>
  </conditionalFormatting>
  <conditionalFormatting sqref="F19">
    <cfRule type="cellIs" dxfId="287" priority="51" operator="equal">
      <formula>"O"</formula>
    </cfRule>
  </conditionalFormatting>
  <conditionalFormatting sqref="E28">
    <cfRule type="cellIs" dxfId="286" priority="50" operator="equal">
      <formula>"O"</formula>
    </cfRule>
  </conditionalFormatting>
  <conditionalFormatting sqref="D27">
    <cfRule type="cellIs" dxfId="285" priority="49" operator="equal">
      <formula>"O"</formula>
    </cfRule>
  </conditionalFormatting>
  <conditionalFormatting sqref="D30">
    <cfRule type="cellIs" dxfId="284" priority="48" operator="equal">
      <formula>"O"</formula>
    </cfRule>
  </conditionalFormatting>
  <conditionalFormatting sqref="D29">
    <cfRule type="cellIs" dxfId="283" priority="47" operator="equal">
      <formula>"O"</formula>
    </cfRule>
  </conditionalFormatting>
  <conditionalFormatting sqref="D31">
    <cfRule type="cellIs" dxfId="282" priority="45" operator="equal">
      <formula>"O"</formula>
    </cfRule>
  </conditionalFormatting>
  <conditionalFormatting sqref="J33:J38 J40">
    <cfRule type="cellIs" dxfId="281" priority="43" operator="equal">
      <formula>"O"</formula>
    </cfRule>
  </conditionalFormatting>
  <conditionalFormatting sqref="E34">
    <cfRule type="cellIs" dxfId="280" priority="42" operator="equal">
      <formula>"O"</formula>
    </cfRule>
  </conditionalFormatting>
  <conditionalFormatting sqref="F35">
    <cfRule type="cellIs" dxfId="279" priority="41" operator="equal">
      <formula>"O"</formula>
    </cfRule>
  </conditionalFormatting>
  <conditionalFormatting sqref="F36">
    <cfRule type="cellIs" dxfId="278" priority="40" operator="equal">
      <formula>"O"</formula>
    </cfRule>
  </conditionalFormatting>
  <conditionalFormatting sqref="F37">
    <cfRule type="cellIs" dxfId="277" priority="39" operator="equal">
      <formula>"O"</formula>
    </cfRule>
  </conditionalFormatting>
  <conditionalFormatting sqref="E38">
    <cfRule type="cellIs" dxfId="276" priority="38" operator="equal">
      <formula>"O"</formula>
    </cfRule>
  </conditionalFormatting>
  <conditionalFormatting sqref="E40">
    <cfRule type="cellIs" dxfId="275" priority="37" operator="equal">
      <formula>"O"</formula>
    </cfRule>
  </conditionalFormatting>
  <conditionalFormatting sqref="F42">
    <cfRule type="cellIs" dxfId="274" priority="36" operator="equal">
      <formula>"O"</formula>
    </cfRule>
  </conditionalFormatting>
  <conditionalFormatting sqref="F43">
    <cfRule type="cellIs" dxfId="273" priority="35" operator="equal">
      <formula>"O"</formula>
    </cfRule>
  </conditionalFormatting>
  <conditionalFormatting sqref="F44">
    <cfRule type="cellIs" dxfId="272" priority="34" operator="equal">
      <formula>"O"</formula>
    </cfRule>
  </conditionalFormatting>
  <conditionalFormatting sqref="F45">
    <cfRule type="cellIs" dxfId="271" priority="33" operator="equal">
      <formula>"O"</formula>
    </cfRule>
  </conditionalFormatting>
  <conditionalFormatting sqref="F46">
    <cfRule type="cellIs" dxfId="270" priority="32" operator="equal">
      <formula>"O"</formula>
    </cfRule>
  </conditionalFormatting>
  <conditionalFormatting sqref="F47">
    <cfRule type="cellIs" dxfId="269" priority="31" operator="equal">
      <formula>"O"</formula>
    </cfRule>
  </conditionalFormatting>
  <conditionalFormatting sqref="F81">
    <cfRule type="cellIs" dxfId="268" priority="30" operator="equal">
      <formula>"O"</formula>
    </cfRule>
  </conditionalFormatting>
  <conditionalFormatting sqref="E106">
    <cfRule type="cellIs" dxfId="267" priority="25" operator="equal">
      <formula>"O"</formula>
    </cfRule>
  </conditionalFormatting>
  <conditionalFormatting sqref="D114">
    <cfRule type="cellIs" dxfId="266" priority="24" operator="equal">
      <formula>"O"</formula>
    </cfRule>
  </conditionalFormatting>
  <conditionalFormatting sqref="C117">
    <cfRule type="cellIs" dxfId="265" priority="23" operator="equal">
      <formula>"O"</formula>
    </cfRule>
  </conditionalFormatting>
  <conditionalFormatting sqref="AL125:AM125">
    <cfRule type="cellIs" dxfId="264" priority="22" operator="equal">
      <formula>"Yes"</formula>
    </cfRule>
  </conditionalFormatting>
  <conditionalFormatting sqref="AL121:AM121 AL123:AM124">
    <cfRule type="cellIs" dxfId="263" priority="21" operator="equal">
      <formula>"Yes"</formula>
    </cfRule>
  </conditionalFormatting>
  <conditionalFormatting sqref="AL118:AM119">
    <cfRule type="cellIs" dxfId="262" priority="20" operator="equal">
      <formula>"Yes"</formula>
    </cfRule>
  </conditionalFormatting>
  <conditionalFormatting sqref="AL108:AM111">
    <cfRule type="cellIs" dxfId="261" priority="19" operator="equal">
      <formula>"Yes"</formula>
    </cfRule>
  </conditionalFormatting>
  <conditionalFormatting sqref="AL107:AM107">
    <cfRule type="cellIs" dxfId="260" priority="18" operator="equal">
      <formula>"Yes"</formula>
    </cfRule>
  </conditionalFormatting>
  <conditionalFormatting sqref="AL104:AM105">
    <cfRule type="cellIs" dxfId="259" priority="17" operator="equal">
      <formula>"Yes"</formula>
    </cfRule>
  </conditionalFormatting>
  <conditionalFormatting sqref="AL98:AM100">
    <cfRule type="cellIs" dxfId="258" priority="16" operator="equal">
      <formula>"Yes"</formula>
    </cfRule>
  </conditionalFormatting>
  <conditionalFormatting sqref="AL91:AM93">
    <cfRule type="cellIs" dxfId="257" priority="15" operator="equal">
      <formula>"Yes"</formula>
    </cfRule>
  </conditionalFormatting>
  <conditionalFormatting sqref="AL84:AM84">
    <cfRule type="cellIs" dxfId="256" priority="14" operator="equal">
      <formula>"Yes"</formula>
    </cfRule>
  </conditionalFormatting>
  <conditionalFormatting sqref="AL82:AM82">
    <cfRule type="cellIs" dxfId="255" priority="13" operator="equal">
      <formula>"Yes"</formula>
    </cfRule>
  </conditionalFormatting>
  <conditionalFormatting sqref="AL76:AM78">
    <cfRule type="cellIs" dxfId="254" priority="12" operator="equal">
      <formula>"Yes"</formula>
    </cfRule>
  </conditionalFormatting>
  <conditionalFormatting sqref="AL50:AM50">
    <cfRule type="cellIs" dxfId="253" priority="11" operator="equal">
      <formula>"Yes"</formula>
    </cfRule>
  </conditionalFormatting>
  <conditionalFormatting sqref="AL23:AM23">
    <cfRule type="cellIs" dxfId="252" priority="10" operator="equal">
      <formula>"Yes"</formula>
    </cfRule>
  </conditionalFormatting>
  <conditionalFormatting sqref="AL21:AM21">
    <cfRule type="cellIs" dxfId="251" priority="9" operator="equal">
      <formula>"Yes"</formula>
    </cfRule>
  </conditionalFormatting>
  <conditionalFormatting sqref="R135:S135">
    <cfRule type="cellIs" dxfId="250" priority="7" operator="equal">
      <formula>"No"</formula>
    </cfRule>
    <cfRule type="cellIs" dxfId="249" priority="8" operator="equal">
      <formula>"Yes"</formula>
    </cfRule>
  </conditionalFormatting>
  <conditionalFormatting sqref="D94">
    <cfRule type="cellIs" dxfId="248" priority="4" operator="equal">
      <formula>"O"</formula>
    </cfRule>
  </conditionalFormatting>
  <conditionalFormatting sqref="C120">
    <cfRule type="cellIs" dxfId="247" priority="1" operator="equal">
      <formula>"O"</formula>
    </cfRule>
  </conditionalFormatting>
  <conditionalFormatting sqref="C122">
    <cfRule type="cellIs" dxfId="246" priority="2" operator="equal">
      <formula>"O"</formula>
    </cfRule>
  </conditionalFormatting>
  <dataValidations count="2">
    <dataValidation type="list" allowBlank="1" showInputMessage="1" showErrorMessage="1" sqref="AL98:AM100 AL50:AM50 AL21:AM21 AL107:AM111 AL113:AM113 AL104:AM105 AL91:AM93 AL118:AM119 AL23:AM23 AL76:AM78 AL82:AM82 AL84:AM84 AL121:AM121 AL123:AM126" xr:uid="{892C2267-BC42-4480-A11B-8718C5693932}">
      <formula1>"Yes,No,N/A"</formula1>
    </dataValidation>
    <dataValidation type="list" allowBlank="1" showInputMessage="1" showErrorMessage="1" sqref="R135:S155" xr:uid="{C799AEE8-D7BB-4A97-A9A8-F64CCED5F23E}">
      <formula1>"Yes,No"</formula1>
    </dataValidation>
  </dataValidations>
  <pageMargins left="0.7" right="0.7" top="0.75" bottom="0.75" header="0.3" footer="0.3"/>
  <pageSetup orientation="portrait" r:id="rId1"/>
  <ignoredErrors>
    <ignoredError sqref="D106:D110 C127 D12:D15 D28 D33:D34 D38 D40:D41 D50 D51:D53 D64 D68:D71 D73:D74 D76:D78 D80 D83 D87 D92:D93" numberStoredAsText="1"/>
  </ignoredError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96A69-C46C-4311-A9ED-B47F9E4E5060}">
  <sheetPr codeName="Sheet19">
    <tabColor rgb="FF7030A0"/>
  </sheetPr>
  <dimension ref="A2:AP43"/>
  <sheetViews>
    <sheetView showGridLines="0" workbookViewId="0">
      <selection activeCell="AD12" sqref="AD12:AE12"/>
    </sheetView>
  </sheetViews>
  <sheetFormatPr defaultColWidth="4.109375" defaultRowHeight="18" customHeight="1"/>
  <cols>
    <col min="1" max="1" width="5.6640625" style="1028" customWidth="1"/>
    <col min="2" max="2" width="4.109375" style="1028"/>
    <col min="3" max="4" width="6" style="1028" bestFit="1" customWidth="1"/>
    <col min="5" max="5" width="4.109375" style="1028" customWidth="1"/>
    <col min="6" max="33" width="4.109375" style="1028"/>
    <col min="34" max="34" width="4.109375" style="1028" customWidth="1"/>
    <col min="35" max="16384" width="4.109375" style="1028"/>
  </cols>
  <sheetData>
    <row r="2" spans="1:41" ht="18" customHeight="1">
      <c r="A2" s="1486"/>
      <c r="B2" s="3949" t="s">
        <v>1393</v>
      </c>
      <c r="C2" s="3949"/>
      <c r="D2" s="3949"/>
      <c r="E2" s="3949"/>
      <c r="F2" s="3949"/>
      <c r="G2" s="3949"/>
      <c r="H2" s="3949"/>
      <c r="I2" s="3949"/>
      <c r="J2" s="3949"/>
      <c r="K2" s="3949"/>
      <c r="L2" s="3949"/>
      <c r="M2" s="3949"/>
      <c r="N2" s="3949"/>
      <c r="O2" s="3949"/>
      <c r="P2" s="3949"/>
      <c r="Q2" s="3949"/>
      <c r="R2" s="3949"/>
      <c r="S2" s="3949"/>
      <c r="T2" s="3949"/>
      <c r="U2" s="3949"/>
      <c r="V2" s="3949"/>
      <c r="W2" s="3949"/>
      <c r="X2" s="3949"/>
      <c r="Y2" s="3949"/>
      <c r="Z2" s="3949"/>
      <c r="AA2" s="3949"/>
      <c r="AB2" s="3949"/>
      <c r="AC2" s="3949"/>
      <c r="AD2" s="3949"/>
      <c r="AE2" s="3949"/>
      <c r="AF2" s="3949"/>
      <c r="AG2" s="3949"/>
      <c r="AH2" s="3949"/>
      <c r="AI2" s="3949"/>
      <c r="AJ2" s="3949"/>
      <c r="AK2" s="3949"/>
      <c r="AL2" s="3949"/>
      <c r="AM2" s="3949"/>
      <c r="AN2" s="1486"/>
      <c r="AO2" s="1486"/>
    </row>
    <row r="4" spans="1:41" ht="36" customHeight="1">
      <c r="A4" s="1486"/>
      <c r="B4" s="3901" t="s">
        <v>1514</v>
      </c>
      <c r="C4" s="3901"/>
      <c r="D4" s="3901"/>
      <c r="E4" s="3901"/>
      <c r="F4" s="3901"/>
      <c r="G4" s="3901"/>
      <c r="H4" s="3901"/>
      <c r="I4" s="3901"/>
      <c r="J4" s="3901"/>
      <c r="K4" s="3901"/>
      <c r="L4" s="3901"/>
      <c r="M4" s="3901"/>
      <c r="N4" s="3901"/>
      <c r="O4" s="3901"/>
      <c r="P4" s="3901"/>
      <c r="Q4" s="3901"/>
      <c r="R4" s="3901"/>
      <c r="S4" s="3901"/>
      <c r="T4" s="3901"/>
      <c r="U4" s="3901"/>
      <c r="V4" s="3901"/>
      <c r="W4" s="3901"/>
      <c r="X4" s="3901"/>
      <c r="Y4" s="3901"/>
      <c r="Z4" s="3901"/>
      <c r="AA4" s="3901"/>
      <c r="AB4" s="3901"/>
      <c r="AC4" s="3901"/>
      <c r="AD4" s="3901"/>
      <c r="AE4" s="3901"/>
      <c r="AF4" s="3901"/>
      <c r="AG4" s="3901"/>
      <c r="AH4" s="3901"/>
      <c r="AI4" s="3901"/>
      <c r="AJ4" s="3901"/>
      <c r="AK4" s="3901"/>
      <c r="AL4" s="3901"/>
      <c r="AM4" s="3901"/>
      <c r="AN4" s="1486"/>
      <c r="AO4" s="1486"/>
    </row>
    <row r="5" spans="1:41" ht="36" customHeight="1" thickBot="1">
      <c r="A5" s="1486"/>
      <c r="B5" s="3920" t="s">
        <v>1515</v>
      </c>
      <c r="C5" s="3920"/>
      <c r="D5" s="3920"/>
      <c r="E5" s="1506"/>
      <c r="F5" s="1506"/>
      <c r="G5" s="1506"/>
      <c r="H5" s="1506"/>
      <c r="I5" s="1506"/>
      <c r="J5" s="1506"/>
      <c r="K5" s="1506"/>
      <c r="L5" s="1506"/>
      <c r="M5" s="1506"/>
      <c r="N5" s="1506"/>
      <c r="O5" s="1506"/>
      <c r="P5" s="1506"/>
      <c r="Q5" s="1506"/>
      <c r="R5" s="1506"/>
      <c r="S5" s="1506"/>
      <c r="T5" s="1506"/>
      <c r="U5" s="1506"/>
      <c r="V5" s="1506"/>
      <c r="W5" s="1506"/>
      <c r="X5" s="1506"/>
      <c r="Y5" s="1506"/>
      <c r="Z5" s="1506"/>
      <c r="AA5" s="1506"/>
      <c r="AB5" s="1506"/>
      <c r="AC5" s="1506"/>
      <c r="AD5" s="1506"/>
      <c r="AE5" s="1506"/>
      <c r="AF5" s="1506"/>
      <c r="AG5" s="1506"/>
      <c r="AH5" s="1506"/>
      <c r="AI5" s="1506"/>
      <c r="AJ5" s="1506"/>
      <c r="AK5" s="1506"/>
      <c r="AL5" s="1506"/>
      <c r="AM5" s="1506"/>
      <c r="AN5" s="1486"/>
      <c r="AO5" s="1486"/>
    </row>
    <row r="6" spans="1:41" ht="18" customHeight="1">
      <c r="A6" s="1486"/>
      <c r="B6" s="1532"/>
      <c r="C6" s="1532"/>
      <c r="D6" s="1532"/>
      <c r="E6" s="1500"/>
      <c r="F6" s="1500"/>
      <c r="G6" s="1500"/>
      <c r="H6" s="1500"/>
      <c r="I6" s="1500"/>
      <c r="J6" s="1500"/>
      <c r="K6" s="1500"/>
      <c r="L6" s="1500"/>
      <c r="M6" s="1500"/>
      <c r="N6" s="1500"/>
      <c r="O6" s="1500"/>
      <c r="P6" s="1500"/>
      <c r="Q6" s="1500"/>
      <c r="R6" s="1500"/>
      <c r="S6" s="1500"/>
      <c r="T6" s="1500"/>
      <c r="U6" s="1500"/>
      <c r="V6" s="1500"/>
      <c r="W6" s="1500"/>
      <c r="X6" s="1500"/>
      <c r="Y6" s="1500"/>
      <c r="Z6" s="1500"/>
      <c r="AA6" s="1500"/>
      <c r="AB6" s="1500"/>
      <c r="AC6" s="1500"/>
      <c r="AD6" s="1500"/>
      <c r="AE6" s="1500"/>
      <c r="AF6" s="1500"/>
      <c r="AG6" s="1500"/>
      <c r="AH6" s="1500"/>
      <c r="AI6" s="1500"/>
      <c r="AJ6" s="1500"/>
      <c r="AK6" s="1500"/>
      <c r="AL6" s="1500"/>
      <c r="AM6" s="1500"/>
      <c r="AN6" s="1486"/>
      <c r="AO6" s="1486"/>
    </row>
    <row r="7" spans="1:41" ht="18" customHeight="1">
      <c r="A7" s="986"/>
      <c r="B7" s="945" t="s">
        <v>1397</v>
      </c>
      <c r="C7" s="2243" t="s">
        <v>1516</v>
      </c>
      <c r="D7" s="2243"/>
      <c r="E7" s="2243"/>
      <c r="F7" s="2243"/>
      <c r="G7" s="2243"/>
      <c r="H7" s="2243"/>
      <c r="I7" s="2243"/>
      <c r="J7" s="2243"/>
      <c r="K7" s="2243"/>
      <c r="L7" s="2243"/>
      <c r="M7" s="2243"/>
      <c r="N7" s="2243"/>
      <c r="O7" s="2243"/>
      <c r="P7" s="1727"/>
      <c r="Q7" s="1727"/>
      <c r="R7" s="1486"/>
      <c r="S7" s="1486"/>
      <c r="T7" s="1486"/>
      <c r="U7" s="1486"/>
      <c r="V7" s="1486"/>
      <c r="W7" s="1486"/>
      <c r="X7" s="1486"/>
      <c r="Y7" s="1486"/>
      <c r="Z7" s="1486"/>
      <c r="AA7" s="1486"/>
      <c r="AB7" s="1486"/>
      <c r="AC7" s="1486"/>
      <c r="AD7" s="1486"/>
      <c r="AE7" s="1486"/>
      <c r="AF7" s="1486"/>
      <c r="AG7" s="1486"/>
      <c r="AH7" s="1486"/>
      <c r="AI7" s="1486"/>
      <c r="AJ7" s="1486"/>
      <c r="AK7" s="1486"/>
      <c r="AL7" s="1486"/>
      <c r="AM7" s="1486"/>
      <c r="AN7" s="1486"/>
      <c r="AO7" s="1486"/>
    </row>
    <row r="8" spans="1:41" ht="18" customHeight="1">
      <c r="A8" s="1486"/>
      <c r="B8" s="1486"/>
      <c r="C8" s="950" t="s">
        <v>1397</v>
      </c>
      <c r="D8" s="2243" t="s">
        <v>1517</v>
      </c>
      <c r="E8" s="2243"/>
      <c r="F8" s="2243"/>
      <c r="G8" s="2243"/>
      <c r="H8" s="2243"/>
      <c r="I8" s="2243"/>
      <c r="J8" s="2243"/>
      <c r="K8" s="2243"/>
      <c r="L8" s="2243"/>
      <c r="M8" s="2243"/>
      <c r="N8" s="2243"/>
      <c r="O8" s="2243"/>
      <c r="P8" s="2243"/>
      <c r="Q8" s="2243"/>
      <c r="R8" s="2243"/>
      <c r="S8" s="2243"/>
      <c r="T8" s="2243"/>
      <c r="U8" s="1739"/>
      <c r="V8" s="2070"/>
      <c r="W8" s="1486"/>
      <c r="X8" s="1486"/>
      <c r="Y8" s="1486"/>
      <c r="Z8" s="1486"/>
      <c r="AA8" s="1486"/>
      <c r="AB8" s="1486"/>
      <c r="AC8" s="1486"/>
      <c r="AD8" s="1486"/>
      <c r="AE8" s="1486"/>
      <c r="AF8" s="1486"/>
      <c r="AG8" s="1486"/>
      <c r="AH8" s="1486"/>
      <c r="AI8" s="1486"/>
      <c r="AJ8" s="1486"/>
      <c r="AK8" s="1486"/>
      <c r="AL8" s="1486"/>
      <c r="AM8" s="1486"/>
      <c r="AN8" s="1486"/>
      <c r="AO8" s="1486"/>
    </row>
    <row r="9" spans="1:41" ht="36" customHeight="1">
      <c r="A9" s="1486"/>
      <c r="B9" s="1486"/>
      <c r="C9" s="950" t="s">
        <v>1399</v>
      </c>
      <c r="D9" s="3901" t="s">
        <v>1518</v>
      </c>
      <c r="E9" s="3901"/>
      <c r="F9" s="3901"/>
      <c r="G9" s="3901"/>
      <c r="H9" s="3901"/>
      <c r="I9" s="3901"/>
      <c r="J9" s="3901"/>
      <c r="K9" s="3901"/>
      <c r="L9" s="3901"/>
      <c r="M9" s="3901"/>
      <c r="N9" s="3901"/>
      <c r="O9" s="3901"/>
      <c r="P9" s="3901"/>
      <c r="Q9" s="3901"/>
      <c r="R9" s="3901"/>
      <c r="S9" s="3901"/>
      <c r="T9" s="3901"/>
      <c r="U9" s="3901"/>
      <c r="V9" s="3901"/>
      <c r="W9" s="3901"/>
      <c r="X9" s="3901"/>
      <c r="Y9" s="3901"/>
      <c r="Z9" s="3901"/>
      <c r="AA9" s="3901"/>
      <c r="AB9" s="3901"/>
      <c r="AC9" s="3901"/>
      <c r="AD9" s="3901"/>
      <c r="AE9" s="3901"/>
      <c r="AF9" s="3901"/>
      <c r="AG9" s="3901"/>
      <c r="AH9" s="3901"/>
      <c r="AI9" s="3901"/>
      <c r="AJ9" s="3901"/>
      <c r="AK9" s="3901"/>
      <c r="AL9" s="1739"/>
      <c r="AM9" s="2070"/>
      <c r="AN9" s="1486"/>
      <c r="AO9" s="1486"/>
    </row>
    <row r="10" spans="1:41" ht="15" customHeight="1">
      <c r="A10" s="1486"/>
      <c r="B10" s="1486"/>
      <c r="C10" s="949" t="s">
        <v>1400</v>
      </c>
      <c r="D10" s="2243" t="s">
        <v>1519</v>
      </c>
      <c r="E10" s="2243"/>
      <c r="F10" s="2243"/>
      <c r="G10" s="2243"/>
      <c r="H10" s="2243"/>
      <c r="I10" s="2243"/>
      <c r="J10" s="2243"/>
      <c r="K10" s="2243"/>
      <c r="L10" s="2243"/>
      <c r="M10" s="2243"/>
      <c r="N10" s="2243"/>
      <c r="O10" s="2243"/>
      <c r="P10" s="2243"/>
      <c r="Q10" s="2243"/>
      <c r="R10" s="2243"/>
      <c r="S10" s="2243"/>
      <c r="T10" s="2243"/>
      <c r="U10" s="2243"/>
      <c r="V10" s="2243"/>
      <c r="W10" s="2243"/>
      <c r="X10" s="2243"/>
      <c r="Y10" s="2243"/>
      <c r="Z10" s="2036" t="b">
        <f>IF(vmTribalEntity="Yes",TRUE,FALSE)</f>
        <v>1</v>
      </c>
      <c r="AA10" s="2019"/>
      <c r="AB10" s="2037"/>
      <c r="AC10" s="1501"/>
      <c r="AD10" s="1501"/>
      <c r="AE10" s="1501"/>
      <c r="AF10" s="1501"/>
      <c r="AG10" s="1501"/>
      <c r="AH10" s="1501"/>
      <c r="AI10" s="1501"/>
      <c r="AJ10" s="1501"/>
      <c r="AK10" s="1510"/>
      <c r="AL10" s="1510"/>
      <c r="AM10" s="1510"/>
      <c r="AN10" s="1486"/>
      <c r="AO10" s="1486"/>
    </row>
    <row r="11" spans="1:41" ht="18" customHeight="1">
      <c r="A11" s="1486"/>
      <c r="B11" s="1486"/>
      <c r="C11" s="949"/>
      <c r="D11" s="1041" t="s">
        <v>1402</v>
      </c>
      <c r="E11" s="1041" t="s">
        <v>1408</v>
      </c>
      <c r="F11" s="971" t="str">
        <f>IF(AND(IsIig,vmTribalEntity="Yes",vmIndianCountry&gt;0,'Project Overview'!$AL$59="Yes"),"P","O")</f>
        <v>P</v>
      </c>
      <c r="G11" s="1486"/>
      <c r="H11" s="1486"/>
      <c r="I11" s="1486"/>
      <c r="J11" s="1486"/>
      <c r="K11" s="1486"/>
      <c r="L11" s="1486"/>
      <c r="M11" s="1486"/>
      <c r="N11" s="1486"/>
      <c r="O11" s="1486"/>
      <c r="P11" s="1486"/>
      <c r="Q11" s="1486"/>
      <c r="R11" s="1486"/>
      <c r="S11" s="1486"/>
      <c r="T11" s="1486"/>
      <c r="U11" s="1486"/>
      <c r="V11" s="1486"/>
      <c r="W11" s="1486"/>
      <c r="X11" s="1486"/>
      <c r="Y11" s="1486"/>
      <c r="Z11" s="1486"/>
      <c r="AA11" s="1486"/>
      <c r="AB11" s="1486"/>
      <c r="AC11" s="1486"/>
      <c r="AD11" s="1486"/>
      <c r="AE11" s="1486"/>
      <c r="AF11" s="1486"/>
      <c r="AG11" s="1486"/>
      <c r="AH11" s="1486"/>
      <c r="AI11" s="1486"/>
      <c r="AJ11" s="1486"/>
      <c r="AK11" s="1486"/>
      <c r="AL11" s="1486"/>
      <c r="AM11" s="1486"/>
      <c r="AN11" s="1486"/>
      <c r="AO11" s="1486"/>
    </row>
    <row r="12" spans="1:41" ht="18" customHeight="1">
      <c r="A12" s="1486"/>
      <c r="B12" s="1486"/>
      <c r="C12" s="949"/>
      <c r="D12" s="1486"/>
      <c r="E12" s="951" t="s">
        <v>1409</v>
      </c>
      <c r="F12" s="3905" t="s">
        <v>1520</v>
      </c>
      <c r="G12" s="3905"/>
      <c r="H12" s="3905"/>
      <c r="I12" s="3905"/>
      <c r="J12" s="3905"/>
      <c r="K12" s="3905"/>
      <c r="L12" s="3905"/>
      <c r="M12" s="3905"/>
      <c r="N12" s="3905"/>
      <c r="O12" s="3905"/>
      <c r="P12" s="3905"/>
      <c r="Q12" s="3905"/>
      <c r="R12" s="3905"/>
      <c r="S12" s="3905"/>
      <c r="T12" s="3905"/>
      <c r="U12" s="3905"/>
      <c r="V12" s="3905"/>
      <c r="W12" s="3905"/>
      <c r="X12" s="3905"/>
      <c r="Y12" s="3905"/>
      <c r="Z12" s="3905"/>
      <c r="AA12" s="3905"/>
      <c r="AB12" s="3905"/>
      <c r="AC12" s="3905"/>
      <c r="AD12" s="1727"/>
      <c r="AE12" s="1727"/>
      <c r="AF12" s="1486"/>
      <c r="AG12" s="1486"/>
      <c r="AH12" s="1486"/>
      <c r="AI12" s="1486"/>
      <c r="AJ12" s="1486"/>
      <c r="AK12" s="1486"/>
      <c r="AL12" s="1486"/>
      <c r="AM12" s="1486"/>
      <c r="AN12" s="1486"/>
      <c r="AO12" s="1486"/>
    </row>
    <row r="13" spans="1:41" ht="18" customHeight="1">
      <c r="A13" s="1486"/>
      <c r="B13" s="1486"/>
      <c r="C13" s="949" t="s">
        <v>1401</v>
      </c>
      <c r="D13" s="971" t="str">
        <f>IF(AND(IsIig,vmSponDev="Yes"),"P","O")</f>
        <v>P</v>
      </c>
      <c r="E13" s="1486"/>
      <c r="F13" s="1486"/>
      <c r="G13" s="1486"/>
      <c r="H13" s="1486"/>
      <c r="I13" s="1486"/>
      <c r="J13" s="1486"/>
      <c r="K13" s="1486"/>
      <c r="L13" s="1486"/>
      <c r="M13" s="1486"/>
      <c r="N13" s="1486"/>
      <c r="O13" s="1486"/>
      <c r="P13" s="1486"/>
      <c r="Q13" s="1486"/>
      <c r="R13" s="1486"/>
      <c r="S13" s="1486"/>
      <c r="T13" s="1486"/>
      <c r="U13" s="1486"/>
      <c r="V13" s="1486"/>
      <c r="W13" s="1486"/>
      <c r="X13" s="1486"/>
      <c r="Y13" s="1486"/>
      <c r="Z13" s="1486"/>
      <c r="AA13" s="1486"/>
      <c r="AB13" s="1486"/>
      <c r="AC13" s="1486"/>
      <c r="AD13" s="1486"/>
      <c r="AE13" s="1486"/>
      <c r="AF13" s="1486"/>
      <c r="AG13" s="1486"/>
      <c r="AH13" s="1486"/>
      <c r="AI13" s="1486"/>
      <c r="AJ13" s="1486"/>
      <c r="AK13" s="1486"/>
      <c r="AL13" s="1486"/>
      <c r="AM13" s="1486"/>
      <c r="AN13" s="1486"/>
      <c r="AO13" s="1486"/>
    </row>
    <row r="14" spans="1:41" ht="18" hidden="1" customHeight="1">
      <c r="A14" s="1486"/>
      <c r="B14" s="1486"/>
      <c r="C14" s="949"/>
      <c r="D14" s="971" t="str">
        <f>IF(AND(IsIig,vmBonaFide="Yes"),"P","O")</f>
        <v>O</v>
      </c>
      <c r="E14" s="1486"/>
      <c r="F14" s="1486"/>
      <c r="G14" s="1486"/>
      <c r="H14" s="1486"/>
      <c r="I14" s="1486"/>
      <c r="J14" s="1486"/>
      <c r="K14" s="1486"/>
      <c r="L14" s="1486"/>
      <c r="M14" s="1486"/>
      <c r="N14" s="1486"/>
      <c r="O14" s="1486"/>
      <c r="P14" s="1486"/>
      <c r="Q14" s="1486"/>
      <c r="R14" s="1486"/>
      <c r="S14" s="1486"/>
      <c r="T14" s="1486"/>
      <c r="U14" s="1486"/>
      <c r="V14" s="1486"/>
      <c r="W14" s="1486"/>
      <c r="X14" s="1486"/>
      <c r="Y14" s="1486"/>
      <c r="Z14" s="1486"/>
      <c r="AA14" s="1486"/>
      <c r="AB14" s="1486"/>
      <c r="AC14" s="1486"/>
      <c r="AD14" s="1486"/>
      <c r="AE14" s="1486"/>
      <c r="AF14" s="1486"/>
      <c r="AG14" s="1486"/>
      <c r="AH14" s="1486"/>
      <c r="AI14" s="1486"/>
      <c r="AJ14" s="1486"/>
      <c r="AK14" s="1486"/>
      <c r="AL14" s="1486"/>
      <c r="AM14" s="1486"/>
      <c r="AN14" s="1486"/>
      <c r="AO14" s="1486" t="s">
        <v>1521</v>
      </c>
    </row>
    <row r="15" spans="1:41" ht="18" customHeight="1">
      <c r="A15" s="1486"/>
      <c r="B15" s="1486"/>
      <c r="C15" s="949" t="s">
        <v>1412</v>
      </c>
      <c r="D15" s="1041" t="s">
        <v>1402</v>
      </c>
      <c r="E15" s="971" t="str">
        <f>IF(AND(IsIig,'Project Overview'!$AL$189="Yes"),"P","O")</f>
        <v>O</v>
      </c>
      <c r="F15" s="1486"/>
      <c r="G15" s="1486"/>
      <c r="H15" s="1486"/>
      <c r="I15" s="1486"/>
      <c r="J15" s="1486"/>
      <c r="K15" s="1486"/>
      <c r="L15" s="1486"/>
      <c r="M15" s="1486"/>
      <c r="N15" s="1486"/>
      <c r="O15" s="1486"/>
      <c r="P15" s="1486"/>
      <c r="Q15" s="1486"/>
      <c r="R15" s="1486"/>
      <c r="S15" s="1486"/>
      <c r="T15" s="1486"/>
      <c r="U15" s="1486"/>
      <c r="V15" s="1486"/>
      <c r="W15" s="1486"/>
      <c r="X15" s="1486"/>
      <c r="Y15" s="1486"/>
      <c r="Z15" s="1486"/>
      <c r="AA15" s="1486"/>
      <c r="AB15" s="1486"/>
      <c r="AC15" s="1486"/>
      <c r="AD15" s="1486"/>
      <c r="AE15" s="1486"/>
      <c r="AF15" s="1486"/>
      <c r="AG15" s="1486"/>
      <c r="AH15" s="1486"/>
      <c r="AI15" s="1486"/>
      <c r="AJ15" s="1486"/>
      <c r="AK15" s="1486"/>
      <c r="AL15" s="1486"/>
      <c r="AM15" s="1486"/>
      <c r="AN15" s="1486"/>
      <c r="AO15" s="1486"/>
    </row>
    <row r="16" spans="1:41" ht="18" customHeight="1">
      <c r="A16" s="1486"/>
      <c r="B16" s="1486"/>
      <c r="C16" s="1486"/>
      <c r="D16" s="1041" t="s">
        <v>1403</v>
      </c>
      <c r="E16" s="2243" t="s">
        <v>1522</v>
      </c>
      <c r="F16" s="2243"/>
      <c r="G16" s="2243"/>
      <c r="H16" s="2243"/>
      <c r="I16" s="2243"/>
      <c r="J16" s="2243"/>
      <c r="K16" s="2243"/>
      <c r="L16" s="2243"/>
      <c r="M16" s="1486"/>
      <c r="N16" s="1486"/>
      <c r="O16" s="1486"/>
      <c r="P16" s="1486"/>
      <c r="Q16" s="1486"/>
      <c r="R16" s="1486"/>
      <c r="S16" s="1486"/>
      <c r="T16" s="1486"/>
      <c r="U16" s="1486"/>
      <c r="V16" s="1486"/>
      <c r="W16" s="1486"/>
      <c r="X16" s="1486"/>
      <c r="Y16" s="1486"/>
      <c r="Z16" s="1486"/>
      <c r="AA16" s="1486"/>
      <c r="AB16" s="1486"/>
      <c r="AC16" s="1486"/>
      <c r="AD16" s="1486"/>
      <c r="AE16" s="1486"/>
      <c r="AF16" s="1486"/>
      <c r="AG16" s="1486"/>
      <c r="AH16" s="1486"/>
      <c r="AI16" s="1486"/>
      <c r="AJ16" s="1486"/>
      <c r="AK16" s="1486"/>
      <c r="AL16" s="1486"/>
      <c r="AM16" s="1486"/>
      <c r="AN16" s="1486"/>
      <c r="AO16" s="1486"/>
    </row>
    <row r="17" spans="1:42" ht="36" customHeight="1">
      <c r="A17" s="1486"/>
      <c r="B17" s="1486"/>
      <c r="C17" s="1486"/>
      <c r="D17" s="1486"/>
      <c r="E17" s="950" t="s">
        <v>1408</v>
      </c>
      <c r="F17" s="3901" t="s">
        <v>1523</v>
      </c>
      <c r="G17" s="3901"/>
      <c r="H17" s="3901"/>
      <c r="I17" s="3901"/>
      <c r="J17" s="3901"/>
      <c r="K17" s="3901"/>
      <c r="L17" s="3901"/>
      <c r="M17" s="3901"/>
      <c r="N17" s="3901"/>
      <c r="O17" s="3901"/>
      <c r="P17" s="3901"/>
      <c r="Q17" s="3901"/>
      <c r="R17" s="3901"/>
      <c r="S17" s="3901"/>
      <c r="T17" s="3901"/>
      <c r="U17" s="3901"/>
      <c r="V17" s="3901"/>
      <c r="W17" s="3901"/>
      <c r="X17" s="3901"/>
      <c r="Y17" s="3901"/>
      <c r="Z17" s="3901"/>
      <c r="AA17" s="3901"/>
      <c r="AB17" s="3901"/>
      <c r="AC17" s="3901"/>
      <c r="AD17" s="3901"/>
      <c r="AE17" s="3901"/>
      <c r="AF17" s="3901"/>
      <c r="AG17" s="3901"/>
      <c r="AH17" s="3901"/>
      <c r="AI17" s="3901"/>
      <c r="AJ17" s="3901"/>
      <c r="AK17" s="1727"/>
      <c r="AL17" s="1727"/>
      <c r="AM17" s="1486"/>
      <c r="AN17" s="1486"/>
      <c r="AO17" s="1486"/>
      <c r="AP17" s="1486"/>
    </row>
    <row r="18" spans="1:42" ht="18" customHeight="1">
      <c r="A18" s="1486"/>
      <c r="B18" s="1486"/>
      <c r="C18" s="1486"/>
      <c r="D18" s="1486"/>
      <c r="E18" s="950" t="s">
        <v>1408</v>
      </c>
      <c r="F18" s="3937" t="s">
        <v>1524</v>
      </c>
      <c r="G18" s="3937"/>
      <c r="H18" s="3937"/>
      <c r="I18" s="3937"/>
      <c r="J18" s="3937"/>
      <c r="K18" s="3937"/>
      <c r="L18" s="3937"/>
      <c r="M18" s="3937"/>
      <c r="N18" s="3937"/>
      <c r="O18" s="3937"/>
      <c r="P18" s="3937"/>
      <c r="Q18" s="3937"/>
      <c r="R18" s="3937"/>
      <c r="S18" s="3937"/>
      <c r="T18" s="3937"/>
      <c r="U18" s="3937"/>
      <c r="V18" s="3937"/>
      <c r="W18" s="3937"/>
      <c r="X18" s="3937"/>
      <c r="Y18" s="3937"/>
      <c r="Z18" s="3937"/>
      <c r="AA18" s="3937"/>
      <c r="AB18" s="3937"/>
      <c r="AC18" s="3937"/>
      <c r="AD18" s="3937"/>
      <c r="AE18" s="1727"/>
      <c r="AF18" s="1727"/>
      <c r="AG18" s="1038"/>
      <c r="AH18" s="1038"/>
      <c r="AI18" s="1038"/>
      <c r="AJ18" s="1038"/>
      <c r="AK18" s="1486"/>
      <c r="AL18" s="1486"/>
      <c r="AM18" s="1486"/>
      <c r="AN18" s="1486"/>
      <c r="AO18" s="1486"/>
      <c r="AP18" s="1486"/>
    </row>
    <row r="19" spans="1:42" ht="36" customHeight="1">
      <c r="A19" s="1486"/>
      <c r="B19" s="1486"/>
      <c r="C19" s="1486"/>
      <c r="D19" s="1041" t="s">
        <v>1404</v>
      </c>
      <c r="E19" s="3938" t="s">
        <v>1525</v>
      </c>
      <c r="F19" s="3938"/>
      <c r="G19" s="3938"/>
      <c r="H19" s="3938"/>
      <c r="I19" s="3938"/>
      <c r="J19" s="3938"/>
      <c r="K19" s="3938"/>
      <c r="L19" s="3938"/>
      <c r="M19" s="3938"/>
      <c r="N19" s="3938"/>
      <c r="O19" s="3938"/>
      <c r="P19" s="3938"/>
      <c r="Q19" s="3938"/>
      <c r="R19" s="3938"/>
      <c r="S19" s="3938"/>
      <c r="T19" s="3938"/>
      <c r="U19" s="3938"/>
      <c r="V19" s="3938"/>
      <c r="W19" s="3938"/>
      <c r="X19" s="3938"/>
      <c r="Y19" s="3938"/>
      <c r="Z19" s="3938"/>
      <c r="AA19" s="3938"/>
      <c r="AB19" s="3938"/>
      <c r="AC19" s="3938"/>
      <c r="AD19" s="3938"/>
      <c r="AE19" s="3938"/>
      <c r="AF19" s="3938"/>
      <c r="AG19" s="3938"/>
      <c r="AH19" s="3938"/>
      <c r="AI19" s="3938"/>
      <c r="AJ19" s="3938"/>
      <c r="AK19" s="1727"/>
      <c r="AL19" s="1727"/>
      <c r="AM19" s="1486"/>
      <c r="AN19" s="1486"/>
      <c r="AO19" s="1486"/>
      <c r="AP19" s="1486"/>
    </row>
    <row r="20" spans="1:42" ht="54.75" customHeight="1">
      <c r="A20" s="1486"/>
      <c r="B20" s="1486"/>
      <c r="C20" s="1486"/>
      <c r="D20" s="1041" t="s">
        <v>1406</v>
      </c>
      <c r="E20" s="3901" t="s">
        <v>1526</v>
      </c>
      <c r="F20" s="3901"/>
      <c r="G20" s="3901"/>
      <c r="H20" s="3901"/>
      <c r="I20" s="3901"/>
      <c r="J20" s="3901"/>
      <c r="K20" s="3901"/>
      <c r="L20" s="3901"/>
      <c r="M20" s="3901"/>
      <c r="N20" s="3901"/>
      <c r="O20" s="3901"/>
      <c r="P20" s="3901"/>
      <c r="Q20" s="3901"/>
      <c r="R20" s="3901"/>
      <c r="S20" s="3901"/>
      <c r="T20" s="3901"/>
      <c r="U20" s="3901"/>
      <c r="V20" s="3901"/>
      <c r="W20" s="3901"/>
      <c r="X20" s="3901"/>
      <c r="Y20" s="3901"/>
      <c r="Z20" s="3901"/>
      <c r="AA20" s="3901"/>
      <c r="AB20" s="3901"/>
      <c r="AC20" s="3901"/>
      <c r="AD20" s="3901"/>
      <c r="AE20" s="3901"/>
      <c r="AF20" s="3901"/>
      <c r="AG20" s="3901"/>
      <c r="AH20" s="3901"/>
      <c r="AI20" s="3901"/>
      <c r="AJ20" s="3901"/>
      <c r="AK20" s="1727"/>
      <c r="AL20" s="1727"/>
      <c r="AM20" s="1486"/>
      <c r="AN20" s="1486"/>
      <c r="AO20" s="1486"/>
      <c r="AP20" s="1486"/>
    </row>
    <row r="22" spans="1:42" ht="18" customHeight="1">
      <c r="A22" s="986"/>
      <c r="B22" s="945" t="s">
        <v>1399</v>
      </c>
      <c r="C22" s="2243" t="s">
        <v>1527</v>
      </c>
      <c r="D22" s="2243"/>
      <c r="E22" s="2243"/>
      <c r="F22" s="2243"/>
      <c r="G22" s="2243"/>
      <c r="H22" s="2243"/>
      <c r="I22" s="2243"/>
      <c r="J22" s="2243"/>
      <c r="K22" s="2243"/>
      <c r="L22" s="2243"/>
      <c r="M22" s="2243"/>
      <c r="N22" s="2243"/>
      <c r="O22" s="2243"/>
      <c r="P22" s="2243"/>
      <c r="Q22" s="2243"/>
      <c r="R22" s="2243"/>
      <c r="S22" s="2243"/>
      <c r="T22" s="2243"/>
      <c r="U22" s="2243"/>
      <c r="V22" s="1727"/>
      <c r="W22" s="1727"/>
      <c r="X22" s="1486"/>
      <c r="Y22" s="1486"/>
      <c r="Z22" s="1486"/>
      <c r="AA22" s="1486"/>
      <c r="AB22" s="1486"/>
      <c r="AC22" s="1486"/>
      <c r="AD22" s="1486"/>
      <c r="AE22" s="1486"/>
      <c r="AF22" s="1486"/>
      <c r="AG22" s="1486"/>
      <c r="AH22" s="1486"/>
      <c r="AI22" s="1486"/>
      <c r="AJ22" s="1486"/>
      <c r="AK22" s="1486"/>
      <c r="AL22" s="1486"/>
      <c r="AM22" s="1486"/>
      <c r="AN22" s="1486"/>
      <c r="AO22" s="1486"/>
      <c r="AP22" s="1486"/>
    </row>
    <row r="23" spans="1:42" ht="18" customHeight="1">
      <c r="A23" s="1486"/>
      <c r="B23" s="1486"/>
      <c r="C23" s="950" t="s">
        <v>1397</v>
      </c>
      <c r="D23" s="971" t="str">
        <f>IF(AND(IsIig,'Project Overview'!$S$20="Yes",'Project Overview'!$AL$21="Yes"),"P","O")</f>
        <v>O</v>
      </c>
      <c r="E23" s="1486"/>
      <c r="F23" s="1486"/>
      <c r="G23" s="1486"/>
      <c r="H23" s="1486"/>
      <c r="I23" s="1486"/>
      <c r="J23" s="1486"/>
      <c r="K23" s="1486"/>
      <c r="L23" s="1486"/>
      <c r="M23" s="1486"/>
      <c r="N23" s="1486"/>
      <c r="O23" s="1486"/>
      <c r="P23" s="1486"/>
      <c r="Q23" s="1486"/>
      <c r="R23" s="1486"/>
      <c r="S23" s="1486"/>
      <c r="T23" s="1486"/>
      <c r="U23" s="1486"/>
      <c r="V23" s="1486"/>
      <c r="W23" s="1486"/>
      <c r="X23" s="1486"/>
      <c r="Y23" s="1486"/>
      <c r="Z23" s="1486"/>
      <c r="AA23" s="1486"/>
      <c r="AB23" s="1486"/>
      <c r="AC23" s="1486"/>
      <c r="AD23" s="1486"/>
      <c r="AE23" s="1486"/>
      <c r="AF23" s="1486"/>
      <c r="AG23" s="1486"/>
      <c r="AH23" s="1486"/>
      <c r="AI23" s="1486"/>
      <c r="AJ23" s="1486"/>
      <c r="AK23" s="1486"/>
      <c r="AL23" s="1486"/>
      <c r="AM23" s="1486"/>
      <c r="AN23" s="1486"/>
      <c r="AO23" s="1486"/>
      <c r="AP23" s="1486"/>
    </row>
    <row r="24" spans="1:42" ht="18" customHeight="1">
      <c r="A24" s="1486"/>
      <c r="B24" s="1486"/>
      <c r="C24" s="950" t="s">
        <v>1399</v>
      </c>
      <c r="D24" s="2243" t="s">
        <v>1528</v>
      </c>
      <c r="E24" s="2243"/>
      <c r="F24" s="2243"/>
      <c r="G24" s="2243"/>
      <c r="H24" s="2243"/>
      <c r="I24" s="2243"/>
      <c r="J24" s="2243"/>
      <c r="K24" s="2243"/>
      <c r="L24" s="2243"/>
      <c r="M24" s="2243"/>
      <c r="N24" s="2243"/>
      <c r="O24" s="2243"/>
      <c r="P24" s="2243"/>
      <c r="Q24" s="2243"/>
      <c r="R24" s="2243"/>
      <c r="S24" s="2243"/>
      <c r="T24" s="2243"/>
      <c r="U24" s="2243"/>
      <c r="V24" s="2243"/>
      <c r="W24" s="2243"/>
      <c r="X24" s="2243"/>
      <c r="Y24" s="2243"/>
      <c r="Z24" s="2243"/>
      <c r="AA24" s="2243"/>
      <c r="AB24" s="2243"/>
      <c r="AC24" s="2243"/>
      <c r="AD24" s="2243"/>
      <c r="AE24" s="2243"/>
      <c r="AF24" s="2243"/>
      <c r="AG24" s="2243"/>
      <c r="AH24" s="2243"/>
      <c r="AI24" s="2243"/>
      <c r="AJ24" s="2243"/>
      <c r="AK24" s="2243"/>
      <c r="AL24" s="2243"/>
      <c r="AM24" s="1486"/>
      <c r="AN24" s="1486"/>
      <c r="AO24" s="1486"/>
      <c r="AP24" s="1486"/>
    </row>
    <row r="25" spans="1:42" ht="18" customHeight="1">
      <c r="A25" s="1486"/>
      <c r="B25" s="1486"/>
      <c r="C25" s="1486"/>
      <c r="D25" s="951" t="s">
        <v>1402</v>
      </c>
      <c r="E25" s="971" t="str">
        <f>IF(AND(IsIig,vmUrban="Yes",'Project Overview'!$AL$27="Yes"),"P","O")</f>
        <v>P</v>
      </c>
      <c r="F25" s="1486"/>
      <c r="G25" s="1486"/>
      <c r="H25" s="1486"/>
      <c r="I25" s="1486"/>
      <c r="J25" s="1486"/>
      <c r="K25" s="1486"/>
      <c r="L25" s="1486"/>
      <c r="M25" s="1486"/>
      <c r="N25" s="1486"/>
      <c r="O25" s="1486"/>
      <c r="P25" s="1486"/>
      <c r="Q25" s="1486"/>
      <c r="R25" s="1486"/>
      <c r="S25" s="1486"/>
      <c r="T25" s="1486"/>
      <c r="U25" s="1486"/>
      <c r="V25" s="1486"/>
      <c r="W25" s="1486"/>
      <c r="X25" s="1486"/>
      <c r="Y25" s="1486"/>
      <c r="Z25" s="1486"/>
      <c r="AA25" s="1486"/>
      <c r="AB25" s="1486"/>
      <c r="AC25" s="1486"/>
      <c r="AD25" s="1486"/>
      <c r="AE25" s="1486"/>
      <c r="AF25" s="1486"/>
      <c r="AG25" s="1486"/>
      <c r="AH25" s="1486"/>
      <c r="AI25" s="1486"/>
      <c r="AJ25" s="1486"/>
      <c r="AK25" s="1486"/>
      <c r="AL25" s="1486"/>
      <c r="AM25" s="1486"/>
      <c r="AN25" s="1486"/>
      <c r="AO25" s="1486"/>
      <c r="AP25" s="1486"/>
    </row>
    <row r="26" spans="1:42" ht="18" customHeight="1">
      <c r="A26" s="1486"/>
      <c r="B26" s="1486"/>
      <c r="C26" s="1486"/>
      <c r="D26" s="951" t="s">
        <v>1403</v>
      </c>
      <c r="E26" s="971" t="str">
        <f>IF(AND(IsIig,'Project Overview'!$AL$22="Yes",'Project Overview'!$AL$24="Yes"),"P","O")</f>
        <v>P</v>
      </c>
      <c r="F26" s="3901" t="s">
        <v>1529</v>
      </c>
      <c r="G26" s="3901"/>
      <c r="H26" s="3901"/>
      <c r="I26" s="3901"/>
      <c r="J26" s="3901"/>
      <c r="K26" s="3901"/>
      <c r="L26" s="3901"/>
      <c r="M26" s="3901"/>
      <c r="N26" s="3901"/>
      <c r="O26" s="3901"/>
      <c r="P26" s="3901"/>
      <c r="Q26" s="3901"/>
      <c r="R26" s="3901"/>
      <c r="S26" s="3901"/>
      <c r="T26" s="3901"/>
      <c r="U26" s="3901"/>
      <c r="V26" s="3901"/>
      <c r="W26" s="3943"/>
      <c r="X26" s="3944"/>
      <c r="Y26" s="3945"/>
      <c r="Z26" s="1510"/>
      <c r="AA26" s="1510"/>
      <c r="AB26" s="1510"/>
      <c r="AC26" s="1510"/>
      <c r="AD26" s="1510"/>
      <c r="AE26" s="1510"/>
      <c r="AF26" s="1510"/>
      <c r="AG26" s="1510"/>
      <c r="AH26" s="1510"/>
      <c r="AI26" s="1510"/>
      <c r="AJ26" s="1510"/>
      <c r="AK26" s="1510"/>
      <c r="AL26" s="1510"/>
      <c r="AM26" s="1510"/>
      <c r="AN26" s="1486"/>
      <c r="AO26" s="1486"/>
      <c r="AP26" s="1486"/>
    </row>
    <row r="27" spans="1:42" s="952" customFormat="1" ht="36.75" customHeight="1">
      <c r="A27" s="1508"/>
      <c r="B27" s="1508"/>
      <c r="C27" s="1508"/>
      <c r="D27" s="1508"/>
      <c r="E27" s="1508"/>
      <c r="F27" s="3901" t="s">
        <v>1530</v>
      </c>
      <c r="G27" s="3901"/>
      <c r="H27" s="3901"/>
      <c r="I27" s="3901"/>
      <c r="J27" s="3901"/>
      <c r="K27" s="3901"/>
      <c r="L27" s="3901"/>
      <c r="M27" s="3901"/>
      <c r="N27" s="3901"/>
      <c r="O27" s="3901"/>
      <c r="P27" s="3901"/>
      <c r="Q27" s="3901"/>
      <c r="R27" s="3901"/>
      <c r="S27" s="3901"/>
      <c r="T27" s="3901"/>
      <c r="U27" s="3901"/>
      <c r="V27" s="3901"/>
      <c r="W27" s="3901"/>
      <c r="X27" s="3901"/>
      <c r="Y27" s="3901"/>
      <c r="Z27" s="3901"/>
      <c r="AA27" s="3901"/>
      <c r="AB27" s="3901"/>
      <c r="AC27" s="3901"/>
      <c r="AD27" s="3901"/>
      <c r="AE27" s="3901"/>
      <c r="AF27" s="3901"/>
      <c r="AG27" s="3901"/>
      <c r="AH27" s="3901"/>
      <c r="AI27" s="3901"/>
      <c r="AJ27" s="3901"/>
      <c r="AK27" s="3901"/>
      <c r="AL27" s="1727"/>
      <c r="AM27" s="1727"/>
      <c r="AN27" s="1508"/>
      <c r="AO27" s="1508"/>
      <c r="AP27" s="1508"/>
    </row>
    <row r="28" spans="1:42" ht="18" customHeight="1">
      <c r="A28" s="1486"/>
      <c r="B28" s="1486"/>
      <c r="C28" s="1486"/>
      <c r="D28" s="951" t="s">
        <v>1404</v>
      </c>
      <c r="E28" s="950" t="s">
        <v>1408</v>
      </c>
      <c r="F28" s="2243" t="s">
        <v>1531</v>
      </c>
      <c r="G28" s="2243"/>
      <c r="H28" s="2243"/>
      <c r="I28" s="2243"/>
      <c r="J28" s="2243"/>
      <c r="K28" s="2243"/>
      <c r="L28" s="2243"/>
      <c r="M28" s="2243"/>
      <c r="N28" s="2243"/>
      <c r="O28" s="2243"/>
      <c r="P28" s="2243"/>
      <c r="Q28" s="2243"/>
      <c r="R28" s="2243"/>
      <c r="S28" s="2243"/>
      <c r="T28" s="2243"/>
      <c r="U28" s="2243"/>
      <c r="V28" s="2243"/>
      <c r="W28" s="2243"/>
      <c r="X28" s="2243"/>
      <c r="Y28" s="2243"/>
      <c r="Z28" s="2243"/>
      <c r="AA28" s="2243"/>
      <c r="AB28" s="2243"/>
      <c r="AC28" s="2243"/>
      <c r="AD28" s="2243"/>
      <c r="AE28" s="2243"/>
      <c r="AF28" s="2243"/>
      <c r="AG28" s="2243"/>
      <c r="AH28" s="2243"/>
      <c r="AI28" s="971" t="str">
        <f>IF(AND(IsIig,'Unit Mix'!$E$7&gt;=15%),"P","O")</f>
        <v>O</v>
      </c>
      <c r="AJ28" s="1486"/>
      <c r="AK28" s="1486"/>
      <c r="AL28" s="1486"/>
      <c r="AM28" s="1486"/>
      <c r="AN28" s="1486"/>
      <c r="AO28" s="1486"/>
      <c r="AP28" s="1486"/>
    </row>
    <row r="29" spans="1:42" ht="18" customHeight="1">
      <c r="A29" s="1486"/>
      <c r="B29" s="1486"/>
      <c r="C29" s="1486"/>
      <c r="D29" s="1486"/>
      <c r="E29" s="1486"/>
      <c r="F29" s="2243" t="s">
        <v>1532</v>
      </c>
      <c r="G29" s="2243"/>
      <c r="H29" s="2243"/>
      <c r="I29" s="2243"/>
      <c r="J29" s="2243"/>
      <c r="K29" s="2243"/>
      <c r="L29" s="2243"/>
      <c r="M29" s="2243"/>
      <c r="N29" s="2243"/>
      <c r="O29" s="1739"/>
      <c r="P29" s="2070"/>
      <c r="Q29" s="1486"/>
      <c r="R29" s="3946" t="s">
        <v>1533</v>
      </c>
      <c r="S29" s="3946"/>
      <c r="T29" s="3946"/>
      <c r="U29" s="3946"/>
      <c r="V29" s="3946"/>
      <c r="W29" s="3947"/>
      <c r="X29" s="3948"/>
      <c r="Y29" s="1486"/>
      <c r="Z29" s="1486"/>
      <c r="AA29" s="1486"/>
      <c r="AB29" s="1486"/>
      <c r="AC29" s="1486"/>
      <c r="AD29" s="1486"/>
      <c r="AE29" s="1486"/>
      <c r="AF29" s="1486"/>
      <c r="AG29" s="1486"/>
      <c r="AH29" s="1486"/>
      <c r="AI29" s="1486"/>
      <c r="AJ29" s="1486"/>
      <c r="AK29" s="1486"/>
      <c r="AL29" s="1486"/>
      <c r="AM29" s="1486"/>
      <c r="AN29" s="1486"/>
      <c r="AO29" s="1486"/>
      <c r="AP29" s="1486"/>
    </row>
    <row r="30" spans="1:42" ht="54" customHeight="1">
      <c r="A30" s="1486"/>
      <c r="B30" s="1486"/>
      <c r="C30" s="1486"/>
      <c r="D30" s="1486"/>
      <c r="E30" s="950" t="s">
        <v>1409</v>
      </c>
      <c r="F30" s="3901" t="s">
        <v>1534</v>
      </c>
      <c r="G30" s="3901"/>
      <c r="H30" s="3901"/>
      <c r="I30" s="3901"/>
      <c r="J30" s="3901"/>
      <c r="K30" s="3901"/>
      <c r="L30" s="3901"/>
      <c r="M30" s="3901"/>
      <c r="N30" s="3901"/>
      <c r="O30" s="3901"/>
      <c r="P30" s="3901"/>
      <c r="Q30" s="3901"/>
      <c r="R30" s="3901"/>
      <c r="S30" s="3901"/>
      <c r="T30" s="3901"/>
      <c r="U30" s="3901"/>
      <c r="V30" s="3901"/>
      <c r="W30" s="3901"/>
      <c r="X30" s="3901"/>
      <c r="Y30" s="3901"/>
      <c r="Z30" s="3901"/>
      <c r="AA30" s="3901"/>
      <c r="AB30" s="3901"/>
      <c r="AC30" s="3901"/>
      <c r="AD30" s="3901"/>
      <c r="AE30" s="3901"/>
      <c r="AF30" s="3901"/>
      <c r="AG30" s="3901"/>
      <c r="AH30" s="3901"/>
      <c r="AI30" s="3901"/>
      <c r="AJ30" s="3901"/>
      <c r="AK30" s="3901"/>
      <c r="AL30" s="1727"/>
      <c r="AM30" s="1727"/>
      <c r="AN30" s="1486"/>
      <c r="AO30" s="1486"/>
      <c r="AP30" s="1486"/>
    </row>
    <row r="31" spans="1:42" ht="63" customHeight="1">
      <c r="A31" s="1486"/>
      <c r="B31" s="1486"/>
      <c r="C31" s="1486"/>
      <c r="D31" s="1486"/>
      <c r="E31" s="950" t="s">
        <v>1409</v>
      </c>
      <c r="F31" s="3910" t="s">
        <v>1535</v>
      </c>
      <c r="G31" s="3910"/>
      <c r="H31" s="3910"/>
      <c r="I31" s="3910"/>
      <c r="J31" s="3910"/>
      <c r="K31" s="3910"/>
      <c r="L31" s="3910"/>
      <c r="M31" s="3910"/>
      <c r="N31" s="3910"/>
      <c r="O31" s="3910"/>
      <c r="P31" s="3910"/>
      <c r="Q31" s="3910"/>
      <c r="R31" s="3910"/>
      <c r="S31" s="3910"/>
      <c r="T31" s="3910"/>
      <c r="U31" s="3910"/>
      <c r="V31" s="3910"/>
      <c r="W31" s="3910"/>
      <c r="X31" s="3910"/>
      <c r="Y31" s="3910"/>
      <c r="Z31" s="3910"/>
      <c r="AA31" s="3910"/>
      <c r="AB31" s="3910"/>
      <c r="AC31" s="3910"/>
      <c r="AD31" s="3910"/>
      <c r="AE31" s="3910"/>
      <c r="AF31" s="3910"/>
      <c r="AG31" s="3910"/>
      <c r="AH31" s="3910"/>
      <c r="AI31" s="3910"/>
      <c r="AJ31" s="3910"/>
      <c r="AK31" s="3910"/>
      <c r="AL31" s="1739"/>
      <c r="AM31" s="2070"/>
      <c r="AN31" s="1486"/>
      <c r="AO31" s="1486"/>
      <c r="AP31" s="1486"/>
    </row>
    <row r="32" spans="1:42" ht="18" hidden="1" customHeight="1">
      <c r="A32" s="1486"/>
      <c r="B32" s="1851" t="s">
        <v>676</v>
      </c>
      <c r="C32" s="1851"/>
      <c r="D32" s="1851"/>
      <c r="E32" s="2462" t="str">
        <f>'Document Checklist'!$E$169</f>
        <v>85. Development Agreement</v>
      </c>
      <c r="F32" s="2462"/>
      <c r="G32" s="2462"/>
      <c r="H32" s="2462"/>
      <c r="I32" s="2462"/>
      <c r="J32" s="2462"/>
      <c r="K32" s="2462"/>
      <c r="L32" s="2487" t="str">
        <f>'Document Checklist'!$N$169</f>
        <v>Agreement executed prior to August 24, 2007 that contains affordability covenants.</v>
      </c>
      <c r="M32" s="2487"/>
      <c r="N32" s="2487"/>
      <c r="O32" s="2487"/>
      <c r="P32" s="2487"/>
      <c r="Q32" s="2487"/>
      <c r="R32" s="2487"/>
      <c r="S32" s="2487"/>
      <c r="T32" s="2487"/>
      <c r="U32" s="2487"/>
      <c r="V32" s="2487"/>
      <c r="W32" s="2487"/>
      <c r="X32" s="2487"/>
      <c r="Y32" s="2487"/>
      <c r="Z32" s="2487"/>
      <c r="AA32" s="2487"/>
      <c r="AB32" s="2487"/>
      <c r="AC32" s="2487"/>
      <c r="AD32" s="2487"/>
      <c r="AE32" s="2487"/>
      <c r="AF32" s="2129" t="s">
        <v>677</v>
      </c>
      <c r="AG32" s="2130"/>
      <c r="AH32" s="2130"/>
      <c r="AI32" s="2130"/>
      <c r="AJ32" s="2130"/>
      <c r="AK32" s="2130"/>
      <c r="AL32" s="1743"/>
      <c r="AM32" s="1743"/>
      <c r="AN32" s="1486"/>
      <c r="AO32" s="1486"/>
      <c r="AP32" s="1508" t="s">
        <v>1536</v>
      </c>
    </row>
    <row r="33" spans="2:42" ht="18" customHeight="1">
      <c r="B33" s="1500"/>
      <c r="C33" s="1500"/>
      <c r="D33" s="951" t="s">
        <v>1406</v>
      </c>
      <c r="E33" s="971" t="str">
        <f>IF(AND(IsIig,Scoring!$AL$209="Yes"),"P","O")</f>
        <v>O</v>
      </c>
      <c r="F33" s="1500"/>
      <c r="G33" s="1500"/>
      <c r="H33" s="1500"/>
      <c r="I33" s="1500"/>
      <c r="J33" s="1500"/>
      <c r="K33" s="1500"/>
      <c r="L33" s="1500"/>
      <c r="M33" s="1500"/>
      <c r="N33" s="1500"/>
      <c r="O33" s="1500"/>
      <c r="P33" s="1500"/>
      <c r="Q33" s="1500"/>
      <c r="R33" s="1500"/>
      <c r="S33" s="1500"/>
      <c r="T33" s="1500"/>
      <c r="U33" s="1500"/>
      <c r="V33" s="1500"/>
      <c r="W33" s="1500"/>
      <c r="X33" s="1500"/>
      <c r="Y33" s="1500"/>
      <c r="Z33" s="1500"/>
      <c r="AA33" s="1500"/>
      <c r="AB33" s="1500"/>
      <c r="AC33" s="1500"/>
      <c r="AD33" s="1500"/>
      <c r="AE33" s="1500"/>
      <c r="AF33" s="1500"/>
      <c r="AG33" s="1500"/>
      <c r="AH33" s="1500"/>
      <c r="AI33" s="1500"/>
      <c r="AJ33" s="1500"/>
      <c r="AK33" s="1500"/>
      <c r="AL33" s="1500"/>
      <c r="AM33" s="1500"/>
      <c r="AN33" s="1486"/>
      <c r="AO33" s="1486"/>
      <c r="AP33" s="1508" t="s">
        <v>1537</v>
      </c>
    </row>
    <row r="34" spans="2:42" ht="18" customHeight="1">
      <c r="B34" s="1486"/>
      <c r="C34" s="1486"/>
      <c r="D34" s="951" t="s">
        <v>1422</v>
      </c>
      <c r="E34" s="2243" t="s">
        <v>1538</v>
      </c>
      <c r="F34" s="3939"/>
      <c r="G34" s="3939"/>
      <c r="H34" s="3939"/>
      <c r="I34" s="3939"/>
      <c r="J34" s="3939"/>
      <c r="K34" s="3939"/>
      <c r="L34" s="3939"/>
      <c r="M34" s="3939"/>
      <c r="N34" s="3939"/>
      <c r="O34" s="3939"/>
      <c r="P34" s="3939"/>
      <c r="Q34" s="3939"/>
      <c r="R34" s="3939"/>
      <c r="S34" s="3939"/>
      <c r="T34" s="3939"/>
      <c r="U34" s="3939"/>
      <c r="V34" s="3939"/>
      <c r="W34" s="3939"/>
      <c r="X34" s="3939"/>
      <c r="Y34" s="3939"/>
      <c r="Z34" s="3939"/>
      <c r="AA34" s="3939"/>
      <c r="AB34" s="3939"/>
      <c r="AC34" s="3939"/>
      <c r="AD34" s="3939"/>
      <c r="AE34" s="3939"/>
      <c r="AF34" s="3939"/>
      <c r="AG34" s="3939"/>
      <c r="AH34" s="3939"/>
      <c r="AI34" s="3939"/>
      <c r="AJ34" s="3939"/>
      <c r="AK34" s="3939"/>
      <c r="AL34" s="3939"/>
      <c r="AM34" s="3939"/>
      <c r="AN34" s="1486"/>
      <c r="AO34" s="1486"/>
      <c r="AP34" s="1508" t="s">
        <v>1539</v>
      </c>
    </row>
    <row r="35" spans="2:42" ht="34.5" customHeight="1">
      <c r="B35" s="1486"/>
      <c r="C35" s="1486"/>
      <c r="D35" s="1486"/>
      <c r="E35" s="3940"/>
      <c r="F35" s="3941"/>
      <c r="G35" s="3941"/>
      <c r="H35" s="3941"/>
      <c r="I35" s="3941"/>
      <c r="J35" s="3941"/>
      <c r="K35" s="3941"/>
      <c r="L35" s="3941"/>
      <c r="M35" s="3941"/>
      <c r="N35" s="3941"/>
      <c r="O35" s="3941"/>
      <c r="P35" s="3941"/>
      <c r="Q35" s="3941"/>
      <c r="R35" s="3941"/>
      <c r="S35" s="3941"/>
      <c r="T35" s="3941"/>
      <c r="U35" s="3941"/>
      <c r="V35" s="3941"/>
      <c r="W35" s="3941"/>
      <c r="X35" s="3941"/>
      <c r="Y35" s="3941"/>
      <c r="Z35" s="3941"/>
      <c r="AA35" s="3941"/>
      <c r="AB35" s="3941"/>
      <c r="AC35" s="3941"/>
      <c r="AD35" s="3941"/>
      <c r="AE35" s="3941"/>
      <c r="AF35" s="3941"/>
      <c r="AG35" s="3941"/>
      <c r="AH35" s="3941"/>
      <c r="AI35" s="3941"/>
      <c r="AJ35" s="3941"/>
      <c r="AK35" s="3941"/>
      <c r="AL35" s="3941"/>
      <c r="AM35" s="3942"/>
      <c r="AN35" s="1486"/>
      <c r="AO35" s="1486"/>
      <c r="AP35" s="1508" t="s">
        <v>1540</v>
      </c>
    </row>
    <row r="36" spans="2:42" ht="18" customHeight="1">
      <c r="B36" s="1851" t="s">
        <v>676</v>
      </c>
      <c r="C36" s="1851"/>
      <c r="D36" s="1851"/>
      <c r="E36" s="2327" t="str">
        <f>'Document Checklist'!$E$170</f>
        <v>86. Relevant Development Plan</v>
      </c>
      <c r="F36" s="2328"/>
      <c r="G36" s="2328"/>
      <c r="H36" s="2328"/>
      <c r="I36" s="2328"/>
      <c r="J36" s="2328"/>
      <c r="K36" s="2328"/>
      <c r="L36" s="2329"/>
      <c r="M36" s="1718" t="str">
        <f>'Document Checklist'!$N$170</f>
        <v>Provide, label and attach a copy of the relevant plan showing area designation.</v>
      </c>
      <c r="N36" s="1719"/>
      <c r="O36" s="1719"/>
      <c r="P36" s="1719"/>
      <c r="Q36" s="1719"/>
      <c r="R36" s="1719"/>
      <c r="S36" s="1719"/>
      <c r="T36" s="1719"/>
      <c r="U36" s="1719"/>
      <c r="V36" s="1719"/>
      <c r="W36" s="1719"/>
      <c r="X36" s="1719"/>
      <c r="Y36" s="1719"/>
      <c r="Z36" s="1719"/>
      <c r="AA36" s="1719"/>
      <c r="AB36" s="1719"/>
      <c r="AC36" s="1719"/>
      <c r="AD36" s="1719"/>
      <c r="AE36" s="1720"/>
      <c r="AF36" s="2129" t="s">
        <v>677</v>
      </c>
      <c r="AG36" s="2130"/>
      <c r="AH36" s="2130"/>
      <c r="AI36" s="2130"/>
      <c r="AJ36" s="2130"/>
      <c r="AK36" s="2130"/>
      <c r="AL36" s="1743"/>
      <c r="AM36" s="1743"/>
      <c r="AN36" s="1486"/>
      <c r="AO36" s="1486"/>
      <c r="AP36" s="1486"/>
    </row>
    <row r="37" spans="2:42" ht="18" customHeight="1">
      <c r="B37" s="1486"/>
      <c r="C37" s="1486"/>
      <c r="D37" s="951" t="s">
        <v>1434</v>
      </c>
      <c r="E37" s="971" t="str">
        <f>IF(AND(IsIig,Scoring!$AL$359="Yes"),"P","O")</f>
        <v>P</v>
      </c>
      <c r="F37" s="1486"/>
      <c r="G37" s="1486"/>
      <c r="H37" s="1486"/>
      <c r="I37" s="1486"/>
      <c r="J37" s="1486"/>
      <c r="K37" s="1486"/>
      <c r="L37" s="1486"/>
      <c r="M37" s="1486"/>
      <c r="N37" s="1486"/>
      <c r="O37" s="1486"/>
      <c r="P37" s="1486"/>
      <c r="Q37" s="1486"/>
      <c r="R37" s="1486"/>
      <c r="S37" s="1486"/>
      <c r="T37" s="1486"/>
      <c r="U37" s="1486"/>
      <c r="V37" s="1486"/>
      <c r="W37" s="1486"/>
      <c r="X37" s="1486"/>
      <c r="Y37" s="1486"/>
      <c r="Z37" s="1486"/>
      <c r="AA37" s="1486"/>
      <c r="AB37" s="1486"/>
      <c r="AC37" s="1486"/>
      <c r="AD37" s="1486"/>
      <c r="AE37" s="1486"/>
      <c r="AF37" s="1486"/>
      <c r="AG37" s="1486"/>
      <c r="AH37" s="1486"/>
      <c r="AI37" s="1486"/>
      <c r="AJ37" s="1486"/>
      <c r="AK37" s="1486"/>
      <c r="AL37" s="1486"/>
      <c r="AM37" s="1486"/>
      <c r="AN37" s="1486"/>
      <c r="AO37" s="1486"/>
      <c r="AP37" s="1486"/>
    </row>
    <row r="38" spans="2:42" ht="54" customHeight="1">
      <c r="B38" s="1486"/>
      <c r="C38" s="1486"/>
      <c r="D38" s="951" t="s">
        <v>1435</v>
      </c>
      <c r="E38" s="3938" t="s">
        <v>1541</v>
      </c>
      <c r="F38" s="3938"/>
      <c r="G38" s="3938"/>
      <c r="H38" s="3938"/>
      <c r="I38" s="3938"/>
      <c r="J38" s="3938"/>
      <c r="K38" s="3938"/>
      <c r="L38" s="3938"/>
      <c r="M38" s="3938"/>
      <c r="N38" s="3938"/>
      <c r="O38" s="3938"/>
      <c r="P38" s="3938"/>
      <c r="Q38" s="3938"/>
      <c r="R38" s="3938"/>
      <c r="S38" s="3938"/>
      <c r="T38" s="3938"/>
      <c r="U38" s="3938"/>
      <c r="V38" s="3938"/>
      <c r="W38" s="3938"/>
      <c r="X38" s="3938"/>
      <c r="Y38" s="3938"/>
      <c r="Z38" s="3938"/>
      <c r="AA38" s="3938"/>
      <c r="AB38" s="3938"/>
      <c r="AC38" s="3938"/>
      <c r="AD38" s="3938"/>
      <c r="AE38" s="3938"/>
      <c r="AF38" s="3938"/>
      <c r="AG38" s="3938"/>
      <c r="AH38" s="3938"/>
      <c r="AI38" s="3938"/>
      <c r="AJ38" s="3938"/>
      <c r="AK38" s="3938"/>
      <c r="AL38" s="1727"/>
      <c r="AM38" s="1727"/>
      <c r="AN38" s="1486"/>
      <c r="AO38" s="1486"/>
      <c r="AP38" s="1486"/>
    </row>
    <row r="39" spans="2:42" ht="78" customHeight="1">
      <c r="B39" s="1486"/>
      <c r="C39" s="1486"/>
      <c r="D39" s="951" t="s">
        <v>1436</v>
      </c>
      <c r="E39" s="3901" t="s">
        <v>1542</v>
      </c>
      <c r="F39" s="3901"/>
      <c r="G39" s="3901"/>
      <c r="H39" s="3901"/>
      <c r="I39" s="3901"/>
      <c r="J39" s="3901"/>
      <c r="K39" s="3901"/>
      <c r="L39" s="3901"/>
      <c r="M39" s="3901"/>
      <c r="N39" s="3901"/>
      <c r="O39" s="3901"/>
      <c r="P39" s="3901"/>
      <c r="Q39" s="3901"/>
      <c r="R39" s="3901"/>
      <c r="S39" s="3901"/>
      <c r="T39" s="3901"/>
      <c r="U39" s="3901"/>
      <c r="V39" s="3901"/>
      <c r="W39" s="3901"/>
      <c r="X39" s="3901"/>
      <c r="Y39" s="3901"/>
      <c r="Z39" s="3901"/>
      <c r="AA39" s="3901"/>
      <c r="AB39" s="3901"/>
      <c r="AC39" s="3901"/>
      <c r="AD39" s="3901"/>
      <c r="AE39" s="3901"/>
      <c r="AF39" s="3901"/>
      <c r="AG39" s="3901"/>
      <c r="AH39" s="3901"/>
      <c r="AI39" s="3901"/>
      <c r="AJ39" s="3901"/>
      <c r="AK39" s="3901"/>
      <c r="AL39" s="1727"/>
      <c r="AM39" s="1727"/>
      <c r="AN39" s="1486"/>
      <c r="AO39" s="1486"/>
      <c r="AP39" s="1486"/>
    </row>
    <row r="40" spans="2:42" ht="18" customHeight="1">
      <c r="B40" s="1486"/>
      <c r="C40" s="950" t="s">
        <v>1400</v>
      </c>
      <c r="D40" s="971" t="str">
        <f>IF(AND(IsIig,'Project Overview'!$AL$85="Yes"),"P","O")</f>
        <v>P</v>
      </c>
      <c r="E40" s="1486"/>
      <c r="F40" s="1486"/>
      <c r="G40" s="1486"/>
      <c r="H40" s="1486"/>
      <c r="I40" s="1486"/>
      <c r="J40" s="1486"/>
      <c r="K40" s="1486"/>
      <c r="L40" s="1486"/>
      <c r="M40" s="1486"/>
      <c r="N40" s="1486"/>
      <c r="O40" s="1486"/>
      <c r="P40" s="1486"/>
      <c r="Q40" s="1486"/>
      <c r="R40" s="1486"/>
      <c r="S40" s="1486"/>
      <c r="T40" s="1486"/>
      <c r="U40" s="1486"/>
      <c r="V40" s="1486"/>
      <c r="W40" s="1486"/>
      <c r="X40" s="1486"/>
      <c r="Y40" s="1486"/>
      <c r="Z40" s="1486"/>
      <c r="AA40" s="1486"/>
      <c r="AB40" s="1486"/>
      <c r="AC40" s="1486"/>
      <c r="AD40" s="1486"/>
      <c r="AE40" s="1486"/>
      <c r="AF40" s="1486"/>
      <c r="AG40" s="1486"/>
      <c r="AH40" s="1486"/>
      <c r="AI40" s="1486"/>
      <c r="AJ40" s="1486"/>
      <c r="AK40" s="1486"/>
      <c r="AL40" s="1486"/>
      <c r="AM40" s="1486"/>
      <c r="AN40" s="1486"/>
      <c r="AO40" s="1486"/>
      <c r="AP40" s="1486"/>
    </row>
    <row r="41" spans="2:42" ht="18" customHeight="1">
      <c r="B41" s="1486"/>
      <c r="C41" s="950" t="s">
        <v>1401</v>
      </c>
      <c r="D41" s="971" t="str">
        <f>IF(AND(IsIig,'Project Overview'!$AL$83="Yes"),"P","O")</f>
        <v>P</v>
      </c>
      <c r="E41" s="1486"/>
      <c r="F41" s="1486"/>
      <c r="G41" s="1486"/>
      <c r="H41" s="1486"/>
      <c r="I41" s="1486"/>
      <c r="J41" s="1486"/>
      <c r="K41" s="1486"/>
      <c r="L41" s="1486"/>
      <c r="M41" s="1486"/>
      <c r="N41" s="1486"/>
      <c r="O41" s="1486"/>
      <c r="P41" s="1486"/>
      <c r="Q41" s="1486"/>
      <c r="R41" s="1486"/>
      <c r="S41" s="1486"/>
      <c r="T41" s="1486"/>
      <c r="U41" s="1486"/>
      <c r="V41" s="1486"/>
      <c r="W41" s="1486"/>
      <c r="X41" s="1486"/>
      <c r="Y41" s="1486"/>
      <c r="Z41" s="1486"/>
      <c r="AA41" s="1486"/>
      <c r="AB41" s="1486"/>
      <c r="AC41" s="1486"/>
      <c r="AD41" s="1486"/>
      <c r="AE41" s="1486"/>
      <c r="AF41" s="1486"/>
      <c r="AG41" s="1486"/>
      <c r="AH41" s="1486"/>
      <c r="AI41" s="1486"/>
      <c r="AJ41" s="1486"/>
      <c r="AK41" s="1486"/>
      <c r="AL41" s="1486"/>
      <c r="AM41" s="1486"/>
      <c r="AN41" s="1486"/>
      <c r="AO41" s="1486"/>
      <c r="AP41" s="1486"/>
    </row>
    <row r="43" spans="2:42" ht="18" customHeight="1">
      <c r="B43" s="945" t="s">
        <v>1400</v>
      </c>
      <c r="C43" s="971" t="str">
        <f>IF(AND(IsIig,'Project Overview'!$AL$80="Yes"),"P","O")</f>
        <v>P</v>
      </c>
      <c r="D43" s="1486"/>
      <c r="E43" s="1486"/>
      <c r="F43" s="1486"/>
      <c r="G43" s="1486"/>
      <c r="H43" s="1486"/>
      <c r="I43" s="1486"/>
      <c r="J43" s="1486"/>
      <c r="K43" s="1486"/>
      <c r="L43" s="1486"/>
      <c r="M43" s="1486"/>
      <c r="N43" s="1486"/>
      <c r="O43" s="1486"/>
      <c r="P43" s="1486"/>
      <c r="Q43" s="1486"/>
      <c r="R43" s="1486"/>
      <c r="S43" s="1486"/>
      <c r="T43" s="1486"/>
      <c r="U43" s="1486"/>
      <c r="V43" s="1486"/>
      <c r="W43" s="1486"/>
      <c r="X43" s="1486"/>
      <c r="Y43" s="1486"/>
      <c r="Z43" s="1486"/>
      <c r="AA43" s="1486"/>
      <c r="AB43" s="1486"/>
      <c r="AC43" s="1486"/>
      <c r="AD43" s="1486"/>
      <c r="AE43" s="1486"/>
      <c r="AF43" s="1486"/>
      <c r="AG43" s="1486"/>
      <c r="AH43" s="1486"/>
      <c r="AI43" s="1486"/>
      <c r="AJ43" s="1486"/>
      <c r="AK43" s="1486"/>
      <c r="AL43" s="1486"/>
      <c r="AM43" s="1486"/>
      <c r="AN43" s="1486"/>
      <c r="AO43" s="1486"/>
      <c r="AP43" s="1486"/>
    </row>
  </sheetData>
  <mergeCells count="54">
    <mergeCell ref="B2:AM2"/>
    <mergeCell ref="B4:AM4"/>
    <mergeCell ref="B5:D5"/>
    <mergeCell ref="C7:O7"/>
    <mergeCell ref="P7:Q7"/>
    <mergeCell ref="AL31:AM31"/>
    <mergeCell ref="F31:AK31"/>
    <mergeCell ref="F29:N29"/>
    <mergeCell ref="O29:P29"/>
    <mergeCell ref="R29:V29"/>
    <mergeCell ref="W29:X29"/>
    <mergeCell ref="F30:AK30"/>
    <mergeCell ref="B32:D32"/>
    <mergeCell ref="E32:K32"/>
    <mergeCell ref="L32:AE32"/>
    <mergeCell ref="AF32:AK32"/>
    <mergeCell ref="AL32:AM32"/>
    <mergeCell ref="B36:D36"/>
    <mergeCell ref="AF36:AK36"/>
    <mergeCell ref="AL36:AM36"/>
    <mergeCell ref="E36:L36"/>
    <mergeCell ref="M36:AE36"/>
    <mergeCell ref="U8:V8"/>
    <mergeCell ref="D9:AK9"/>
    <mergeCell ref="AL9:AM9"/>
    <mergeCell ref="AD12:AE12"/>
    <mergeCell ref="D8:T8"/>
    <mergeCell ref="D10:Y10"/>
    <mergeCell ref="Z10:AB10"/>
    <mergeCell ref="F12:AC12"/>
    <mergeCell ref="W26:Y26"/>
    <mergeCell ref="F27:AK27"/>
    <mergeCell ref="AL27:AM27"/>
    <mergeCell ref="AL30:AM30"/>
    <mergeCell ref="E19:AJ19"/>
    <mergeCell ref="AK19:AL19"/>
    <mergeCell ref="E20:AJ20"/>
    <mergeCell ref="AK20:AL20"/>
    <mergeCell ref="C22:U22"/>
    <mergeCell ref="V22:W22"/>
    <mergeCell ref="F28:AH28"/>
    <mergeCell ref="D24:AL24"/>
    <mergeCell ref="F26:V26"/>
    <mergeCell ref="E38:AK38"/>
    <mergeCell ref="AL38:AM38"/>
    <mergeCell ref="E39:AK39"/>
    <mergeCell ref="AL39:AM39"/>
    <mergeCell ref="E34:AM34"/>
    <mergeCell ref="E35:AM35"/>
    <mergeCell ref="E16:L16"/>
    <mergeCell ref="F17:AJ17"/>
    <mergeCell ref="AK17:AL17"/>
    <mergeCell ref="AE18:AF18"/>
    <mergeCell ref="F18:AD18"/>
  </mergeCells>
  <conditionalFormatting sqref="P7:Q7">
    <cfRule type="cellIs" dxfId="245" priority="40" operator="equal">
      <formula>"No"</formula>
    </cfRule>
    <cfRule type="cellIs" dxfId="244" priority="41" operator="equal">
      <formula>"Yes"</formula>
    </cfRule>
  </conditionalFormatting>
  <conditionalFormatting sqref="V22:W22">
    <cfRule type="cellIs" dxfId="243" priority="38" operator="equal">
      <formula>"No"</formula>
    </cfRule>
    <cfRule type="cellIs" dxfId="242" priority="39" operator="equal">
      <formula>"Yes"</formula>
    </cfRule>
  </conditionalFormatting>
  <conditionalFormatting sqref="D23">
    <cfRule type="cellIs" dxfId="241" priority="37" operator="equal">
      <formula>"O"</formula>
    </cfRule>
  </conditionalFormatting>
  <conditionalFormatting sqref="E25">
    <cfRule type="cellIs" dxfId="240" priority="36" operator="equal">
      <formula>"O"</formula>
    </cfRule>
  </conditionalFormatting>
  <conditionalFormatting sqref="AI28">
    <cfRule type="cellIs" dxfId="239" priority="35" operator="equal">
      <formula>"O"</formula>
    </cfRule>
  </conditionalFormatting>
  <conditionalFormatting sqref="AL30:AM30">
    <cfRule type="cellIs" dxfId="238" priority="33" operator="equal">
      <formula>"No"</formula>
    </cfRule>
    <cfRule type="cellIs" dxfId="237" priority="34" operator="equal">
      <formula>"Yes"</formula>
    </cfRule>
  </conditionalFormatting>
  <conditionalFormatting sqref="AL32">
    <cfRule type="cellIs" dxfId="236" priority="32" operator="equal">
      <formula>"No"</formula>
    </cfRule>
  </conditionalFormatting>
  <conditionalFormatting sqref="E26">
    <cfRule type="cellIs" dxfId="235" priority="29" operator="equal">
      <formula>"O"</formula>
    </cfRule>
  </conditionalFormatting>
  <conditionalFormatting sqref="AL27:AM27">
    <cfRule type="cellIs" dxfId="234" priority="27" operator="equal">
      <formula>"No"</formula>
    </cfRule>
    <cfRule type="cellIs" dxfId="233" priority="28" operator="equal">
      <formula>"Yes"</formula>
    </cfRule>
  </conditionalFormatting>
  <conditionalFormatting sqref="E33">
    <cfRule type="cellIs" dxfId="232" priority="26" operator="equal">
      <formula>"O"</formula>
    </cfRule>
  </conditionalFormatting>
  <conditionalFormatting sqref="AL36">
    <cfRule type="cellIs" dxfId="231" priority="25" operator="equal">
      <formula>"No"</formula>
    </cfRule>
  </conditionalFormatting>
  <conditionalFormatting sqref="E37">
    <cfRule type="cellIs" dxfId="230" priority="24" operator="equal">
      <formula>"O"</formula>
    </cfRule>
  </conditionalFormatting>
  <conditionalFormatting sqref="AL38:AM38">
    <cfRule type="cellIs" dxfId="229" priority="22" operator="equal">
      <formula>"No"</formula>
    </cfRule>
    <cfRule type="cellIs" dxfId="228" priority="23" operator="equal">
      <formula>"Yes"</formula>
    </cfRule>
  </conditionalFormatting>
  <conditionalFormatting sqref="AL39:AM39">
    <cfRule type="cellIs" dxfId="227" priority="20" operator="equal">
      <formula>"No"</formula>
    </cfRule>
    <cfRule type="cellIs" dxfId="226" priority="21" operator="equal">
      <formula>"Yes"</formula>
    </cfRule>
  </conditionalFormatting>
  <conditionalFormatting sqref="D40">
    <cfRule type="cellIs" dxfId="225" priority="19" operator="equal">
      <formula>"O"</formula>
    </cfRule>
  </conditionalFormatting>
  <conditionalFormatting sqref="D41">
    <cfRule type="cellIs" dxfId="224" priority="18" operator="equal">
      <formula>"O"</formula>
    </cfRule>
  </conditionalFormatting>
  <conditionalFormatting sqref="F11">
    <cfRule type="cellIs" dxfId="223" priority="17" operator="equal">
      <formula>"O"</formula>
    </cfRule>
  </conditionalFormatting>
  <conditionalFormatting sqref="AD12:AE12">
    <cfRule type="cellIs" dxfId="222" priority="15" operator="equal">
      <formula>"No"</formula>
    </cfRule>
    <cfRule type="cellIs" dxfId="221" priority="16" operator="equal">
      <formula>"Yes"</formula>
    </cfRule>
  </conditionalFormatting>
  <conditionalFormatting sqref="D13">
    <cfRule type="cellIs" dxfId="220" priority="14" operator="equal">
      <formula>"O"</formula>
    </cfRule>
  </conditionalFormatting>
  <conditionalFormatting sqref="D14">
    <cfRule type="cellIs" dxfId="219" priority="13" operator="equal">
      <formula>"O"</formula>
    </cfRule>
  </conditionalFormatting>
  <conditionalFormatting sqref="E15">
    <cfRule type="cellIs" dxfId="218" priority="12" operator="equal">
      <formula>"O"</formula>
    </cfRule>
  </conditionalFormatting>
  <conditionalFormatting sqref="AE18:AF18">
    <cfRule type="cellIs" dxfId="217" priority="6" operator="equal">
      <formula>"No"</formula>
    </cfRule>
    <cfRule type="cellIs" dxfId="216" priority="7" operator="equal">
      <formula>"Yes"</formula>
    </cfRule>
  </conditionalFormatting>
  <conditionalFormatting sqref="AK17:AL17">
    <cfRule type="cellIs" dxfId="215" priority="8" operator="equal">
      <formula>"No"</formula>
    </cfRule>
    <cfRule type="cellIs" dxfId="214" priority="9" operator="equal">
      <formula>"Yes"</formula>
    </cfRule>
  </conditionalFormatting>
  <conditionalFormatting sqref="AK20:AL20">
    <cfRule type="cellIs" dxfId="213" priority="2" operator="equal">
      <formula>"No"</formula>
    </cfRule>
    <cfRule type="cellIs" dxfId="212" priority="3" operator="equal">
      <formula>"Yes"</formula>
    </cfRule>
  </conditionalFormatting>
  <conditionalFormatting sqref="AK19:AL19">
    <cfRule type="cellIs" dxfId="211" priority="4" operator="equal">
      <formula>"No"</formula>
    </cfRule>
    <cfRule type="cellIs" dxfId="210" priority="5" operator="equal">
      <formula>"Yes"</formula>
    </cfRule>
  </conditionalFormatting>
  <conditionalFormatting sqref="C43">
    <cfRule type="cellIs" dxfId="209" priority="1" operator="equal">
      <formula>"O"</formula>
    </cfRule>
  </conditionalFormatting>
  <dataValidations count="4">
    <dataValidation type="list" allowBlank="1" showInputMessage="1" showErrorMessage="1" sqref="P7:Q7 V22:W22 AL32 AL30:AM30 AL27:AM27 AL36 AL38:AM39 AD12:AE12 AE18:AF18 AK17:AL17 AK19:AL20" xr:uid="{6333CD94-5238-4F44-B7EF-65EBBE7E0DB7}">
      <formula1>"Yes,No,N/A"</formula1>
    </dataValidation>
    <dataValidation type="list" allowBlank="1" showInputMessage="1" showErrorMessage="1" sqref="O29:P29 AL31:AM31 U8:V8 AL9:AM9" xr:uid="{225475C1-DB4E-482C-9FB6-F4866044A4EE}">
      <formula1>"Yes,No"</formula1>
    </dataValidation>
    <dataValidation type="list" allowBlank="1" showInputMessage="1" showErrorMessage="1" sqref="AL32:AM32 AL36:AM36" xr:uid="{88593858-7F0E-4C71-8DFF-8A8B422C1286}">
      <formula1>"Yes, No, N/A"</formula1>
    </dataValidation>
    <dataValidation type="list" allowBlank="1" showInputMessage="1" showErrorMessage="1" sqref="E35:AM35" xr:uid="{3EF64642-EEF9-4FFD-8B31-A6DA27909C5A}">
      <formula1>$AP$32:$AP$35</formula1>
    </dataValidation>
  </dataValidations>
  <pageMargins left="0.7" right="0.7" top="0.75" bottom="0.75" header="0.3" footer="0.3"/>
  <pageSetup orientation="portrait" r:id="rId1"/>
  <ignoredErrors>
    <ignoredError sqref="D28 D33:D34 D25:D26 D37:D39 D11 D15:D16 D19:D20" numberStoredAsText="1"/>
  </ignoredError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Scoring">
    <tabColor theme="9"/>
  </sheetPr>
  <dimension ref="A1:CB410"/>
  <sheetViews>
    <sheetView showGridLines="0" zoomScaleNormal="100" zoomScaleSheetLayoutView="100" workbookViewId="0">
      <selection activeCell="AK10" sqref="AK10:AM10"/>
    </sheetView>
  </sheetViews>
  <sheetFormatPr defaultColWidth="10" defaultRowHeight="18" customHeight="1"/>
  <cols>
    <col min="1" max="1" width="6.6640625" style="359" customWidth="1"/>
    <col min="2" max="39" width="4.109375" style="359" customWidth="1"/>
    <col min="40" max="40" width="10.6640625" style="555" customWidth="1"/>
    <col min="41" max="41" width="11" style="359" customWidth="1"/>
    <col min="42" max="42" width="16.5546875" style="1058" customWidth="1"/>
    <col min="43" max="43" width="13.109375" style="555" customWidth="1"/>
    <col min="44" max="44" width="11.109375" style="1135" customWidth="1"/>
    <col min="45" max="45" width="19" style="1159" customWidth="1"/>
    <col min="46" max="46" width="27.109375" style="359" customWidth="1"/>
    <col min="47" max="47" width="15.88671875" style="359" customWidth="1"/>
    <col min="48" max="48" width="38.6640625" style="359" customWidth="1"/>
    <col min="49" max="51" width="10.6640625" style="359" customWidth="1"/>
    <col min="52" max="445" width="10" style="359" customWidth="1"/>
    <col min="446" max="16384" width="10" style="359"/>
  </cols>
  <sheetData>
    <row r="1" spans="1:52" ht="18" customHeight="1">
      <c r="A1" s="1058"/>
      <c r="B1" s="462"/>
      <c r="C1" s="462"/>
      <c r="D1" s="462"/>
      <c r="E1" s="462"/>
      <c r="F1" s="462"/>
      <c r="G1" s="462"/>
      <c r="H1" s="462"/>
      <c r="I1" s="462"/>
      <c r="J1" s="462"/>
      <c r="K1" s="462"/>
      <c r="L1" s="462"/>
      <c r="M1" s="462"/>
      <c r="N1" s="462"/>
      <c r="O1" s="462"/>
      <c r="P1" s="462"/>
      <c r="Q1" s="462"/>
      <c r="R1" s="462"/>
      <c r="S1" s="462"/>
      <c r="T1" s="462"/>
      <c r="U1" s="462"/>
      <c r="V1" s="462"/>
      <c r="W1" s="462"/>
      <c r="X1" s="462"/>
      <c r="Y1" s="462"/>
      <c r="Z1" s="462"/>
      <c r="AA1" s="462"/>
      <c r="AB1" s="462"/>
      <c r="AC1" s="462"/>
      <c r="AD1" s="462"/>
      <c r="AE1" s="462"/>
      <c r="AF1" s="462"/>
      <c r="AG1" s="462"/>
      <c r="AH1" s="462"/>
      <c r="AI1" s="462"/>
      <c r="AJ1" s="462"/>
      <c r="AK1" s="462"/>
      <c r="AL1" s="462"/>
      <c r="AM1" s="462"/>
      <c r="AN1" s="1448"/>
      <c r="AO1" s="1058"/>
      <c r="AQ1" s="1448"/>
      <c r="AR1" s="1448"/>
      <c r="AS1" s="1448"/>
      <c r="AT1" s="1058"/>
      <c r="AU1" s="1058"/>
      <c r="AV1" s="1058"/>
      <c r="AW1" s="1058"/>
      <c r="AX1" s="1058"/>
      <c r="AY1" s="1058"/>
      <c r="AZ1" s="1058"/>
    </row>
    <row r="2" spans="1:52" ht="18" customHeight="1" thickBot="1">
      <c r="A2" s="1058"/>
      <c r="B2" s="3968" t="s">
        <v>1543</v>
      </c>
      <c r="C2" s="3968"/>
      <c r="D2" s="3968"/>
      <c r="E2" s="3968"/>
      <c r="F2" s="3969" t="s">
        <v>1544</v>
      </c>
      <c r="G2" s="3969"/>
      <c r="H2" s="3969"/>
      <c r="I2" s="1058"/>
      <c r="J2" s="1058"/>
      <c r="K2" s="634"/>
      <c r="L2" s="1058"/>
      <c r="M2" s="1058"/>
      <c r="N2" s="1058"/>
      <c r="O2" s="634"/>
      <c r="P2" s="634"/>
      <c r="Q2" s="634"/>
      <c r="R2" s="634"/>
      <c r="S2" s="462"/>
      <c r="T2" s="462"/>
      <c r="U2" s="462"/>
      <c r="V2" s="462"/>
      <c r="W2" s="634"/>
      <c r="X2" s="634"/>
      <c r="Y2" s="634"/>
      <c r="Z2" s="634"/>
      <c r="AA2" s="634"/>
      <c r="AB2" s="634"/>
      <c r="AC2" s="634"/>
      <c r="AD2" s="634"/>
      <c r="AE2" s="634"/>
      <c r="AF2" s="634"/>
      <c r="AG2" s="1058"/>
      <c r="AH2" s="1058"/>
      <c r="AI2" s="1058"/>
      <c r="AJ2" s="1058"/>
      <c r="AK2" s="1058"/>
      <c r="AL2" s="1058"/>
      <c r="AM2" s="1058"/>
      <c r="AN2" s="1472"/>
      <c r="AO2" s="438"/>
      <c r="AQ2" s="1448"/>
      <c r="AR2" s="1448"/>
      <c r="AS2" s="1448"/>
      <c r="AT2" s="1058"/>
      <c r="AU2" s="1058"/>
      <c r="AV2" s="1058"/>
      <c r="AW2" s="1058"/>
      <c r="AX2" s="1058"/>
      <c r="AY2" s="1058"/>
      <c r="AZ2" s="360"/>
    </row>
    <row r="3" spans="1:52" ht="18" customHeight="1" thickTop="1" thickBot="1">
      <c r="A3" s="1058"/>
      <c r="B3" s="4260" t="s">
        <v>589</v>
      </c>
      <c r="C3" s="4260"/>
      <c r="D3" s="4260"/>
      <c r="E3" s="4260"/>
      <c r="F3" s="721"/>
      <c r="G3" s="721"/>
      <c r="H3" s="634"/>
      <c r="I3" s="634"/>
      <c r="J3" s="634"/>
      <c r="K3" s="634"/>
      <c r="L3" s="634"/>
      <c r="M3" s="634"/>
      <c r="N3" s="634"/>
      <c r="O3" s="634"/>
      <c r="P3" s="634"/>
      <c r="Q3" s="634"/>
      <c r="R3" s="634"/>
      <c r="S3" s="1558"/>
      <c r="T3" s="1558"/>
      <c r="U3" s="1186"/>
      <c r="V3" s="1186"/>
      <c r="W3" s="1187"/>
      <c r="X3" s="1187"/>
      <c r="Y3" s="3955" t="s">
        <v>1545</v>
      </c>
      <c r="Z3" s="3955"/>
      <c r="AA3" s="3955"/>
      <c r="AB3" s="3955"/>
      <c r="AC3" s="3955"/>
      <c r="AD3" s="3955"/>
      <c r="AE3" s="3955"/>
      <c r="AF3" s="3955"/>
      <c r="AG3" s="3955"/>
      <c r="AH3" s="3955"/>
      <c r="AI3" s="3955"/>
      <c r="AJ3" s="3956"/>
      <c r="AK3" s="3954">
        <f>SUM($AL$24,$AL$56,$AL$72,$AL$152,$AL$201,$AL$265)</f>
        <v>25</v>
      </c>
      <c r="AL3" s="3954"/>
      <c r="AM3" s="3954"/>
      <c r="AN3" s="1472"/>
      <c r="AO3" s="438"/>
      <c r="AQ3" s="1448"/>
      <c r="AR3" s="1448"/>
      <c r="AS3" s="1448"/>
      <c r="AT3" s="1058"/>
      <c r="AU3" s="1058"/>
      <c r="AV3" s="1058"/>
      <c r="AW3" s="1058"/>
      <c r="AX3" s="1058"/>
      <c r="AY3" s="1058"/>
      <c r="AZ3" s="360"/>
    </row>
    <row r="4" spans="1:52" s="1058" customFormat="1" ht="18" hidden="1" customHeight="1" thickTop="1" thickBot="1">
      <c r="F4" s="721"/>
      <c r="G4" s="721"/>
      <c r="H4" s="634"/>
      <c r="I4" s="634"/>
      <c r="J4" s="634"/>
      <c r="K4" s="634"/>
      <c r="L4" s="634"/>
      <c r="M4" s="634"/>
      <c r="N4" s="634"/>
      <c r="O4" s="634"/>
      <c r="P4" s="634"/>
      <c r="Q4" s="634"/>
      <c r="R4" s="634"/>
      <c r="S4" s="1558"/>
      <c r="T4" s="1558"/>
      <c r="U4" s="1186"/>
      <c r="V4" s="1186"/>
      <c r="W4" s="1187"/>
      <c r="X4" s="1187"/>
      <c r="Y4" s="3955" t="s">
        <v>1546</v>
      </c>
      <c r="Z4" s="3955"/>
      <c r="AA4" s="3955"/>
      <c r="AB4" s="3955"/>
      <c r="AC4" s="3955"/>
      <c r="AD4" s="3955"/>
      <c r="AE4" s="3955"/>
      <c r="AF4" s="3955"/>
      <c r="AG4" s="3955"/>
      <c r="AH4" s="3955"/>
      <c r="AI4" s="3955"/>
      <c r="AJ4" s="3956"/>
      <c r="AK4" s="3990">
        <f>IF(IsVhhp,$AL$276,0)</f>
        <v>0</v>
      </c>
      <c r="AL4" s="3991"/>
      <c r="AM4" s="3992"/>
      <c r="AN4" s="1472"/>
      <c r="AO4" s="438"/>
      <c r="AQ4" s="1448"/>
      <c r="AR4" s="1448"/>
      <c r="AS4" s="1448"/>
      <c r="AZ4" s="360"/>
    </row>
    <row r="5" spans="1:52" s="1058" customFormat="1" ht="18" customHeight="1" thickTop="1" thickBot="1">
      <c r="F5" s="721"/>
      <c r="G5" s="721"/>
      <c r="H5" s="634"/>
      <c r="I5" s="634"/>
      <c r="J5" s="634"/>
      <c r="K5" s="634"/>
      <c r="L5" s="634"/>
      <c r="M5" s="634"/>
      <c r="N5" s="634"/>
      <c r="O5" s="634"/>
      <c r="P5" s="634"/>
      <c r="Q5" s="634"/>
      <c r="R5" s="634"/>
      <c r="S5" s="1558"/>
      <c r="T5" s="1558"/>
      <c r="U5" s="1186"/>
      <c r="V5" s="1186"/>
      <c r="W5" s="1187"/>
      <c r="X5" s="1187"/>
      <c r="Y5" s="3955" t="s">
        <v>1547</v>
      </c>
      <c r="Z5" s="3955"/>
      <c r="AA5" s="3955"/>
      <c r="AB5" s="3955"/>
      <c r="AC5" s="3955"/>
      <c r="AD5" s="3955"/>
      <c r="AE5" s="3955"/>
      <c r="AF5" s="3955"/>
      <c r="AG5" s="3955"/>
      <c r="AH5" s="3955"/>
      <c r="AI5" s="3955"/>
      <c r="AJ5" s="3956"/>
      <c r="AK5" s="3990">
        <f>IF(IsIig,AL354,0)</f>
        <v>10</v>
      </c>
      <c r="AL5" s="3991"/>
      <c r="AM5" s="3992"/>
      <c r="AN5" s="1472"/>
      <c r="AO5" s="438"/>
      <c r="AQ5" s="1448"/>
      <c r="AR5" s="1448"/>
      <c r="AS5" s="1448"/>
      <c r="AZ5" s="360"/>
    </row>
    <row r="6" spans="1:52" s="1058" customFormat="1" ht="18" customHeight="1" thickTop="1" thickBot="1">
      <c r="F6" s="721"/>
      <c r="G6" s="721"/>
      <c r="H6" s="634"/>
      <c r="I6" s="634"/>
      <c r="J6" s="634"/>
      <c r="K6" s="634"/>
      <c r="L6" s="634"/>
      <c r="M6" s="634"/>
      <c r="N6" s="634"/>
      <c r="O6" s="634"/>
      <c r="P6" s="634"/>
      <c r="Q6" s="634"/>
      <c r="R6" s="634"/>
      <c r="S6" s="1558"/>
      <c r="T6" s="1558"/>
      <c r="U6" s="1186"/>
      <c r="V6" s="1186"/>
      <c r="W6" s="1187"/>
      <c r="X6" s="1187"/>
      <c r="Y6" s="3955" t="s">
        <v>1548</v>
      </c>
      <c r="Z6" s="3955"/>
      <c r="AA6" s="3955"/>
      <c r="AB6" s="3955"/>
      <c r="AC6" s="3955"/>
      <c r="AD6" s="3955"/>
      <c r="AE6" s="3955"/>
      <c r="AF6" s="3955"/>
      <c r="AG6" s="3955"/>
      <c r="AH6" s="3955"/>
      <c r="AI6" s="3955"/>
      <c r="AJ6" s="3956"/>
      <c r="AK6" s="3990">
        <f>IF(IsSerna,$AL$346,0)</f>
        <v>3</v>
      </c>
      <c r="AL6" s="3991"/>
      <c r="AM6" s="3992"/>
      <c r="AN6" s="1472"/>
      <c r="AO6" s="438"/>
      <c r="AQ6" s="1448"/>
      <c r="AR6" s="1448"/>
      <c r="AS6" s="1448"/>
      <c r="AZ6" s="360"/>
    </row>
    <row r="7" spans="1:52" s="1058" customFormat="1" ht="18" customHeight="1" thickTop="1" thickBot="1">
      <c r="F7" s="721"/>
      <c r="G7" s="721"/>
      <c r="H7" s="634"/>
      <c r="I7" s="634"/>
      <c r="J7" s="634"/>
      <c r="K7" s="634"/>
      <c r="L7" s="634"/>
      <c r="M7" s="634"/>
      <c r="N7" s="634"/>
      <c r="O7" s="634"/>
      <c r="P7" s="634"/>
      <c r="Q7" s="634"/>
      <c r="R7" s="634"/>
      <c r="S7" s="1558"/>
      <c r="T7" s="1558"/>
      <c r="U7" s="3955" t="s">
        <v>1549</v>
      </c>
      <c r="V7" s="3955"/>
      <c r="W7" s="3955"/>
      <c r="X7" s="3955"/>
      <c r="Y7" s="3955"/>
      <c r="Z7" s="3955"/>
      <c r="AA7" s="3955"/>
      <c r="AB7" s="3955"/>
      <c r="AC7" s="3955"/>
      <c r="AD7" s="3955"/>
      <c r="AE7" s="3955"/>
      <c r="AF7" s="3955"/>
      <c r="AG7" s="3955"/>
      <c r="AH7" s="3955"/>
      <c r="AI7" s="3955"/>
      <c r="AJ7" s="3956"/>
      <c r="AK7" s="3954">
        <f>MIN(SUM(AK3,MIN(SUM(AK4:AM6),40)),155)</f>
        <v>38</v>
      </c>
      <c r="AL7" s="3954"/>
      <c r="AM7" s="3954"/>
      <c r="AN7" s="1472"/>
      <c r="AO7" s="438"/>
      <c r="AQ7" s="1448"/>
      <c r="AR7" s="1448"/>
      <c r="AS7" s="1448"/>
      <c r="AZ7" s="360"/>
    </row>
    <row r="8" spans="1:52" s="360" customFormat="1" ht="18" customHeight="1" thickTop="1" thickBot="1">
      <c r="F8" s="649"/>
      <c r="G8" s="649"/>
      <c r="H8" s="650"/>
      <c r="I8" s="650"/>
      <c r="J8" s="650"/>
      <c r="K8" s="650"/>
      <c r="L8" s="650"/>
      <c r="M8" s="650"/>
      <c r="N8" s="650"/>
      <c r="O8" s="650"/>
      <c r="P8" s="650"/>
      <c r="Q8" s="650"/>
      <c r="R8" s="650"/>
      <c r="S8" s="651"/>
      <c r="T8" s="651"/>
      <c r="U8" s="1188"/>
      <c r="V8" s="1188"/>
      <c r="W8" s="1189"/>
      <c r="X8" s="1189"/>
      <c r="Y8" s="1189"/>
      <c r="Z8" s="1189"/>
      <c r="AA8" s="1189"/>
      <c r="AB8" s="1189"/>
      <c r="AC8" s="3955" t="s">
        <v>1550</v>
      </c>
      <c r="AD8" s="3955"/>
      <c r="AE8" s="3955"/>
      <c r="AF8" s="3955"/>
      <c r="AG8" s="3955"/>
      <c r="AH8" s="3955"/>
      <c r="AI8" s="3955"/>
      <c r="AJ8" s="3956"/>
      <c r="AK8" s="3954">
        <f>IF(OR(IsMhp,IsVhhp,IsSerna,IsIig),115)+IF(OR(IsVhhp,IsSerna,IsIig),40,0)</f>
        <v>155</v>
      </c>
      <c r="AL8" s="3954"/>
      <c r="AM8" s="3954"/>
      <c r="AN8" s="1472"/>
      <c r="AO8" s="450"/>
      <c r="AQ8" s="1472"/>
      <c r="AR8" s="1472"/>
      <c r="AS8" s="1472"/>
    </row>
    <row r="9" spans="1:52" s="360" customFormat="1" ht="18" customHeight="1" thickTop="1" thickBot="1">
      <c r="B9" s="648"/>
      <c r="C9" s="648"/>
      <c r="D9" s="648"/>
      <c r="E9" s="648"/>
      <c r="F9" s="649"/>
      <c r="G9" s="649"/>
      <c r="H9" s="650"/>
      <c r="I9" s="650"/>
      <c r="J9" s="650"/>
      <c r="K9" s="650"/>
      <c r="L9" s="650"/>
      <c r="M9" s="650"/>
      <c r="N9" s="650"/>
      <c r="O9" s="650"/>
      <c r="P9" s="650"/>
      <c r="Q9" s="650"/>
      <c r="R9" s="650"/>
      <c r="S9" s="651"/>
      <c r="T9" s="651"/>
      <c r="U9" s="1188"/>
      <c r="V9" s="1188"/>
      <c r="W9" s="1189"/>
      <c r="X9" s="1189"/>
      <c r="Y9" s="1189"/>
      <c r="Z9" s="1189"/>
      <c r="AA9" s="1189"/>
      <c r="AB9" s="1189"/>
      <c r="AC9" s="3955" t="s">
        <v>1551</v>
      </c>
      <c r="AD9" s="3955"/>
      <c r="AE9" s="3955"/>
      <c r="AF9" s="3955"/>
      <c r="AG9" s="3955"/>
      <c r="AH9" s="3955"/>
      <c r="AI9" s="3955"/>
      <c r="AJ9" s="3956"/>
      <c r="AK9" s="3954">
        <f>IFERROR($AK$7/$AK$8,0)</f>
        <v>0.24516129032258063</v>
      </c>
      <c r="AL9" s="3954"/>
      <c r="AM9" s="3954"/>
      <c r="AN9" s="1472"/>
      <c r="AO9" s="450"/>
      <c r="AQ9" s="1472"/>
      <c r="AR9" s="1472"/>
      <c r="AS9" s="1472"/>
    </row>
    <row r="10" spans="1:52" s="360" customFormat="1" ht="18" customHeight="1" thickTop="1" thickBot="1">
      <c r="G10" s="703"/>
      <c r="H10" s="703"/>
      <c r="L10" s="650"/>
      <c r="M10" s="650"/>
      <c r="N10" s="650"/>
      <c r="O10" s="650"/>
      <c r="P10" s="650"/>
      <c r="Q10" s="650"/>
      <c r="R10" s="650"/>
      <c r="S10" s="651"/>
      <c r="T10" s="651"/>
      <c r="U10" s="651"/>
      <c r="V10" s="651"/>
      <c r="W10" s="650"/>
      <c r="X10" s="650"/>
      <c r="Y10" s="650"/>
      <c r="Z10" s="650"/>
      <c r="AA10" s="650"/>
      <c r="AB10" s="650"/>
      <c r="AC10" s="650"/>
      <c r="AD10" s="650"/>
      <c r="AE10" s="3955" t="s">
        <v>4130</v>
      </c>
      <c r="AF10" s="3955"/>
      <c r="AG10" s="3955"/>
      <c r="AH10" s="3955"/>
      <c r="AI10" s="3955"/>
      <c r="AJ10" s="3956"/>
      <c r="AK10" s="3954">
        <f>AJ402</f>
        <v>4.0664054806542317E-2</v>
      </c>
      <c r="AL10" s="3954"/>
      <c r="AM10" s="3954"/>
      <c r="AN10" s="1472"/>
      <c r="AO10" s="450"/>
      <c r="AQ10" s="1472"/>
      <c r="AR10" s="1472"/>
      <c r="AS10" s="1472"/>
    </row>
    <row r="11" spans="1:52" s="360" customFormat="1" ht="18" customHeight="1" thickTop="1">
      <c r="B11" s="648"/>
      <c r="C11" s="648"/>
      <c r="D11" s="648"/>
      <c r="E11" s="648"/>
      <c r="F11" s="649"/>
      <c r="G11" s="649"/>
      <c r="H11" s="650"/>
      <c r="I11" s="650"/>
      <c r="J11" s="650"/>
      <c r="K11" s="650"/>
      <c r="L11" s="650"/>
      <c r="M11" s="650"/>
      <c r="N11" s="650"/>
      <c r="O11" s="650"/>
      <c r="P11" s="650"/>
      <c r="Q11" s="650"/>
      <c r="R11" s="650"/>
      <c r="S11" s="651"/>
      <c r="T11" s="651"/>
      <c r="U11" s="651"/>
      <c r="V11" s="651"/>
      <c r="W11" s="650"/>
      <c r="X11" s="650"/>
      <c r="Y11" s="650"/>
      <c r="Z11" s="650"/>
      <c r="AA11" s="650"/>
      <c r="AB11" s="650"/>
      <c r="AC11" s="650"/>
      <c r="AD11" s="650"/>
      <c r="AE11" s="650"/>
      <c r="AF11" s="650"/>
      <c r="AG11" s="652"/>
      <c r="AH11" s="652"/>
      <c r="AI11" s="652"/>
      <c r="AJ11" s="652"/>
      <c r="AK11" s="653"/>
      <c r="AL11" s="653"/>
      <c r="AM11" s="653"/>
      <c r="AN11" s="1620"/>
      <c r="AO11" s="450"/>
      <c r="AQ11" s="1620"/>
      <c r="AR11" s="1620"/>
      <c r="AS11" s="1620"/>
    </row>
    <row r="12" spans="1:52" ht="54.75" customHeight="1">
      <c r="A12" s="1456"/>
      <c r="B12" s="3910" t="s">
        <v>1552</v>
      </c>
      <c r="C12" s="3910"/>
      <c r="D12" s="3910"/>
      <c r="E12" s="3910"/>
      <c r="F12" s="3910"/>
      <c r="G12" s="3910"/>
      <c r="H12" s="3910"/>
      <c r="I12" s="3910"/>
      <c r="J12" s="3910"/>
      <c r="K12" s="3910"/>
      <c r="L12" s="3910"/>
      <c r="M12" s="3910"/>
      <c r="N12" s="3910"/>
      <c r="O12" s="3910"/>
      <c r="P12" s="3910"/>
      <c r="Q12" s="3910"/>
      <c r="R12" s="3910"/>
      <c r="S12" s="3910"/>
      <c r="T12" s="3910"/>
      <c r="U12" s="3910"/>
      <c r="V12" s="3910"/>
      <c r="W12" s="3910"/>
      <c r="X12" s="3910"/>
      <c r="Y12" s="3910"/>
      <c r="Z12" s="3910"/>
      <c r="AA12" s="3910"/>
      <c r="AB12" s="3910"/>
      <c r="AC12" s="3910"/>
      <c r="AD12" s="3910"/>
      <c r="AE12" s="3910"/>
      <c r="AF12" s="3910"/>
      <c r="AG12" s="3910"/>
      <c r="AH12" s="3910"/>
      <c r="AI12" s="3910"/>
      <c r="AJ12" s="3910"/>
      <c r="AK12" s="3910"/>
      <c r="AL12" s="3910"/>
      <c r="AM12" s="3910"/>
      <c r="AN12" s="1473"/>
      <c r="AO12" s="438"/>
      <c r="AQ12" s="1448"/>
      <c r="AR12" s="1448"/>
      <c r="AS12" s="1448"/>
      <c r="AT12" s="1058"/>
      <c r="AU12" s="1058"/>
      <c r="AV12" s="1058"/>
      <c r="AW12" s="1058"/>
      <c r="AX12" s="1058"/>
      <c r="AY12" s="1058"/>
      <c r="AZ12" s="360"/>
    </row>
    <row r="13" spans="1:52" s="1058" customFormat="1" ht="18" customHeight="1">
      <c r="A13" s="1456"/>
      <c r="B13" s="1507"/>
      <c r="C13" s="1507"/>
      <c r="D13" s="1507"/>
      <c r="E13" s="1507"/>
      <c r="F13" s="1507"/>
      <c r="G13" s="1507"/>
      <c r="H13" s="1507"/>
      <c r="I13" s="1507"/>
      <c r="J13" s="1507"/>
      <c r="K13" s="1507"/>
      <c r="L13" s="1507"/>
      <c r="M13" s="1507"/>
      <c r="N13" s="1507"/>
      <c r="O13" s="1507"/>
      <c r="P13" s="1507"/>
      <c r="Q13" s="1507"/>
      <c r="R13" s="1507"/>
      <c r="S13" s="1507"/>
      <c r="T13" s="1507"/>
      <c r="U13" s="1507"/>
      <c r="V13" s="1507"/>
      <c r="W13" s="1507"/>
      <c r="X13" s="1507"/>
      <c r="Y13" s="1507"/>
      <c r="Z13" s="1507"/>
      <c r="AA13" s="1507"/>
      <c r="AB13" s="1507"/>
      <c r="AC13" s="1507"/>
      <c r="AD13" s="1507"/>
      <c r="AE13" s="1507"/>
      <c r="AF13" s="1507"/>
      <c r="AG13" s="1507"/>
      <c r="AH13" s="1507"/>
      <c r="AI13" s="1507"/>
      <c r="AJ13" s="1507"/>
      <c r="AK13" s="1507"/>
      <c r="AL13" s="1507"/>
      <c r="AM13" s="1507"/>
      <c r="AN13" s="1473"/>
      <c r="AO13" s="438"/>
      <c r="AQ13" s="1448"/>
      <c r="AR13" s="1448"/>
      <c r="AS13" s="1448"/>
      <c r="AZ13" s="360"/>
    </row>
    <row r="14" spans="1:52" s="1058" customFormat="1" ht="18" customHeight="1">
      <c r="A14" s="1456"/>
      <c r="B14" s="1184" t="s">
        <v>1553</v>
      </c>
      <c r="C14" s="4295" t="s">
        <v>1554</v>
      </c>
      <c r="D14" s="4295"/>
      <c r="E14" s="4295"/>
      <c r="F14" s="4295"/>
      <c r="G14" s="4295"/>
      <c r="H14" s="4295"/>
      <c r="I14" s="4295"/>
      <c r="J14" s="4295"/>
      <c r="K14" s="4295"/>
      <c r="L14" s="4295"/>
      <c r="M14" s="4295"/>
      <c r="N14" s="4295"/>
      <c r="O14" s="4295"/>
      <c r="P14" s="4295"/>
      <c r="Q14" s="4295"/>
      <c r="R14" s="4295"/>
      <c r="S14" s="4295"/>
      <c r="T14" s="4295"/>
      <c r="U14" s="4295"/>
      <c r="V14" s="4295"/>
      <c r="W14" s="4295"/>
      <c r="X14" s="4295"/>
      <c r="Y14" s="4295"/>
      <c r="Z14" s="4295"/>
      <c r="AA14" s="4295"/>
      <c r="AB14" s="4295"/>
      <c r="AC14" s="4295"/>
      <c r="AD14" s="4295"/>
      <c r="AE14" s="4295"/>
      <c r="AF14" s="4295"/>
      <c r="AG14" s="4295"/>
      <c r="AH14" s="4295"/>
      <c r="AI14" s="4295"/>
      <c r="AJ14" s="4295"/>
      <c r="AK14" s="4295"/>
      <c r="AL14" s="4295"/>
      <c r="AM14" s="4295"/>
      <c r="AN14" s="1473"/>
      <c r="AO14" s="438"/>
      <c r="AQ14" s="1448"/>
      <c r="AR14" s="1448"/>
      <c r="AS14" s="1448"/>
      <c r="AZ14" s="360"/>
    </row>
    <row r="15" spans="1:52" s="1058" customFormat="1" ht="18" customHeight="1">
      <c r="A15" s="1456"/>
      <c r="B15" s="1177"/>
      <c r="C15" s="1532"/>
      <c r="D15" s="1532"/>
      <c r="E15" s="1532"/>
      <c r="F15" s="1532"/>
      <c r="G15" s="1532"/>
      <c r="H15" s="1532"/>
      <c r="I15" s="1532"/>
      <c r="J15" s="1532"/>
      <c r="K15" s="1532"/>
      <c r="L15" s="1532"/>
      <c r="M15" s="1532"/>
      <c r="N15" s="1532"/>
      <c r="O15" s="1532"/>
      <c r="P15" s="1532"/>
      <c r="Q15" s="1532"/>
      <c r="R15" s="1532"/>
      <c r="S15" s="1532"/>
      <c r="T15" s="1532"/>
      <c r="U15" s="1532"/>
      <c r="V15" s="1532"/>
      <c r="W15" s="1532"/>
      <c r="X15" s="1532"/>
      <c r="Y15" s="1532"/>
      <c r="Z15" s="1532"/>
      <c r="AA15" s="1532"/>
      <c r="AB15" s="1532"/>
      <c r="AC15" s="1532"/>
      <c r="AD15" s="1532"/>
      <c r="AE15" s="1532"/>
      <c r="AF15" s="1532"/>
      <c r="AG15" s="1532"/>
      <c r="AH15" s="1532"/>
      <c r="AI15" s="1532"/>
      <c r="AJ15" s="1532"/>
      <c r="AK15" s="1532"/>
      <c r="AL15" s="1532"/>
      <c r="AM15" s="1532"/>
      <c r="AN15" s="1473"/>
      <c r="AO15" s="438"/>
      <c r="AQ15" s="1448"/>
      <c r="AR15" s="1448"/>
      <c r="AS15" s="1448"/>
      <c r="AZ15" s="360"/>
    </row>
    <row r="16" spans="1:52" s="1058" customFormat="1" ht="18" customHeight="1">
      <c r="A16" s="1456"/>
      <c r="B16" s="1181" t="s">
        <v>1397</v>
      </c>
      <c r="C16" s="4296" t="s">
        <v>1555</v>
      </c>
      <c r="D16" s="4296"/>
      <c r="E16" s="4296"/>
      <c r="F16" s="4296"/>
      <c r="G16" s="4296"/>
      <c r="H16" s="4296"/>
      <c r="I16" s="4296"/>
      <c r="J16" s="4296"/>
      <c r="K16" s="4296"/>
      <c r="L16" s="4296"/>
      <c r="M16" s="4296"/>
      <c r="N16" s="4296"/>
      <c r="O16" s="4296"/>
      <c r="P16" s="4296"/>
      <c r="Q16" s="4296"/>
      <c r="R16" s="4296"/>
      <c r="S16" s="4296"/>
      <c r="T16" s="4296"/>
      <c r="U16" s="4296"/>
      <c r="V16" s="4296"/>
      <c r="W16" s="4296"/>
      <c r="X16" s="4296"/>
      <c r="Y16" s="4296"/>
      <c r="Z16" s="4296"/>
      <c r="AA16" s="4296"/>
      <c r="AB16" s="4296"/>
      <c r="AC16" s="4296"/>
      <c r="AD16" s="4296"/>
      <c r="AE16" s="4296"/>
      <c r="AF16" s="4296"/>
      <c r="AG16" s="4296"/>
      <c r="AH16" s="4296"/>
      <c r="AI16" s="4296"/>
      <c r="AJ16" s="4296"/>
      <c r="AK16" s="4296"/>
      <c r="AL16" s="4296"/>
      <c r="AM16" s="4297"/>
      <c r="AN16" s="438"/>
      <c r="AP16" s="1448"/>
      <c r="AQ16" s="1448"/>
      <c r="AY16" s="360"/>
    </row>
    <row r="17" spans="1:52" s="1058" customFormat="1" ht="18" customHeight="1">
      <c r="A17" s="1456"/>
      <c r="B17" s="1525"/>
      <c r="C17" s="3910" t="s">
        <v>1556</v>
      </c>
      <c r="D17" s="3910"/>
      <c r="E17" s="3910"/>
      <c r="F17" s="3910"/>
      <c r="G17" s="3910"/>
      <c r="H17" s="3910"/>
      <c r="I17" s="3910"/>
      <c r="J17" s="3910"/>
      <c r="K17" s="3910"/>
      <c r="L17" s="3910"/>
      <c r="M17" s="3910"/>
      <c r="N17" s="3910"/>
      <c r="O17" s="3910"/>
      <c r="P17" s="3910"/>
      <c r="Q17" s="3910"/>
      <c r="R17" s="3910"/>
      <c r="S17" s="3910"/>
      <c r="T17" s="3910"/>
      <c r="U17" s="3910"/>
      <c r="V17" s="3910"/>
      <c r="W17" s="3910"/>
      <c r="X17" s="3910"/>
      <c r="Y17" s="3910"/>
      <c r="Z17" s="3910"/>
      <c r="AA17" s="3910"/>
      <c r="AB17" s="3910"/>
      <c r="AC17" s="3910"/>
      <c r="AD17" s="3910"/>
      <c r="AE17" s="3910"/>
      <c r="AF17" s="3910"/>
      <c r="AG17" s="3910"/>
      <c r="AH17" s="3910"/>
      <c r="AI17" s="3910"/>
      <c r="AJ17" s="3910"/>
      <c r="AK17" s="3910"/>
      <c r="AL17" s="3910"/>
      <c r="AM17" s="3917"/>
      <c r="AN17" s="438"/>
      <c r="AP17" s="1448"/>
      <c r="AQ17" s="1448"/>
      <c r="AY17" s="360"/>
    </row>
    <row r="18" spans="1:52" s="1058" customFormat="1" ht="18" customHeight="1">
      <c r="A18" s="1456"/>
      <c r="B18" s="1525"/>
      <c r="C18" s="1507"/>
      <c r="D18" s="1507"/>
      <c r="E18" s="1507"/>
      <c r="F18" s="1507"/>
      <c r="G18" s="1507"/>
      <c r="H18" s="1507"/>
      <c r="I18" s="1507"/>
      <c r="J18" s="1507"/>
      <c r="K18" s="1507"/>
      <c r="L18" s="1507"/>
      <c r="M18" s="1507"/>
      <c r="N18" s="1507"/>
      <c r="O18" s="1507"/>
      <c r="P18" s="1507"/>
      <c r="Q18" s="1507"/>
      <c r="R18" s="1507"/>
      <c r="S18" s="1507"/>
      <c r="T18" s="1507"/>
      <c r="U18" s="1507"/>
      <c r="V18" s="1507"/>
      <c r="W18" s="1507"/>
      <c r="X18" s="1507"/>
      <c r="Y18" s="1507"/>
      <c r="Z18" s="1507"/>
      <c r="AA18" s="1507"/>
      <c r="AB18" s="1507"/>
      <c r="AC18" s="1507"/>
      <c r="AD18" s="1507"/>
      <c r="AE18" s="1507"/>
      <c r="AF18" s="1507"/>
      <c r="AG18" s="1507"/>
      <c r="AH18" s="1507"/>
      <c r="AI18" s="1507"/>
      <c r="AJ18" s="1507"/>
      <c r="AK18" s="1507"/>
      <c r="AL18" s="1507"/>
      <c r="AM18" s="1178"/>
      <c r="AN18" s="438"/>
      <c r="AP18" s="1448"/>
      <c r="AQ18" s="1448"/>
      <c r="AY18" s="360"/>
    </row>
    <row r="19" spans="1:52" s="1058" customFormat="1" ht="18" customHeight="1">
      <c r="A19" s="1456"/>
      <c r="B19" s="1182" t="s">
        <v>1399</v>
      </c>
      <c r="C19" s="4298" t="s">
        <v>1557</v>
      </c>
      <c r="D19" s="4298"/>
      <c r="E19" s="4298"/>
      <c r="F19" s="4298"/>
      <c r="G19" s="4298"/>
      <c r="H19" s="4298"/>
      <c r="I19" s="4298"/>
      <c r="J19" s="4298"/>
      <c r="K19" s="4298"/>
      <c r="L19" s="4298"/>
      <c r="M19" s="4298"/>
      <c r="N19" s="4298"/>
      <c r="O19" s="4298"/>
      <c r="P19" s="4298"/>
      <c r="Q19" s="4298"/>
      <c r="R19" s="4298"/>
      <c r="S19" s="4298"/>
      <c r="T19" s="4298"/>
      <c r="U19" s="4298"/>
      <c r="V19" s="4298"/>
      <c r="W19" s="4298"/>
      <c r="X19" s="4298"/>
      <c r="Y19" s="4298"/>
      <c r="Z19" s="4298"/>
      <c r="AA19" s="4298"/>
      <c r="AB19" s="4298"/>
      <c r="AC19" s="4298"/>
      <c r="AD19" s="4298"/>
      <c r="AE19" s="4298"/>
      <c r="AF19" s="4298"/>
      <c r="AG19" s="4298"/>
      <c r="AH19" s="4298"/>
      <c r="AI19" s="4298"/>
      <c r="AJ19" s="4298"/>
      <c r="AK19" s="4298"/>
      <c r="AL19" s="4298"/>
      <c r="AM19" s="4299"/>
      <c r="AN19" s="438"/>
      <c r="AP19" s="1448"/>
      <c r="AQ19" s="1448"/>
      <c r="AY19" s="360"/>
    </row>
    <row r="20" spans="1:52" s="1058" customFormat="1" ht="18" customHeight="1">
      <c r="A20" s="1456"/>
      <c r="B20" s="1179"/>
      <c r="C20" s="3926" t="s">
        <v>1558</v>
      </c>
      <c r="D20" s="3926"/>
      <c r="E20" s="3926"/>
      <c r="F20" s="3926"/>
      <c r="G20" s="3926"/>
      <c r="H20" s="3926"/>
      <c r="I20" s="3926"/>
      <c r="J20" s="3926"/>
      <c r="K20" s="3926"/>
      <c r="L20" s="3926"/>
      <c r="M20" s="3926"/>
      <c r="N20" s="3926"/>
      <c r="O20" s="3926"/>
      <c r="P20" s="3926"/>
      <c r="Q20" s="3926"/>
      <c r="R20" s="3926"/>
      <c r="S20" s="3926"/>
      <c r="T20" s="3926"/>
      <c r="U20" s="3926"/>
      <c r="V20" s="3926"/>
      <c r="W20" s="3926"/>
      <c r="X20" s="3926"/>
      <c r="Y20" s="3926"/>
      <c r="Z20" s="3926"/>
      <c r="AA20" s="3926"/>
      <c r="AB20" s="3926"/>
      <c r="AC20" s="3926"/>
      <c r="AD20" s="3926"/>
      <c r="AE20" s="3926"/>
      <c r="AF20" s="3926"/>
      <c r="AG20" s="3926"/>
      <c r="AH20" s="3926"/>
      <c r="AI20" s="3926"/>
      <c r="AJ20" s="3926"/>
      <c r="AK20" s="3926"/>
      <c r="AL20" s="3926"/>
      <c r="AM20" s="4042"/>
      <c r="AN20" s="438"/>
      <c r="AP20" s="1448"/>
      <c r="AQ20" s="1448"/>
      <c r="AY20" s="360"/>
    </row>
    <row r="21" spans="1:52" s="1058" customFormat="1" ht="18" customHeight="1">
      <c r="A21" s="1456"/>
      <c r="B21" s="1507"/>
      <c r="C21" s="1507"/>
      <c r="D21" s="1507"/>
      <c r="E21" s="1507"/>
      <c r="F21" s="1507"/>
      <c r="G21" s="1507"/>
      <c r="H21" s="1507"/>
      <c r="I21" s="1507"/>
      <c r="J21" s="1507"/>
      <c r="K21" s="1507"/>
      <c r="L21" s="1507"/>
      <c r="M21" s="1507"/>
      <c r="N21" s="1507"/>
      <c r="O21" s="1507"/>
      <c r="P21" s="1507"/>
      <c r="Q21" s="1507"/>
      <c r="R21" s="1507"/>
      <c r="S21" s="1507"/>
      <c r="T21" s="1507"/>
      <c r="U21" s="1507"/>
      <c r="V21" s="1507"/>
      <c r="W21" s="1507"/>
      <c r="X21" s="1507"/>
      <c r="Y21" s="1507"/>
      <c r="Z21" s="1507"/>
      <c r="AA21" s="1507"/>
      <c r="AB21" s="1507"/>
      <c r="AC21" s="1507"/>
      <c r="AD21" s="1507"/>
      <c r="AE21" s="1507"/>
      <c r="AF21" s="1507"/>
      <c r="AG21" s="1507"/>
      <c r="AH21" s="1507"/>
      <c r="AI21" s="1507"/>
      <c r="AJ21" s="1507"/>
      <c r="AK21" s="1507"/>
      <c r="AL21" s="1507"/>
      <c r="AM21" s="1507"/>
      <c r="AN21" s="1473"/>
      <c r="AO21" s="438"/>
      <c r="AQ21" s="1448"/>
      <c r="AR21" s="1448"/>
      <c r="AS21" s="1448"/>
      <c r="AZ21" s="360"/>
    </row>
    <row r="22" spans="1:52" ht="18" customHeight="1">
      <c r="A22" s="1456"/>
      <c r="B22" s="1183" t="s">
        <v>1559</v>
      </c>
      <c r="C22" s="4295" t="s">
        <v>1560</v>
      </c>
      <c r="D22" s="4295"/>
      <c r="E22" s="4295"/>
      <c r="F22" s="4295"/>
      <c r="G22" s="4295"/>
      <c r="H22" s="4295"/>
      <c r="I22" s="4295"/>
      <c r="J22" s="4295"/>
      <c r="K22" s="4295"/>
      <c r="L22" s="4295"/>
      <c r="M22" s="4295"/>
      <c r="N22" s="4295"/>
      <c r="O22" s="4295"/>
      <c r="P22" s="4295"/>
      <c r="Q22" s="4295"/>
      <c r="R22" s="4295"/>
      <c r="S22" s="4295"/>
      <c r="T22" s="4295"/>
      <c r="U22" s="4295"/>
      <c r="V22" s="4295"/>
      <c r="W22" s="4295"/>
      <c r="X22" s="4295"/>
      <c r="Y22" s="4295"/>
      <c r="Z22" s="4295"/>
      <c r="AA22" s="4295"/>
      <c r="AB22" s="4295"/>
      <c r="AC22" s="4295"/>
      <c r="AD22" s="4295"/>
      <c r="AE22" s="4295"/>
      <c r="AF22" s="4295"/>
      <c r="AG22" s="4295"/>
      <c r="AH22" s="4295"/>
      <c r="AI22" s="4295"/>
      <c r="AJ22" s="4295"/>
      <c r="AK22" s="4295"/>
      <c r="AL22" s="4295"/>
      <c r="AM22" s="4295"/>
      <c r="AN22" s="1473"/>
      <c r="AO22" s="438"/>
      <c r="AQ22" s="1448"/>
      <c r="AR22" s="1448"/>
      <c r="AS22" s="1448"/>
      <c r="AT22" s="1058"/>
      <c r="AU22" s="1058"/>
      <c r="AV22" s="1058"/>
      <c r="AW22" s="1058"/>
      <c r="AX22" s="1058"/>
      <c r="AY22" s="1058"/>
      <c r="AZ22" s="360"/>
    </row>
    <row r="23" spans="1:52" s="1058" customFormat="1" ht="18" customHeight="1">
      <c r="A23" s="1456"/>
      <c r="B23" s="1176"/>
      <c r="C23" s="1532"/>
      <c r="D23" s="1532"/>
      <c r="E23" s="1532"/>
      <c r="F23" s="1532"/>
      <c r="G23" s="1532"/>
      <c r="H23" s="1532"/>
      <c r="I23" s="1532"/>
      <c r="J23" s="1532"/>
      <c r="K23" s="1532"/>
      <c r="L23" s="1532"/>
      <c r="M23" s="1532"/>
      <c r="N23" s="1532"/>
      <c r="O23" s="1532"/>
      <c r="P23" s="1532"/>
      <c r="Q23" s="1532"/>
      <c r="R23" s="1532"/>
      <c r="S23" s="1532"/>
      <c r="T23" s="1532"/>
      <c r="U23" s="1532"/>
      <c r="V23" s="1532"/>
      <c r="W23" s="1532"/>
      <c r="X23" s="1532"/>
      <c r="Y23" s="1532"/>
      <c r="Z23" s="1532"/>
      <c r="AA23" s="1532"/>
      <c r="AB23" s="1532"/>
      <c r="AC23" s="1532"/>
      <c r="AD23" s="1532"/>
      <c r="AE23" s="1532"/>
      <c r="AF23" s="1532"/>
      <c r="AG23" s="1532"/>
      <c r="AH23" s="1532"/>
      <c r="AI23" s="1532"/>
      <c r="AJ23" s="1532"/>
      <c r="AK23" s="1532"/>
      <c r="AL23" s="1160"/>
      <c r="AM23" s="1160"/>
      <c r="AN23" s="1473"/>
      <c r="AO23" s="438"/>
      <c r="AQ23" s="1448"/>
      <c r="AR23" s="1448"/>
      <c r="AS23" s="1448"/>
      <c r="AZ23" s="360"/>
    </row>
    <row r="24" spans="1:52" ht="18" customHeight="1">
      <c r="A24" s="1058"/>
      <c r="B24" s="1056" t="s">
        <v>1397</v>
      </c>
      <c r="C24" s="4106" t="s">
        <v>1561</v>
      </c>
      <c r="D24" s="4106"/>
      <c r="E24" s="4106"/>
      <c r="F24" s="4106"/>
      <c r="G24" s="4106"/>
      <c r="H24" s="4106"/>
      <c r="I24" s="4106"/>
      <c r="J24" s="4106"/>
      <c r="K24" s="4106"/>
      <c r="L24" s="4106"/>
      <c r="M24" s="4106"/>
      <c r="N24" s="4106"/>
      <c r="O24" s="4106"/>
      <c r="P24" s="4106"/>
      <c r="Q24" s="4106"/>
      <c r="R24" s="4106"/>
      <c r="S24" s="4106"/>
      <c r="T24" s="4106"/>
      <c r="U24" s="4106"/>
      <c r="V24" s="4106"/>
      <c r="W24" s="4106"/>
      <c r="X24" s="4106"/>
      <c r="Y24" s="4106"/>
      <c r="Z24" s="4106"/>
      <c r="AA24" s="4106"/>
      <c r="AB24" s="4106"/>
      <c r="AC24" s="4106"/>
      <c r="AD24" s="4106"/>
      <c r="AE24" s="4106"/>
      <c r="AF24" s="4106"/>
      <c r="AG24" s="4106"/>
      <c r="AH24" s="4106"/>
      <c r="AI24" s="4106"/>
      <c r="AJ24" s="4106"/>
      <c r="AK24" s="4106"/>
      <c r="AL24" s="3982">
        <f>IF(AD42=TRUE,MIN(SUM($AL$46:$AM$54),30),0)</f>
        <v>0</v>
      </c>
      <c r="AM24" s="3982"/>
      <c r="AN24" s="1305"/>
      <c r="AO24" s="1058"/>
      <c r="AQ24" s="1448"/>
      <c r="AR24" s="1448"/>
      <c r="AS24" s="1448"/>
      <c r="AT24" s="1058"/>
      <c r="AU24" s="1058"/>
      <c r="AV24" s="1058"/>
      <c r="AW24" s="1058"/>
      <c r="AX24" s="1058"/>
      <c r="AY24" s="1058"/>
      <c r="AZ24" s="1058"/>
    </row>
    <row r="25" spans="1:52" ht="18" customHeight="1">
      <c r="A25" s="1058"/>
      <c r="B25" s="1477"/>
      <c r="C25" s="4030" t="s">
        <v>1562</v>
      </c>
      <c r="D25" s="4030"/>
      <c r="E25" s="4030"/>
      <c r="F25" s="4030"/>
      <c r="G25" s="4030"/>
      <c r="H25" s="4030"/>
      <c r="I25" s="4030"/>
      <c r="J25" s="4030"/>
      <c r="K25" s="4030"/>
      <c r="L25" s="4030"/>
      <c r="M25" s="4030"/>
      <c r="N25" s="4030"/>
      <c r="O25" s="4030"/>
      <c r="P25" s="4030"/>
      <c r="Q25" s="4030"/>
      <c r="R25" s="4030"/>
      <c r="S25" s="4030"/>
      <c r="T25" s="4030"/>
      <c r="U25" s="4030"/>
      <c r="V25" s="4030"/>
      <c r="W25" s="4030"/>
      <c r="X25" s="4030"/>
      <c r="Y25" s="4030"/>
      <c r="Z25" s="4030"/>
      <c r="AA25" s="4030"/>
      <c r="AB25" s="4030"/>
      <c r="AC25" s="4030"/>
      <c r="AD25" s="4030"/>
      <c r="AE25" s="4030"/>
      <c r="AF25" s="4030"/>
      <c r="AG25" s="4030"/>
      <c r="AH25" s="4030"/>
      <c r="AI25" s="4030"/>
      <c r="AJ25" s="4030"/>
      <c r="AK25" s="4030"/>
      <c r="AL25" s="4030"/>
      <c r="AM25" s="4031"/>
      <c r="AN25" s="1305"/>
      <c r="AO25" s="1058"/>
      <c r="AQ25" s="1448"/>
      <c r="AR25" s="1448"/>
      <c r="AS25" s="1448"/>
      <c r="AT25" s="1058"/>
      <c r="AU25" s="1058"/>
      <c r="AV25" s="1058"/>
      <c r="AW25" s="1058"/>
      <c r="AX25" s="1058"/>
      <c r="AY25" s="1058"/>
      <c r="AZ25" s="1058"/>
    </row>
    <row r="26" spans="1:52" ht="18" customHeight="1">
      <c r="A26" s="1058"/>
      <c r="B26" s="1477"/>
      <c r="C26" s="1057" t="s">
        <v>1402</v>
      </c>
      <c r="D26" s="4091" t="s">
        <v>1563</v>
      </c>
      <c r="E26" s="4091"/>
      <c r="F26" s="4091"/>
      <c r="G26" s="4091"/>
      <c r="H26" s="4091"/>
      <c r="I26" s="4091"/>
      <c r="J26" s="4091"/>
      <c r="K26" s="4091"/>
      <c r="L26" s="4091"/>
      <c r="M26" s="4091"/>
      <c r="N26" s="4091"/>
      <c r="O26" s="4091"/>
      <c r="P26" s="4091"/>
      <c r="Q26" s="4091"/>
      <c r="R26" s="4091"/>
      <c r="S26" s="4091"/>
      <c r="T26" s="4091"/>
      <c r="U26" s="4091"/>
      <c r="V26" s="4091"/>
      <c r="W26" s="4091"/>
      <c r="X26" s="4091"/>
      <c r="Y26" s="4091"/>
      <c r="Z26" s="4091"/>
      <c r="AA26" s="4091"/>
      <c r="AB26" s="4091"/>
      <c r="AC26" s="4091"/>
      <c r="AD26" s="4091"/>
      <c r="AE26" s="4091"/>
      <c r="AF26" s="4091"/>
      <c r="AG26" s="4091"/>
      <c r="AH26" s="4091"/>
      <c r="AI26" s="4091"/>
      <c r="AJ26" s="4091"/>
      <c r="AK26" s="4091"/>
      <c r="AL26" s="4091"/>
      <c r="AM26" s="4130"/>
      <c r="AN26" s="1305"/>
      <c r="AO26" s="1058"/>
      <c r="AQ26" s="1448"/>
      <c r="AR26" s="1448"/>
      <c r="AS26" s="1448"/>
      <c r="AT26" s="1058"/>
      <c r="AU26" s="1058"/>
      <c r="AV26" s="1058"/>
      <c r="AW26" s="1058"/>
      <c r="AX26" s="1058"/>
      <c r="AY26" s="1058"/>
      <c r="AZ26" s="1058"/>
    </row>
    <row r="27" spans="1:52" ht="18" customHeight="1">
      <c r="A27" s="1058"/>
      <c r="B27" s="1477"/>
      <c r="C27" s="1057" t="s">
        <v>1403</v>
      </c>
      <c r="D27" s="4091" t="s">
        <v>1564</v>
      </c>
      <c r="E27" s="4091"/>
      <c r="F27" s="4091"/>
      <c r="G27" s="4091"/>
      <c r="H27" s="4091"/>
      <c r="I27" s="4091"/>
      <c r="J27" s="4091"/>
      <c r="K27" s="4091"/>
      <c r="L27" s="4091"/>
      <c r="M27" s="4091"/>
      <c r="N27" s="4091"/>
      <c r="O27" s="4091"/>
      <c r="P27" s="4091"/>
      <c r="Q27" s="4091"/>
      <c r="R27" s="4091"/>
      <c r="S27" s="4091"/>
      <c r="T27" s="4091"/>
      <c r="U27" s="4091"/>
      <c r="V27" s="4091"/>
      <c r="W27" s="4091"/>
      <c r="X27" s="4091"/>
      <c r="Y27" s="4091"/>
      <c r="Z27" s="4091"/>
      <c r="AA27" s="4091"/>
      <c r="AB27" s="4091"/>
      <c r="AC27" s="4091"/>
      <c r="AD27" s="4091"/>
      <c r="AE27" s="4091"/>
      <c r="AF27" s="4091"/>
      <c r="AG27" s="4091"/>
      <c r="AH27" s="4091"/>
      <c r="AI27" s="4091"/>
      <c r="AJ27" s="4091"/>
      <c r="AK27" s="4091"/>
      <c r="AL27" s="4091"/>
      <c r="AM27" s="4130"/>
      <c r="AN27" s="1305"/>
      <c r="AO27" s="1058"/>
      <c r="AQ27" s="1448"/>
      <c r="AR27" s="1448"/>
      <c r="AS27" s="1448"/>
      <c r="AT27" s="1058"/>
      <c r="AU27" s="1058"/>
      <c r="AV27" s="1058"/>
      <c r="AW27" s="1058"/>
      <c r="AX27" s="1058"/>
      <c r="AY27" s="1058"/>
      <c r="AZ27" s="1058"/>
    </row>
    <row r="28" spans="1:52" ht="36" customHeight="1">
      <c r="A28" s="1459"/>
      <c r="B28" s="1477"/>
      <c r="C28" s="1459"/>
      <c r="D28" s="1052" t="s">
        <v>1565</v>
      </c>
      <c r="E28" s="4091" t="s">
        <v>1566</v>
      </c>
      <c r="F28" s="4091"/>
      <c r="G28" s="4091"/>
      <c r="H28" s="4091"/>
      <c r="I28" s="4091"/>
      <c r="J28" s="4091"/>
      <c r="K28" s="4091"/>
      <c r="L28" s="4091"/>
      <c r="M28" s="4091"/>
      <c r="N28" s="4091"/>
      <c r="O28" s="4091"/>
      <c r="P28" s="4091"/>
      <c r="Q28" s="4091"/>
      <c r="R28" s="4091"/>
      <c r="S28" s="4091"/>
      <c r="T28" s="4091"/>
      <c r="U28" s="4091"/>
      <c r="V28" s="4091"/>
      <c r="W28" s="4091"/>
      <c r="X28" s="4091"/>
      <c r="Y28" s="4091"/>
      <c r="Z28" s="4091"/>
      <c r="AA28" s="4091"/>
      <c r="AB28" s="4091"/>
      <c r="AC28" s="4091"/>
      <c r="AD28" s="4091"/>
      <c r="AE28" s="4091"/>
      <c r="AF28" s="4091"/>
      <c r="AG28" s="4091"/>
      <c r="AH28" s="4091"/>
      <c r="AI28" s="4091"/>
      <c r="AJ28" s="4091"/>
      <c r="AK28" s="4091"/>
      <c r="AL28" s="4091"/>
      <c r="AM28" s="4130"/>
      <c r="AN28" s="1305"/>
      <c r="AO28" s="1058"/>
      <c r="AQ28" s="1448"/>
      <c r="AR28" s="1448"/>
      <c r="AS28" s="1448"/>
      <c r="AT28" s="1058"/>
      <c r="AU28" s="1058"/>
      <c r="AV28" s="1058"/>
      <c r="AW28" s="1058"/>
      <c r="AX28" s="1058"/>
      <c r="AY28" s="1058"/>
      <c r="AZ28" s="1058"/>
    </row>
    <row r="29" spans="1:52" ht="18" customHeight="1">
      <c r="A29" s="1459"/>
      <c r="B29" s="1477"/>
      <c r="C29" s="1459"/>
      <c r="D29" s="1053" t="s">
        <v>1409</v>
      </c>
      <c r="E29" s="4091" t="s">
        <v>1567</v>
      </c>
      <c r="F29" s="4091"/>
      <c r="G29" s="4091"/>
      <c r="H29" s="4091"/>
      <c r="I29" s="4091"/>
      <c r="J29" s="4091"/>
      <c r="K29" s="4091"/>
      <c r="L29" s="4091"/>
      <c r="M29" s="4091"/>
      <c r="N29" s="4091"/>
      <c r="O29" s="4091"/>
      <c r="P29" s="4091"/>
      <c r="Q29" s="4091"/>
      <c r="R29" s="4091"/>
      <c r="S29" s="4091"/>
      <c r="T29" s="4091"/>
      <c r="U29" s="4091"/>
      <c r="V29" s="4091"/>
      <c r="W29" s="4091"/>
      <c r="X29" s="4091"/>
      <c r="Y29" s="4091"/>
      <c r="Z29" s="4091"/>
      <c r="AA29" s="4091"/>
      <c r="AB29" s="4091"/>
      <c r="AC29" s="4091"/>
      <c r="AD29" s="4091"/>
      <c r="AE29" s="4091"/>
      <c r="AF29" s="4091"/>
      <c r="AG29" s="4091"/>
      <c r="AH29" s="4091"/>
      <c r="AI29" s="4091"/>
      <c r="AJ29" s="4091"/>
      <c r="AK29" s="4091"/>
      <c r="AL29" s="4091"/>
      <c r="AM29" s="4130"/>
      <c r="AN29" s="1305"/>
      <c r="AO29" s="1058"/>
      <c r="AQ29" s="1448"/>
      <c r="AR29" s="1448"/>
      <c r="AS29" s="1448"/>
      <c r="AT29" s="1058"/>
      <c r="AU29" s="1058"/>
      <c r="AV29" s="1058"/>
      <c r="AW29" s="1058"/>
      <c r="AX29" s="1058"/>
      <c r="AY29" s="1058"/>
      <c r="AZ29" s="1058"/>
    </row>
    <row r="30" spans="1:52" s="303" customFormat="1" ht="81" customHeight="1">
      <c r="A30" s="439"/>
      <c r="B30" s="1054"/>
      <c r="C30" s="439"/>
      <c r="D30" s="439"/>
      <c r="E30" s="3901" t="s">
        <v>1568</v>
      </c>
      <c r="F30" s="3901"/>
      <c r="G30" s="3901"/>
      <c r="H30" s="3901"/>
      <c r="I30" s="3901"/>
      <c r="J30" s="3901"/>
      <c r="K30" s="3901"/>
      <c r="L30" s="3901"/>
      <c r="M30" s="3901"/>
      <c r="N30" s="3901"/>
      <c r="O30" s="3901"/>
      <c r="P30" s="3901"/>
      <c r="Q30" s="3901"/>
      <c r="R30" s="3901"/>
      <c r="S30" s="3901"/>
      <c r="T30" s="3901"/>
      <c r="U30" s="3901"/>
      <c r="V30" s="3901"/>
      <c r="W30" s="3901"/>
      <c r="X30" s="3901"/>
      <c r="Y30" s="3901"/>
      <c r="Z30" s="3901"/>
      <c r="AA30" s="3901"/>
      <c r="AB30" s="3901"/>
      <c r="AC30" s="3901"/>
      <c r="AD30" s="3901"/>
      <c r="AE30" s="3901"/>
      <c r="AF30" s="3901"/>
      <c r="AG30" s="3901"/>
      <c r="AH30" s="3901"/>
      <c r="AI30" s="3901"/>
      <c r="AJ30" s="3901"/>
      <c r="AK30" s="3901"/>
      <c r="AL30" s="3901"/>
      <c r="AM30" s="3917"/>
      <c r="AN30" s="662"/>
      <c r="AP30" s="1058"/>
      <c r="AR30" s="1448"/>
      <c r="AS30" s="1448"/>
    </row>
    <row r="31" spans="1:52" s="303" customFormat="1" ht="47.25" customHeight="1">
      <c r="A31" s="439"/>
      <c r="B31" s="1054"/>
      <c r="C31" s="439"/>
      <c r="D31" s="439"/>
      <c r="E31" s="1501"/>
      <c r="F31" s="1501"/>
      <c r="G31" s="1501"/>
      <c r="H31" s="1501"/>
      <c r="I31" s="1501"/>
      <c r="J31" s="1501"/>
      <c r="K31" s="1501"/>
      <c r="L31" s="1501"/>
      <c r="M31" s="1501"/>
      <c r="N31" s="1501"/>
      <c r="O31" s="1501"/>
      <c r="P31" s="1501"/>
      <c r="Q31" s="1501"/>
      <c r="R31" s="1501"/>
      <c r="S31" s="1501"/>
      <c r="T31" s="4066" t="s">
        <v>4129</v>
      </c>
      <c r="U31" s="4067"/>
      <c r="V31" s="4057" t="s">
        <v>1569</v>
      </c>
      <c r="W31" s="4057"/>
      <c r="X31" s="4054" t="s">
        <v>1570</v>
      </c>
      <c r="Y31" s="4054"/>
      <c r="Z31" s="4057" t="s">
        <v>1571</v>
      </c>
      <c r="AA31" s="4057"/>
      <c r="AB31" s="4054" t="s">
        <v>1572</v>
      </c>
      <c r="AC31" s="4054"/>
      <c r="AD31" s="4052"/>
      <c r="AE31" s="4053"/>
      <c r="AF31" s="1501"/>
      <c r="AG31" s="1501"/>
      <c r="AH31" s="1501"/>
      <c r="AI31" s="1501"/>
      <c r="AJ31" s="1501"/>
      <c r="AK31" s="1501"/>
      <c r="AL31" s="1501"/>
      <c r="AM31" s="1505"/>
      <c r="AN31" s="1501"/>
      <c r="AO31" s="1507"/>
      <c r="AR31" s="1058"/>
      <c r="AT31" s="1448"/>
      <c r="AU31" s="1448"/>
    </row>
    <row r="32" spans="1:52" s="303" customFormat="1" ht="18" customHeight="1">
      <c r="B32" s="1054"/>
      <c r="C32" s="1933" t="s">
        <v>1573</v>
      </c>
      <c r="D32" s="1934"/>
      <c r="E32" s="1934"/>
      <c r="F32" s="1934"/>
      <c r="G32" s="1934"/>
      <c r="H32" s="1934"/>
      <c r="I32" s="1934"/>
      <c r="J32" s="1935"/>
      <c r="K32" s="2363">
        <f>SUMIF('Unit Mix'!$B$10:$B$59,9,'Unit Mix'!$Z$10:$Z$59)</f>
        <v>0</v>
      </c>
      <c r="L32" s="2363"/>
      <c r="M32" s="4272" t="str">
        <f t="shared" ref="M32:M41" si="0">IF(OR(County="San Francisco",County="Santa Clara",County="San Mateo",County="Marin"),"Units provided at 25% AMI:","Units provided at 30% AMI:")</f>
        <v>Units provided at 30% AMI:</v>
      </c>
      <c r="N32" s="4272"/>
      <c r="O32" s="4272"/>
      <c r="P32" s="4272"/>
      <c r="Q32" s="4272"/>
      <c r="R32" s="4272"/>
      <c r="S32" s="4272"/>
      <c r="T32" s="2363">
        <f>IF(AND(M32="Units provided at 30% AMI:",K32&gt;0),SUMIFS('Unit Mix'!$Z$10:$Z$59,'Unit Mix'!$C$10:$C$59,30%,'Unit Mix'!$B$10:$B$59,9),IF(AND(M32="Units provided at 25% AMI:",K32&gt;0),SUMIFS('Unit Mix'!$Z$10:$Z$59,'Unit Mix'!$C$10:$C$59,25%,'Unit Mix'!$B$10:$B$59,9),0))</f>
        <v>0</v>
      </c>
      <c r="U32" s="2363"/>
      <c r="V32" s="2363">
        <f>ROUNDUP(K32*20%,0)</f>
        <v>0</v>
      </c>
      <c r="W32" s="2363"/>
      <c r="X32" s="2363">
        <f>SUM($V$32:V32)</f>
        <v>0</v>
      </c>
      <c r="Y32" s="2363"/>
      <c r="Z32" s="2363">
        <f>MAX(0,T32-V32)</f>
        <v>0</v>
      </c>
      <c r="AA32" s="2363"/>
      <c r="AB32" s="2363">
        <f>SUM($T$32:T32)</f>
        <v>0</v>
      </c>
      <c r="AC32" s="2363"/>
      <c r="AD32" s="2363" t="b">
        <f>AB32&gt;=X32</f>
        <v>1</v>
      </c>
      <c r="AE32" s="2363"/>
      <c r="AM32" s="1055"/>
    </row>
    <row r="33" spans="1:80" s="303" customFormat="1" ht="18" customHeight="1">
      <c r="B33" s="1054"/>
      <c r="C33" s="1933" t="s">
        <v>1574</v>
      </c>
      <c r="D33" s="1934"/>
      <c r="E33" s="1934"/>
      <c r="F33" s="1934"/>
      <c r="G33" s="1934"/>
      <c r="H33" s="1934"/>
      <c r="I33" s="1934"/>
      <c r="J33" s="1935"/>
      <c r="K33" s="2363">
        <f>SUMIF('Unit Mix'!$B$10:$B$59,8,'Unit Mix'!$Z$10:$Z$59)</f>
        <v>0</v>
      </c>
      <c r="L33" s="2363"/>
      <c r="M33" s="4013" t="str">
        <f t="shared" si="0"/>
        <v>Units provided at 30% AMI:</v>
      </c>
      <c r="N33" s="4014"/>
      <c r="O33" s="4014"/>
      <c r="P33" s="4014"/>
      <c r="Q33" s="4014"/>
      <c r="R33" s="4014"/>
      <c r="S33" s="4015"/>
      <c r="T33" s="2363">
        <f>IF(AND(M33="Units provided at 30% AMI:",K33&gt;0),SUMIFS('Unit Mix'!$Z$10:$Z$59,'Unit Mix'!$C$10:$C$59,30%,'Unit Mix'!$B$10:$B$59,8),IF(AND(M33="Units provided at 25% AMI:",K33&gt;0),SUMIFS('Unit Mix'!$Z$10:$Z$59,'Unit Mix'!$C$10:$C$59,25%,'Unit Mix'!$B$10:$B$59,8),0))</f>
        <v>0</v>
      </c>
      <c r="U33" s="2363"/>
      <c r="V33" s="2363">
        <f t="shared" ref="V33:V41" si="1">ROUNDUP(K33*20%,0)</f>
        <v>0</v>
      </c>
      <c r="W33" s="2363"/>
      <c r="X33" s="2363">
        <f>SUM($V$32:W33)</f>
        <v>0</v>
      </c>
      <c r="Y33" s="2363"/>
      <c r="Z33" s="2363">
        <f t="shared" ref="Z33:Z41" si="2">MAX(0,T33-V33)</f>
        <v>0</v>
      </c>
      <c r="AA33" s="2363"/>
      <c r="AB33" s="2363">
        <f>SUM($T$32:T33)</f>
        <v>0</v>
      </c>
      <c r="AC33" s="2363"/>
      <c r="AD33" s="2363" t="b">
        <f t="shared" ref="AD33:AD41" si="3">AB33&gt;=X33</f>
        <v>1</v>
      </c>
      <c r="AE33" s="2363"/>
      <c r="AM33" s="1055"/>
    </row>
    <row r="34" spans="1:80" s="1185" customFormat="1" ht="18" customHeight="1">
      <c r="A34" s="439"/>
      <c r="B34" s="1054"/>
      <c r="C34" s="1933" t="s">
        <v>1575</v>
      </c>
      <c r="D34" s="1934"/>
      <c r="E34" s="1934"/>
      <c r="F34" s="1934"/>
      <c r="G34" s="1934"/>
      <c r="H34" s="1934"/>
      <c r="I34" s="1934"/>
      <c r="J34" s="1935"/>
      <c r="K34" s="2363">
        <f>SUMIF('Unit Mix'!$B$10:$B$59,7,'Unit Mix'!$Z$10:$Z$59)</f>
        <v>0</v>
      </c>
      <c r="L34" s="2363"/>
      <c r="M34" s="4272" t="str">
        <f t="shared" si="0"/>
        <v>Units provided at 30% AMI:</v>
      </c>
      <c r="N34" s="4272"/>
      <c r="O34" s="4272"/>
      <c r="P34" s="4272"/>
      <c r="Q34" s="4272"/>
      <c r="R34" s="4272"/>
      <c r="S34" s="4272"/>
      <c r="T34" s="2363">
        <f>IF(AND(M34="Units provided at 30% AMI:",K34&gt;0),SUMIFS('Unit Mix'!$Z$10:$Z$59,'Unit Mix'!$C$10:$C$59,30%,'Unit Mix'!$B$10:$B$59,7),IF(AND(M34="Units provided at 25% AMI:",K34&gt;0),SUMIFS('Unit Mix'!$Z$10:$Z$59,'Unit Mix'!$C$10:$C$59,25%,'Unit Mix'!$B$10:$B$59,7),0))</f>
        <v>0</v>
      </c>
      <c r="U34" s="2363"/>
      <c r="V34" s="2363">
        <f t="shared" si="1"/>
        <v>0</v>
      </c>
      <c r="W34" s="2363"/>
      <c r="X34" s="2363">
        <f>SUM($V$32:W34)</f>
        <v>0</v>
      </c>
      <c r="Y34" s="2363"/>
      <c r="Z34" s="2363">
        <f t="shared" si="2"/>
        <v>0</v>
      </c>
      <c r="AA34" s="2363"/>
      <c r="AB34" s="2363">
        <f>SUM($T$32:T34)</f>
        <v>0</v>
      </c>
      <c r="AC34" s="2363"/>
      <c r="AD34" s="2363" t="b">
        <f t="shared" si="3"/>
        <v>1</v>
      </c>
      <c r="AE34" s="2363"/>
      <c r="AF34" s="445"/>
      <c r="AG34" s="445"/>
      <c r="AH34" s="445"/>
      <c r="AI34" s="445"/>
      <c r="AJ34" s="445"/>
      <c r="AK34" s="445"/>
      <c r="AL34" s="445"/>
      <c r="AM34" s="1195"/>
      <c r="AN34" s="439"/>
      <c r="AO34" s="439"/>
      <c r="AP34" s="439"/>
      <c r="AQ34" s="439"/>
      <c r="AR34" s="439"/>
      <c r="AS34" s="439"/>
      <c r="AT34" s="439"/>
      <c r="AU34" s="439"/>
      <c r="AV34" s="439"/>
      <c r="AW34" s="439"/>
      <c r="AX34" s="439"/>
      <c r="AY34" s="439"/>
      <c r="AZ34" s="439"/>
      <c r="BA34" s="439"/>
      <c r="BB34" s="439"/>
      <c r="BC34" s="439"/>
      <c r="BD34" s="439"/>
      <c r="BE34" s="439"/>
      <c r="BF34" s="439"/>
      <c r="BG34" s="439"/>
      <c r="BH34" s="439"/>
      <c r="BI34" s="439"/>
      <c r="BJ34" s="439"/>
      <c r="BK34" s="439"/>
      <c r="BL34" s="439"/>
      <c r="BM34" s="439"/>
      <c r="BN34" s="439"/>
      <c r="BO34" s="439"/>
      <c r="BP34" s="439"/>
      <c r="BQ34" s="439"/>
      <c r="BR34" s="439"/>
      <c r="BS34" s="439"/>
      <c r="BT34" s="439"/>
      <c r="BU34" s="439"/>
      <c r="BV34" s="439"/>
      <c r="BW34" s="439"/>
      <c r="BX34" s="439"/>
      <c r="BY34" s="439"/>
      <c r="BZ34" s="439"/>
      <c r="CA34" s="439"/>
      <c r="CB34" s="439"/>
    </row>
    <row r="35" spans="1:80" s="1185" customFormat="1" ht="18" customHeight="1">
      <c r="A35" s="439"/>
      <c r="B35" s="1054"/>
      <c r="C35" s="1933" t="s">
        <v>1576</v>
      </c>
      <c r="D35" s="1934"/>
      <c r="E35" s="1934"/>
      <c r="F35" s="1934"/>
      <c r="G35" s="1934"/>
      <c r="H35" s="1934"/>
      <c r="I35" s="1934"/>
      <c r="J35" s="1935"/>
      <c r="K35" s="2363">
        <f>SUMIF('Unit Mix'!$B$10:$B$59,6,'Unit Mix'!$Z$10:$Z$59)</f>
        <v>0</v>
      </c>
      <c r="L35" s="2363"/>
      <c r="M35" s="4013" t="str">
        <f t="shared" si="0"/>
        <v>Units provided at 30% AMI:</v>
      </c>
      <c r="N35" s="4014"/>
      <c r="O35" s="4014"/>
      <c r="P35" s="4014"/>
      <c r="Q35" s="4014"/>
      <c r="R35" s="4014"/>
      <c r="S35" s="4015"/>
      <c r="T35" s="2363">
        <f>IF(AND(M35="Units provided at 30% AMI:",K35&gt;0),SUMIFS('Unit Mix'!$Z$10:$Z$59,'Unit Mix'!$C$10:$C$59,30%,'Unit Mix'!$B$10:$B$59,6),IF(AND(M35="Units provided at 25% AMI:",K35&gt;0),SUMIFS('Unit Mix'!$Z$10:$Z$59,'Unit Mix'!$C$10:$C$59,25%,'Unit Mix'!$B$10:$B$59,6),0))</f>
        <v>0</v>
      </c>
      <c r="U35" s="2363"/>
      <c r="V35" s="2363">
        <f t="shared" si="1"/>
        <v>0</v>
      </c>
      <c r="W35" s="2363"/>
      <c r="X35" s="2363">
        <f>SUM($V$32:W35)</f>
        <v>0</v>
      </c>
      <c r="Y35" s="2363"/>
      <c r="Z35" s="2363">
        <f t="shared" si="2"/>
        <v>0</v>
      </c>
      <c r="AA35" s="2363"/>
      <c r="AB35" s="2363">
        <f>SUM($T$32:T35)</f>
        <v>0</v>
      </c>
      <c r="AC35" s="2363"/>
      <c r="AD35" s="2363" t="b">
        <f t="shared" si="3"/>
        <v>1</v>
      </c>
      <c r="AE35" s="2363"/>
      <c r="AF35" s="445"/>
      <c r="AG35" s="445"/>
      <c r="AH35" s="445"/>
      <c r="AI35" s="445"/>
      <c r="AJ35" s="445"/>
      <c r="AK35" s="445"/>
      <c r="AL35" s="445"/>
      <c r="AM35" s="1195"/>
      <c r="AN35" s="439"/>
      <c r="AO35" s="439"/>
      <c r="AP35" s="439"/>
      <c r="AQ35" s="439"/>
      <c r="AR35" s="439"/>
      <c r="AS35" s="439"/>
      <c r="AT35" s="439"/>
      <c r="AU35" s="439"/>
      <c r="AV35" s="439"/>
      <c r="AW35" s="439"/>
      <c r="AX35" s="439"/>
      <c r="AY35" s="439"/>
      <c r="AZ35" s="439"/>
      <c r="BA35" s="439"/>
      <c r="BB35" s="439"/>
      <c r="BC35" s="439"/>
      <c r="BD35" s="439"/>
      <c r="BE35" s="439"/>
      <c r="BF35" s="439"/>
      <c r="BG35" s="439"/>
      <c r="BH35" s="439"/>
      <c r="BI35" s="439"/>
      <c r="BJ35" s="439"/>
      <c r="BK35" s="439"/>
      <c r="BL35" s="439"/>
      <c r="BM35" s="439"/>
      <c r="BN35" s="439"/>
      <c r="BO35" s="439"/>
      <c r="BP35" s="439"/>
      <c r="BQ35" s="439"/>
      <c r="BR35" s="439"/>
      <c r="BS35" s="439"/>
      <c r="BT35" s="439"/>
      <c r="BU35" s="439"/>
      <c r="BV35" s="439"/>
      <c r="BW35" s="439"/>
      <c r="BX35" s="439"/>
      <c r="BY35" s="439"/>
      <c r="BZ35" s="439"/>
      <c r="CA35" s="439"/>
      <c r="CB35" s="439"/>
    </row>
    <row r="36" spans="1:80" s="1185" customFormat="1" ht="18" customHeight="1">
      <c r="A36" s="439"/>
      <c r="B36" s="1054"/>
      <c r="C36" s="1933" t="s">
        <v>1577</v>
      </c>
      <c r="D36" s="1934"/>
      <c r="E36" s="1934"/>
      <c r="F36" s="1934"/>
      <c r="G36" s="1934"/>
      <c r="H36" s="1934"/>
      <c r="I36" s="1934"/>
      <c r="J36" s="1935"/>
      <c r="K36" s="2363">
        <f>SUMIF('Unit Mix'!$B$10:$B$59,5,'Unit Mix'!$Z$10:$Z$59)</f>
        <v>0</v>
      </c>
      <c r="L36" s="2363"/>
      <c r="M36" s="4272" t="str">
        <f t="shared" si="0"/>
        <v>Units provided at 30% AMI:</v>
      </c>
      <c r="N36" s="4272"/>
      <c r="O36" s="4272"/>
      <c r="P36" s="4272"/>
      <c r="Q36" s="4272"/>
      <c r="R36" s="4272"/>
      <c r="S36" s="4272"/>
      <c r="T36" s="2363">
        <f>IF(AND(M36="Units provided at 30% AMI:",K36&gt;0),SUMIFS('Unit Mix'!$Z$10:$Z$59,'Unit Mix'!$C$10:$C$59,30%,'Unit Mix'!$B$10:$B$59,5),IF(AND(M36="Units provided at 25% AMI:",K36&gt;0),SUMIFS('Unit Mix'!$Z$10:$Z$59,'Unit Mix'!$C$10:$C$59,25%,'Unit Mix'!$B$10:$B$59,5),0))</f>
        <v>0</v>
      </c>
      <c r="U36" s="2363"/>
      <c r="V36" s="2363">
        <f>ROUNDUP(K36*20%,0)</f>
        <v>0</v>
      </c>
      <c r="W36" s="2363"/>
      <c r="X36" s="2363">
        <f>SUM($V$32:W36)</f>
        <v>0</v>
      </c>
      <c r="Y36" s="2363"/>
      <c r="Z36" s="2363">
        <f>MAX(0,T36-V36)</f>
        <v>0</v>
      </c>
      <c r="AA36" s="2363"/>
      <c r="AB36" s="2363">
        <f>SUM($T$32:T36)</f>
        <v>0</v>
      </c>
      <c r="AC36" s="2363"/>
      <c r="AD36" s="2363" t="b">
        <f t="shared" si="3"/>
        <v>1</v>
      </c>
      <c r="AE36" s="2363"/>
      <c r="AF36" s="445"/>
      <c r="AG36" s="445"/>
      <c r="AH36" s="445"/>
      <c r="AI36" s="445"/>
      <c r="AJ36" s="445"/>
      <c r="AK36" s="445"/>
      <c r="AL36" s="445"/>
      <c r="AM36" s="1195"/>
      <c r="AN36" s="439"/>
      <c r="AO36" s="439"/>
      <c r="AP36" s="439"/>
      <c r="AQ36" s="439"/>
      <c r="AR36" s="439"/>
      <c r="AS36" s="439"/>
      <c r="AT36" s="439"/>
      <c r="AU36" s="439"/>
      <c r="AV36" s="439"/>
      <c r="AW36" s="439"/>
      <c r="AX36" s="439"/>
      <c r="AY36" s="439"/>
      <c r="AZ36" s="439"/>
      <c r="BA36" s="439"/>
      <c r="BB36" s="439"/>
      <c r="BC36" s="439"/>
      <c r="BD36" s="439"/>
      <c r="BE36" s="439"/>
      <c r="BF36" s="439"/>
      <c r="BG36" s="439"/>
      <c r="BH36" s="439"/>
      <c r="BI36" s="439"/>
      <c r="BJ36" s="439"/>
      <c r="BK36" s="439"/>
      <c r="BL36" s="439"/>
      <c r="BM36" s="439"/>
      <c r="BN36" s="439"/>
      <c r="BO36" s="439"/>
      <c r="BP36" s="439"/>
      <c r="BQ36" s="439"/>
      <c r="BR36" s="439"/>
      <c r="BS36" s="439"/>
      <c r="BT36" s="439"/>
      <c r="BU36" s="439"/>
      <c r="BV36" s="439"/>
      <c r="BW36" s="439"/>
      <c r="BX36" s="439"/>
      <c r="BY36" s="439"/>
      <c r="BZ36" s="439"/>
      <c r="CA36" s="439"/>
      <c r="CB36" s="439"/>
    </row>
    <row r="37" spans="1:80" s="439" customFormat="1" ht="18" customHeight="1">
      <c r="B37" s="1054"/>
      <c r="C37" s="1933" t="s">
        <v>1578</v>
      </c>
      <c r="D37" s="1934"/>
      <c r="E37" s="1934"/>
      <c r="F37" s="1934"/>
      <c r="G37" s="1934"/>
      <c r="H37" s="1934"/>
      <c r="I37" s="1934"/>
      <c r="J37" s="1935"/>
      <c r="K37" s="2363">
        <f>SUMIF('Unit Mix'!$B$10:$B$59,4,'Unit Mix'!$Z$10:$Z$59)</f>
        <v>0</v>
      </c>
      <c r="L37" s="2363"/>
      <c r="M37" s="4013" t="str">
        <f t="shared" si="0"/>
        <v>Units provided at 30% AMI:</v>
      </c>
      <c r="N37" s="4014"/>
      <c r="O37" s="4014"/>
      <c r="P37" s="4014"/>
      <c r="Q37" s="4014"/>
      <c r="R37" s="4014"/>
      <c r="S37" s="4015"/>
      <c r="T37" s="2363">
        <f>IF(AND(M37="Units provided at 30% AMI:",K37&gt;0),SUMIFS('Unit Mix'!$Z$10:$Z$59,'Unit Mix'!$C$10:$C$59,30%,'Unit Mix'!$B$10:$B$59,4),IF(AND(M37="Units provided at 25% AMI:",K37&gt;0),SUMIFS('Unit Mix'!$Z$10:$Z$59,'Unit Mix'!$C$10:$C$59,25%,'Unit Mix'!$B$10:$B$59,4),0))</f>
        <v>0</v>
      </c>
      <c r="U37" s="2363"/>
      <c r="V37" s="2363">
        <f t="shared" si="1"/>
        <v>0</v>
      </c>
      <c r="W37" s="2363"/>
      <c r="X37" s="2363">
        <f>SUM($V$32:W37)</f>
        <v>0</v>
      </c>
      <c r="Y37" s="2363"/>
      <c r="Z37" s="2363">
        <f t="shared" si="2"/>
        <v>0</v>
      </c>
      <c r="AA37" s="2363"/>
      <c r="AB37" s="2363">
        <f>SUM($T$32:T37)</f>
        <v>0</v>
      </c>
      <c r="AC37" s="2363"/>
      <c r="AD37" s="2363" t="b">
        <f t="shared" si="3"/>
        <v>1</v>
      </c>
      <c r="AE37" s="2363"/>
      <c r="AF37" s="445"/>
      <c r="AG37" s="445"/>
      <c r="AH37" s="445"/>
      <c r="AI37" s="445"/>
      <c r="AJ37" s="445"/>
      <c r="AK37" s="445"/>
      <c r="AL37" s="445"/>
      <c r="AM37" s="1195"/>
    </row>
    <row r="38" spans="1:80" s="303" customFormat="1" ht="18" customHeight="1">
      <c r="B38" s="1054"/>
      <c r="C38" s="1933" t="s">
        <v>1579</v>
      </c>
      <c r="D38" s="1934"/>
      <c r="E38" s="1934"/>
      <c r="F38" s="1934"/>
      <c r="G38" s="1934"/>
      <c r="H38" s="1934"/>
      <c r="I38" s="1934"/>
      <c r="J38" s="1935"/>
      <c r="K38" s="2363">
        <f>SUMIF('Unit Mix'!$B$10:$B$59,3,'Unit Mix'!$Z$10:$Z$59)</f>
        <v>0</v>
      </c>
      <c r="L38" s="2363"/>
      <c r="M38" s="4272" t="str">
        <f t="shared" si="0"/>
        <v>Units provided at 30% AMI:</v>
      </c>
      <c r="N38" s="4272"/>
      <c r="O38" s="4272"/>
      <c r="P38" s="4272"/>
      <c r="Q38" s="4272"/>
      <c r="R38" s="4272"/>
      <c r="S38" s="4272"/>
      <c r="T38" s="2363">
        <f>IF(AND(M38="Units provided at 30% AMI:",K38&gt;0),SUMIFS('Unit Mix'!$Z$10:$Z$59,'Unit Mix'!$C$10:$C$59,30%,'Unit Mix'!$B$10:$B$59,3),IF(AND(M38="Units provided at 25% AMI:",K38&gt;0),SUMIFS('Unit Mix'!$Z$10:$Z$59,'Unit Mix'!$C$10:$C$59,25%,'Unit Mix'!$B$10:$B$59,3),0))</f>
        <v>0</v>
      </c>
      <c r="U38" s="2363"/>
      <c r="V38" s="2363">
        <f t="shared" si="1"/>
        <v>0</v>
      </c>
      <c r="W38" s="2363"/>
      <c r="X38" s="2363">
        <f>SUM($V$32:W38)</f>
        <v>0</v>
      </c>
      <c r="Y38" s="2363"/>
      <c r="Z38" s="2363">
        <f t="shared" si="2"/>
        <v>0</v>
      </c>
      <c r="AA38" s="2363"/>
      <c r="AB38" s="2363">
        <f>SUM($T$32:T38)</f>
        <v>0</v>
      </c>
      <c r="AC38" s="2363"/>
      <c r="AD38" s="2363" t="b">
        <f t="shared" si="3"/>
        <v>1</v>
      </c>
      <c r="AE38" s="2363"/>
      <c r="AM38" s="1055"/>
    </row>
    <row r="39" spans="1:80" s="303" customFormat="1" ht="18" customHeight="1">
      <c r="B39" s="1054"/>
      <c r="C39" s="1933" t="s">
        <v>1580</v>
      </c>
      <c r="D39" s="1934"/>
      <c r="E39" s="1934"/>
      <c r="F39" s="1934"/>
      <c r="G39" s="1934"/>
      <c r="H39" s="1934"/>
      <c r="I39" s="1934"/>
      <c r="J39" s="1935"/>
      <c r="K39" s="2363">
        <f>SUMIF('Unit Mix'!$B$10:$B$59,2,'Unit Mix'!$Z$10:$Z$59)</f>
        <v>0</v>
      </c>
      <c r="L39" s="2363"/>
      <c r="M39" s="4013" t="str">
        <f t="shared" si="0"/>
        <v>Units provided at 30% AMI:</v>
      </c>
      <c r="N39" s="4014"/>
      <c r="O39" s="4014"/>
      <c r="P39" s="4014"/>
      <c r="Q39" s="4014"/>
      <c r="R39" s="4014"/>
      <c r="S39" s="4015"/>
      <c r="T39" s="2363">
        <f>IF(AND(M39="Units provided at 30% AMI:",K39&gt;0),SUMIFS('Unit Mix'!$Z$10:$Z$59,'Unit Mix'!$C$10:$C$59,30%,'Unit Mix'!$B$10:$B$59,2),IF(AND(M39="Units provided at 25% AMI:",K39&gt;0),SUMIFS('Unit Mix'!$Z$10:$Z$59,'Unit Mix'!$C$10:$C$59,25%,'Unit Mix'!$B$10:$B$59,2),0))</f>
        <v>0</v>
      </c>
      <c r="U39" s="2363"/>
      <c r="V39" s="2363">
        <f t="shared" si="1"/>
        <v>0</v>
      </c>
      <c r="W39" s="2363"/>
      <c r="X39" s="2363">
        <f>SUM($V$32:W39)</f>
        <v>0</v>
      </c>
      <c r="Y39" s="2363"/>
      <c r="Z39" s="2363">
        <f t="shared" si="2"/>
        <v>0</v>
      </c>
      <c r="AA39" s="2363"/>
      <c r="AB39" s="2363">
        <f>SUM($T$32:T39)</f>
        <v>0</v>
      </c>
      <c r="AC39" s="2363"/>
      <c r="AD39" s="2363" t="b">
        <f t="shared" si="3"/>
        <v>1</v>
      </c>
      <c r="AE39" s="2363"/>
      <c r="AM39" s="1055"/>
    </row>
    <row r="40" spans="1:80" s="303" customFormat="1" ht="18" customHeight="1">
      <c r="B40" s="1054"/>
      <c r="C40" s="1933" t="s">
        <v>1581</v>
      </c>
      <c r="D40" s="1934"/>
      <c r="E40" s="1934"/>
      <c r="F40" s="1934"/>
      <c r="G40" s="1934"/>
      <c r="H40" s="1934"/>
      <c r="I40" s="1934"/>
      <c r="J40" s="1935"/>
      <c r="K40" s="2363">
        <f>SUMIF('Unit Mix'!$B$10:$B$59,1,'Unit Mix'!$Z$10:$Z$59)</f>
        <v>0</v>
      </c>
      <c r="L40" s="2363"/>
      <c r="M40" s="4272" t="str">
        <f t="shared" si="0"/>
        <v>Units provided at 30% AMI:</v>
      </c>
      <c r="N40" s="4272"/>
      <c r="O40" s="4272"/>
      <c r="P40" s="4272"/>
      <c r="Q40" s="4272"/>
      <c r="R40" s="4272"/>
      <c r="S40" s="4272"/>
      <c r="T40" s="2363">
        <f>IF(AND(M40="Units provided at 30% AMI:",K40&gt;0),SUMIFS('Unit Mix'!$Z$10:$Z$59,'Unit Mix'!$C$10:$C$59,30%,'Unit Mix'!$B$10:$B$59,1),IF(AND(M40="Units provided at 25% AMI:",K40&gt;0),SUMIFS('Unit Mix'!$Z$10:$Z$59,'Unit Mix'!$C$10:$C$59,25%,'Unit Mix'!$B$10:$B$59,1),0))</f>
        <v>0</v>
      </c>
      <c r="U40" s="2363"/>
      <c r="V40" s="2363">
        <f t="shared" si="1"/>
        <v>0</v>
      </c>
      <c r="W40" s="2363"/>
      <c r="X40" s="2363">
        <f>SUM($V$32:W40)</f>
        <v>0</v>
      </c>
      <c r="Y40" s="2363"/>
      <c r="Z40" s="2363">
        <f t="shared" si="2"/>
        <v>0</v>
      </c>
      <c r="AA40" s="2363"/>
      <c r="AB40" s="2363">
        <f>SUM($T$32:T40)</f>
        <v>0</v>
      </c>
      <c r="AC40" s="2363"/>
      <c r="AD40" s="2363" t="b">
        <f t="shared" si="3"/>
        <v>1</v>
      </c>
      <c r="AE40" s="2363"/>
      <c r="AM40" s="1055"/>
    </row>
    <row r="41" spans="1:80" s="303" customFormat="1" ht="18" customHeight="1">
      <c r="B41" s="1054"/>
      <c r="C41" s="1933" t="s">
        <v>1582</v>
      </c>
      <c r="D41" s="1934"/>
      <c r="E41" s="1934"/>
      <c r="F41" s="1934"/>
      <c r="G41" s="1934"/>
      <c r="H41" s="1934"/>
      <c r="I41" s="1934"/>
      <c r="J41" s="1935"/>
      <c r="K41" s="2363">
        <f>SUMIF('Unit Mix'!$B$10:$B$59,0,'Unit Mix'!$Z$10:$Z$59)</f>
        <v>0</v>
      </c>
      <c r="L41" s="2363"/>
      <c r="M41" s="4013" t="str">
        <f t="shared" si="0"/>
        <v>Units provided at 30% AMI:</v>
      </c>
      <c r="N41" s="4014"/>
      <c r="O41" s="4014"/>
      <c r="P41" s="4014"/>
      <c r="Q41" s="4014"/>
      <c r="R41" s="4014"/>
      <c r="S41" s="4015"/>
      <c r="T41" s="2363">
        <f>IF(AND(M41="Units provided at 30% AMI:",K41&gt;0),SUMIFS('Unit Mix'!$Z$10:$Z$59,'Unit Mix'!$C$10:$C$59,30%,'Unit Mix'!$B$10:$B$59,0),IF(AND(M41="Units provided at 25% AMI:",K41&gt;0),SUMIFS('Unit Mix'!$Z$10:$Z$59,'Unit Mix'!$C$10:$C$59,25%,'Unit Mix'!$B$10:$B$59,0),0))</f>
        <v>0</v>
      </c>
      <c r="U41" s="2363"/>
      <c r="V41" s="2363">
        <f t="shared" si="1"/>
        <v>0</v>
      </c>
      <c r="W41" s="2363"/>
      <c r="X41" s="2363">
        <f>SUM($V$32:W41)</f>
        <v>0</v>
      </c>
      <c r="Y41" s="2363"/>
      <c r="Z41" s="2363">
        <f t="shared" si="2"/>
        <v>0</v>
      </c>
      <c r="AA41" s="2363"/>
      <c r="AB41" s="2363">
        <f>SUM($T$32:T41)</f>
        <v>0</v>
      </c>
      <c r="AC41" s="2363"/>
      <c r="AD41" s="2363" t="b">
        <f t="shared" si="3"/>
        <v>1</v>
      </c>
      <c r="AE41" s="2363"/>
      <c r="AF41" s="439"/>
      <c r="AG41" s="439"/>
      <c r="AH41" s="439"/>
      <c r="AI41" s="439"/>
      <c r="AJ41" s="439"/>
      <c r="AK41" s="439"/>
      <c r="AL41" s="439"/>
      <c r="AM41" s="1055"/>
      <c r="AN41" s="439"/>
    </row>
    <row r="42" spans="1:80" s="303" customFormat="1" ht="36" customHeight="1">
      <c r="B42" s="1054"/>
      <c r="C42" s="3986" t="s">
        <v>1583</v>
      </c>
      <c r="D42" s="3986"/>
      <c r="E42" s="3986"/>
      <c r="F42" s="3986"/>
      <c r="G42" s="3986"/>
      <c r="H42" s="3986"/>
      <c r="I42" s="3986"/>
      <c r="J42" s="3986"/>
      <c r="K42" s="4301">
        <f>SUM(K32:L41)</f>
        <v>0</v>
      </c>
      <c r="L42" s="4301"/>
      <c r="M42" s="4013" t="str">
        <f>IF(OR(County="San Francisco",County="Santa Clara",County="San Mateo",County="Marin"),"Total Units provided at 25% AMI:","Total Units provided at 30% AMI:")</f>
        <v>Total Units provided at 30% AMI:</v>
      </c>
      <c r="N42" s="4014"/>
      <c r="O42" s="4014"/>
      <c r="P42" s="4014"/>
      <c r="Q42" s="4014"/>
      <c r="R42" s="4014"/>
      <c r="S42" s="4015"/>
      <c r="T42" s="2363">
        <f>SUM(T32:U41)</f>
        <v>0</v>
      </c>
      <c r="U42" s="2363"/>
      <c r="V42" s="439"/>
      <c r="W42" s="439"/>
      <c r="X42" s="439"/>
      <c r="Y42" s="439"/>
      <c r="Z42" s="2363" t="s">
        <v>1584</v>
      </c>
      <c r="AA42" s="2363"/>
      <c r="AB42" s="2363"/>
      <c r="AC42" s="2363"/>
      <c r="AD42" s="2363" t="b">
        <f>AND(AD32:AE41)</f>
        <v>1</v>
      </c>
      <c r="AE42" s="2363"/>
      <c r="AF42" s="439"/>
      <c r="AG42" s="439"/>
      <c r="AH42" s="439"/>
      <c r="AI42" s="439"/>
      <c r="AJ42" s="439"/>
      <c r="AK42" s="439"/>
      <c r="AL42" s="439"/>
      <c r="AM42" s="1055"/>
    </row>
    <row r="43" spans="1:80" s="303" customFormat="1" ht="18" customHeight="1">
      <c r="B43" s="1463"/>
      <c r="C43" s="1464"/>
      <c r="J43" s="3987"/>
      <c r="K43" s="3987"/>
      <c r="L43" s="3987"/>
      <c r="M43" s="3987"/>
      <c r="N43" s="3987"/>
      <c r="O43" s="3987"/>
      <c r="P43" s="3987"/>
      <c r="Q43" s="3987"/>
      <c r="R43" s="3987"/>
      <c r="S43" s="3987"/>
      <c r="T43" s="3987"/>
      <c r="U43" s="3987"/>
      <c r="V43" s="3987"/>
      <c r="W43" s="3987"/>
      <c r="X43" s="3987"/>
      <c r="Y43" s="3987"/>
      <c r="Z43" s="3987"/>
      <c r="AA43" s="3987"/>
      <c r="AB43" s="439"/>
      <c r="AC43" s="439"/>
      <c r="AD43" s="1464"/>
      <c r="AE43" s="1464"/>
      <c r="AF43" s="1464"/>
      <c r="AG43" s="1464"/>
      <c r="AH43" s="1464"/>
      <c r="AI43" s="1464"/>
      <c r="AJ43" s="1464"/>
      <c r="AK43" s="1464"/>
      <c r="AL43" s="1464"/>
      <c r="AM43" s="1589"/>
    </row>
    <row r="44" spans="1:80" ht="18" customHeight="1">
      <c r="A44" s="1058"/>
      <c r="B44" s="4116" t="s">
        <v>1585</v>
      </c>
      <c r="C44" s="4116"/>
      <c r="D44" s="4118" t="s">
        <v>1586</v>
      </c>
      <c r="E44" s="4118"/>
      <c r="F44" s="4121">
        <v>0.55000000000000004</v>
      </c>
      <c r="G44" s="4121"/>
      <c r="H44" s="4121"/>
      <c r="I44" s="4121"/>
      <c r="J44" s="4121">
        <v>0.5</v>
      </c>
      <c r="K44" s="4121"/>
      <c r="L44" s="4121"/>
      <c r="M44" s="4121"/>
      <c r="N44" s="4121">
        <v>0.45</v>
      </c>
      <c r="O44" s="4121"/>
      <c r="P44" s="4121"/>
      <c r="Q44" s="4121"/>
      <c r="R44" s="4121">
        <v>0.4</v>
      </c>
      <c r="S44" s="4121"/>
      <c r="T44" s="4121"/>
      <c r="U44" s="4121"/>
      <c r="V44" s="4121">
        <v>0.35</v>
      </c>
      <c r="W44" s="4121"/>
      <c r="X44" s="4121"/>
      <c r="Y44" s="4121"/>
      <c r="Z44" s="4121">
        <v>0.3</v>
      </c>
      <c r="AA44" s="4121"/>
      <c r="AB44" s="4121"/>
      <c r="AC44" s="4121"/>
      <c r="AD44" s="4121">
        <v>0.25</v>
      </c>
      <c r="AE44" s="4121"/>
      <c r="AF44" s="4121"/>
      <c r="AG44" s="4121"/>
      <c r="AH44" s="4121" t="s">
        <v>1587</v>
      </c>
      <c r="AI44" s="4121"/>
      <c r="AJ44" s="4121"/>
      <c r="AK44" s="4121"/>
      <c r="AL44" s="4133" t="s">
        <v>1588</v>
      </c>
      <c r="AM44" s="4133"/>
      <c r="AN44" s="1305"/>
      <c r="AO44" s="1058"/>
      <c r="AQ44" s="1448"/>
      <c r="AR44" s="1448"/>
      <c r="AS44" s="1448"/>
      <c r="AT44" s="1058"/>
      <c r="AU44" s="1058"/>
      <c r="AV44" s="1058"/>
      <c r="AW44" s="1058"/>
      <c r="AX44" s="1058"/>
      <c r="AY44" s="1058"/>
      <c r="AZ44" s="1058"/>
      <c r="BA44" s="1058"/>
      <c r="BB44" s="1058"/>
      <c r="BC44" s="1058"/>
      <c r="BD44" s="1058"/>
      <c r="BE44" s="1058"/>
      <c r="BF44" s="1058"/>
      <c r="BG44" s="1058"/>
      <c r="BH44" s="1058"/>
      <c r="BI44" s="1058"/>
      <c r="BJ44" s="1058"/>
      <c r="BK44" s="1058"/>
      <c r="BL44" s="1058"/>
      <c r="BM44" s="1058"/>
      <c r="BN44" s="1058"/>
      <c r="BO44" s="1058"/>
      <c r="BP44" s="1058"/>
      <c r="BQ44" s="1058"/>
      <c r="BR44" s="1058"/>
      <c r="BS44" s="1058"/>
      <c r="BT44" s="1058"/>
      <c r="BU44" s="1058"/>
      <c r="BV44" s="1058"/>
      <c r="BW44" s="1058"/>
      <c r="BX44" s="1058"/>
      <c r="BY44" s="1058"/>
      <c r="BZ44" s="1058"/>
      <c r="CA44" s="1058"/>
      <c r="CB44" s="1058"/>
    </row>
    <row r="45" spans="1:80" s="361" customFormat="1" ht="54" customHeight="1">
      <c r="A45" s="1452"/>
      <c r="B45" s="4116"/>
      <c r="C45" s="4116"/>
      <c r="D45" s="4118" t="s">
        <v>1589</v>
      </c>
      <c r="E45" s="4118"/>
      <c r="F45" s="4119" t="s">
        <v>1590</v>
      </c>
      <c r="G45" s="4119"/>
      <c r="H45" s="4120" t="s">
        <v>1591</v>
      </c>
      <c r="I45" s="4120"/>
      <c r="J45" s="4119" t="s">
        <v>1590</v>
      </c>
      <c r="K45" s="4119"/>
      <c r="L45" s="4120" t="s">
        <v>1591</v>
      </c>
      <c r="M45" s="4120"/>
      <c r="N45" s="4119" t="s">
        <v>1590</v>
      </c>
      <c r="O45" s="4119"/>
      <c r="P45" s="4120" t="s">
        <v>1591</v>
      </c>
      <c r="Q45" s="4120"/>
      <c r="R45" s="4119" t="s">
        <v>1590</v>
      </c>
      <c r="S45" s="4119"/>
      <c r="T45" s="4120" t="s">
        <v>1591</v>
      </c>
      <c r="U45" s="4120"/>
      <c r="V45" s="4119" t="s">
        <v>1590</v>
      </c>
      <c r="W45" s="4119"/>
      <c r="X45" s="4120" t="s">
        <v>1591</v>
      </c>
      <c r="Y45" s="4120"/>
      <c r="Z45" s="4119" t="s">
        <v>1590</v>
      </c>
      <c r="AA45" s="4119"/>
      <c r="AB45" s="4120" t="s">
        <v>1591</v>
      </c>
      <c r="AC45" s="4120"/>
      <c r="AD45" s="4119" t="s">
        <v>1590</v>
      </c>
      <c r="AE45" s="4119"/>
      <c r="AF45" s="4120" t="s">
        <v>1591</v>
      </c>
      <c r="AG45" s="4120"/>
      <c r="AH45" s="4119" t="s">
        <v>1590</v>
      </c>
      <c r="AI45" s="4119"/>
      <c r="AJ45" s="4120" t="s">
        <v>1591</v>
      </c>
      <c r="AK45" s="4120"/>
      <c r="AL45" s="4133"/>
      <c r="AM45" s="4133"/>
      <c r="AN45" s="1305"/>
      <c r="AO45" s="1058"/>
      <c r="AP45" s="1058"/>
      <c r="AQ45" s="1448"/>
      <c r="AR45" s="514"/>
      <c r="AS45" s="514"/>
      <c r="AT45" s="1452"/>
      <c r="AU45" s="1452"/>
      <c r="AV45" s="1452"/>
      <c r="AW45" s="1452"/>
      <c r="AX45" s="1452"/>
      <c r="AY45" s="1452"/>
      <c r="AZ45" s="1452"/>
      <c r="BA45" s="1452"/>
      <c r="BB45" s="1452"/>
      <c r="BC45" s="1452"/>
      <c r="BD45" s="1452"/>
      <c r="BE45" s="1452"/>
      <c r="BF45" s="1452"/>
      <c r="BG45" s="1452"/>
      <c r="BH45" s="1452"/>
      <c r="BI45" s="1452"/>
      <c r="BJ45" s="1452"/>
      <c r="BK45" s="1452"/>
      <c r="BL45" s="1452"/>
      <c r="BM45" s="1452"/>
      <c r="BN45" s="1452"/>
      <c r="BO45" s="1452"/>
      <c r="BP45" s="1452"/>
      <c r="BQ45" s="1452"/>
      <c r="BR45" s="1452"/>
      <c r="BS45" s="1452"/>
      <c r="BT45" s="1452"/>
      <c r="BU45" s="1452"/>
      <c r="BV45" s="1452"/>
      <c r="BW45" s="1452"/>
      <c r="BX45" s="1452"/>
      <c r="BY45" s="1452"/>
      <c r="BZ45" s="1452"/>
      <c r="CA45" s="1452"/>
      <c r="CB45" s="1452"/>
    </row>
    <row r="46" spans="1:80" ht="18" customHeight="1">
      <c r="A46" s="1058"/>
      <c r="B46" s="4116"/>
      <c r="C46" s="4116"/>
      <c r="D46" s="4117">
        <v>0.5</v>
      </c>
      <c r="E46" s="4117"/>
      <c r="F46" s="4102">
        <v>5</v>
      </c>
      <c r="G46" s="4102">
        <v>10</v>
      </c>
      <c r="H46" s="4109" t="str">
        <f>IF(AND('Project Overview'!$AL$135="Yes",'Unit Mix'!$BV$73&gt;=0.5),Scoring!F46,"")</f>
        <v/>
      </c>
      <c r="I46" s="4109"/>
      <c r="J46" s="4102">
        <v>12.5</v>
      </c>
      <c r="K46" s="4102">
        <v>25</v>
      </c>
      <c r="L46" s="4109" t="str">
        <f>IF(AND('Project Overview'!$AL$135="Yes",'Unit Mix'!$BV$72&gt;=0.5),Scoring!J46,"")</f>
        <v/>
      </c>
      <c r="M46" s="4109"/>
      <c r="N46" s="4109">
        <v>18.75</v>
      </c>
      <c r="O46" s="4109">
        <v>37.5</v>
      </c>
      <c r="P46" s="4109" t="str">
        <f>IF('Unit Mix'!$BV$71&gt;=0.5,Scoring!N46,"")</f>
        <v/>
      </c>
      <c r="Q46" s="4109"/>
      <c r="R46" s="4109">
        <v>17.5</v>
      </c>
      <c r="S46" s="4109"/>
      <c r="T46" s="4109" t="str">
        <f>IF('Unit Mix'!$BV$70&gt;=0.5,Scoring!R46,"")</f>
        <v/>
      </c>
      <c r="U46" s="4109"/>
      <c r="V46" s="4131">
        <v>18.75</v>
      </c>
      <c r="W46" s="4131"/>
      <c r="X46" s="4132" t="str">
        <f>IF('Unit Mix'!$BV$69&gt;=0.5,Scoring!V46,"")</f>
        <v/>
      </c>
      <c r="Y46" s="4132"/>
      <c r="Z46" s="2308">
        <v>30</v>
      </c>
      <c r="AA46" s="2308"/>
      <c r="AB46" s="2308" t="str">
        <f>IF('Unit Mix'!$BV$68&gt;=0.5,Scoring!Z46,"")</f>
        <v/>
      </c>
      <c r="AC46" s="2308"/>
      <c r="AD46" s="4109">
        <v>30</v>
      </c>
      <c r="AE46" s="4109"/>
      <c r="AF46" s="4109" t="str">
        <f>IF('Unit Mix'!$BV$67&gt;=0.5,Scoring!AD46,"")</f>
        <v/>
      </c>
      <c r="AG46" s="4109"/>
      <c r="AH46" s="2308">
        <v>30</v>
      </c>
      <c r="AI46" s="2308"/>
      <c r="AJ46" s="4109" t="str">
        <f>IF('Unit Mix'!$BV$66&gt;=0.5,Scoring!AH46,"")</f>
        <v/>
      </c>
      <c r="AK46" s="4109"/>
      <c r="AL46" s="4108">
        <f>SUM($H$46,$L$46,$P$46,$T$46,$X$46,$AB$46,$AF$46,$AJ$46)</f>
        <v>0</v>
      </c>
      <c r="AM46" s="4108"/>
      <c r="AN46" s="1305"/>
      <c r="AO46" s="1058"/>
      <c r="AQ46" s="1448"/>
      <c r="AR46" s="1448"/>
      <c r="AS46" s="1448"/>
      <c r="AT46" s="1058"/>
      <c r="AU46" s="1058"/>
      <c r="AV46" s="1058"/>
      <c r="AW46" s="1058"/>
      <c r="AX46" s="1058"/>
      <c r="AY46" s="1058"/>
      <c r="AZ46" s="1058"/>
      <c r="BA46" s="1058"/>
      <c r="BB46" s="1058"/>
      <c r="BC46" s="1058"/>
      <c r="BD46" s="1058"/>
      <c r="BE46" s="1058"/>
      <c r="BF46" s="1058"/>
      <c r="BG46" s="1058"/>
      <c r="BH46" s="1058"/>
      <c r="BI46" s="1058"/>
      <c r="BJ46" s="1058"/>
      <c r="BK46" s="1058"/>
      <c r="BL46" s="1058"/>
      <c r="BM46" s="1058"/>
      <c r="BN46" s="1058"/>
      <c r="BO46" s="1058"/>
      <c r="BP46" s="1058"/>
      <c r="BQ46" s="1058"/>
      <c r="BR46" s="1058"/>
      <c r="BS46" s="1058"/>
      <c r="BT46" s="1058"/>
      <c r="BU46" s="1058"/>
      <c r="BV46" s="1058"/>
      <c r="BW46" s="1058"/>
      <c r="BX46" s="1058"/>
      <c r="BY46" s="1058"/>
      <c r="BZ46" s="1058"/>
      <c r="CA46" s="1058"/>
      <c r="CB46" s="1058"/>
    </row>
    <row r="47" spans="1:80" ht="18" customHeight="1">
      <c r="A47" s="1058"/>
      <c r="B47" s="4116"/>
      <c r="C47" s="4116"/>
      <c r="D47" s="4117">
        <v>0.45</v>
      </c>
      <c r="E47" s="4117"/>
      <c r="F47" s="4102">
        <v>5</v>
      </c>
      <c r="G47" s="4102">
        <v>10</v>
      </c>
      <c r="H47" s="4109" t="str">
        <f>IF(AND('Project Overview'!$AL$135="Yes",'Unit Mix'!$BV$73&gt;=0.45,'Unit Mix'!$BV$73&lt;0.5),Scoring!F47,"")</f>
        <v/>
      </c>
      <c r="I47" s="4109"/>
      <c r="J47" s="4102">
        <v>11.25</v>
      </c>
      <c r="K47" s="4102">
        <v>22.5</v>
      </c>
      <c r="L47" s="4109" t="str">
        <f>IF(AND('Project Overview'!$AL$135="Yes",'Unit Mix'!$BV$72&gt;=0.45,'Unit Mix'!$BV$72&lt;0.5),Scoring!J47,"")</f>
        <v/>
      </c>
      <c r="M47" s="4109"/>
      <c r="N47" s="4109">
        <v>16.899999999999999</v>
      </c>
      <c r="O47" s="4109">
        <v>33.799999999999997</v>
      </c>
      <c r="P47" s="4109" t="str">
        <f>IF(AND('Unit Mix'!$BV$71&gt;=0.45,'Unit Mix'!$BV$71&lt;0.5),Scoring!N47,"")</f>
        <v/>
      </c>
      <c r="Q47" s="4109"/>
      <c r="R47" s="4109">
        <v>17.5</v>
      </c>
      <c r="S47" s="4109"/>
      <c r="T47" s="4109" t="str">
        <f>IF(AND('Unit Mix'!$BV$70&gt;=0.45,'Unit Mix'!$BV$70&lt;0.5),Scoring!R47,"")</f>
        <v/>
      </c>
      <c r="U47" s="4109"/>
      <c r="V47" s="4131">
        <v>18.75</v>
      </c>
      <c r="W47" s="4131"/>
      <c r="X47" s="4132" t="str">
        <f>IF(AND('Unit Mix'!$BV$69&gt;=0.45,'Unit Mix'!$BV$69&lt;0.5),Scoring!V47,"")</f>
        <v/>
      </c>
      <c r="Y47" s="4132"/>
      <c r="Z47" s="2308">
        <v>30</v>
      </c>
      <c r="AA47" s="2308"/>
      <c r="AB47" s="2308" t="str">
        <f>IF(AND('Unit Mix'!$BV$68&gt;=0.45,'Unit Mix'!$BV$68&lt;0.5),Scoring!Z47,"")</f>
        <v/>
      </c>
      <c r="AC47" s="2308"/>
      <c r="AD47" s="4109">
        <v>30</v>
      </c>
      <c r="AE47" s="4109"/>
      <c r="AF47" s="4109" t="str">
        <f>IF(AND('Unit Mix'!$BV$67&gt;=0.45,'Unit Mix'!$BV$67&lt;0.5),Scoring!AD47,"")</f>
        <v/>
      </c>
      <c r="AG47" s="4109"/>
      <c r="AH47" s="2308">
        <v>30</v>
      </c>
      <c r="AI47" s="2308"/>
      <c r="AJ47" s="4109" t="str">
        <f>IF(AND('Unit Mix'!$BV$66&gt;=0.45,'Unit Mix'!$BV$66&lt;0.5),Scoring!AH47,"")</f>
        <v/>
      </c>
      <c r="AK47" s="4109"/>
      <c r="AL47" s="4108">
        <f>SUM($H$47,$L$47,$P$47,$T$47,$X$47,$AB$47,$AF$47,$AJ$47)</f>
        <v>0</v>
      </c>
      <c r="AM47" s="4108"/>
      <c r="AN47" s="1305"/>
      <c r="AO47" s="1058"/>
      <c r="AQ47" s="1448"/>
      <c r="AR47" s="1448"/>
      <c r="AS47" s="1448"/>
      <c r="AT47" s="1058"/>
      <c r="AU47" s="1058"/>
      <c r="AV47" s="1058"/>
      <c r="AW47" s="1058"/>
      <c r="AX47" s="1058"/>
      <c r="AY47" s="1058"/>
      <c r="AZ47" s="1058"/>
      <c r="BA47" s="1058"/>
      <c r="BB47" s="1058"/>
      <c r="BC47" s="1058"/>
      <c r="BD47" s="1058"/>
      <c r="BE47" s="1058"/>
      <c r="BF47" s="1058"/>
      <c r="BG47" s="1058"/>
      <c r="BH47" s="1058"/>
      <c r="BI47" s="1058"/>
      <c r="BJ47" s="1058"/>
      <c r="BK47" s="1058"/>
      <c r="BL47" s="1058"/>
      <c r="BM47" s="1058"/>
      <c r="BN47" s="1058"/>
      <c r="BO47" s="1058"/>
      <c r="BP47" s="1058"/>
      <c r="BQ47" s="1058"/>
      <c r="BR47" s="1058"/>
      <c r="BS47" s="1058"/>
      <c r="BT47" s="1058"/>
      <c r="BU47" s="1058"/>
      <c r="BV47" s="1058"/>
      <c r="BW47" s="1058"/>
      <c r="BX47" s="1058"/>
      <c r="BY47" s="1058"/>
      <c r="BZ47" s="1058"/>
      <c r="CA47" s="1058"/>
      <c r="CB47" s="1058"/>
    </row>
    <row r="48" spans="1:80" ht="18" customHeight="1">
      <c r="A48" s="1058"/>
      <c r="B48" s="4116"/>
      <c r="C48" s="4116"/>
      <c r="D48" s="4117">
        <v>0.4</v>
      </c>
      <c r="E48" s="4117"/>
      <c r="F48" s="4102">
        <v>5</v>
      </c>
      <c r="G48" s="4102">
        <v>10</v>
      </c>
      <c r="H48" s="4109" t="str">
        <f>IF(AND('Project Overview'!$AL$135="Yes",'Unit Mix'!$BV$73&gt;=0.4,'Unit Mix'!$BV$73&lt;0.45),Scoring!F48,"")</f>
        <v/>
      </c>
      <c r="I48" s="4109"/>
      <c r="J48" s="4109">
        <v>10</v>
      </c>
      <c r="K48" s="4109">
        <v>20</v>
      </c>
      <c r="L48" s="4109" t="str">
        <f>IF(AND('Unit Mix'!$BV$72&gt;=0.4,'Unit Mix'!$BV$72&lt;0.45),Scoring!J48,"")</f>
        <v/>
      </c>
      <c r="M48" s="4109"/>
      <c r="N48" s="4109">
        <v>15</v>
      </c>
      <c r="O48" s="4109">
        <v>30</v>
      </c>
      <c r="P48" s="4109" t="str">
        <f>IF(AND('Unit Mix'!$BV$71&gt;=0.4,'Unit Mix'!$BV$71&lt;0.45),Scoring!N48,"")</f>
        <v/>
      </c>
      <c r="Q48" s="4109"/>
      <c r="R48" s="4109">
        <v>17.5</v>
      </c>
      <c r="S48" s="4109"/>
      <c r="T48" s="4109" t="str">
        <f>IF(AND('Unit Mix'!$BV$70&gt;=0.4,'Unit Mix'!$BV$70&lt;0.45),Scoring!R48,"")</f>
        <v/>
      </c>
      <c r="U48" s="4109"/>
      <c r="V48" s="4131">
        <v>18.75</v>
      </c>
      <c r="W48" s="4131"/>
      <c r="X48" s="4132" t="str">
        <f>IF(AND('Unit Mix'!$BV$69&gt;=0.4,'Unit Mix'!$BV$69&lt;0.45),Scoring!V48,"")</f>
        <v/>
      </c>
      <c r="Y48" s="4132"/>
      <c r="Z48" s="2308">
        <v>27.5</v>
      </c>
      <c r="AA48" s="2308"/>
      <c r="AB48" s="2308" t="str">
        <f>IF(AND('Unit Mix'!$BV$68&gt;=0.4,'Unit Mix'!$BV$68&lt;0.45),Scoring!Z48,"")</f>
        <v/>
      </c>
      <c r="AC48" s="2308"/>
      <c r="AD48" s="4109">
        <v>30</v>
      </c>
      <c r="AE48" s="4109"/>
      <c r="AF48" s="4109" t="str">
        <f>IF(AND('Unit Mix'!$BV$67&gt;=0.4,'Unit Mix'!$BV$67&lt;0.45),Scoring!AD48,"")</f>
        <v/>
      </c>
      <c r="AG48" s="4109"/>
      <c r="AH48" s="2308">
        <v>30</v>
      </c>
      <c r="AI48" s="2308"/>
      <c r="AJ48" s="4109" t="str">
        <f>IF(AND('Unit Mix'!$BV$66&gt;=0.4,'Unit Mix'!$BV$66&lt;0.45),Scoring!AH48,"")</f>
        <v/>
      </c>
      <c r="AK48" s="4109"/>
      <c r="AL48" s="4108">
        <f>SUM($H$48,$L$48,$P$48,$T$48,$X$48,$AB$48,$AF$48,$AJ$48)</f>
        <v>0</v>
      </c>
      <c r="AM48" s="4108"/>
      <c r="AN48" s="1305"/>
      <c r="AO48" s="1058"/>
      <c r="AQ48" s="1448"/>
      <c r="AR48" s="1448"/>
      <c r="AS48" s="1448"/>
      <c r="AT48" s="1058"/>
      <c r="AU48" s="1058"/>
      <c r="AV48" s="1058"/>
      <c r="AW48" s="1058"/>
      <c r="AX48" s="1058"/>
      <c r="AY48" s="1058"/>
      <c r="AZ48" s="1058"/>
      <c r="BA48" s="1058"/>
      <c r="BB48" s="1058"/>
      <c r="BC48" s="1058"/>
      <c r="BD48" s="1058"/>
      <c r="BE48" s="1058"/>
      <c r="BF48" s="1058"/>
      <c r="BG48" s="1058"/>
      <c r="BH48" s="1058"/>
      <c r="BI48" s="1058"/>
      <c r="BJ48" s="1058"/>
      <c r="BK48" s="1058"/>
      <c r="BL48" s="1058"/>
      <c r="BM48" s="1058"/>
      <c r="BN48" s="1058"/>
      <c r="BO48" s="1058"/>
      <c r="BP48" s="1058"/>
      <c r="BQ48" s="1058"/>
      <c r="BR48" s="1058"/>
      <c r="BS48" s="1058"/>
      <c r="BT48" s="1058"/>
      <c r="BU48" s="1058"/>
      <c r="BV48" s="1058"/>
      <c r="BW48" s="1058"/>
      <c r="BX48" s="1058"/>
      <c r="BY48" s="1058"/>
      <c r="BZ48" s="1058"/>
      <c r="CA48" s="1058"/>
      <c r="CB48" s="1058"/>
    </row>
    <row r="49" spans="1:80" ht="18" customHeight="1">
      <c r="A49" s="1058"/>
      <c r="B49" s="4116"/>
      <c r="C49" s="4116"/>
      <c r="D49" s="4117">
        <v>0.35</v>
      </c>
      <c r="E49" s="4117"/>
      <c r="F49" s="4102">
        <v>4.4000000000000004</v>
      </c>
      <c r="G49" s="4102">
        <v>8.8000000000000007</v>
      </c>
      <c r="H49" s="4109" t="str">
        <f>IF(AND('Project Overview'!$AL$135="Yes",'Unit Mix'!$BV$73&gt;=0.35,'Unit Mix'!$BV$73&lt;0.4),Scoring!F49,"")</f>
        <v/>
      </c>
      <c r="I49" s="4109"/>
      <c r="J49" s="4109">
        <v>8.75</v>
      </c>
      <c r="K49" s="4109">
        <v>17.5</v>
      </c>
      <c r="L49" s="4109" t="str">
        <f>IF(AND('Unit Mix'!$BV$72&gt;=0.35,'Unit Mix'!$BV$72&lt;0.4),Scoring!J49,"")</f>
        <v/>
      </c>
      <c r="M49" s="4109"/>
      <c r="N49" s="4109">
        <v>13.15</v>
      </c>
      <c r="O49" s="4109">
        <v>26.3</v>
      </c>
      <c r="P49" s="4109" t="str">
        <f>IF(AND('Unit Mix'!$BV$71&gt;=0.35,'Unit Mix'!$BV$71&lt;0.4),Scoring!N49,"")</f>
        <v/>
      </c>
      <c r="Q49" s="4109"/>
      <c r="R49" s="4109">
        <v>17.5</v>
      </c>
      <c r="S49" s="4109"/>
      <c r="T49" s="4109" t="str">
        <f>IF(AND('Unit Mix'!$BV$70&gt;=0.35,'Unit Mix'!$BV$70&lt;0.4),Scoring!R49,"")</f>
        <v/>
      </c>
      <c r="U49" s="4109"/>
      <c r="V49" s="4131">
        <v>18.75</v>
      </c>
      <c r="W49" s="4131"/>
      <c r="X49" s="4132" t="str">
        <f>IF(AND('Unit Mix'!$BV$69&gt;=0.35,'Unit Mix'!$BV$69&lt;0.4),Scoring!V49,"")</f>
        <v/>
      </c>
      <c r="Y49" s="4132"/>
      <c r="Z49" s="2308">
        <v>25</v>
      </c>
      <c r="AA49" s="2308"/>
      <c r="AB49" s="2308" t="str">
        <f>IF(AND('Unit Mix'!$BV$68&gt;=0.35,'Unit Mix'!$BV$68&lt;0.4),Scoring!Z49,"")</f>
        <v/>
      </c>
      <c r="AC49" s="2308"/>
      <c r="AD49" s="4109">
        <v>27.5</v>
      </c>
      <c r="AE49" s="4109"/>
      <c r="AF49" s="4109" t="str">
        <f>IF(AND('Unit Mix'!$BV$67&gt;=0.35,'Unit Mix'!$BV$67&lt;0.4),Scoring!AD49,"")</f>
        <v/>
      </c>
      <c r="AG49" s="4109"/>
      <c r="AH49" s="2308">
        <v>30</v>
      </c>
      <c r="AI49" s="2308"/>
      <c r="AJ49" s="4109" t="str">
        <f>IF(AND('Unit Mix'!$BV$66&gt;=0.35,'Unit Mix'!$BV$66&lt;0.4),Scoring!AH49,"")</f>
        <v/>
      </c>
      <c r="AK49" s="4109"/>
      <c r="AL49" s="4108">
        <f>SUM($H$49,$L$49,$P$49,$T$49,$X$49,$AB$49,$AF$49,$AJ$49)</f>
        <v>0</v>
      </c>
      <c r="AM49" s="4108"/>
      <c r="AN49" s="1305"/>
      <c r="AO49" s="1058"/>
      <c r="AQ49" s="1448"/>
      <c r="AR49" s="1448"/>
      <c r="AS49" s="1448"/>
      <c r="AT49" s="1058"/>
      <c r="AU49" s="1058"/>
      <c r="AV49" s="1058"/>
      <c r="AW49" s="1058"/>
      <c r="AX49" s="1058"/>
      <c r="AY49" s="1058"/>
      <c r="AZ49" s="1058"/>
      <c r="BA49" s="1058"/>
      <c r="BB49" s="1058"/>
      <c r="BC49" s="1058"/>
      <c r="BD49" s="1058"/>
      <c r="BE49" s="1058"/>
      <c r="BF49" s="1058"/>
      <c r="BG49" s="1058"/>
      <c r="BH49" s="1058"/>
      <c r="BI49" s="1058"/>
      <c r="BJ49" s="1058"/>
      <c r="BK49" s="1058"/>
      <c r="BL49" s="1058"/>
      <c r="BM49" s="1058"/>
      <c r="BN49" s="1058"/>
      <c r="BO49" s="1058"/>
      <c r="BP49" s="1058"/>
      <c r="BQ49" s="1058"/>
      <c r="BR49" s="1058"/>
      <c r="BS49" s="1058"/>
      <c r="BT49" s="1058"/>
      <c r="BU49" s="1058"/>
      <c r="BV49" s="1058"/>
      <c r="BW49" s="1058"/>
      <c r="BX49" s="1058"/>
      <c r="BY49" s="1058"/>
      <c r="BZ49" s="1058"/>
      <c r="CA49" s="1058"/>
      <c r="CB49" s="1058"/>
    </row>
    <row r="50" spans="1:80" ht="18" customHeight="1">
      <c r="B50" s="4116"/>
      <c r="C50" s="4116"/>
      <c r="D50" s="4117">
        <v>0.3</v>
      </c>
      <c r="E50" s="4117"/>
      <c r="F50" s="4102">
        <v>3.75</v>
      </c>
      <c r="G50" s="4102">
        <v>7.5</v>
      </c>
      <c r="H50" s="4109" t="str">
        <f>IF(AND('Project Overview'!$AL$135="Yes",'Unit Mix'!$BV$73&gt;=0.3,'Unit Mix'!$BV$73&lt;0.35),Scoring!F50,"")</f>
        <v/>
      </c>
      <c r="I50" s="4109"/>
      <c r="J50" s="4109">
        <v>7.5</v>
      </c>
      <c r="K50" s="4109">
        <v>15</v>
      </c>
      <c r="L50" s="4109" t="str">
        <f>IF(AND('Unit Mix'!$BV$72&gt;=0.3,'Unit Mix'!$BV$72&lt;0.35),Scoring!J50,"")</f>
        <v/>
      </c>
      <c r="M50" s="4109"/>
      <c r="N50" s="4109">
        <v>11.25</v>
      </c>
      <c r="O50" s="4109">
        <v>22.5</v>
      </c>
      <c r="P50" s="4109" t="str">
        <f>IF(AND('Unit Mix'!$BV$71&gt;=0.3,'Unit Mix'!$BV$71&lt;0.35),Scoring!N50,"")</f>
        <v/>
      </c>
      <c r="Q50" s="4109"/>
      <c r="R50" s="4109">
        <v>15</v>
      </c>
      <c r="S50" s="4109"/>
      <c r="T50" s="4109" t="str">
        <f>IF(AND('Unit Mix'!$BV$70&gt;=0.3,'Unit Mix'!$BV$70&lt;0.35),Scoring!R50,"")</f>
        <v/>
      </c>
      <c r="U50" s="4109"/>
      <c r="V50" s="2308">
        <v>18.75</v>
      </c>
      <c r="W50" s="2308"/>
      <c r="X50" s="4132" t="str">
        <f>IF(AND('Unit Mix'!$BV$69&gt;=0.3,'Unit Mix'!$BV$69&lt;0.35),Scoring!V50,"")</f>
        <v/>
      </c>
      <c r="Y50" s="4132"/>
      <c r="Z50" s="2308">
        <v>22.5</v>
      </c>
      <c r="AA50" s="2308"/>
      <c r="AB50" s="2308" t="str">
        <f>IF(AND('Unit Mix'!$BV$68&gt;=0.3,'Unit Mix'!$BV$68&lt;0.35),Scoring!Z50,"")</f>
        <v/>
      </c>
      <c r="AC50" s="2308"/>
      <c r="AD50" s="4109">
        <v>25</v>
      </c>
      <c r="AE50" s="4109"/>
      <c r="AF50" s="4109" t="str">
        <f>IF(AND('Unit Mix'!$BV$67&gt;=0.3,'Unit Mix'!$BV$67&lt;0.35),Scoring!AD50,"")</f>
        <v/>
      </c>
      <c r="AG50" s="4109"/>
      <c r="AH50" s="2308">
        <v>30</v>
      </c>
      <c r="AI50" s="2308"/>
      <c r="AJ50" s="4109" t="str">
        <f>IF(AND('Unit Mix'!$BV$66&gt;=0.3,'Unit Mix'!$BV$66&lt;0.35),Scoring!AH50,"")</f>
        <v/>
      </c>
      <c r="AK50" s="4109"/>
      <c r="AL50" s="4108">
        <f>SUM($H$50,$L$50,$P$50,$T$50,$X$50,$AB$50,$AF$50,$AJ$50)</f>
        <v>0</v>
      </c>
      <c r="AM50" s="4108"/>
      <c r="AN50" s="1305"/>
      <c r="AO50" s="1058"/>
      <c r="AQ50" s="1448"/>
      <c r="AR50" s="1448"/>
      <c r="AS50" s="1448"/>
      <c r="AT50" s="1058"/>
      <c r="AU50" s="1058"/>
      <c r="AV50" s="1058"/>
      <c r="AW50" s="1058"/>
      <c r="AX50" s="1058"/>
      <c r="AY50" s="1058"/>
      <c r="AZ50" s="1058"/>
      <c r="BA50" s="1058"/>
      <c r="BB50" s="1058"/>
      <c r="BC50" s="1058"/>
      <c r="BD50" s="1058"/>
      <c r="BE50" s="1058"/>
      <c r="BF50" s="1058"/>
      <c r="BG50" s="1058"/>
      <c r="BH50" s="1058"/>
      <c r="BI50" s="1058"/>
      <c r="BJ50" s="1058"/>
      <c r="BK50" s="1058"/>
      <c r="BL50" s="1058"/>
      <c r="BM50" s="1058"/>
      <c r="BN50" s="1058"/>
      <c r="BO50" s="1058"/>
      <c r="BP50" s="1058"/>
      <c r="BQ50" s="1058"/>
      <c r="BR50" s="1058"/>
      <c r="BS50" s="1058"/>
      <c r="BT50" s="1058"/>
      <c r="BU50" s="1058"/>
      <c r="BV50" s="1058"/>
      <c r="BW50" s="1058"/>
      <c r="BX50" s="1058"/>
      <c r="BY50" s="1058"/>
      <c r="BZ50" s="1058"/>
      <c r="CA50" s="1058"/>
    </row>
    <row r="51" spans="1:80" ht="18" customHeight="1">
      <c r="B51" s="4116"/>
      <c r="C51" s="4116"/>
      <c r="D51" s="4117">
        <v>0.25</v>
      </c>
      <c r="E51" s="4117"/>
      <c r="F51" s="4102">
        <v>3.15</v>
      </c>
      <c r="G51" s="4102">
        <v>6.3</v>
      </c>
      <c r="H51" s="4109" t="str">
        <f>IF(AND('Project Overview'!$AL$135="Yes",'Unit Mix'!$BV$73&gt;=0.25,'Unit Mix'!$BV$73&lt;0.3),Scoring!F51,"")</f>
        <v/>
      </c>
      <c r="I51" s="4109"/>
      <c r="J51" s="4109">
        <v>6.25</v>
      </c>
      <c r="K51" s="4109">
        <v>12.5</v>
      </c>
      <c r="L51" s="4109" t="str">
        <f>IF(AND('Unit Mix'!$BV$72&gt;=0.25,'Unit Mix'!$BV$72&lt;0.3),Scoring!J51,"")</f>
        <v/>
      </c>
      <c r="M51" s="4109"/>
      <c r="N51" s="4109">
        <v>9.4</v>
      </c>
      <c r="O51" s="4109">
        <v>18.8</v>
      </c>
      <c r="P51" s="4109" t="str">
        <f>IF(AND('Unit Mix'!$BV$71&gt;=0.25,'Unit Mix'!$BV$71&lt;0.3),Scoring!N51,"")</f>
        <v/>
      </c>
      <c r="Q51" s="4109"/>
      <c r="R51" s="4109">
        <v>12.5</v>
      </c>
      <c r="S51" s="4109"/>
      <c r="T51" s="4109" t="str">
        <f>IF(AND('Unit Mix'!$BV$70&gt;=0.25,'Unit Mix'!$BV$70&lt;0.3),Scoring!R51,"")</f>
        <v/>
      </c>
      <c r="U51" s="4109"/>
      <c r="V51" s="2308">
        <v>15.65</v>
      </c>
      <c r="W51" s="2308"/>
      <c r="X51" s="4132" t="str">
        <f>IF(AND('Unit Mix'!$BV$69&gt;=0.25,'Unit Mix'!$BV$69&lt;0.3),Scoring!V51,"")</f>
        <v/>
      </c>
      <c r="Y51" s="4132"/>
      <c r="Z51" s="2308">
        <v>18.75</v>
      </c>
      <c r="AA51" s="2308"/>
      <c r="AB51" s="2308" t="str">
        <f>IF(AND('Unit Mix'!$BV$68&gt;=0.25,'Unit Mix'!$BV$68&lt;0.3),Scoring!Z51,"")</f>
        <v/>
      </c>
      <c r="AC51" s="2308"/>
      <c r="AD51" s="2308">
        <v>21.9</v>
      </c>
      <c r="AE51" s="2308"/>
      <c r="AF51" s="4109" t="str">
        <f>IF(AND('Unit Mix'!$BV$67&gt;=0.25,'Unit Mix'!$BV$67&lt;0.3),Scoring!AD51,"")</f>
        <v/>
      </c>
      <c r="AG51" s="4109"/>
      <c r="AH51" s="2308">
        <v>25</v>
      </c>
      <c r="AI51" s="2308"/>
      <c r="AJ51" s="4109" t="str">
        <f>IF(AND('Unit Mix'!$BV$66&gt;=0.25,'Unit Mix'!$BV$66&lt;0.3),Scoring!AH51,"")</f>
        <v/>
      </c>
      <c r="AK51" s="4109"/>
      <c r="AL51" s="4108">
        <f>SUM($H$51,$L$51,$P$51,$T$51,$X$51,$AB$51,$AF$51,$AJ$51)</f>
        <v>0</v>
      </c>
      <c r="AM51" s="4108"/>
      <c r="AN51" s="1305"/>
      <c r="AO51" s="1058"/>
      <c r="AQ51" s="1448"/>
      <c r="AR51" s="1448"/>
      <c r="AS51" s="1448"/>
      <c r="AT51" s="1058"/>
      <c r="AU51" s="1058"/>
      <c r="AV51" s="1058"/>
      <c r="AW51" s="1058"/>
      <c r="AX51" s="1058"/>
      <c r="AY51" s="1058"/>
      <c r="AZ51" s="1058"/>
      <c r="BA51" s="1058"/>
      <c r="BB51" s="1058"/>
      <c r="BC51" s="1058"/>
      <c r="BD51" s="1058"/>
      <c r="BE51" s="1058"/>
      <c r="BF51" s="1058"/>
      <c r="BG51" s="1058"/>
      <c r="BH51" s="1058"/>
      <c r="BI51" s="1058"/>
      <c r="BJ51" s="1058"/>
      <c r="BK51" s="1058"/>
      <c r="BL51" s="1058"/>
      <c r="BM51" s="1058"/>
      <c r="BN51" s="1058"/>
      <c r="BO51" s="1058"/>
      <c r="BP51" s="1058"/>
      <c r="BQ51" s="1058"/>
      <c r="BR51" s="1058"/>
      <c r="BS51" s="1058"/>
      <c r="BT51" s="1058"/>
      <c r="BU51" s="1058"/>
      <c r="BV51" s="1058"/>
      <c r="BW51" s="1058"/>
      <c r="BX51" s="1058"/>
      <c r="BY51" s="1058"/>
      <c r="BZ51" s="1058"/>
      <c r="CA51" s="1058"/>
    </row>
    <row r="52" spans="1:80" ht="18" customHeight="1">
      <c r="B52" s="4116"/>
      <c r="C52" s="4116"/>
      <c r="D52" s="4117">
        <v>0.2</v>
      </c>
      <c r="E52" s="4117"/>
      <c r="F52" s="4102">
        <v>2.5</v>
      </c>
      <c r="G52" s="4102">
        <v>5</v>
      </c>
      <c r="H52" s="4109" t="str">
        <f>IF(AND('Project Overview'!$AL$135="Yes",'Unit Mix'!$BV$73&gt;=0.2,'Unit Mix'!$BV$73&lt;0.25),Scoring!F52,"")</f>
        <v/>
      </c>
      <c r="I52" s="4109"/>
      <c r="J52" s="4109">
        <v>5</v>
      </c>
      <c r="K52" s="4109">
        <v>10</v>
      </c>
      <c r="L52" s="4109" t="str">
        <f>IF(AND('Unit Mix'!$BV$72&gt;=0.2,'Unit Mix'!$BV$72&lt;0.25),Scoring!J52,"")</f>
        <v/>
      </c>
      <c r="M52" s="4109"/>
      <c r="N52" s="4109">
        <v>7.5</v>
      </c>
      <c r="O52" s="4109">
        <v>15</v>
      </c>
      <c r="P52" s="4109" t="str">
        <f>IF(AND('Unit Mix'!$BV$71&gt;=0.2,'Unit Mix'!$BV$71&lt;0.25),Scoring!N52,"")</f>
        <v/>
      </c>
      <c r="Q52" s="4109"/>
      <c r="R52" s="4109">
        <v>10</v>
      </c>
      <c r="S52" s="4109"/>
      <c r="T52" s="4109" t="str">
        <f>IF(AND('Unit Mix'!$BV$70&gt;=0.2,'Unit Mix'!$BV$70&lt;0.25),Scoring!R52,"")</f>
        <v/>
      </c>
      <c r="U52" s="4109"/>
      <c r="V52" s="2308">
        <v>12.5</v>
      </c>
      <c r="W52" s="2308"/>
      <c r="X52" s="4132" t="str">
        <f>IF(AND('Unit Mix'!$BV$69&gt;=0.2,'Unit Mix'!$BV$69&lt;0.25),Scoring!V52,"")</f>
        <v/>
      </c>
      <c r="Y52" s="4132"/>
      <c r="Z52" s="2308">
        <v>15</v>
      </c>
      <c r="AA52" s="2308"/>
      <c r="AB52" s="2308" t="str">
        <f>IF(AND('Unit Mix'!$BV$68&gt;=0.2,'Unit Mix'!$BV$68&lt;0.25),Scoring!Z52,"")</f>
        <v/>
      </c>
      <c r="AC52" s="2308"/>
      <c r="AD52" s="2308">
        <v>17.5</v>
      </c>
      <c r="AE52" s="2308"/>
      <c r="AF52" s="4109" t="str">
        <f>IF(AND('Unit Mix'!$BV$67&gt;=0.2,'Unit Mix'!$BV$67&lt;0.25),Scoring!AD52,"")</f>
        <v/>
      </c>
      <c r="AG52" s="4109"/>
      <c r="AH52" s="2308">
        <v>20</v>
      </c>
      <c r="AI52" s="2308"/>
      <c r="AJ52" s="4109" t="str">
        <f>IF(AND('Unit Mix'!$BV$66&gt;=0.2,'Unit Mix'!$BV$66&lt;0.25),Scoring!AH52,"")</f>
        <v/>
      </c>
      <c r="AK52" s="4109"/>
      <c r="AL52" s="4108">
        <f>SUM($H$52,$L$52,$P$52,$T$52,$X$52,$AB$52,$AF$52,$AJ$52)</f>
        <v>0</v>
      </c>
      <c r="AM52" s="4108"/>
      <c r="AN52" s="1305"/>
      <c r="AO52" s="1058"/>
      <c r="AQ52" s="1448"/>
      <c r="AR52" s="1448"/>
      <c r="AS52" s="1448"/>
      <c r="AT52" s="1058"/>
      <c r="AU52" s="1058"/>
      <c r="AV52" s="1058"/>
      <c r="AW52" s="1058"/>
      <c r="AX52" s="1058"/>
      <c r="AY52" s="1058"/>
      <c r="AZ52" s="1058"/>
      <c r="BA52" s="1058"/>
      <c r="BB52" s="1058"/>
      <c r="BC52" s="1058"/>
      <c r="BD52" s="1058"/>
      <c r="BE52" s="1058"/>
      <c r="BF52" s="1058"/>
      <c r="BG52" s="1058"/>
      <c r="BH52" s="1058"/>
      <c r="BI52" s="1058"/>
      <c r="BJ52" s="1058"/>
      <c r="BK52" s="1058"/>
      <c r="BL52" s="1058"/>
      <c r="BM52" s="1058"/>
      <c r="BN52" s="1058"/>
      <c r="BO52" s="1058"/>
      <c r="BP52" s="1058"/>
      <c r="BQ52" s="1058"/>
      <c r="BR52" s="1058"/>
      <c r="BS52" s="1058"/>
      <c r="BT52" s="1058"/>
      <c r="BU52" s="1058"/>
      <c r="BV52" s="1058"/>
      <c r="BW52" s="1058"/>
      <c r="BX52" s="1058"/>
      <c r="BY52" s="1058"/>
      <c r="BZ52" s="1058"/>
      <c r="CA52" s="1058"/>
    </row>
    <row r="53" spans="1:80" ht="18" customHeight="1">
      <c r="B53" s="4116"/>
      <c r="C53" s="4116"/>
      <c r="D53" s="4117">
        <v>0.15</v>
      </c>
      <c r="E53" s="4117"/>
      <c r="F53" s="4102">
        <v>1.9</v>
      </c>
      <c r="G53" s="4102">
        <v>3.8</v>
      </c>
      <c r="H53" s="4109" t="str">
        <f>IF(AND('Project Overview'!$AL$135="Yes",'Unit Mix'!$BV$73&gt;=0.15,'Unit Mix'!$BV$73&lt;0.2),Scoring!F53,"")</f>
        <v/>
      </c>
      <c r="I53" s="4109"/>
      <c r="J53" s="4109">
        <v>3.75</v>
      </c>
      <c r="K53" s="4109">
        <v>7.5</v>
      </c>
      <c r="L53" s="4109" t="str">
        <f>IF(AND('Unit Mix'!$BV$72&gt;=0.15,'Unit Mix'!$BV$72&lt;0.2),Scoring!J53,"")</f>
        <v/>
      </c>
      <c r="M53" s="4109"/>
      <c r="N53" s="4109">
        <v>5.65</v>
      </c>
      <c r="O53" s="4109">
        <v>11.3</v>
      </c>
      <c r="P53" s="4109" t="str">
        <f>IF(AND('Unit Mix'!$BV$71&gt;=0.15,'Unit Mix'!$BV$71&lt;0.2),Scoring!N53,"")</f>
        <v/>
      </c>
      <c r="Q53" s="4109"/>
      <c r="R53" s="4109">
        <v>7.5</v>
      </c>
      <c r="S53" s="4109"/>
      <c r="T53" s="4109" t="str">
        <f>IF(AND('Unit Mix'!$BV$70&gt;=0.15,'Unit Mix'!$BV$70&lt;0.2),Scoring!R53,"")</f>
        <v/>
      </c>
      <c r="U53" s="4109"/>
      <c r="V53" s="2308">
        <v>9.4</v>
      </c>
      <c r="W53" s="2308"/>
      <c r="X53" s="4132" t="str">
        <f>IF(AND('Unit Mix'!$BV$69&gt;=0.15,'Unit Mix'!$BV$69&lt;0.2),Scoring!V53,"")</f>
        <v/>
      </c>
      <c r="Y53" s="4132"/>
      <c r="Z53" s="2308">
        <v>11.25</v>
      </c>
      <c r="AA53" s="2308"/>
      <c r="AB53" s="2308" t="str">
        <f>IF(AND('Unit Mix'!$BV$68&gt;=0.15,'Unit Mix'!$BV$68&lt;0.2),Scoring!Z53,"")</f>
        <v/>
      </c>
      <c r="AC53" s="2308"/>
      <c r="AD53" s="2308">
        <v>13.1</v>
      </c>
      <c r="AE53" s="2308"/>
      <c r="AF53" s="4109" t="str">
        <f>IF(AND('Unit Mix'!$BV$67&gt;=0.15,'Unit Mix'!$BV$67&lt;0.2),Scoring!AD53,"")</f>
        <v/>
      </c>
      <c r="AG53" s="4109"/>
      <c r="AH53" s="2308">
        <v>15</v>
      </c>
      <c r="AI53" s="2308"/>
      <c r="AJ53" s="4109" t="str">
        <f>IF(AND('Unit Mix'!$BV$66&gt;=0.15,'Unit Mix'!$BV$66&lt;0.2),Scoring!AH53,"")</f>
        <v/>
      </c>
      <c r="AK53" s="4109"/>
      <c r="AL53" s="4108">
        <f>SUM($H$53,$L$53,$P$53,$T$53,$X$53,$AB$53,$AF$53,$AJ$53)</f>
        <v>0</v>
      </c>
      <c r="AM53" s="4108"/>
      <c r="AN53" s="1305"/>
      <c r="AO53" s="1058"/>
      <c r="AQ53" s="1448"/>
      <c r="AR53" s="1448"/>
      <c r="AS53" s="1448"/>
      <c r="AT53" s="1058"/>
      <c r="AU53" s="1058"/>
      <c r="AV53" s="1058"/>
      <c r="AW53" s="1058"/>
      <c r="AX53" s="1058"/>
      <c r="AY53" s="1058"/>
      <c r="AZ53" s="1058"/>
      <c r="BA53" s="1058"/>
      <c r="BB53" s="1058"/>
      <c r="BC53" s="1058"/>
      <c r="BD53" s="1058"/>
      <c r="BE53" s="1058"/>
      <c r="BF53" s="1058"/>
      <c r="BG53" s="1058"/>
      <c r="BH53" s="1058"/>
      <c r="BI53" s="1058"/>
      <c r="BJ53" s="1058"/>
      <c r="BK53" s="1058"/>
      <c r="BL53" s="1058"/>
      <c r="BM53" s="1058"/>
      <c r="BN53" s="1058"/>
      <c r="BO53" s="1058"/>
      <c r="BP53" s="1058"/>
      <c r="BQ53" s="1058"/>
      <c r="BR53" s="1058"/>
      <c r="BS53" s="1058"/>
      <c r="BT53" s="1058"/>
      <c r="BU53" s="1058"/>
      <c r="BV53" s="1058"/>
      <c r="BW53" s="1058"/>
      <c r="BX53" s="1058"/>
      <c r="BY53" s="1058"/>
      <c r="BZ53" s="1058"/>
      <c r="CA53" s="1058"/>
    </row>
    <row r="54" spans="1:80" ht="18" customHeight="1">
      <c r="B54" s="4116"/>
      <c r="C54" s="4116"/>
      <c r="D54" s="4117">
        <v>0.1</v>
      </c>
      <c r="E54" s="4117"/>
      <c r="F54" s="4102">
        <v>1.25</v>
      </c>
      <c r="G54" s="4102">
        <v>2.5</v>
      </c>
      <c r="H54" s="4109" t="str">
        <f>IF(AND('Project Overview'!$AL$135="Yes",'Unit Mix'!$BV$73&gt;=0.1,'Unit Mix'!$BV$73&lt;0.15),Scoring!F54,"")</f>
        <v/>
      </c>
      <c r="I54" s="4109"/>
      <c r="J54" s="4109">
        <v>2.5</v>
      </c>
      <c r="K54" s="4109">
        <v>5</v>
      </c>
      <c r="L54" s="4109" t="str">
        <f>IF(AND('Unit Mix'!$BV$72&gt;=0.1,'Unit Mix'!$BV$72&lt;0.15),Scoring!J54,"")</f>
        <v/>
      </c>
      <c r="M54" s="4109"/>
      <c r="N54" s="4109">
        <v>3.75</v>
      </c>
      <c r="O54" s="4109">
        <v>7.5</v>
      </c>
      <c r="P54" s="4109" t="str">
        <f>IF(AND('Unit Mix'!$BV$71&gt;=0.1,'Unit Mix'!$BV$71&lt;0.15),Scoring!N54,"")</f>
        <v/>
      </c>
      <c r="Q54" s="4109"/>
      <c r="R54" s="4109">
        <v>5</v>
      </c>
      <c r="S54" s="4109"/>
      <c r="T54" s="4109" t="str">
        <f>IF(AND('Unit Mix'!$BV$70&gt;=0.1,'Unit Mix'!$BV$70&lt;0.15),Scoring!R54,"")</f>
        <v/>
      </c>
      <c r="U54" s="4109"/>
      <c r="V54" s="2308">
        <v>6.25</v>
      </c>
      <c r="W54" s="2308"/>
      <c r="X54" s="4132" t="str">
        <f>IF(AND('Unit Mix'!$BV$69&gt;=0.1,'Unit Mix'!$BV$69&lt;0.15),Scoring!V54,"")</f>
        <v/>
      </c>
      <c r="Y54" s="4132"/>
      <c r="Z54" s="2308">
        <v>7.5</v>
      </c>
      <c r="AA54" s="2308"/>
      <c r="AB54" s="2308" t="str">
        <f>IF(AND('Unit Mix'!$BV$68&gt;=0.1,'Unit Mix'!$BV$68&lt;0.15),Scoring!Z54,"")</f>
        <v/>
      </c>
      <c r="AC54" s="2308"/>
      <c r="AD54" s="2308">
        <v>8.75</v>
      </c>
      <c r="AE54" s="2308"/>
      <c r="AF54" s="4109" t="str">
        <f>IF(AND('Unit Mix'!$BV$67&gt;=0.1,'Unit Mix'!$BV$67&lt;0.15),Scoring!AD54,"")</f>
        <v/>
      </c>
      <c r="AG54" s="4109"/>
      <c r="AH54" s="2308">
        <v>10</v>
      </c>
      <c r="AI54" s="2308"/>
      <c r="AJ54" s="4109" t="str">
        <f>IF(AND('Unit Mix'!$BV$66&gt;=0.1,'Unit Mix'!$BV$66&lt;0.15),Scoring!AH54,"")</f>
        <v/>
      </c>
      <c r="AK54" s="4109"/>
      <c r="AL54" s="4108">
        <f>SUM($H$54,$L$54,$P$54,$T$54,$X$54,$AB$54,$AF$54,$AJ$54)</f>
        <v>0</v>
      </c>
      <c r="AM54" s="4108"/>
      <c r="AN54" s="1305"/>
      <c r="AO54" s="1058"/>
      <c r="AQ54" s="1448"/>
      <c r="AR54" s="1448"/>
      <c r="AS54" s="1448"/>
      <c r="AT54" s="1058"/>
      <c r="AU54" s="1058"/>
      <c r="AV54" s="1058"/>
      <c r="AW54" s="1058"/>
      <c r="AX54" s="1058"/>
      <c r="AY54" s="1058"/>
      <c r="AZ54" s="1058"/>
      <c r="BA54" s="1058"/>
      <c r="BB54" s="1058"/>
      <c r="BC54" s="1058"/>
      <c r="BD54" s="1058"/>
      <c r="BE54" s="1058"/>
      <c r="BF54" s="1058"/>
      <c r="BG54" s="1058"/>
      <c r="BH54" s="1058"/>
      <c r="BI54" s="1058"/>
      <c r="BJ54" s="1058"/>
      <c r="BK54" s="1058"/>
      <c r="BL54" s="1058"/>
      <c r="BM54" s="1058"/>
      <c r="BN54" s="1058"/>
      <c r="BO54" s="1058"/>
      <c r="BP54" s="1058"/>
      <c r="BQ54" s="1058"/>
      <c r="BR54" s="1058"/>
      <c r="BS54" s="1058"/>
      <c r="BT54" s="1058"/>
      <c r="BU54" s="1058"/>
      <c r="BV54" s="1058"/>
      <c r="BW54" s="1058"/>
      <c r="BX54" s="1058"/>
      <c r="BY54" s="1058"/>
      <c r="BZ54" s="1058"/>
      <c r="CA54" s="1058"/>
    </row>
    <row r="55" spans="1:80" ht="18" customHeight="1">
      <c r="B55" s="1058"/>
      <c r="C55" s="1058"/>
      <c r="D55" s="1058"/>
      <c r="E55" s="1058"/>
      <c r="F55" s="1058"/>
      <c r="G55" s="1058"/>
      <c r="H55" s="1058"/>
      <c r="I55" s="1058"/>
      <c r="J55" s="1058"/>
      <c r="K55" s="1058"/>
      <c r="L55" s="1058"/>
      <c r="M55" s="1058"/>
      <c r="N55" s="1058"/>
      <c r="O55" s="1058"/>
      <c r="P55" s="1058"/>
      <c r="Q55" s="1058"/>
      <c r="R55" s="1058"/>
      <c r="S55" s="1058"/>
      <c r="T55" s="1058"/>
      <c r="U55" s="1058"/>
      <c r="V55" s="1058"/>
      <c r="W55" s="1058"/>
      <c r="X55" s="1058"/>
      <c r="Y55" s="1058"/>
      <c r="Z55" s="1058"/>
      <c r="AA55" s="1058"/>
      <c r="AB55" s="1058"/>
      <c r="AC55" s="1058"/>
      <c r="AD55" s="1058"/>
      <c r="AE55" s="1058"/>
      <c r="AF55" s="1058"/>
      <c r="AG55" s="1058"/>
      <c r="AH55" s="1058"/>
      <c r="AI55" s="1058"/>
      <c r="AJ55" s="1058"/>
      <c r="AK55" s="1058"/>
      <c r="AL55" s="1058"/>
      <c r="AM55" s="1058"/>
      <c r="AN55" s="1305"/>
      <c r="AO55" s="710"/>
      <c r="AP55" s="710"/>
      <c r="AQ55" s="362"/>
      <c r="AR55" s="1448"/>
      <c r="AS55" s="1448"/>
      <c r="AT55" s="1058"/>
      <c r="AU55" s="1058"/>
      <c r="AV55" s="1058"/>
      <c r="AW55" s="1058"/>
      <c r="AX55" s="1058"/>
      <c r="AY55" s="1058"/>
      <c r="AZ55" s="1058"/>
      <c r="BA55" s="1058"/>
      <c r="BB55" s="1058"/>
      <c r="BC55" s="1058"/>
      <c r="BD55" s="1058"/>
      <c r="BE55" s="1058"/>
      <c r="BF55" s="1058"/>
      <c r="BG55" s="1058"/>
      <c r="BH55" s="1058"/>
      <c r="BI55" s="1058"/>
      <c r="BJ55" s="1058"/>
      <c r="BK55" s="1058"/>
      <c r="BL55" s="1058"/>
      <c r="BM55" s="1058"/>
      <c r="BN55" s="1058"/>
      <c r="BO55" s="1058"/>
      <c r="BP55" s="1058"/>
      <c r="BQ55" s="1058"/>
      <c r="BR55" s="1058"/>
      <c r="BS55" s="1058"/>
      <c r="BT55" s="1058"/>
      <c r="BU55" s="1058"/>
      <c r="BV55" s="1058"/>
      <c r="BW55" s="1058"/>
      <c r="BX55" s="1058"/>
      <c r="BY55" s="1058"/>
      <c r="BZ55" s="1058"/>
      <c r="CA55" s="1058"/>
    </row>
    <row r="56" spans="1:80" ht="18" customHeight="1">
      <c r="B56" s="1056" t="s">
        <v>1399</v>
      </c>
      <c r="C56" s="4106" t="s">
        <v>1592</v>
      </c>
      <c r="D56" s="4106"/>
      <c r="E56" s="4106"/>
      <c r="F56" s="4106"/>
      <c r="G56" s="4106"/>
      <c r="H56" s="4106"/>
      <c r="I56" s="4106"/>
      <c r="J56" s="4106"/>
      <c r="K56" s="4106"/>
      <c r="L56" s="4106"/>
      <c r="M56" s="4106"/>
      <c r="N56" s="4106"/>
      <c r="O56" s="4106"/>
      <c r="P56" s="4106"/>
      <c r="Q56" s="4106"/>
      <c r="R56" s="4106"/>
      <c r="S56" s="4106"/>
      <c r="T56" s="4106"/>
      <c r="U56" s="4106"/>
      <c r="V56" s="4106"/>
      <c r="W56" s="4106"/>
      <c r="X56" s="4106"/>
      <c r="Y56" s="4106"/>
      <c r="Z56" s="4106"/>
      <c r="AA56" s="4106"/>
      <c r="AB56" s="4106"/>
      <c r="AC56" s="4106"/>
      <c r="AD56" s="4106"/>
      <c r="AE56" s="4106"/>
      <c r="AF56" s="4106"/>
      <c r="AG56" s="4106"/>
      <c r="AH56" s="4106"/>
      <c r="AI56" s="4106"/>
      <c r="AJ56" s="4106"/>
      <c r="AK56" s="4107"/>
      <c r="AL56" s="3982">
        <f>MIN(SUM($AL$57,$AL$62,$AL$67),15)</f>
        <v>15</v>
      </c>
      <c r="AM56" s="3982"/>
      <c r="AN56" s="1305"/>
      <c r="AO56" s="711"/>
      <c r="AQ56" s="1448"/>
      <c r="AR56" s="1448"/>
      <c r="AS56" s="1448"/>
      <c r="AT56" s="1058"/>
      <c r="AU56" s="1058"/>
      <c r="AV56" s="1058"/>
      <c r="AW56" s="1058"/>
      <c r="AX56" s="1058"/>
      <c r="AY56" s="1058"/>
      <c r="AZ56" s="1058"/>
      <c r="BA56" s="1058"/>
      <c r="BB56" s="1058"/>
      <c r="BC56" s="1058"/>
      <c r="BD56" s="1058"/>
      <c r="BE56" s="1058"/>
      <c r="BF56" s="1058"/>
      <c r="BG56" s="1058"/>
      <c r="BH56" s="1058"/>
      <c r="BI56" s="1058"/>
      <c r="BJ56" s="1058"/>
      <c r="BK56" s="1058"/>
      <c r="BL56" s="1058"/>
      <c r="BM56" s="1058"/>
      <c r="BN56" s="1058"/>
      <c r="BO56" s="1058"/>
      <c r="BP56" s="1058"/>
      <c r="BQ56" s="1058"/>
      <c r="BR56" s="1058"/>
      <c r="BS56" s="1058"/>
      <c r="BT56" s="1058"/>
      <c r="BU56" s="1058"/>
      <c r="BV56" s="1058"/>
      <c r="BW56" s="1058"/>
      <c r="BX56" s="1058"/>
      <c r="BY56" s="1058"/>
      <c r="BZ56" s="1058"/>
      <c r="CA56" s="1058"/>
    </row>
    <row r="57" spans="1:80" ht="36" customHeight="1">
      <c r="B57" s="1477"/>
      <c r="C57" s="1066" t="s">
        <v>1402</v>
      </c>
      <c r="D57" s="4091" t="s">
        <v>1593</v>
      </c>
      <c r="E57" s="4091"/>
      <c r="F57" s="4091"/>
      <c r="G57" s="4091"/>
      <c r="H57" s="4091"/>
      <c r="I57" s="4091"/>
      <c r="J57" s="4091"/>
      <c r="K57" s="4091"/>
      <c r="L57" s="4091"/>
      <c r="M57" s="4091"/>
      <c r="N57" s="4091"/>
      <c r="O57" s="4091"/>
      <c r="P57" s="4091"/>
      <c r="Q57" s="4091"/>
      <c r="R57" s="4091"/>
      <c r="S57" s="4091"/>
      <c r="T57" s="4091"/>
      <c r="U57" s="4091"/>
      <c r="V57" s="4091"/>
      <c r="W57" s="4091"/>
      <c r="X57" s="4091"/>
      <c r="Y57" s="4091"/>
      <c r="Z57" s="4091"/>
      <c r="AA57" s="4091"/>
      <c r="AB57" s="4091"/>
      <c r="AC57" s="4091"/>
      <c r="AD57" s="4091"/>
      <c r="AE57" s="4091"/>
      <c r="AF57" s="4091"/>
      <c r="AG57" s="4091"/>
      <c r="AH57" s="4091"/>
      <c r="AI57" s="4091"/>
      <c r="AJ57" s="4091"/>
      <c r="AK57" s="4091"/>
      <c r="AL57" s="4108">
        <f>IF(AND(OR('Project Overview'!$AE$140='Project Overview'!$AO$140,'Project Overview'!$AE$140='Project Overview'!$AO$141),'Project Overview'!$AL$138="Yes"),15,0)</f>
        <v>15</v>
      </c>
      <c r="AM57" s="4108"/>
      <c r="AN57" s="1305"/>
      <c r="AO57" s="1058"/>
      <c r="AP57" s="1522"/>
      <c r="AQ57" s="1061"/>
      <c r="AR57" s="1521"/>
      <c r="AS57" s="1521"/>
      <c r="AT57" s="1061"/>
      <c r="AU57" s="1061"/>
      <c r="AV57" s="1061"/>
      <c r="AW57" s="1061"/>
      <c r="AX57" s="1061"/>
      <c r="AY57" s="1061"/>
      <c r="AZ57" s="1061"/>
      <c r="BA57" s="1061"/>
      <c r="BB57" s="1061"/>
      <c r="BC57" s="1061"/>
      <c r="BD57" s="1061"/>
      <c r="BE57" s="1061"/>
      <c r="BF57" s="1061"/>
      <c r="BG57" s="1061"/>
      <c r="BH57" s="1061"/>
      <c r="BI57" s="1061"/>
      <c r="BJ57" s="1061"/>
      <c r="BK57" s="1061"/>
      <c r="BL57" s="1061"/>
      <c r="BM57" s="1061"/>
      <c r="BN57" s="1061"/>
      <c r="BO57" s="1061"/>
      <c r="BP57" s="1061"/>
      <c r="BQ57" s="1061"/>
      <c r="BR57" s="1061"/>
      <c r="BS57" s="1061"/>
      <c r="BT57" s="1061"/>
      <c r="BU57" s="1061"/>
      <c r="BV57" s="1061"/>
      <c r="BW57" s="1061"/>
      <c r="BX57" s="1061"/>
      <c r="BY57" s="1061"/>
      <c r="BZ57" s="1061"/>
      <c r="CA57" s="1061"/>
    </row>
    <row r="58" spans="1:80" s="303" customFormat="1" ht="36" customHeight="1">
      <c r="B58" s="4110" t="s">
        <v>1594</v>
      </c>
      <c r="C58" s="1830"/>
      <c r="D58" s="1830"/>
      <c r="E58" s="1830"/>
      <c r="F58" s="1830"/>
      <c r="G58" s="1830"/>
      <c r="H58" s="1830"/>
      <c r="I58" s="1830"/>
      <c r="J58" s="1830"/>
      <c r="K58" s="1830"/>
      <c r="L58" s="1830"/>
      <c r="M58" s="1830"/>
      <c r="N58" s="1830"/>
      <c r="O58" s="1830"/>
      <c r="P58" s="1830"/>
      <c r="Q58" s="1830"/>
      <c r="R58" s="1830"/>
      <c r="S58" s="1830"/>
      <c r="T58" s="1830"/>
      <c r="U58" s="1830"/>
      <c r="V58" s="1830"/>
      <c r="W58" s="1830"/>
      <c r="X58" s="1830"/>
      <c r="Y58" s="1830"/>
      <c r="Z58" s="1830"/>
      <c r="AA58" s="1830"/>
      <c r="AB58" s="1830"/>
      <c r="AC58" s="1830"/>
      <c r="AD58" s="1830"/>
      <c r="AE58" s="1830"/>
      <c r="AF58" s="1830"/>
      <c r="AG58" s="1830"/>
      <c r="AH58" s="1830"/>
      <c r="AI58" s="1830"/>
      <c r="AJ58" s="1830"/>
      <c r="AK58" s="1830"/>
      <c r="AL58" s="1727"/>
      <c r="AM58" s="1727"/>
      <c r="AP58" s="1058"/>
      <c r="AR58" s="1448"/>
      <c r="AS58" s="1448"/>
    </row>
    <row r="59" spans="1:80" s="303" customFormat="1" ht="36" customHeight="1">
      <c r="B59" s="4110" t="s">
        <v>1595</v>
      </c>
      <c r="C59" s="1830"/>
      <c r="D59" s="1830"/>
      <c r="E59" s="1830"/>
      <c r="F59" s="1830"/>
      <c r="G59" s="1830"/>
      <c r="H59" s="1830"/>
      <c r="I59" s="1830"/>
      <c r="J59" s="1830"/>
      <c r="K59" s="1830"/>
      <c r="L59" s="1830"/>
      <c r="M59" s="1830"/>
      <c r="N59" s="1830"/>
      <c r="O59" s="1830"/>
      <c r="P59" s="1830"/>
      <c r="Q59" s="1830"/>
      <c r="R59" s="1830"/>
      <c r="S59" s="1830"/>
      <c r="T59" s="1830"/>
      <c r="U59" s="1830"/>
      <c r="V59" s="1830"/>
      <c r="W59" s="1830"/>
      <c r="X59" s="1830"/>
      <c r="Y59" s="1830"/>
      <c r="Z59" s="1830"/>
      <c r="AA59" s="1830"/>
      <c r="AB59" s="1830"/>
      <c r="AC59" s="1830"/>
      <c r="AD59" s="1830"/>
      <c r="AE59" s="1830"/>
      <c r="AF59" s="1830"/>
      <c r="AG59" s="1830"/>
      <c r="AH59" s="1830"/>
      <c r="AI59" s="1830"/>
      <c r="AJ59" s="1830"/>
      <c r="AK59" s="1830"/>
      <c r="AL59" s="1830"/>
      <c r="AM59" s="4010"/>
      <c r="AP59" s="1058"/>
      <c r="AR59" s="1448"/>
      <c r="AS59" s="1448"/>
    </row>
    <row r="60" spans="1:80" s="303" customFormat="1" ht="18" customHeight="1">
      <c r="B60" s="2214" t="s">
        <v>1596</v>
      </c>
      <c r="C60" s="1850"/>
      <c r="D60" s="1850"/>
      <c r="E60" s="1850"/>
      <c r="F60" s="1850"/>
      <c r="G60" s="1850"/>
      <c r="H60" s="1850"/>
      <c r="I60" s="1850"/>
      <c r="J60" s="1850"/>
      <c r="K60" s="1850"/>
      <c r="L60" s="1850"/>
      <c r="M60" s="1850"/>
      <c r="N60" s="1850"/>
      <c r="O60" s="1850"/>
      <c r="P60" s="1850"/>
      <c r="Q60" s="1850"/>
      <c r="R60" s="1850"/>
      <c r="S60" s="1850"/>
      <c r="T60" s="1850"/>
      <c r="U60" s="1850"/>
      <c r="V60" s="1850"/>
      <c r="W60" s="1850"/>
      <c r="X60" s="1850"/>
      <c r="Y60" s="1850"/>
      <c r="Z60" s="1850"/>
      <c r="AA60" s="1850"/>
      <c r="AB60" s="1850"/>
      <c r="AC60" s="1850"/>
      <c r="AD60" s="1850"/>
      <c r="AE60" s="1850"/>
      <c r="AF60" s="1850"/>
      <c r="AG60" s="1850"/>
      <c r="AH60" s="1850"/>
      <c r="AI60" s="1850"/>
      <c r="AJ60" s="1850"/>
      <c r="AK60" s="1850"/>
      <c r="AL60" s="4082"/>
      <c r="AM60" s="4082"/>
      <c r="AP60" s="1058"/>
      <c r="AR60" s="1448"/>
      <c r="AS60" s="1448"/>
    </row>
    <row r="61" spans="1:80" s="303" customFormat="1" ht="36" hidden="1" customHeight="1">
      <c r="B61" s="1851" t="s">
        <v>676</v>
      </c>
      <c r="C61" s="1851"/>
      <c r="D61" s="1851"/>
      <c r="E61" s="1831" t="str">
        <f>'Document Checklist'!$E$171</f>
        <v>87. Scoring Oportunity Area Map</v>
      </c>
      <c r="F61" s="1831"/>
      <c r="G61" s="1831"/>
      <c r="H61" s="1831"/>
      <c r="I61" s="1831"/>
      <c r="J61" s="1831"/>
      <c r="K61" s="1831"/>
      <c r="L61" s="1831"/>
      <c r="M61" s="1831"/>
      <c r="N61" s="2487" t="str">
        <f>'Document Checklist'!$N$171</f>
        <v>Documentation of TCAC/HCD Opportunity Area status prior to initial site control (pursuant to UMR section 8303(a))</v>
      </c>
      <c r="O61" s="2487"/>
      <c r="P61" s="2487"/>
      <c r="Q61" s="2487"/>
      <c r="R61" s="2487"/>
      <c r="S61" s="2487"/>
      <c r="T61" s="2487"/>
      <c r="U61" s="2487"/>
      <c r="V61" s="2487"/>
      <c r="W61" s="2487"/>
      <c r="X61" s="2487"/>
      <c r="Y61" s="2487"/>
      <c r="Z61" s="2487"/>
      <c r="AA61" s="2487"/>
      <c r="AB61" s="2487"/>
      <c r="AC61" s="2487"/>
      <c r="AD61" s="2487"/>
      <c r="AE61" s="2487"/>
      <c r="AF61" s="2129" t="s">
        <v>677</v>
      </c>
      <c r="AG61" s="2130"/>
      <c r="AH61" s="2130"/>
      <c r="AI61" s="2130"/>
      <c r="AJ61" s="2130"/>
      <c r="AK61" s="2130"/>
      <c r="AL61" s="1743"/>
      <c r="AM61" s="1743"/>
      <c r="AP61" s="1058"/>
      <c r="AR61" s="1448"/>
      <c r="AS61" s="1448"/>
    </row>
    <row r="62" spans="1:80" ht="18" customHeight="1">
      <c r="B62" s="1062"/>
      <c r="C62" s="1057" t="s">
        <v>1403</v>
      </c>
      <c r="D62" s="4151" t="s">
        <v>1597</v>
      </c>
      <c r="E62" s="4151"/>
      <c r="F62" s="4151"/>
      <c r="G62" s="4151"/>
      <c r="H62" s="4151"/>
      <c r="I62" s="4151"/>
      <c r="J62" s="4151"/>
      <c r="K62" s="4151"/>
      <c r="L62" s="4151"/>
      <c r="M62" s="4151"/>
      <c r="N62" s="4151"/>
      <c r="O62" s="4151"/>
      <c r="P62" s="4151"/>
      <c r="Q62" s="4151"/>
      <c r="R62" s="4151"/>
      <c r="S62" s="4151"/>
      <c r="T62" s="4151"/>
      <c r="U62" s="4151"/>
      <c r="V62" s="4151"/>
      <c r="W62" s="4151"/>
      <c r="X62" s="4151"/>
      <c r="Y62" s="4151"/>
      <c r="Z62" s="4151"/>
      <c r="AA62" s="4151"/>
      <c r="AB62" s="4151"/>
      <c r="AC62" s="4151"/>
      <c r="AD62" s="4151"/>
      <c r="AE62" s="4151"/>
      <c r="AF62" s="4151"/>
      <c r="AG62" s="4151"/>
      <c r="AH62" s="4151"/>
      <c r="AI62" s="4151"/>
      <c r="AJ62" s="4151"/>
      <c r="AK62" s="4151"/>
      <c r="AL62" s="4108">
        <f>IF($AL$64=TRUE,10,IF($AL$65=TRUE,10,0))</f>
        <v>10</v>
      </c>
      <c r="AM62" s="4108"/>
      <c r="AN62" s="1316"/>
      <c r="AO62" s="1058"/>
      <c r="AQ62" s="1448"/>
      <c r="AR62" s="1448"/>
      <c r="AS62" s="1448"/>
      <c r="AT62" s="1058"/>
      <c r="AU62" s="1058"/>
      <c r="AV62" s="1058"/>
      <c r="AW62" s="1058"/>
      <c r="AX62" s="1058"/>
      <c r="AY62" s="1058"/>
      <c r="AZ62" s="1058"/>
      <c r="BA62" s="1058"/>
      <c r="BB62" s="1058"/>
      <c r="BC62" s="1058"/>
      <c r="BD62" s="1058"/>
      <c r="BE62" s="1058"/>
      <c r="BF62" s="1058"/>
      <c r="BG62" s="1058"/>
      <c r="BH62" s="1058"/>
      <c r="BI62" s="1058"/>
      <c r="BJ62" s="1058"/>
      <c r="BK62" s="1058"/>
      <c r="BL62" s="1058"/>
      <c r="BM62" s="1058"/>
      <c r="BN62" s="1058"/>
      <c r="BO62" s="1058"/>
      <c r="BP62" s="1058"/>
      <c r="BQ62" s="1058"/>
      <c r="BR62" s="1058"/>
      <c r="BS62" s="1058"/>
      <c r="BT62" s="1058"/>
      <c r="BU62" s="1058"/>
      <c r="BV62" s="1058"/>
      <c r="BW62" s="1058"/>
      <c r="BX62" s="1058"/>
      <c r="BY62" s="1058"/>
      <c r="BZ62" s="1058"/>
      <c r="CA62" s="1058"/>
    </row>
    <row r="63" spans="1:80" s="303" customFormat="1" ht="18" customHeight="1">
      <c r="B63" s="1054"/>
      <c r="C63" s="439"/>
      <c r="D63" s="1850" t="s">
        <v>1598</v>
      </c>
      <c r="E63" s="1850"/>
      <c r="F63" s="1850"/>
      <c r="G63" s="1850"/>
      <c r="H63" s="1850"/>
      <c r="I63" s="1850"/>
      <c r="J63" s="1850"/>
      <c r="K63" s="1850"/>
      <c r="L63" s="1850"/>
      <c r="M63" s="1850"/>
      <c r="N63" s="1850"/>
      <c r="O63" s="1850"/>
      <c r="P63" s="1850"/>
      <c r="Q63" s="1850"/>
      <c r="R63" s="1850"/>
      <c r="S63" s="1850"/>
      <c r="T63" s="1850"/>
      <c r="U63" s="1850"/>
      <c r="V63" s="1850"/>
      <c r="W63" s="1850"/>
      <c r="X63" s="1850"/>
      <c r="Y63" s="1850"/>
      <c r="Z63" s="1850"/>
      <c r="AA63" s="1850"/>
      <c r="AB63" s="1850"/>
      <c r="AC63" s="1850"/>
      <c r="AD63" s="1850"/>
      <c r="AE63" s="1850"/>
      <c r="AF63" s="1850"/>
      <c r="AG63" s="1850"/>
      <c r="AH63" s="1850"/>
      <c r="AI63" s="1850"/>
      <c r="AJ63" s="1850"/>
      <c r="AK63" s="2215"/>
      <c r="AL63" s="4082"/>
      <c r="AM63" s="4082"/>
      <c r="AP63" s="1058"/>
      <c r="AR63" s="1448"/>
      <c r="AS63" s="1448"/>
    </row>
    <row r="64" spans="1:80" ht="36" customHeight="1">
      <c r="B64" s="1477"/>
      <c r="C64" s="1454"/>
      <c r="D64" s="1060" t="s">
        <v>1408</v>
      </c>
      <c r="E64" s="4091" t="s">
        <v>1599</v>
      </c>
      <c r="F64" s="4091"/>
      <c r="G64" s="4091"/>
      <c r="H64" s="4091"/>
      <c r="I64" s="4091"/>
      <c r="J64" s="4091"/>
      <c r="K64" s="4091"/>
      <c r="L64" s="4091"/>
      <c r="M64" s="4091"/>
      <c r="N64" s="4091"/>
      <c r="O64" s="4091"/>
      <c r="P64" s="4091"/>
      <c r="Q64" s="4091"/>
      <c r="R64" s="4091"/>
      <c r="S64" s="4091"/>
      <c r="T64" s="4091"/>
      <c r="U64" s="4091"/>
      <c r="V64" s="4091"/>
      <c r="W64" s="4091"/>
      <c r="X64" s="4091"/>
      <c r="Y64" s="4091"/>
      <c r="Z64" s="4091"/>
      <c r="AA64" s="4091"/>
      <c r="AB64" s="4091"/>
      <c r="AC64" s="4091"/>
      <c r="AD64" s="4091"/>
      <c r="AE64" s="4091"/>
      <c r="AF64" s="4091"/>
      <c r="AG64" s="4091"/>
      <c r="AH64" s="4091"/>
      <c r="AI64" s="4091"/>
      <c r="AJ64" s="4091"/>
      <c r="AK64" s="4130"/>
      <c r="AL64" s="4152" t="b">
        <f>IF(AND(AL63="Yes",AL66="Yes",SUM('Unit Mix'!L7,'Unit Mix'!M7,'Unit Mix'!N7)&gt;=15%),TRUE,FALSE)</f>
        <v>0</v>
      </c>
      <c r="AM64" s="4152"/>
      <c r="AN64" s="1316"/>
      <c r="AO64" s="1058"/>
      <c r="AQ64" s="1448"/>
      <c r="AR64" s="1448"/>
      <c r="AS64" s="1448"/>
      <c r="AT64" s="1058"/>
      <c r="AU64" s="1058"/>
      <c r="AV64" s="1058"/>
      <c r="AW64" s="1058"/>
      <c r="AX64" s="1058"/>
      <c r="AY64" s="1058"/>
      <c r="AZ64" s="1058"/>
      <c r="BA64" s="1058"/>
      <c r="BB64" s="1058"/>
      <c r="BC64" s="1058"/>
      <c r="BD64" s="1058"/>
      <c r="BE64" s="1058"/>
      <c r="BF64" s="1058"/>
      <c r="BG64" s="1058"/>
      <c r="BH64" s="1058"/>
      <c r="BI64" s="1058"/>
      <c r="BJ64" s="1058"/>
      <c r="BK64" s="1058"/>
      <c r="BL64" s="1058"/>
      <c r="BM64" s="1058"/>
      <c r="BN64" s="1058"/>
      <c r="BO64" s="1058"/>
      <c r="BP64" s="1058"/>
      <c r="BQ64" s="1058"/>
      <c r="BR64" s="1058"/>
      <c r="BS64" s="1058"/>
      <c r="BT64" s="1058"/>
      <c r="BU64" s="1058"/>
      <c r="BV64" s="1058"/>
      <c r="BW64" s="1058"/>
      <c r="BX64" s="1058"/>
      <c r="BY64" s="1058"/>
      <c r="BZ64" s="1058"/>
      <c r="CA64" s="1058"/>
    </row>
    <row r="65" spans="1:79" ht="36" customHeight="1">
      <c r="B65" s="1477"/>
      <c r="C65" s="1454"/>
      <c r="D65" s="1060" t="s">
        <v>1409</v>
      </c>
      <c r="E65" s="4091" t="s">
        <v>1600</v>
      </c>
      <c r="F65" s="4091"/>
      <c r="G65" s="4091"/>
      <c r="H65" s="4091"/>
      <c r="I65" s="4091"/>
      <c r="J65" s="4091"/>
      <c r="K65" s="4091"/>
      <c r="L65" s="4091"/>
      <c r="M65" s="4091"/>
      <c r="N65" s="4091"/>
      <c r="O65" s="4091"/>
      <c r="P65" s="4091"/>
      <c r="Q65" s="4091"/>
      <c r="R65" s="4091"/>
      <c r="S65" s="4091"/>
      <c r="T65" s="4091"/>
      <c r="U65" s="4091"/>
      <c r="V65" s="4091"/>
      <c r="W65" s="4091"/>
      <c r="X65" s="4091"/>
      <c r="Y65" s="4091"/>
      <c r="Z65" s="4091"/>
      <c r="AA65" s="4091"/>
      <c r="AB65" s="4091"/>
      <c r="AC65" s="4091"/>
      <c r="AD65" s="4091"/>
      <c r="AE65" s="4091"/>
      <c r="AF65" s="4091"/>
      <c r="AG65" s="4091"/>
      <c r="AH65" s="4091"/>
      <c r="AI65" s="4091"/>
      <c r="AJ65" s="4091"/>
      <c r="AK65" s="4130"/>
      <c r="AL65" s="4149" t="b">
        <f>IF(SUM('Unit Mix'!$BU$65:$BU$68)&gt;='Unit Mix'!$Z$8*0.3,TRUE,FALSE)</f>
        <v>1</v>
      </c>
      <c r="AM65" s="4149"/>
      <c r="AN65" s="1316"/>
      <c r="AO65" s="712"/>
      <c r="AQ65" s="1448"/>
      <c r="AR65" s="1448"/>
      <c r="AS65" s="1448"/>
      <c r="AT65" s="1058"/>
      <c r="AU65" s="1058"/>
      <c r="AV65" s="1058"/>
      <c r="AW65" s="1058"/>
      <c r="AX65" s="1058"/>
      <c r="AY65" s="1058"/>
      <c r="AZ65" s="1058"/>
      <c r="BA65" s="1058"/>
      <c r="BB65" s="1058"/>
      <c r="BC65" s="1058"/>
      <c r="BD65" s="1058"/>
      <c r="BE65" s="1058"/>
      <c r="BF65" s="1058"/>
      <c r="BG65" s="1058"/>
      <c r="BH65" s="1058"/>
      <c r="BI65" s="1058"/>
      <c r="BJ65" s="1058"/>
      <c r="BK65" s="1058"/>
      <c r="BL65" s="1058"/>
      <c r="BM65" s="1058"/>
      <c r="BN65" s="1058"/>
      <c r="BO65" s="1058"/>
      <c r="BP65" s="1058"/>
      <c r="BQ65" s="1058"/>
      <c r="BR65" s="1058"/>
      <c r="BS65" s="1058"/>
      <c r="BT65" s="1058"/>
      <c r="BU65" s="1058"/>
      <c r="BV65" s="1058"/>
      <c r="BW65" s="1058"/>
      <c r="BX65" s="1058"/>
      <c r="BY65" s="1058"/>
      <c r="BZ65" s="1058"/>
      <c r="CA65" s="1058"/>
    </row>
    <row r="66" spans="1:79" s="303" customFormat="1" ht="36" hidden="1" customHeight="1">
      <c r="B66" s="1851" t="s">
        <v>676</v>
      </c>
      <c r="C66" s="1851"/>
      <c r="D66" s="1851"/>
      <c r="E66" s="1831" t="str">
        <f>'Document Checklist'!$E$172</f>
        <v>88. CES Agreement</v>
      </c>
      <c r="F66" s="1831"/>
      <c r="G66" s="1831"/>
      <c r="H66" s="1831"/>
      <c r="I66" s="1831"/>
      <c r="J66" s="1831"/>
      <c r="K66" s="1831"/>
      <c r="L66" s="1831"/>
      <c r="M66" s="1831"/>
      <c r="N66" s="2487" t="str">
        <f>'Document Checklist'!$N$172</f>
        <v>Excecuted Agreement by both parties for proposed project and must be submitted at time of application.</v>
      </c>
      <c r="O66" s="2487"/>
      <c r="P66" s="2487"/>
      <c r="Q66" s="2487"/>
      <c r="R66" s="2487"/>
      <c r="S66" s="2487"/>
      <c r="T66" s="2487"/>
      <c r="U66" s="2487"/>
      <c r="V66" s="2487"/>
      <c r="W66" s="2487"/>
      <c r="X66" s="2487"/>
      <c r="Y66" s="2487"/>
      <c r="Z66" s="2487"/>
      <c r="AA66" s="2487"/>
      <c r="AB66" s="2487"/>
      <c r="AC66" s="2487"/>
      <c r="AD66" s="2487"/>
      <c r="AE66" s="2487"/>
      <c r="AF66" s="2129" t="s">
        <v>677</v>
      </c>
      <c r="AG66" s="2130"/>
      <c r="AH66" s="2130"/>
      <c r="AI66" s="2130"/>
      <c r="AJ66" s="2130"/>
      <c r="AK66" s="2130"/>
      <c r="AL66" s="1743"/>
      <c r="AM66" s="1743"/>
      <c r="AP66" s="1058"/>
      <c r="AR66" s="1448"/>
      <c r="AS66" s="1448"/>
    </row>
    <row r="67" spans="1:79" ht="36" hidden="1" customHeight="1">
      <c r="A67" s="360"/>
      <c r="B67" s="1477"/>
      <c r="C67" s="1063" t="s">
        <v>1404</v>
      </c>
      <c r="D67" s="4091" t="s">
        <v>1601</v>
      </c>
      <c r="E67" s="4091"/>
      <c r="F67" s="4091"/>
      <c r="G67" s="4091"/>
      <c r="H67" s="4091"/>
      <c r="I67" s="4091"/>
      <c r="J67" s="4091"/>
      <c r="K67" s="4091"/>
      <c r="L67" s="4091"/>
      <c r="M67" s="4091"/>
      <c r="N67" s="4091"/>
      <c r="O67" s="4091"/>
      <c r="P67" s="4091"/>
      <c r="Q67" s="4091"/>
      <c r="R67" s="4091"/>
      <c r="S67" s="4091"/>
      <c r="T67" s="4091"/>
      <c r="U67" s="4091"/>
      <c r="V67" s="4091"/>
      <c r="W67" s="4091"/>
      <c r="X67" s="4091"/>
      <c r="Y67" s="4091"/>
      <c r="Z67" s="4091"/>
      <c r="AA67" s="4091"/>
      <c r="AB67" s="4091"/>
      <c r="AC67" s="4091"/>
      <c r="AD67" s="4091"/>
      <c r="AE67" s="4091"/>
      <c r="AF67" s="4091"/>
      <c r="AG67" s="4091"/>
      <c r="AH67" s="4091"/>
      <c r="AI67" s="4091"/>
      <c r="AJ67" s="4091"/>
      <c r="AK67" s="4091"/>
      <c r="AL67" s="4108">
        <f>IF(AND(OR($AL$69="Yes",$AL$70="Yes"),N68=TRUE,AL68=TRUE),10,0)</f>
        <v>0</v>
      </c>
      <c r="AM67" s="4108"/>
      <c r="AN67" s="1316"/>
      <c r="AO67" s="1058"/>
      <c r="AQ67" s="1448"/>
      <c r="AR67" s="1448"/>
      <c r="AS67" s="1448"/>
      <c r="AT67" s="1058"/>
      <c r="AU67" s="1058"/>
      <c r="AV67" s="1058"/>
    </row>
    <row r="68" spans="1:79" s="946" customFormat="1" ht="18" hidden="1" customHeight="1">
      <c r="B68" s="1067"/>
      <c r="C68" s="368"/>
      <c r="D68" s="1890" t="s">
        <v>1602</v>
      </c>
      <c r="E68" s="1890"/>
      <c r="F68" s="1890"/>
      <c r="G68" s="1890"/>
      <c r="H68" s="1890"/>
      <c r="I68" s="1890"/>
      <c r="J68" s="1890"/>
      <c r="K68" s="1890"/>
      <c r="L68" s="1890"/>
      <c r="M68" s="1890"/>
      <c r="N68" s="1933" t="b">
        <f>IF(OR(vmNC="Acquisition &amp; Rehabilitation",vmNC="Rehabilitation",vmNC="New Construction &amp; Acq/Rehab"),TRUE,FALSE)</f>
        <v>0</v>
      </c>
      <c r="O68" s="1935"/>
      <c r="P68" s="368"/>
      <c r="Q68" s="4270" t="s">
        <v>1603</v>
      </c>
      <c r="R68" s="4270"/>
      <c r="S68" s="4270"/>
      <c r="T68" s="4270"/>
      <c r="U68" s="4270"/>
      <c r="V68" s="4270"/>
      <c r="W68" s="4270"/>
      <c r="X68" s="4270"/>
      <c r="Y68" s="4270"/>
      <c r="Z68" s="4270"/>
      <c r="AA68" s="4270"/>
      <c r="AB68" s="4270"/>
      <c r="AC68" s="4270"/>
      <c r="AD68" s="4270"/>
      <c r="AE68" s="4270"/>
      <c r="AF68" s="4270"/>
      <c r="AG68" s="4270"/>
      <c r="AH68" s="4270"/>
      <c r="AI68" s="4270"/>
      <c r="AJ68" s="4270"/>
      <c r="AK68" s="4271"/>
      <c r="AL68" s="4269" t="b">
        <f>IF(SUM('Dev Budget SU'!D16:D26)/'Unit Mix'!D8&gt;=40000,TRUE,FALSE)</f>
        <v>1</v>
      </c>
      <c r="AM68" s="4269"/>
      <c r="AO68" s="662"/>
      <c r="AP68" s="360"/>
      <c r="AR68" s="1472"/>
      <c r="AS68" s="1472"/>
    </row>
    <row r="69" spans="1:79" s="360" customFormat="1" ht="36" hidden="1" customHeight="1">
      <c r="B69" s="1068"/>
      <c r="C69" s="1454"/>
      <c r="D69" s="1063" t="s">
        <v>1408</v>
      </c>
      <c r="E69" s="4091" t="s">
        <v>1604</v>
      </c>
      <c r="F69" s="4091"/>
      <c r="G69" s="4091"/>
      <c r="H69" s="4091"/>
      <c r="I69" s="4091"/>
      <c r="J69" s="4091"/>
      <c r="K69" s="4091"/>
      <c r="L69" s="4091"/>
      <c r="M69" s="4091"/>
      <c r="N69" s="4091"/>
      <c r="O69" s="4091"/>
      <c r="P69" s="4091"/>
      <c r="Q69" s="4091"/>
      <c r="R69" s="4091"/>
      <c r="S69" s="4091"/>
      <c r="T69" s="4091"/>
      <c r="U69" s="4091"/>
      <c r="V69" s="4091"/>
      <c r="W69" s="4091"/>
      <c r="X69" s="4091"/>
      <c r="Y69" s="4091"/>
      <c r="Z69" s="4091"/>
      <c r="AA69" s="4091"/>
      <c r="AB69" s="4091"/>
      <c r="AC69" s="4091"/>
      <c r="AD69" s="4091"/>
      <c r="AE69" s="4091"/>
      <c r="AF69" s="4091"/>
      <c r="AG69" s="4091"/>
      <c r="AH69" s="4091"/>
      <c r="AI69" s="4091"/>
      <c r="AJ69" s="4091"/>
      <c r="AK69" s="4130"/>
      <c r="AL69" s="4150"/>
      <c r="AM69" s="4082"/>
      <c r="AN69" s="1316"/>
      <c r="AQ69" s="1472"/>
      <c r="AR69" s="1472"/>
      <c r="AS69" s="1472"/>
    </row>
    <row r="70" spans="1:79" s="360" customFormat="1" ht="36" hidden="1" customHeight="1">
      <c r="B70" s="1069"/>
      <c r="C70" s="1064"/>
      <c r="D70" s="1065" t="s">
        <v>1409</v>
      </c>
      <c r="E70" s="4148" t="s">
        <v>1605</v>
      </c>
      <c r="F70" s="4148"/>
      <c r="G70" s="4148"/>
      <c r="H70" s="4148"/>
      <c r="I70" s="4148"/>
      <c r="J70" s="4148"/>
      <c r="K70" s="4148"/>
      <c r="L70" s="4148"/>
      <c r="M70" s="4148"/>
      <c r="N70" s="4148"/>
      <c r="O70" s="4148"/>
      <c r="P70" s="4148"/>
      <c r="Q70" s="4148"/>
      <c r="R70" s="4148"/>
      <c r="S70" s="4148"/>
      <c r="T70" s="4148"/>
      <c r="U70" s="4148"/>
      <c r="V70" s="4148"/>
      <c r="W70" s="4148"/>
      <c r="X70" s="4148"/>
      <c r="Y70" s="4148"/>
      <c r="Z70" s="4148"/>
      <c r="AA70" s="4148"/>
      <c r="AB70" s="4148"/>
      <c r="AC70" s="4148"/>
      <c r="AD70" s="4148"/>
      <c r="AE70" s="4148"/>
      <c r="AF70" s="4148"/>
      <c r="AG70" s="4148"/>
      <c r="AH70" s="4148"/>
      <c r="AI70" s="4148"/>
      <c r="AJ70" s="4148"/>
      <c r="AK70" s="4148"/>
      <c r="AL70" s="4082"/>
      <c r="AM70" s="4082"/>
      <c r="AN70" s="1316"/>
      <c r="AQ70" s="1472"/>
      <c r="AR70" s="1472"/>
      <c r="AS70" s="1472"/>
    </row>
    <row r="71" spans="1:79" s="368" customFormat="1" ht="14.4">
      <c r="B71" s="369"/>
      <c r="C71" s="369"/>
      <c r="D71" s="369"/>
      <c r="E71" s="369"/>
      <c r="F71" s="369"/>
      <c r="G71" s="369"/>
      <c r="H71" s="369"/>
      <c r="I71" s="369"/>
      <c r="J71" s="369"/>
      <c r="K71" s="369"/>
      <c r="L71" s="369"/>
      <c r="M71" s="369"/>
      <c r="N71" s="369"/>
      <c r="O71" s="369"/>
      <c r="P71" s="369"/>
      <c r="Q71" s="369"/>
      <c r="R71" s="369"/>
      <c r="S71" s="369"/>
      <c r="T71" s="369"/>
      <c r="U71" s="369"/>
      <c r="V71" s="369"/>
      <c r="W71" s="369"/>
      <c r="X71" s="369"/>
      <c r="Y71" s="369"/>
      <c r="Z71" s="369"/>
      <c r="AA71" s="369"/>
      <c r="AB71" s="369"/>
      <c r="AC71" s="369"/>
      <c r="AD71" s="369"/>
      <c r="AE71" s="369"/>
      <c r="AF71" s="369"/>
      <c r="AG71" s="369"/>
      <c r="AH71" s="369"/>
      <c r="AI71" s="369"/>
      <c r="AJ71" s="370"/>
      <c r="AK71" s="370"/>
      <c r="AL71" s="371"/>
      <c r="AM71" s="371"/>
      <c r="AN71" s="1317"/>
      <c r="AO71" s="713"/>
      <c r="AP71" s="1456"/>
      <c r="AQ71" s="641"/>
      <c r="AR71" s="1473"/>
      <c r="AS71" s="1473"/>
      <c r="AV71" s="1456"/>
    </row>
    <row r="72" spans="1:79" ht="18" customHeight="1">
      <c r="A72" s="360"/>
      <c r="B72" s="1071" t="s">
        <v>1400</v>
      </c>
      <c r="C72" s="4106" t="s">
        <v>1606</v>
      </c>
      <c r="D72" s="4106"/>
      <c r="E72" s="4106"/>
      <c r="F72" s="4106"/>
      <c r="G72" s="4106"/>
      <c r="H72" s="4106"/>
      <c r="I72" s="4106"/>
      <c r="J72" s="4106"/>
      <c r="K72" s="4106"/>
      <c r="L72" s="4106"/>
      <c r="M72" s="4106"/>
      <c r="N72" s="4106"/>
      <c r="O72" s="4106"/>
      <c r="P72" s="4106"/>
      <c r="Q72" s="4106"/>
      <c r="R72" s="4106"/>
      <c r="S72" s="4106"/>
      <c r="T72" s="4106"/>
      <c r="U72" s="4106"/>
      <c r="V72" s="4106"/>
      <c r="W72" s="4106"/>
      <c r="X72" s="4106"/>
      <c r="Y72" s="4106"/>
      <c r="Z72" s="4106"/>
      <c r="AA72" s="4106"/>
      <c r="AB72" s="4106"/>
      <c r="AC72" s="4106"/>
      <c r="AD72" s="4106"/>
      <c r="AE72" s="4106"/>
      <c r="AF72" s="4106"/>
      <c r="AG72" s="4106"/>
      <c r="AH72" s="4106"/>
      <c r="AI72" s="4106"/>
      <c r="AJ72" s="4106"/>
      <c r="AK72" s="4107"/>
      <c r="AL72" s="4122">
        <f>AL144+MIN(MAX($AL$84,$AL$85,$AL$88,AL90)+MAX($AL$115,$AL$116,$AL$119,AL121),20)</f>
        <v>0</v>
      </c>
      <c r="AM72" s="4122"/>
      <c r="AN72" s="1472"/>
      <c r="AO72" s="647" t="s">
        <v>1607</v>
      </c>
      <c r="AP72" s="647"/>
      <c r="AQ72" s="1448"/>
      <c r="AR72" s="1448"/>
      <c r="AS72" s="1448"/>
      <c r="AT72" s="1058"/>
      <c r="AU72" s="1058"/>
      <c r="AV72" s="1058"/>
    </row>
    <row r="73" spans="1:79" ht="18" customHeight="1">
      <c r="A73" s="360"/>
      <c r="B73" s="4111" t="s">
        <v>1608</v>
      </c>
      <c r="C73" s="4112"/>
      <c r="D73" s="4112"/>
      <c r="E73" s="4112"/>
      <c r="F73" s="4112"/>
      <c r="G73" s="4112"/>
      <c r="H73" s="4112"/>
      <c r="I73" s="4112"/>
      <c r="J73" s="4112"/>
      <c r="K73" s="4112"/>
      <c r="L73" s="4112"/>
      <c r="M73" s="4112"/>
      <c r="N73" s="4112"/>
      <c r="O73" s="4134"/>
      <c r="P73" s="4135"/>
      <c r="Q73" s="4135"/>
      <c r="R73" s="4135"/>
      <c r="S73" s="4135"/>
      <c r="T73" s="4135"/>
      <c r="U73" s="4135"/>
      <c r="V73" s="4135"/>
      <c r="W73" s="4135"/>
      <c r="X73" s="4135"/>
      <c r="Y73" s="4135"/>
      <c r="Z73" s="4135"/>
      <c r="AA73" s="4135"/>
      <c r="AB73" s="4135"/>
      <c r="AC73" s="4135"/>
      <c r="AD73" s="4135"/>
      <c r="AE73" s="4135"/>
      <c r="AF73" s="4135"/>
      <c r="AG73" s="4135"/>
      <c r="AH73" s="4135"/>
      <c r="AI73" s="4135"/>
      <c r="AJ73" s="4135"/>
      <c r="AK73" s="4135"/>
      <c r="AL73" s="4135"/>
      <c r="AM73" s="4136"/>
      <c r="AN73" s="1472"/>
      <c r="AO73" s="647" t="s">
        <v>1609</v>
      </c>
      <c r="AP73" s="647"/>
      <c r="AQ73" s="1448"/>
      <c r="AR73" s="1448"/>
      <c r="AS73" s="1448"/>
      <c r="AT73" s="1058"/>
      <c r="AU73" s="1058"/>
      <c r="AV73" s="1058"/>
    </row>
    <row r="74" spans="1:79" ht="36" customHeight="1">
      <c r="A74" s="360"/>
      <c r="B74" s="4113" t="s">
        <v>1610</v>
      </c>
      <c r="C74" s="4114"/>
      <c r="D74" s="4114"/>
      <c r="E74" s="4114"/>
      <c r="F74" s="4114"/>
      <c r="G74" s="4114"/>
      <c r="H74" s="4114"/>
      <c r="I74" s="4114"/>
      <c r="J74" s="4114"/>
      <c r="K74" s="4098"/>
      <c r="L74" s="4099"/>
      <c r="M74" s="4099"/>
      <c r="N74" s="4099"/>
      <c r="O74" s="4099"/>
      <c r="P74" s="4099"/>
      <c r="Q74" s="4099"/>
      <c r="R74" s="4099"/>
      <c r="S74" s="4099"/>
      <c r="T74" s="4099"/>
      <c r="U74" s="4099"/>
      <c r="V74" s="4099"/>
      <c r="W74" s="4099"/>
      <c r="X74" s="4099"/>
      <c r="Y74" s="4099"/>
      <c r="Z74" s="4099"/>
      <c r="AA74" s="4099"/>
      <c r="AB74" s="4099"/>
      <c r="AC74" s="4099"/>
      <c r="AD74" s="4099"/>
      <c r="AE74" s="4099"/>
      <c r="AF74" s="4099"/>
      <c r="AG74" s="4099"/>
      <c r="AH74" s="4099"/>
      <c r="AI74" s="4099"/>
      <c r="AJ74" s="4099"/>
      <c r="AK74" s="4099"/>
      <c r="AL74" s="4099"/>
      <c r="AM74" s="4100"/>
      <c r="AN74" s="1472"/>
      <c r="AO74" s="647" t="s">
        <v>1611</v>
      </c>
      <c r="AP74" s="647"/>
      <c r="AQ74" s="1448"/>
      <c r="AR74" s="1448"/>
      <c r="AS74" s="1448"/>
      <c r="AT74" s="1058"/>
      <c r="AU74" s="1058"/>
      <c r="AV74" s="1058"/>
    </row>
    <row r="75" spans="1:79" ht="18" customHeight="1">
      <c r="A75" s="360"/>
      <c r="B75" s="4115" t="s">
        <v>1612</v>
      </c>
      <c r="C75" s="4030"/>
      <c r="D75" s="4030"/>
      <c r="E75" s="4030"/>
      <c r="F75" s="4030"/>
      <c r="G75" s="4030"/>
      <c r="H75" s="4030"/>
      <c r="I75" s="4030"/>
      <c r="J75" s="4030"/>
      <c r="K75" s="4030"/>
      <c r="L75" s="4030"/>
      <c r="M75" s="4030"/>
      <c r="N75" s="4030"/>
      <c r="O75" s="4030"/>
      <c r="P75" s="4030"/>
      <c r="Q75" s="4030"/>
      <c r="R75" s="4030"/>
      <c r="S75" s="4030"/>
      <c r="T75" s="4030"/>
      <c r="U75" s="4030"/>
      <c r="V75" s="4030"/>
      <c r="W75" s="4030"/>
      <c r="X75" s="4030"/>
      <c r="Y75" s="4030"/>
      <c r="Z75" s="4030"/>
      <c r="AA75" s="4030"/>
      <c r="AB75" s="4030"/>
      <c r="AC75" s="4030"/>
      <c r="AD75" s="4030"/>
      <c r="AE75" s="4030"/>
      <c r="AF75" s="4030"/>
      <c r="AG75" s="4030"/>
      <c r="AH75" s="4030"/>
      <c r="AI75" s="4030"/>
      <c r="AJ75" s="4030"/>
      <c r="AK75" s="4030"/>
      <c r="AL75" s="4082"/>
      <c r="AM75" s="4082"/>
      <c r="AN75" s="1472"/>
      <c r="AO75" s="1058" t="s">
        <v>1613</v>
      </c>
      <c r="AP75" s="647"/>
      <c r="AQ75" s="1448"/>
      <c r="AR75" s="1448"/>
      <c r="AS75" s="1448"/>
      <c r="AT75" s="1058"/>
      <c r="AU75" s="1058"/>
      <c r="AV75" s="1058"/>
    </row>
    <row r="76" spans="1:79" s="1058" customFormat="1" ht="36" customHeight="1">
      <c r="A76" s="360"/>
      <c r="B76" s="4262" t="s">
        <v>1614</v>
      </c>
      <c r="C76" s="1892"/>
      <c r="D76" s="1892"/>
      <c r="E76" s="1892"/>
      <c r="F76" s="1892"/>
      <c r="G76" s="1892"/>
      <c r="H76" s="1892"/>
      <c r="I76" s="1892"/>
      <c r="J76" s="1892"/>
      <c r="K76" s="1892"/>
      <c r="L76" s="1892"/>
      <c r="M76" s="1892"/>
      <c r="N76" s="1892"/>
      <c r="O76" s="1892"/>
      <c r="P76" s="1892"/>
      <c r="Q76" s="1892"/>
      <c r="R76" s="1892"/>
      <c r="S76" s="1892"/>
      <c r="T76" s="1892"/>
      <c r="U76" s="1892"/>
      <c r="V76" s="1892"/>
      <c r="W76" s="1892"/>
      <c r="X76" s="1892"/>
      <c r="Y76" s="1892"/>
      <c r="Z76" s="1892"/>
      <c r="AA76" s="1892"/>
      <c r="AB76" s="1892"/>
      <c r="AC76" s="1892"/>
      <c r="AD76" s="1892"/>
      <c r="AE76" s="1892"/>
      <c r="AF76" s="1892"/>
      <c r="AG76" s="1892"/>
      <c r="AH76" s="1892"/>
      <c r="AI76" s="1892"/>
      <c r="AJ76" s="1892"/>
      <c r="AK76" s="1892"/>
      <c r="AL76" s="1743"/>
      <c r="AM76" s="1743"/>
      <c r="AN76" s="1472"/>
      <c r="AO76" s="647" t="s">
        <v>1615</v>
      </c>
      <c r="AP76" s="647"/>
      <c r="AQ76" s="1448"/>
      <c r="AR76" s="1448"/>
      <c r="AS76" s="1448"/>
    </row>
    <row r="77" spans="1:79" s="364" customFormat="1" ht="36" customHeight="1">
      <c r="A77" s="1530"/>
      <c r="B77" s="1073"/>
      <c r="C77" s="1072" t="s">
        <v>1402</v>
      </c>
      <c r="D77" s="4263" t="s">
        <v>1616</v>
      </c>
      <c r="E77" s="4263"/>
      <c r="F77" s="4263"/>
      <c r="G77" s="4263"/>
      <c r="H77" s="4263"/>
      <c r="I77" s="4263"/>
      <c r="J77" s="4263"/>
      <c r="K77" s="4263"/>
      <c r="L77" s="4263"/>
      <c r="M77" s="4263"/>
      <c r="N77" s="4263"/>
      <c r="O77" s="4263"/>
      <c r="P77" s="4263"/>
      <c r="Q77" s="4263"/>
      <c r="R77" s="4263"/>
      <c r="S77" s="4263"/>
      <c r="T77" s="4263"/>
      <c r="U77" s="4263"/>
      <c r="V77" s="4263"/>
      <c r="W77" s="4263"/>
      <c r="X77" s="4263"/>
      <c r="Y77" s="4263"/>
      <c r="Z77" s="4263"/>
      <c r="AA77" s="4263"/>
      <c r="AB77" s="4263"/>
      <c r="AC77" s="4263"/>
      <c r="AD77" s="4263"/>
      <c r="AE77" s="4263"/>
      <c r="AF77" s="4263"/>
      <c r="AG77" s="4263"/>
      <c r="AH77" s="4263"/>
      <c r="AI77" s="4263"/>
      <c r="AJ77" s="4263"/>
      <c r="AK77" s="4263"/>
      <c r="AL77" s="4263"/>
      <c r="AM77" s="4264"/>
      <c r="AN77" s="639"/>
      <c r="AO77" s="714"/>
      <c r="AP77" s="107"/>
      <c r="AQ77" s="49"/>
      <c r="AR77" s="1448"/>
      <c r="AS77" s="1448"/>
      <c r="AT77" s="1058"/>
      <c r="AU77" s="1058"/>
      <c r="AV77" s="1136"/>
    </row>
    <row r="78" spans="1:79" s="449" customFormat="1" ht="135" customHeight="1">
      <c r="B78" s="1475"/>
      <c r="C78" s="454"/>
      <c r="D78" s="4265" t="s">
        <v>1617</v>
      </c>
      <c r="E78" s="4266"/>
      <c r="F78" s="4266"/>
      <c r="G78" s="4266"/>
      <c r="H78" s="4266"/>
      <c r="I78" s="4266"/>
      <c r="J78" s="4266"/>
      <c r="K78" s="4266"/>
      <c r="L78" s="4266"/>
      <c r="M78" s="4266"/>
      <c r="N78" s="4266"/>
      <c r="O78" s="4266"/>
      <c r="P78" s="4266"/>
      <c r="Q78" s="4266"/>
      <c r="R78" s="4266"/>
      <c r="S78" s="4266"/>
      <c r="T78" s="4266"/>
      <c r="U78" s="4266"/>
      <c r="V78" s="4266"/>
      <c r="W78" s="4266"/>
      <c r="X78" s="4266"/>
      <c r="Y78" s="4266"/>
      <c r="Z78" s="4266"/>
      <c r="AA78" s="4266"/>
      <c r="AB78" s="4266"/>
      <c r="AC78" s="4266"/>
      <c r="AD78" s="4266"/>
      <c r="AE78" s="4266"/>
      <c r="AF78" s="4266"/>
      <c r="AG78" s="4266"/>
      <c r="AH78" s="4266"/>
      <c r="AI78" s="4266"/>
      <c r="AJ78" s="4266"/>
      <c r="AK78" s="4266"/>
      <c r="AL78" s="4266"/>
      <c r="AM78" s="4267"/>
      <c r="AP78" s="1530"/>
      <c r="AR78" s="454"/>
      <c r="AS78" s="454"/>
    </row>
    <row r="79" spans="1:79" s="449" customFormat="1" ht="18" customHeight="1">
      <c r="B79" s="1475"/>
      <c r="D79" s="4265" t="s">
        <v>1618</v>
      </c>
      <c r="E79" s="4265"/>
      <c r="F79" s="4265"/>
      <c r="G79" s="4265"/>
      <c r="H79" s="4265"/>
      <c r="I79" s="4265"/>
      <c r="J79" s="4265"/>
      <c r="K79" s="4265"/>
      <c r="L79" s="4265"/>
      <c r="M79" s="4265"/>
      <c r="N79" s="4265"/>
      <c r="O79" s="4265"/>
      <c r="P79" s="4265"/>
      <c r="Q79" s="4265"/>
      <c r="R79" s="4265"/>
      <c r="S79" s="4265"/>
      <c r="T79" s="4265"/>
      <c r="U79" s="4265"/>
      <c r="V79" s="4265"/>
      <c r="W79" s="4265"/>
      <c r="X79" s="4265"/>
      <c r="Y79" s="4265"/>
      <c r="Z79" s="4265"/>
      <c r="AA79" s="4265"/>
      <c r="AB79" s="4265"/>
      <c r="AC79" s="4265"/>
      <c r="AD79" s="4265"/>
      <c r="AE79" s="4265"/>
      <c r="AF79" s="4265"/>
      <c r="AG79" s="4265"/>
      <c r="AH79" s="4265"/>
      <c r="AI79" s="4265"/>
      <c r="AJ79" s="4265"/>
      <c r="AK79" s="4265"/>
      <c r="AL79" s="4265"/>
      <c r="AM79" s="4268"/>
      <c r="AP79" s="1530"/>
      <c r="AR79" s="454"/>
      <c r="AS79" s="454"/>
    </row>
    <row r="80" spans="1:79" s="364" customFormat="1" ht="54" customHeight="1">
      <c r="A80" s="1530"/>
      <c r="B80" s="1073"/>
      <c r="C80" s="1520"/>
      <c r="D80" s="1075" t="s">
        <v>1619</v>
      </c>
      <c r="E80" s="4030" t="s">
        <v>1620</v>
      </c>
      <c r="F80" s="4030"/>
      <c r="G80" s="4030"/>
      <c r="H80" s="4030"/>
      <c r="I80" s="4030"/>
      <c r="J80" s="4030"/>
      <c r="K80" s="4030"/>
      <c r="L80" s="4030"/>
      <c r="M80" s="4030"/>
      <c r="N80" s="4030"/>
      <c r="O80" s="4030"/>
      <c r="P80" s="4030"/>
      <c r="Q80" s="4030"/>
      <c r="R80" s="4030"/>
      <c r="S80" s="4030"/>
      <c r="T80" s="4030"/>
      <c r="U80" s="4030"/>
      <c r="V80" s="4030"/>
      <c r="W80" s="4030"/>
      <c r="X80" s="4030"/>
      <c r="Y80" s="4030"/>
      <c r="Z80" s="4030"/>
      <c r="AA80" s="4030"/>
      <c r="AB80" s="4030"/>
      <c r="AC80" s="4030"/>
      <c r="AD80" s="4030"/>
      <c r="AE80" s="4030"/>
      <c r="AF80" s="4030"/>
      <c r="AG80" s="4030"/>
      <c r="AH80" s="4030"/>
      <c r="AI80" s="4030"/>
      <c r="AJ80" s="4030"/>
      <c r="AK80" s="4030"/>
      <c r="AL80" s="4030"/>
      <c r="AM80" s="4031"/>
      <c r="AN80" s="639"/>
      <c r="AO80" s="714"/>
      <c r="AP80" s="107"/>
      <c r="AQ80" s="49"/>
      <c r="AR80" s="1448"/>
      <c r="AS80" s="1448"/>
      <c r="AT80" s="1058"/>
      <c r="AU80" s="1058"/>
      <c r="AV80" s="1136"/>
    </row>
    <row r="81" spans="1:48" s="364" customFormat="1" ht="54" customHeight="1">
      <c r="A81" s="1530"/>
      <c r="B81" s="1073"/>
      <c r="C81" s="1520"/>
      <c r="D81" s="1075"/>
      <c r="E81" s="3901" t="s">
        <v>1621</v>
      </c>
      <c r="F81" s="3901"/>
      <c r="G81" s="3901"/>
      <c r="H81" s="3901"/>
      <c r="I81" s="3901"/>
      <c r="J81" s="3901"/>
      <c r="K81" s="3901"/>
      <c r="L81" s="3901"/>
      <c r="M81" s="3901"/>
      <c r="N81" s="3901"/>
      <c r="O81" s="3901"/>
      <c r="P81" s="3901"/>
      <c r="Q81" s="3901"/>
      <c r="R81" s="3901"/>
      <c r="S81" s="3901"/>
      <c r="T81" s="3901"/>
      <c r="U81" s="3901"/>
      <c r="V81" s="3901"/>
      <c r="W81" s="3901"/>
      <c r="X81" s="3901"/>
      <c r="Y81" s="3901"/>
      <c r="Z81" s="3901"/>
      <c r="AA81" s="3901"/>
      <c r="AB81" s="3901"/>
      <c r="AC81" s="3901"/>
      <c r="AD81" s="3901"/>
      <c r="AE81" s="3901"/>
      <c r="AF81" s="3901"/>
      <c r="AG81" s="3901"/>
      <c r="AH81" s="3901"/>
      <c r="AI81" s="3901"/>
      <c r="AJ81" s="3901"/>
      <c r="AK81" s="3901"/>
      <c r="AL81" s="3901"/>
      <c r="AM81" s="3917"/>
      <c r="AN81" s="639"/>
      <c r="AO81" s="714"/>
      <c r="AP81" s="107"/>
      <c r="AQ81" s="49"/>
      <c r="AR81" s="1448"/>
      <c r="AS81" s="1448"/>
      <c r="AT81" s="1058"/>
      <c r="AU81" s="1058"/>
      <c r="AV81" s="1136"/>
    </row>
    <row r="82" spans="1:48" s="364" customFormat="1" ht="54" customHeight="1">
      <c r="A82" s="1530"/>
      <c r="B82" s="1073"/>
      <c r="C82" s="1520"/>
      <c r="D82" s="1520"/>
      <c r="E82" s="4030" t="s">
        <v>1622</v>
      </c>
      <c r="F82" s="4030"/>
      <c r="G82" s="4030"/>
      <c r="H82" s="4030"/>
      <c r="I82" s="4030"/>
      <c r="J82" s="4030"/>
      <c r="K82" s="4030"/>
      <c r="L82" s="4030"/>
      <c r="M82" s="4030"/>
      <c r="N82" s="4030"/>
      <c r="O82" s="4030"/>
      <c r="P82" s="4030"/>
      <c r="Q82" s="4030"/>
      <c r="R82" s="4030"/>
      <c r="S82" s="4030"/>
      <c r="T82" s="4030"/>
      <c r="U82" s="4030"/>
      <c r="V82" s="4030"/>
      <c r="W82" s="4030"/>
      <c r="X82" s="4030"/>
      <c r="Y82" s="4030"/>
      <c r="Z82" s="4030"/>
      <c r="AA82" s="4030"/>
      <c r="AB82" s="4030"/>
      <c r="AC82" s="4030"/>
      <c r="AD82" s="4030"/>
      <c r="AE82" s="4030"/>
      <c r="AF82" s="4030"/>
      <c r="AG82" s="4030"/>
      <c r="AH82" s="4030"/>
      <c r="AI82" s="4030"/>
      <c r="AJ82" s="4030"/>
      <c r="AK82" s="4031"/>
      <c r="AL82" s="1727"/>
      <c r="AM82" s="1727"/>
      <c r="AN82" s="639"/>
      <c r="AO82" s="714"/>
      <c r="AP82" s="107"/>
      <c r="AQ82" s="49"/>
      <c r="AR82" s="1448"/>
      <c r="AS82" s="1448"/>
      <c r="AT82" s="1058"/>
      <c r="AU82" s="1058"/>
      <c r="AV82" s="1136"/>
    </row>
    <row r="83" spans="1:48" s="449" customFormat="1" ht="18" customHeight="1">
      <c r="B83" s="1475"/>
      <c r="D83" s="1074" t="s">
        <v>1623</v>
      </c>
      <c r="E83" s="3905" t="s">
        <v>1624</v>
      </c>
      <c r="F83" s="3905"/>
      <c r="G83" s="3905"/>
      <c r="H83" s="3905"/>
      <c r="I83" s="3905"/>
      <c r="J83" s="3905"/>
      <c r="K83" s="3905"/>
      <c r="L83" s="3905"/>
      <c r="M83" s="3905"/>
      <c r="N83" s="3905"/>
      <c r="O83" s="3905"/>
      <c r="P83" s="3905"/>
      <c r="Q83" s="3905"/>
      <c r="R83" s="3905"/>
      <c r="S83" s="3905"/>
      <c r="T83" s="3905"/>
      <c r="U83" s="3905"/>
      <c r="V83" s="3905"/>
      <c r="W83" s="3905"/>
      <c r="X83" s="3905"/>
      <c r="Y83" s="3905"/>
      <c r="Z83" s="3905"/>
      <c r="AA83" s="3905"/>
      <c r="AB83" s="3905"/>
      <c r="AC83" s="3905"/>
      <c r="AD83" s="3905"/>
      <c r="AE83" s="3905"/>
      <c r="AF83" s="3905"/>
      <c r="AG83" s="3905"/>
      <c r="AH83" s="3905"/>
      <c r="AI83" s="3905"/>
      <c r="AJ83" s="3905"/>
      <c r="AK83" s="3905"/>
      <c r="AL83" s="3905"/>
      <c r="AM83" s="3906"/>
      <c r="AP83" s="1530"/>
      <c r="AR83" s="454"/>
      <c r="AS83" s="454"/>
    </row>
    <row r="84" spans="1:48" ht="36" customHeight="1">
      <c r="A84" s="1058"/>
      <c r="B84" s="1477"/>
      <c r="C84" s="1520"/>
      <c r="D84" s="1058"/>
      <c r="E84" s="4030" t="s">
        <v>1625</v>
      </c>
      <c r="F84" s="4030"/>
      <c r="G84" s="4030"/>
      <c r="H84" s="4030"/>
      <c r="I84" s="4030"/>
      <c r="J84" s="4030"/>
      <c r="K84" s="4030"/>
      <c r="L84" s="4030"/>
      <c r="M84" s="4030"/>
      <c r="N84" s="4030"/>
      <c r="O84" s="4030"/>
      <c r="P84" s="4030"/>
      <c r="Q84" s="4030"/>
      <c r="R84" s="4030"/>
      <c r="S84" s="4030"/>
      <c r="T84" s="4030"/>
      <c r="U84" s="4030"/>
      <c r="V84" s="4030"/>
      <c r="W84" s="4030"/>
      <c r="X84" s="4030"/>
      <c r="Y84" s="4030"/>
      <c r="Z84" s="4030"/>
      <c r="AA84" s="4030"/>
      <c r="AB84" s="4030"/>
      <c r="AC84" s="4030"/>
      <c r="AD84" s="4030"/>
      <c r="AE84" s="4030"/>
      <c r="AF84" s="4030"/>
      <c r="AG84" s="4030"/>
      <c r="AH84" s="4030"/>
      <c r="AI84" s="4030"/>
      <c r="AJ84" s="4030"/>
      <c r="AK84" s="4031"/>
      <c r="AL84" s="4144">
        <f>10*AND(OR($AP$91=3,$AP$91=4),$AQ$91&gt;=1,$AR$91&gt;=2)</f>
        <v>0</v>
      </c>
      <c r="AM84" s="4144"/>
      <c r="AN84" s="1448"/>
      <c r="AO84" s="1058"/>
      <c r="AQ84" s="1448"/>
      <c r="AR84" s="1448"/>
      <c r="AS84" s="1448"/>
      <c r="AT84" s="1058"/>
      <c r="AU84" s="1058"/>
      <c r="AV84" s="1058"/>
    </row>
    <row r="85" spans="1:48" ht="36" customHeight="1">
      <c r="A85" s="1058"/>
      <c r="B85" s="1477"/>
      <c r="C85" s="1520"/>
      <c r="D85" s="1520"/>
      <c r="E85" s="4114" t="s">
        <v>1626</v>
      </c>
      <c r="F85" s="4114"/>
      <c r="G85" s="4114"/>
      <c r="H85" s="4114"/>
      <c r="I85" s="4114"/>
      <c r="J85" s="4114"/>
      <c r="K85" s="4114"/>
      <c r="L85" s="4114"/>
      <c r="M85" s="4114"/>
      <c r="N85" s="4114"/>
      <c r="O85" s="4114"/>
      <c r="P85" s="4114"/>
      <c r="Q85" s="4114"/>
      <c r="R85" s="4114"/>
      <c r="S85" s="4114"/>
      <c r="T85" s="4114"/>
      <c r="U85" s="4114"/>
      <c r="V85" s="4114"/>
      <c r="W85" s="4114"/>
      <c r="X85" s="4114"/>
      <c r="Y85" s="4114"/>
      <c r="Z85" s="4114"/>
      <c r="AA85" s="4114"/>
      <c r="AB85" s="4114"/>
      <c r="AC85" s="4114"/>
      <c r="AD85" s="4114"/>
      <c r="AE85" s="4114"/>
      <c r="AF85" s="4114"/>
      <c r="AG85" s="4114"/>
      <c r="AH85" s="4114"/>
      <c r="AI85" s="4114"/>
      <c r="AJ85" s="4114"/>
      <c r="AK85" s="4261"/>
      <c r="AL85" s="4144">
        <f>15*AND($AP$91&gt;=5,$AQ$91&gt;=1,$AR$91&gt;=2)</f>
        <v>0</v>
      </c>
      <c r="AM85" s="4144"/>
      <c r="AN85" s="1448"/>
      <c r="AO85" s="1058"/>
      <c r="AP85" s="714"/>
      <c r="AQ85" s="1448"/>
      <c r="AR85" s="1448"/>
      <c r="AS85" s="1448"/>
      <c r="AT85" s="1058"/>
      <c r="AU85" s="1058"/>
      <c r="AV85" s="1058"/>
    </row>
    <row r="86" spans="1:48" s="643" customFormat="1" ht="18.75" customHeight="1">
      <c r="B86" s="1077"/>
      <c r="C86" s="1076"/>
      <c r="D86" s="1076"/>
      <c r="E86" s="4072" t="s">
        <v>1627</v>
      </c>
      <c r="F86" s="4072"/>
      <c r="G86" s="4072"/>
      <c r="H86" s="4072"/>
      <c r="I86" s="4072"/>
      <c r="J86" s="4072"/>
      <c r="K86" s="4072"/>
      <c r="L86" s="4072"/>
      <c r="M86" s="4072"/>
      <c r="N86" s="4072"/>
      <c r="O86" s="4072"/>
      <c r="P86" s="4072"/>
      <c r="Q86" s="4072"/>
      <c r="R86" s="4072"/>
      <c r="S86" s="4072"/>
      <c r="T86" s="4072"/>
      <c r="U86" s="4072"/>
      <c r="V86" s="4072"/>
      <c r="W86" s="4072"/>
      <c r="X86" s="4072"/>
      <c r="Y86" s="4072"/>
      <c r="Z86" s="4072"/>
      <c r="AA86" s="4072"/>
      <c r="AB86" s="4072"/>
      <c r="AC86" s="4072"/>
      <c r="AD86" s="4072"/>
      <c r="AE86" s="4072"/>
      <c r="AF86" s="4072"/>
      <c r="AG86" s="4072"/>
      <c r="AH86" s="4072"/>
      <c r="AI86" s="4072"/>
      <c r="AJ86" s="4072"/>
      <c r="AK86" s="4072"/>
      <c r="AL86" s="4072"/>
      <c r="AM86" s="4073"/>
      <c r="AN86" s="1472"/>
      <c r="AO86" s="1058"/>
      <c r="AP86" s="714"/>
      <c r="AQ86" s="1448"/>
      <c r="AR86" s="1448"/>
      <c r="AS86" s="1448"/>
      <c r="AV86" s="1058"/>
    </row>
    <row r="87" spans="1:48" s="643" customFormat="1" ht="18.75" customHeight="1">
      <c r="B87" s="1077"/>
      <c r="C87" s="1076"/>
      <c r="D87" s="1076"/>
      <c r="E87" s="4312" t="s">
        <v>1628</v>
      </c>
      <c r="F87" s="4312"/>
      <c r="G87" s="4312"/>
      <c r="H87" s="4312"/>
      <c r="I87" s="4312"/>
      <c r="J87" s="4312"/>
      <c r="K87" s="4312"/>
      <c r="L87" s="4312"/>
      <c r="M87" s="1515"/>
      <c r="N87" s="1515"/>
      <c r="O87" s="1515"/>
      <c r="P87" s="1515"/>
      <c r="Q87" s="1515"/>
      <c r="R87" s="1515"/>
      <c r="S87" s="1515"/>
      <c r="T87" s="1515"/>
      <c r="U87" s="1515"/>
      <c r="V87" s="1515"/>
      <c r="W87" s="1515"/>
      <c r="X87" s="1515"/>
      <c r="Y87" s="1515"/>
      <c r="Z87" s="1515"/>
      <c r="AA87" s="1515"/>
      <c r="AB87" s="1515"/>
      <c r="AC87" s="1515"/>
      <c r="AD87" s="1515"/>
      <c r="AE87" s="1515"/>
      <c r="AF87" s="1515"/>
      <c r="AG87" s="1515"/>
      <c r="AH87" s="1515"/>
      <c r="AI87" s="1515"/>
      <c r="AJ87" s="1515"/>
      <c r="AK87" s="1515"/>
      <c r="AL87" s="1515"/>
      <c r="AM87" s="1516"/>
      <c r="AN87" s="1472"/>
      <c r="AO87" s="1058"/>
      <c r="AP87" s="714"/>
      <c r="AQ87" s="1448"/>
      <c r="AR87" s="1448"/>
      <c r="AS87" s="1448"/>
      <c r="AV87" s="1058"/>
    </row>
    <row r="88" spans="1:48" ht="36" customHeight="1">
      <c r="A88" s="1058"/>
      <c r="B88" s="1477"/>
      <c r="C88" s="1520"/>
      <c r="D88" s="1520"/>
      <c r="E88" s="4030" t="s">
        <v>1629</v>
      </c>
      <c r="F88" s="4030"/>
      <c r="G88" s="4030"/>
      <c r="H88" s="4030"/>
      <c r="I88" s="4030"/>
      <c r="J88" s="4030"/>
      <c r="K88" s="4030"/>
      <c r="L88" s="4030"/>
      <c r="M88" s="4030"/>
      <c r="N88" s="4030"/>
      <c r="O88" s="4030"/>
      <c r="P88" s="4030"/>
      <c r="Q88" s="4030"/>
      <c r="R88" s="4030"/>
      <c r="S88" s="4030"/>
      <c r="T88" s="4030"/>
      <c r="U88" s="4030"/>
      <c r="V88" s="4030"/>
      <c r="W88" s="4030"/>
      <c r="X88" s="4030"/>
      <c r="Y88" s="4030"/>
      <c r="Z88" s="4030"/>
      <c r="AA88" s="4030"/>
      <c r="AB88" s="4030"/>
      <c r="AC88" s="4030"/>
      <c r="AD88" s="4030"/>
      <c r="AE88" s="4030"/>
      <c r="AF88" s="4030"/>
      <c r="AG88" s="4030"/>
      <c r="AH88" s="4030"/>
      <c r="AI88" s="4030"/>
      <c r="AJ88" s="4030"/>
      <c r="AK88" s="4031"/>
      <c r="AL88" s="4144">
        <f>15*AND($AS$91&gt;=4,$AU$91&gt;=1)</f>
        <v>0</v>
      </c>
      <c r="AM88" s="4144"/>
      <c r="AN88" s="441"/>
      <c r="AO88" s="1459"/>
      <c r="AP88" s="714"/>
      <c r="AQ88" s="1448"/>
      <c r="AR88" s="1448"/>
      <c r="AS88" s="1448"/>
      <c r="AT88" s="1058"/>
      <c r="AU88" s="1058"/>
      <c r="AV88" s="1058"/>
    </row>
    <row r="89" spans="1:48" s="303" customFormat="1" ht="18" customHeight="1">
      <c r="B89" s="1054"/>
      <c r="E89" s="4312" t="s">
        <v>1630</v>
      </c>
      <c r="F89" s="4312"/>
      <c r="G89" s="4312"/>
      <c r="H89" s="4312"/>
      <c r="I89" s="4312"/>
      <c r="J89" s="4312"/>
      <c r="K89" s="4312"/>
      <c r="L89" s="4312"/>
      <c r="M89" s="4312"/>
      <c r="N89" s="4312"/>
    </row>
    <row r="90" spans="1:48" s="303" customFormat="1" ht="36" customHeight="1">
      <c r="B90" s="1463"/>
      <c r="E90" s="4030" t="s">
        <v>1631</v>
      </c>
      <c r="F90" s="4030"/>
      <c r="G90" s="4030"/>
      <c r="H90" s="4030"/>
      <c r="I90" s="4030"/>
      <c r="J90" s="4030"/>
      <c r="K90" s="4030"/>
      <c r="L90" s="4030"/>
      <c r="M90" s="4030"/>
      <c r="N90" s="4030"/>
      <c r="O90" s="4030"/>
      <c r="P90" s="4030"/>
      <c r="Q90" s="4030"/>
      <c r="R90" s="4030"/>
      <c r="S90" s="4030"/>
      <c r="T90" s="4030"/>
      <c r="U90" s="4030"/>
      <c r="V90" s="4030"/>
      <c r="W90" s="4030"/>
      <c r="X90" s="4030"/>
      <c r="Y90" s="4030"/>
      <c r="Z90" s="4030"/>
      <c r="AA90" s="4030"/>
      <c r="AB90" s="4030"/>
      <c r="AC90" s="4030"/>
      <c r="AD90" s="4030"/>
      <c r="AE90" s="4030"/>
      <c r="AF90" s="4030"/>
      <c r="AG90" s="4030"/>
      <c r="AH90" s="4030"/>
      <c r="AI90" s="4030"/>
      <c r="AJ90" s="4030"/>
      <c r="AK90" s="4031"/>
      <c r="AL90" s="4144">
        <f>15*AND($AT$91&gt;=4,$AU$91&gt;=1)</f>
        <v>0</v>
      </c>
      <c r="AM90" s="4144"/>
    </row>
    <row r="91" spans="1:48" ht="60" customHeight="1">
      <c r="A91" s="1058"/>
      <c r="B91" s="4143" t="s">
        <v>1632</v>
      </c>
      <c r="C91" s="4143"/>
      <c r="D91" s="4143"/>
      <c r="E91" s="4143"/>
      <c r="F91" s="4143"/>
      <c r="G91" s="4143"/>
      <c r="H91" s="4143"/>
      <c r="I91" s="4137" t="s">
        <v>1633</v>
      </c>
      <c r="J91" s="4138"/>
      <c r="K91" s="4138"/>
      <c r="L91" s="4138"/>
      <c r="M91" s="4138"/>
      <c r="N91" s="4138"/>
      <c r="O91" s="4139"/>
      <c r="P91" s="4143" t="s">
        <v>1634</v>
      </c>
      <c r="Q91" s="4143"/>
      <c r="R91" s="4143"/>
      <c r="S91" s="4143"/>
      <c r="T91" s="4137" t="s">
        <v>1635</v>
      </c>
      <c r="U91" s="4138"/>
      <c r="V91" s="4138"/>
      <c r="W91" s="4139"/>
      <c r="X91" s="4043" t="s">
        <v>1636</v>
      </c>
      <c r="Y91" s="4044"/>
      <c r="Z91" s="4045"/>
      <c r="AA91" s="4137" t="s">
        <v>1637</v>
      </c>
      <c r="AB91" s="4138"/>
      <c r="AC91" s="4139"/>
      <c r="AD91" s="4043" t="s">
        <v>1638</v>
      </c>
      <c r="AE91" s="4045"/>
      <c r="AF91" s="4043" t="s">
        <v>1639</v>
      </c>
      <c r="AG91" s="4045"/>
      <c r="AH91" s="4137" t="s">
        <v>1640</v>
      </c>
      <c r="AI91" s="4138"/>
      <c r="AJ91" s="4139"/>
      <c r="AK91" s="4137" t="s">
        <v>1641</v>
      </c>
      <c r="AL91" s="4138"/>
      <c r="AM91" s="4139"/>
      <c r="AN91" s="640"/>
      <c r="AO91" s="714"/>
      <c r="AP91" s="712">
        <f t="shared" ref="AP91:AU91" si="4">SUM(AP93:AP102)</f>
        <v>0</v>
      </c>
      <c r="AQ91" s="1448">
        <f t="shared" si="4"/>
        <v>0</v>
      </c>
      <c r="AR91" s="1448">
        <f t="shared" si="4"/>
        <v>0</v>
      </c>
      <c r="AS91" s="646">
        <f t="shared" si="4"/>
        <v>0</v>
      </c>
      <c r="AT91" s="646">
        <f t="shared" si="4"/>
        <v>0</v>
      </c>
      <c r="AU91" s="646">
        <f t="shared" si="4"/>
        <v>0</v>
      </c>
      <c r="AV91" s="1058"/>
    </row>
    <row r="92" spans="1:48" ht="18" customHeight="1">
      <c r="A92" s="1058"/>
      <c r="B92" s="4143"/>
      <c r="C92" s="4143"/>
      <c r="D92" s="4143"/>
      <c r="E92" s="4143"/>
      <c r="F92" s="4143"/>
      <c r="G92" s="4143"/>
      <c r="H92" s="4143"/>
      <c r="I92" s="4145"/>
      <c r="J92" s="4146"/>
      <c r="K92" s="4146"/>
      <c r="L92" s="4146"/>
      <c r="M92" s="4146"/>
      <c r="N92" s="4146"/>
      <c r="O92" s="4147"/>
      <c r="P92" s="4143"/>
      <c r="Q92" s="4143"/>
      <c r="R92" s="4143"/>
      <c r="S92" s="4143"/>
      <c r="T92" s="4222">
        <f>COUNTIF($AO$93:$AO$102,1)</f>
        <v>0</v>
      </c>
      <c r="U92" s="4222"/>
      <c r="V92" s="4222"/>
      <c r="W92" s="4222"/>
      <c r="X92" s="4103">
        <f>COUNTIF(X93:Z102,TRUE)</f>
        <v>0</v>
      </c>
      <c r="Y92" s="4104"/>
      <c r="Z92" s="4105"/>
      <c r="AA92" s="4140"/>
      <c r="AB92" s="4141"/>
      <c r="AC92" s="4142"/>
      <c r="AD92" s="4028">
        <f>COUNTIF(AD93:AE102,TRUE)</f>
        <v>0</v>
      </c>
      <c r="AE92" s="4029"/>
      <c r="AF92" s="4028">
        <f>COUNTIF(AF93:AG102,TRUE)</f>
        <v>0</v>
      </c>
      <c r="AG92" s="4029"/>
      <c r="AH92" s="4140"/>
      <c r="AI92" s="4141"/>
      <c r="AJ92" s="4142"/>
      <c r="AK92" s="4140"/>
      <c r="AL92" s="4141"/>
      <c r="AM92" s="4142"/>
      <c r="AN92" s="640"/>
      <c r="AO92" s="1058" t="s">
        <v>1642</v>
      </c>
      <c r="AP92" s="1058" t="s">
        <v>1643</v>
      </c>
      <c r="AQ92" s="1448" t="s">
        <v>1644</v>
      </c>
      <c r="AR92" s="1448" t="s">
        <v>1645</v>
      </c>
      <c r="AS92" s="514" t="s">
        <v>1646</v>
      </c>
      <c r="AT92" s="514" t="s">
        <v>1647</v>
      </c>
      <c r="AU92" s="1058" t="s">
        <v>1648</v>
      </c>
      <c r="AV92" s="1058"/>
    </row>
    <row r="93" spans="1:48" ht="36" customHeight="1">
      <c r="A93" s="1058"/>
      <c r="B93" s="1489">
        <v>1</v>
      </c>
      <c r="C93" s="4078"/>
      <c r="D93" s="4079"/>
      <c r="E93" s="4079"/>
      <c r="F93" s="4079"/>
      <c r="G93" s="4079"/>
      <c r="H93" s="4080"/>
      <c r="I93" s="4083"/>
      <c r="J93" s="4083"/>
      <c r="K93" s="4083"/>
      <c r="L93" s="4083"/>
      <c r="M93" s="4083"/>
      <c r="N93" s="4083"/>
      <c r="O93" s="4083"/>
      <c r="P93" s="4084"/>
      <c r="Q93" s="4084"/>
      <c r="R93" s="4084"/>
      <c r="S93" s="4084"/>
      <c r="T93" s="4068"/>
      <c r="U93" s="4068"/>
      <c r="V93" s="4068"/>
      <c r="W93" s="4068"/>
      <c r="X93" s="4069"/>
      <c r="Y93" s="4070"/>
      <c r="Z93" s="4071"/>
      <c r="AA93" s="4074"/>
      <c r="AB93" s="4075"/>
      <c r="AC93" s="4076"/>
      <c r="AD93" s="4046" t="str">
        <f>IF($AA$93="","",IF($AH$93=FALSE,FALSE,IF(YEARFRAC($AA$93,MIN($F$2,$AK$93),1)&gt;3,TRUE,FALSE)))</f>
        <v/>
      </c>
      <c r="AE93" s="4047"/>
      <c r="AF93" s="4046" t="str">
        <f>IF($AA$93="","",IF($AH$93=FALSE,FALSE,IF(YEARFRAC($AA$93,MIN($F$2,$AK$93),1)&gt;5,TRUE,FALSE)))</f>
        <v/>
      </c>
      <c r="AG93" s="4047"/>
      <c r="AH93" s="4043" t="str">
        <f>IF(AND($C$93="",$AK$93=""),"",IF($AK$93="",TRUE,IF(YEARFRAC($AK$93,$F$2,1)&lt;=10,TRUE,FALSE)))</f>
        <v/>
      </c>
      <c r="AI93" s="4044"/>
      <c r="AJ93" s="4045"/>
      <c r="AK93" s="4074"/>
      <c r="AL93" s="4075"/>
      <c r="AM93" s="4076"/>
      <c r="AN93" s="640"/>
      <c r="AO93" s="1058">
        <f>IF(T93="",0,IF(T93&lt;&gt;"N/A",1,0))</f>
        <v>0</v>
      </c>
      <c r="AP93" s="712">
        <f>IFERROR(--AND(X93,AD93),0)</f>
        <v>0</v>
      </c>
      <c r="AQ93" s="1448">
        <f>IFERROR(--AND(AF93,X93),0)</f>
        <v>0</v>
      </c>
      <c r="AR93" s="1448">
        <f>--AND(AO93=1,X93,AD93)</f>
        <v>0</v>
      </c>
      <c r="AS93" s="1448">
        <f>--AND(P93="Special Needs",AP93=1)</f>
        <v>0</v>
      </c>
      <c r="AT93" s="1448">
        <f t="shared" ref="AT93:AT102" si="5">--AND(OR(vmCBD="Yes"),AP93=1)</f>
        <v>0</v>
      </c>
      <c r="AU93" s="1448">
        <f>--AND(AT93=1,AO93=1)</f>
        <v>0</v>
      </c>
      <c r="AV93" s="1058"/>
    </row>
    <row r="94" spans="1:48" ht="36" customHeight="1">
      <c r="A94" s="1058"/>
      <c r="B94" s="1489">
        <v>2</v>
      </c>
      <c r="C94" s="4078"/>
      <c r="D94" s="4079"/>
      <c r="E94" s="4079"/>
      <c r="F94" s="4079"/>
      <c r="G94" s="4079"/>
      <c r="H94" s="4080"/>
      <c r="I94" s="4083"/>
      <c r="J94" s="4083"/>
      <c r="K94" s="4083"/>
      <c r="L94" s="4083"/>
      <c r="M94" s="4083"/>
      <c r="N94" s="4083"/>
      <c r="O94" s="4083"/>
      <c r="P94" s="4084"/>
      <c r="Q94" s="4084"/>
      <c r="R94" s="4084"/>
      <c r="S94" s="4084"/>
      <c r="T94" s="4068"/>
      <c r="U94" s="4068"/>
      <c r="V94" s="4068"/>
      <c r="W94" s="4068"/>
      <c r="X94" s="4069"/>
      <c r="Y94" s="4070"/>
      <c r="Z94" s="4071"/>
      <c r="AA94" s="4074"/>
      <c r="AB94" s="4075"/>
      <c r="AC94" s="4076"/>
      <c r="AD94" s="4046" t="str">
        <f>IF($AA$94="","",IF($AH$94=FALSE,FALSE,IF(YEARFRAC($AA$94,MIN($F$2,$AK$94),1)&gt;3,TRUE,FALSE)))</f>
        <v/>
      </c>
      <c r="AE94" s="4047"/>
      <c r="AF94" s="4046" t="str">
        <f>IF($AA$94="","",IF($AH$94=FALSE,FALSE,IF(YEARFRAC($AA$94,MIN($F$2,$AK$94),1)&gt;5,TRUE,FALSE)))</f>
        <v/>
      </c>
      <c r="AG94" s="4047"/>
      <c r="AH94" s="4043" t="str">
        <f>IF(AND($C$94="",$AK$94=""),"",IF($AK$94="",TRUE,IF(YEARFRAC($AK$94,$F$2,1)&lt;=10,TRUE,FALSE)))</f>
        <v/>
      </c>
      <c r="AI94" s="4044"/>
      <c r="AJ94" s="4045"/>
      <c r="AK94" s="4074"/>
      <c r="AL94" s="4075"/>
      <c r="AM94" s="4076"/>
      <c r="AN94" s="640"/>
      <c r="AO94" s="1058">
        <f t="shared" ref="AO94:AO102" si="6">IF(T94="",0,IF(T94&lt;&gt;"N/A",1,0))</f>
        <v>0</v>
      </c>
      <c r="AP94" s="712">
        <f t="shared" ref="AP94:AP102" si="7">IFERROR(--AND(X94,AD94),0)</f>
        <v>0</v>
      </c>
      <c r="AQ94" s="1448">
        <f t="shared" ref="AQ94:AQ102" si="8">IFERROR(--AND(AF94,X94),0)</f>
        <v>0</v>
      </c>
      <c r="AR94" s="1448">
        <f t="shared" ref="AR94:AR102" si="9">--AND(AO94=1,X94,AD94)</f>
        <v>0</v>
      </c>
      <c r="AS94" s="1448">
        <f t="shared" ref="AS94:AS102" si="10">--AND(P94="Special Needs",AP94=1)</f>
        <v>0</v>
      </c>
      <c r="AT94" s="1448">
        <f t="shared" si="5"/>
        <v>0</v>
      </c>
      <c r="AU94" s="1448">
        <f t="shared" ref="AU94:AU102" si="11">--AND(AT94=1,AO94=1)</f>
        <v>0</v>
      </c>
      <c r="AV94" s="1058"/>
    </row>
    <row r="95" spans="1:48" ht="36" customHeight="1">
      <c r="A95" s="1058"/>
      <c r="B95" s="1489">
        <v>3</v>
      </c>
      <c r="C95" s="4078"/>
      <c r="D95" s="4079"/>
      <c r="E95" s="4079"/>
      <c r="F95" s="4079"/>
      <c r="G95" s="4079"/>
      <c r="H95" s="4080"/>
      <c r="I95" s="4083"/>
      <c r="J95" s="4083"/>
      <c r="K95" s="4083"/>
      <c r="L95" s="4083"/>
      <c r="M95" s="4083"/>
      <c r="N95" s="4083"/>
      <c r="O95" s="4083"/>
      <c r="P95" s="4084"/>
      <c r="Q95" s="4084"/>
      <c r="R95" s="4084"/>
      <c r="S95" s="4084"/>
      <c r="T95" s="4068"/>
      <c r="U95" s="4068"/>
      <c r="V95" s="4068"/>
      <c r="W95" s="4068"/>
      <c r="X95" s="4069"/>
      <c r="Y95" s="4070"/>
      <c r="Z95" s="4071"/>
      <c r="AA95" s="4074"/>
      <c r="AB95" s="4075"/>
      <c r="AC95" s="4076"/>
      <c r="AD95" s="4046" t="str">
        <f>IF($AA$95="","",IF($AH$95=FALSE,FALSE,IF(YEARFRAC($AA$95,MIN($F$2,$AK$95),1)&gt;3,TRUE,FALSE)))</f>
        <v/>
      </c>
      <c r="AE95" s="4047"/>
      <c r="AF95" s="4046" t="str">
        <f>IF($AA$95="","",IF($AH$95=FALSE,FALSE,IF(YEARFRAC($AA$95,MIN($F$2,$AK$95),1)&gt;5,TRUE,FALSE)))</f>
        <v/>
      </c>
      <c r="AG95" s="4047"/>
      <c r="AH95" s="4043" t="str">
        <f>IF(AND($C$95="",$AK$95=""),"",IF($AK$95="",TRUE,IF(YEARFRAC($AK$95,$F$2,1)&lt;=10,TRUE,FALSE)))</f>
        <v/>
      </c>
      <c r="AI95" s="4044"/>
      <c r="AJ95" s="4045"/>
      <c r="AK95" s="4074"/>
      <c r="AL95" s="4075"/>
      <c r="AM95" s="4076"/>
      <c r="AN95" s="640"/>
      <c r="AO95" s="1058">
        <f t="shared" si="6"/>
        <v>0</v>
      </c>
      <c r="AP95" s="712">
        <f t="shared" si="7"/>
        <v>0</v>
      </c>
      <c r="AQ95" s="1448">
        <f t="shared" si="8"/>
        <v>0</v>
      </c>
      <c r="AR95" s="1448">
        <f t="shared" si="9"/>
        <v>0</v>
      </c>
      <c r="AS95" s="1448">
        <f t="shared" si="10"/>
        <v>0</v>
      </c>
      <c r="AT95" s="1448">
        <f t="shared" si="5"/>
        <v>0</v>
      </c>
      <c r="AU95" s="1448">
        <f t="shared" si="11"/>
        <v>0</v>
      </c>
      <c r="AV95" s="1058"/>
    </row>
    <row r="96" spans="1:48" ht="36" customHeight="1">
      <c r="A96" s="1058"/>
      <c r="B96" s="1489">
        <v>4</v>
      </c>
      <c r="C96" s="4078"/>
      <c r="D96" s="4079"/>
      <c r="E96" s="4079"/>
      <c r="F96" s="4079"/>
      <c r="G96" s="4079"/>
      <c r="H96" s="4080"/>
      <c r="I96" s="4083"/>
      <c r="J96" s="4083"/>
      <c r="K96" s="4083"/>
      <c r="L96" s="4083"/>
      <c r="M96" s="4083"/>
      <c r="N96" s="4083"/>
      <c r="O96" s="4083"/>
      <c r="P96" s="4084"/>
      <c r="Q96" s="4084"/>
      <c r="R96" s="4084"/>
      <c r="S96" s="4084"/>
      <c r="T96" s="4068"/>
      <c r="U96" s="4068"/>
      <c r="V96" s="4068"/>
      <c r="W96" s="4068"/>
      <c r="X96" s="4069"/>
      <c r="Y96" s="4070"/>
      <c r="Z96" s="4071"/>
      <c r="AA96" s="4074"/>
      <c r="AB96" s="4075"/>
      <c r="AC96" s="4076"/>
      <c r="AD96" s="4046" t="str">
        <f>IF($AA$96="","",IF($AH$96=FALSE,FALSE,IF(YEARFRAC($AA$96,MIN($F$2,$AK$96),1)&gt;3,TRUE,FALSE)))</f>
        <v/>
      </c>
      <c r="AE96" s="4047"/>
      <c r="AF96" s="4046" t="str">
        <f>IF($AA$96="","",IF($AH$96=FALSE,FALSE,IF(YEARFRAC($AA$96,MIN($F$2,$AK$96),1)&gt;5,TRUE,FALSE)))</f>
        <v/>
      </c>
      <c r="AG96" s="4047"/>
      <c r="AH96" s="4043" t="str">
        <f>IF(AND($C$96="",$AK$96=""),"",IF($AK$96="",TRUE,IF(YEARFRAC($AK$96,$F$2,1)&lt;=10,TRUE,FALSE)))</f>
        <v/>
      </c>
      <c r="AI96" s="4044"/>
      <c r="AJ96" s="4045"/>
      <c r="AK96" s="4074"/>
      <c r="AL96" s="4075"/>
      <c r="AM96" s="4076"/>
      <c r="AN96" s="640"/>
      <c r="AO96" s="1058">
        <f t="shared" si="6"/>
        <v>0</v>
      </c>
      <c r="AP96" s="712">
        <f t="shared" si="7"/>
        <v>0</v>
      </c>
      <c r="AQ96" s="1448">
        <f t="shared" si="8"/>
        <v>0</v>
      </c>
      <c r="AR96" s="1448">
        <f t="shared" si="9"/>
        <v>0</v>
      </c>
      <c r="AS96" s="1448">
        <f t="shared" si="10"/>
        <v>0</v>
      </c>
      <c r="AT96" s="1448">
        <f t="shared" si="5"/>
        <v>0</v>
      </c>
      <c r="AU96" s="1448">
        <f t="shared" si="11"/>
        <v>0</v>
      </c>
      <c r="AV96" s="1058"/>
    </row>
    <row r="97" spans="1:48" ht="36" customHeight="1">
      <c r="A97" s="1058"/>
      <c r="B97" s="1489">
        <v>5</v>
      </c>
      <c r="C97" s="4078"/>
      <c r="D97" s="4079"/>
      <c r="E97" s="4079"/>
      <c r="F97" s="4079"/>
      <c r="G97" s="4079"/>
      <c r="H97" s="4080"/>
      <c r="I97" s="4083"/>
      <c r="J97" s="4083"/>
      <c r="K97" s="4083"/>
      <c r="L97" s="4083"/>
      <c r="M97" s="4083"/>
      <c r="N97" s="4083"/>
      <c r="O97" s="4083"/>
      <c r="P97" s="4084"/>
      <c r="Q97" s="4084"/>
      <c r="R97" s="4084"/>
      <c r="S97" s="4084"/>
      <c r="T97" s="4068"/>
      <c r="U97" s="4068"/>
      <c r="V97" s="4068"/>
      <c r="W97" s="4068"/>
      <c r="X97" s="4069"/>
      <c r="Y97" s="4070"/>
      <c r="Z97" s="4071"/>
      <c r="AA97" s="4074"/>
      <c r="AB97" s="4075"/>
      <c r="AC97" s="4076"/>
      <c r="AD97" s="4046" t="str">
        <f>IF($AA$97="","",IF($AH$97=FALSE,FALSE,IF(YEARFRAC($AA$97,MIN($F$2,$AK$97),1)&gt;3,TRUE,FALSE)))</f>
        <v/>
      </c>
      <c r="AE97" s="4047"/>
      <c r="AF97" s="4046" t="str">
        <f>IF($AA$97="","",IF($AH$97=FALSE,FALSE,IF(YEARFRAC($AA$97,MIN($F$2,$AK$97),1)&gt;5,TRUE,FALSE)))</f>
        <v/>
      </c>
      <c r="AG97" s="4047"/>
      <c r="AH97" s="4043" t="str">
        <f>IF(AND($C$97="",$AK$97=""),"",IF($AK$97="",TRUE,IF(YEARFRAC($AK$97,$F$2,1)&lt;=10,TRUE,FALSE)))</f>
        <v/>
      </c>
      <c r="AI97" s="4044"/>
      <c r="AJ97" s="4045"/>
      <c r="AK97" s="4074"/>
      <c r="AL97" s="4075"/>
      <c r="AM97" s="4076"/>
      <c r="AN97" s="640"/>
      <c r="AO97" s="1058">
        <f>IF(T97="",0,IF(T97&lt;&gt;"N/A",1,0))</f>
        <v>0</v>
      </c>
      <c r="AP97" s="712">
        <f t="shared" si="7"/>
        <v>0</v>
      </c>
      <c r="AQ97" s="1448">
        <f t="shared" si="8"/>
        <v>0</v>
      </c>
      <c r="AR97" s="1448">
        <f>--AND(AO97=1,X97,AD97)</f>
        <v>0</v>
      </c>
      <c r="AS97" s="1448">
        <f t="shared" si="10"/>
        <v>0</v>
      </c>
      <c r="AT97" s="1448">
        <f t="shared" si="5"/>
        <v>0</v>
      </c>
      <c r="AU97" s="1448">
        <f t="shared" si="11"/>
        <v>0</v>
      </c>
      <c r="AV97" s="1058"/>
    </row>
    <row r="98" spans="1:48" ht="36" customHeight="1">
      <c r="A98" s="1058"/>
      <c r="B98" s="1489">
        <v>6</v>
      </c>
      <c r="C98" s="4078"/>
      <c r="D98" s="4079"/>
      <c r="E98" s="4079"/>
      <c r="F98" s="4079"/>
      <c r="G98" s="4079"/>
      <c r="H98" s="4080"/>
      <c r="I98" s="4083"/>
      <c r="J98" s="4083"/>
      <c r="K98" s="4083"/>
      <c r="L98" s="4083"/>
      <c r="M98" s="4083"/>
      <c r="N98" s="4083"/>
      <c r="O98" s="4083"/>
      <c r="P98" s="4084"/>
      <c r="Q98" s="4084"/>
      <c r="R98" s="4084"/>
      <c r="S98" s="4084"/>
      <c r="T98" s="4068"/>
      <c r="U98" s="4068"/>
      <c r="V98" s="4068"/>
      <c r="W98" s="4068"/>
      <c r="X98" s="4069"/>
      <c r="Y98" s="4070"/>
      <c r="Z98" s="4071"/>
      <c r="AA98" s="4074"/>
      <c r="AB98" s="4075"/>
      <c r="AC98" s="4076"/>
      <c r="AD98" s="4046" t="str">
        <f>IF($AA$98="","",IF($AH$98=FALSE,FALSE,IF(YEARFRAC($AA$98,MIN($F$2,$AK$98),1)&gt;3,TRUE,FALSE)))</f>
        <v/>
      </c>
      <c r="AE98" s="4047"/>
      <c r="AF98" s="4046" t="str">
        <f>IF($AA$98="","",IF($AH$98=FALSE,FALSE,IF(YEARFRAC($AA$98,MIN($F$2,$AK$98),1)&gt;5,TRUE,FALSE)))</f>
        <v/>
      </c>
      <c r="AG98" s="4047"/>
      <c r="AH98" s="4043" t="str">
        <f>IF(AND($C$98="",$AK$98=""),"",IF($AK$98="",TRUE,IF(YEARFRAC($AK$98,$F$2,1)&lt;=10,TRUE,FALSE)))</f>
        <v/>
      </c>
      <c r="AI98" s="4044"/>
      <c r="AJ98" s="4045"/>
      <c r="AK98" s="4074"/>
      <c r="AL98" s="4075"/>
      <c r="AM98" s="4076"/>
      <c r="AN98" s="640"/>
      <c r="AO98" s="1058">
        <f t="shared" si="6"/>
        <v>0</v>
      </c>
      <c r="AP98" s="712">
        <f t="shared" si="7"/>
        <v>0</v>
      </c>
      <c r="AQ98" s="1448">
        <f t="shared" si="8"/>
        <v>0</v>
      </c>
      <c r="AR98" s="1448">
        <f t="shared" si="9"/>
        <v>0</v>
      </c>
      <c r="AS98" s="1448">
        <f t="shared" si="10"/>
        <v>0</v>
      </c>
      <c r="AT98" s="1448">
        <f t="shared" si="5"/>
        <v>0</v>
      </c>
      <c r="AU98" s="1448">
        <f t="shared" si="11"/>
        <v>0</v>
      </c>
    </row>
    <row r="99" spans="1:48" ht="36" customHeight="1">
      <c r="A99" s="1058"/>
      <c r="B99" s="1489">
        <v>7</v>
      </c>
      <c r="C99" s="4078"/>
      <c r="D99" s="4079"/>
      <c r="E99" s="4079"/>
      <c r="F99" s="4079"/>
      <c r="G99" s="4079"/>
      <c r="H99" s="4080"/>
      <c r="I99" s="4083"/>
      <c r="J99" s="4083"/>
      <c r="K99" s="4083"/>
      <c r="L99" s="4083"/>
      <c r="M99" s="4083"/>
      <c r="N99" s="4083"/>
      <c r="O99" s="4083"/>
      <c r="P99" s="4084"/>
      <c r="Q99" s="4084"/>
      <c r="R99" s="4084"/>
      <c r="S99" s="4084"/>
      <c r="T99" s="4068"/>
      <c r="U99" s="4068"/>
      <c r="V99" s="4068"/>
      <c r="W99" s="4068"/>
      <c r="X99" s="4069"/>
      <c r="Y99" s="4070"/>
      <c r="Z99" s="4071"/>
      <c r="AA99" s="4074"/>
      <c r="AB99" s="4075"/>
      <c r="AC99" s="4076"/>
      <c r="AD99" s="4046" t="str">
        <f>IF($AA$99="","",IF($AH$99=FALSE,FALSE,IF(YEARFRAC($AA$99,MIN($F$2,$AK$99),1)&gt;3,TRUE,FALSE)))</f>
        <v/>
      </c>
      <c r="AE99" s="4047"/>
      <c r="AF99" s="4046" t="str">
        <f>IF($AA$99="","",IF($AH$99=FALSE,FALSE,IF(YEARFRAC($AA$99,MIN($F$2,$AK$99),1)&gt;5,TRUE,FALSE)))</f>
        <v/>
      </c>
      <c r="AG99" s="4047"/>
      <c r="AH99" s="4043" t="str">
        <f>IF(AND($C$99="",$AK$99=""),"",IF($AK$99="",TRUE,IF(YEARFRAC($AK$99,$F$2,1)&lt;=10,TRUE,FALSE)))</f>
        <v/>
      </c>
      <c r="AI99" s="4044"/>
      <c r="AJ99" s="4045"/>
      <c r="AK99" s="4074"/>
      <c r="AL99" s="4075"/>
      <c r="AM99" s="4076"/>
      <c r="AN99" s="640"/>
      <c r="AO99" s="1058">
        <f t="shared" si="6"/>
        <v>0</v>
      </c>
      <c r="AP99" s="712">
        <f t="shared" si="7"/>
        <v>0</v>
      </c>
      <c r="AQ99" s="1448">
        <f t="shared" si="8"/>
        <v>0</v>
      </c>
      <c r="AR99" s="1448">
        <f t="shared" si="9"/>
        <v>0</v>
      </c>
      <c r="AS99" s="1448">
        <f t="shared" si="10"/>
        <v>0</v>
      </c>
      <c r="AT99" s="1448">
        <f t="shared" si="5"/>
        <v>0</v>
      </c>
      <c r="AU99" s="1448">
        <f t="shared" si="11"/>
        <v>0</v>
      </c>
    </row>
    <row r="100" spans="1:48" ht="36" customHeight="1">
      <c r="A100" s="1058"/>
      <c r="B100" s="1489">
        <v>8</v>
      </c>
      <c r="C100" s="4078"/>
      <c r="D100" s="4079"/>
      <c r="E100" s="4079"/>
      <c r="F100" s="4079"/>
      <c r="G100" s="4079"/>
      <c r="H100" s="4080"/>
      <c r="I100" s="4083"/>
      <c r="J100" s="4083"/>
      <c r="K100" s="4083"/>
      <c r="L100" s="4083"/>
      <c r="M100" s="4083"/>
      <c r="N100" s="4083"/>
      <c r="O100" s="4083"/>
      <c r="P100" s="4084"/>
      <c r="Q100" s="4084"/>
      <c r="R100" s="4084"/>
      <c r="S100" s="4084"/>
      <c r="T100" s="4068"/>
      <c r="U100" s="4068"/>
      <c r="V100" s="4068"/>
      <c r="W100" s="4068"/>
      <c r="X100" s="4069"/>
      <c r="Y100" s="4070"/>
      <c r="Z100" s="4071"/>
      <c r="AA100" s="4074"/>
      <c r="AB100" s="4075"/>
      <c r="AC100" s="4076"/>
      <c r="AD100" s="4046" t="str">
        <f>IF($AA$100="","",IF($AH$100=FALSE,FALSE,IF(YEARFRAC($AA$100,MIN($F$2,$AK$100),1)&gt;3,TRUE,FALSE)))</f>
        <v/>
      </c>
      <c r="AE100" s="4047"/>
      <c r="AF100" s="4046" t="str">
        <f>IF($AA$100="","",IF($AH$100=FALSE,FALSE,IF(YEARFRAC($AA$100,MIN($F$2,$AK$100),1)&gt;5,TRUE,FALSE)))</f>
        <v/>
      </c>
      <c r="AG100" s="4047"/>
      <c r="AH100" s="4043" t="str">
        <f>IF(AND($C$100="",$AK$100=""),"",IF($AK$100="",TRUE,IF(YEARFRAC($AK$100,$F$2,1)&lt;=10,TRUE,FALSE)))</f>
        <v/>
      </c>
      <c r="AI100" s="4044"/>
      <c r="AJ100" s="4045"/>
      <c r="AK100" s="4074"/>
      <c r="AL100" s="4075"/>
      <c r="AM100" s="4076"/>
      <c r="AN100" s="640"/>
      <c r="AO100" s="1058">
        <f t="shared" si="6"/>
        <v>0</v>
      </c>
      <c r="AP100" s="712">
        <f t="shared" si="7"/>
        <v>0</v>
      </c>
      <c r="AQ100" s="1448">
        <f t="shared" si="8"/>
        <v>0</v>
      </c>
      <c r="AR100" s="1448">
        <f t="shared" si="9"/>
        <v>0</v>
      </c>
      <c r="AS100" s="1448">
        <f t="shared" si="10"/>
        <v>0</v>
      </c>
      <c r="AT100" s="1448">
        <f t="shared" si="5"/>
        <v>0</v>
      </c>
      <c r="AU100" s="1448">
        <f t="shared" si="11"/>
        <v>0</v>
      </c>
    </row>
    <row r="101" spans="1:48" ht="36" customHeight="1">
      <c r="A101" s="1058"/>
      <c r="B101" s="1489">
        <v>9</v>
      </c>
      <c r="C101" s="4078"/>
      <c r="D101" s="4079"/>
      <c r="E101" s="4079"/>
      <c r="F101" s="4079"/>
      <c r="G101" s="4079"/>
      <c r="H101" s="4080"/>
      <c r="I101" s="4083"/>
      <c r="J101" s="4083"/>
      <c r="K101" s="4083"/>
      <c r="L101" s="4083"/>
      <c r="M101" s="4083"/>
      <c r="N101" s="4083"/>
      <c r="O101" s="4083"/>
      <c r="P101" s="4084"/>
      <c r="Q101" s="4084"/>
      <c r="R101" s="4084"/>
      <c r="S101" s="4084"/>
      <c r="T101" s="4068"/>
      <c r="U101" s="4068"/>
      <c r="V101" s="4068"/>
      <c r="W101" s="4068"/>
      <c r="X101" s="4069"/>
      <c r="Y101" s="4070"/>
      <c r="Z101" s="4071"/>
      <c r="AA101" s="4074"/>
      <c r="AB101" s="4075"/>
      <c r="AC101" s="4076"/>
      <c r="AD101" s="4046" t="str">
        <f>IF($AA$101="","",IF($AH$101=FALSE,FALSE,IF(YEARFRAC($AA$101,MIN($F$2,$AK$101),1)&gt;3,TRUE,FALSE)))</f>
        <v/>
      </c>
      <c r="AE101" s="4047"/>
      <c r="AF101" s="4046" t="str">
        <f>IF($AA$101="","",IF($AH$101=FALSE,FALSE,IF(YEARFRAC($AA$101,MIN($F$2,$AK$101),1)&gt;5,TRUE,FALSE)))</f>
        <v/>
      </c>
      <c r="AG101" s="4047"/>
      <c r="AH101" s="4043" t="str">
        <f>IF(AND($C$101="",$AK$101=""),"",IF($AK$101="",TRUE,IF(YEARFRAC($AK$101,$F$2,1)&lt;=10,TRUE,FALSE)))</f>
        <v/>
      </c>
      <c r="AI101" s="4044"/>
      <c r="AJ101" s="4045"/>
      <c r="AK101" s="4074"/>
      <c r="AL101" s="4075"/>
      <c r="AM101" s="4076"/>
      <c r="AN101" s="640"/>
      <c r="AO101" s="1058">
        <f t="shared" si="6"/>
        <v>0</v>
      </c>
      <c r="AP101" s="712">
        <f t="shared" si="7"/>
        <v>0</v>
      </c>
      <c r="AQ101" s="1448">
        <f t="shared" si="8"/>
        <v>0</v>
      </c>
      <c r="AR101" s="1448">
        <f t="shared" si="9"/>
        <v>0</v>
      </c>
      <c r="AS101" s="1448">
        <f t="shared" si="10"/>
        <v>0</v>
      </c>
      <c r="AT101" s="1448">
        <f t="shared" si="5"/>
        <v>0</v>
      </c>
      <c r="AU101" s="1448">
        <f t="shared" si="11"/>
        <v>0</v>
      </c>
    </row>
    <row r="102" spans="1:48" ht="36" customHeight="1">
      <c r="A102" s="1058"/>
      <c r="B102" s="1489">
        <v>10</v>
      </c>
      <c r="C102" s="4078"/>
      <c r="D102" s="4079"/>
      <c r="E102" s="4079"/>
      <c r="F102" s="4079"/>
      <c r="G102" s="4079"/>
      <c r="H102" s="4080"/>
      <c r="I102" s="4083"/>
      <c r="J102" s="4083"/>
      <c r="K102" s="4083"/>
      <c r="L102" s="4083"/>
      <c r="M102" s="4083"/>
      <c r="N102" s="4083"/>
      <c r="O102" s="4083"/>
      <c r="P102" s="4084"/>
      <c r="Q102" s="4084"/>
      <c r="R102" s="4084"/>
      <c r="S102" s="4084"/>
      <c r="T102" s="4068"/>
      <c r="U102" s="4068"/>
      <c r="V102" s="4068"/>
      <c r="W102" s="4068"/>
      <c r="X102" s="4069"/>
      <c r="Y102" s="4070"/>
      <c r="Z102" s="4071"/>
      <c r="AA102" s="4074"/>
      <c r="AB102" s="4075"/>
      <c r="AC102" s="4076"/>
      <c r="AD102" s="4046" t="str">
        <f>IF($AA$102="","",IF($AH$102=FALSE,FALSE,IF(YEARFRAC($AA$102,MIN($F$2,$AK$102),1)&gt;3,TRUE,FALSE)))</f>
        <v/>
      </c>
      <c r="AE102" s="4047"/>
      <c r="AF102" s="4046" t="str">
        <f>IF($AA$102="","",IF($AH$102=FALSE,FALSE,IF(YEARFRAC($AA$102,MIN($F$2,$AK$102),1)&gt;5,TRUE,FALSE)))</f>
        <v/>
      </c>
      <c r="AG102" s="4047"/>
      <c r="AH102" s="4043" t="str">
        <f>IF(AND($C$102="",$AK$102=""),"",IF($AK$102="",TRUE,IF(YEARFRAC($AK$102,$F$2,1)&lt;=10,TRUE,FALSE)))</f>
        <v/>
      </c>
      <c r="AI102" s="4044"/>
      <c r="AJ102" s="4045"/>
      <c r="AK102" s="4074"/>
      <c r="AL102" s="4075"/>
      <c r="AM102" s="4076"/>
      <c r="AN102" s="640"/>
      <c r="AO102" s="1058">
        <f t="shared" si="6"/>
        <v>0</v>
      </c>
      <c r="AP102" s="712">
        <f t="shared" si="7"/>
        <v>0</v>
      </c>
      <c r="AQ102" s="1448">
        <f t="shared" si="8"/>
        <v>0</v>
      </c>
      <c r="AR102" s="1448">
        <f t="shared" si="9"/>
        <v>0</v>
      </c>
      <c r="AS102" s="1448">
        <f t="shared" si="10"/>
        <v>0</v>
      </c>
      <c r="AT102" s="1448">
        <f t="shared" si="5"/>
        <v>0</v>
      </c>
      <c r="AU102" s="1448">
        <f t="shared" si="11"/>
        <v>0</v>
      </c>
    </row>
    <row r="103" spans="1:48" ht="18.75" customHeight="1">
      <c r="A103" s="707" t="s">
        <v>1650</v>
      </c>
      <c r="B103" s="4101" t="s">
        <v>676</v>
      </c>
      <c r="C103" s="4101"/>
      <c r="D103" s="4101"/>
      <c r="E103" s="2470" t="str">
        <f>'Document Checklist'!$E$119</f>
        <v>36. Resume Principal</v>
      </c>
      <c r="F103" s="2470"/>
      <c r="G103" s="2470"/>
      <c r="H103" s="2470"/>
      <c r="I103" s="2470"/>
      <c r="J103" s="2470"/>
      <c r="K103" s="2470"/>
      <c r="L103" s="2470"/>
      <c r="M103" s="2470"/>
      <c r="N103" s="2470" t="str">
        <f>'Document Checklist'!$N$119</f>
        <v>Resume of Principal.</v>
      </c>
      <c r="O103" s="2470"/>
      <c r="P103" s="2470"/>
      <c r="Q103" s="2470"/>
      <c r="R103" s="2470"/>
      <c r="S103" s="2470"/>
      <c r="T103" s="2470"/>
      <c r="U103" s="2470"/>
      <c r="V103" s="2470"/>
      <c r="W103" s="2470"/>
      <c r="X103" s="2470"/>
      <c r="Y103" s="2470"/>
      <c r="Z103" s="2470"/>
      <c r="AA103" s="2470"/>
      <c r="AB103" s="2470"/>
      <c r="AC103" s="2470"/>
      <c r="AD103" s="2470"/>
      <c r="AE103" s="2470"/>
      <c r="AF103" s="2109" t="s">
        <v>843</v>
      </c>
      <c r="AG103" s="2110"/>
      <c r="AH103" s="2110"/>
      <c r="AI103" s="2110"/>
      <c r="AJ103" s="2110"/>
      <c r="AK103" s="2110"/>
      <c r="AL103" s="1727"/>
      <c r="AM103" s="1727"/>
      <c r="AN103" s="640"/>
      <c r="AO103" s="1058"/>
      <c r="AP103" s="712"/>
      <c r="AQ103" s="1448"/>
      <c r="AR103" s="1448"/>
      <c r="AS103" s="1448"/>
      <c r="AT103" s="1448"/>
      <c r="AU103" s="1448"/>
    </row>
    <row r="104" spans="1:48" ht="18.75" customHeight="1">
      <c r="A104" s="707" t="s">
        <v>1650</v>
      </c>
      <c r="B104" s="4101" t="s">
        <v>676</v>
      </c>
      <c r="C104" s="4101"/>
      <c r="D104" s="4101"/>
      <c r="E104" s="2470" t="str">
        <f>'Document Checklist'!$E$120</f>
        <v>37. SOQ Principal</v>
      </c>
      <c r="F104" s="2470"/>
      <c r="G104" s="2470"/>
      <c r="H104" s="2470"/>
      <c r="I104" s="2470"/>
      <c r="J104" s="2470"/>
      <c r="K104" s="2470"/>
      <c r="L104" s="2470"/>
      <c r="M104" s="2470"/>
      <c r="N104" s="2470" t="str">
        <f>'Document Checklist'!$N$120</f>
        <v>Statement of Qualifications of Principal</v>
      </c>
      <c r="O104" s="2470"/>
      <c r="P104" s="2470"/>
      <c r="Q104" s="2470"/>
      <c r="R104" s="2470"/>
      <c r="S104" s="2470"/>
      <c r="T104" s="2470"/>
      <c r="U104" s="2470"/>
      <c r="V104" s="2470"/>
      <c r="W104" s="2470"/>
      <c r="X104" s="2470"/>
      <c r="Y104" s="2470"/>
      <c r="Z104" s="2470"/>
      <c r="AA104" s="2470"/>
      <c r="AB104" s="2470"/>
      <c r="AC104" s="2470"/>
      <c r="AD104" s="2470"/>
      <c r="AE104" s="2470"/>
      <c r="AF104" s="2109" t="s">
        <v>843</v>
      </c>
      <c r="AG104" s="2110"/>
      <c r="AH104" s="2110"/>
      <c r="AI104" s="2110"/>
      <c r="AJ104" s="2110"/>
      <c r="AK104" s="2110"/>
      <c r="AL104" s="1727"/>
      <c r="AM104" s="1727"/>
      <c r="AN104" s="640"/>
      <c r="AO104" s="1058"/>
      <c r="AP104" s="712"/>
      <c r="AQ104" s="1448"/>
      <c r="AR104" s="1448"/>
      <c r="AS104" s="1448"/>
      <c r="AT104" s="1448"/>
      <c r="AU104" s="1448"/>
    </row>
    <row r="105" spans="1:48" ht="18.75" customHeight="1">
      <c r="A105" s="707" t="s">
        <v>1650</v>
      </c>
      <c r="B105" s="4101" t="s">
        <v>676</v>
      </c>
      <c r="C105" s="4101"/>
      <c r="D105" s="4101"/>
      <c r="E105" s="2470" t="str">
        <f>'Document Checklist'!$E$121</f>
        <v>38. Cert of Employment</v>
      </c>
      <c r="F105" s="2470"/>
      <c r="G105" s="2470"/>
      <c r="H105" s="2470"/>
      <c r="I105" s="2470"/>
      <c r="J105" s="2470"/>
      <c r="K105" s="2470"/>
      <c r="L105" s="2470"/>
      <c r="M105" s="2470"/>
      <c r="N105" s="2470" t="str">
        <f>'Document Checklist'!$N$121</f>
        <v>Certification of Prior Employment.</v>
      </c>
      <c r="O105" s="2470"/>
      <c r="P105" s="2470"/>
      <c r="Q105" s="2470"/>
      <c r="R105" s="2470"/>
      <c r="S105" s="2470"/>
      <c r="T105" s="2470"/>
      <c r="U105" s="2470"/>
      <c r="V105" s="2470"/>
      <c r="W105" s="2470"/>
      <c r="X105" s="2470"/>
      <c r="Y105" s="2470"/>
      <c r="Z105" s="2470"/>
      <c r="AA105" s="2470"/>
      <c r="AB105" s="2470"/>
      <c r="AC105" s="2470"/>
      <c r="AD105" s="2470"/>
      <c r="AE105" s="2470"/>
      <c r="AF105" s="2109" t="s">
        <v>843</v>
      </c>
      <c r="AG105" s="2110"/>
      <c r="AH105" s="2110"/>
      <c r="AI105" s="2110"/>
      <c r="AJ105" s="2110"/>
      <c r="AK105" s="2110"/>
      <c r="AL105" s="1727"/>
      <c r="AM105" s="1727"/>
      <c r="AN105" s="640"/>
      <c r="AO105" s="1058"/>
      <c r="AP105" s="712"/>
      <c r="AQ105" s="1448"/>
      <c r="AR105" s="1448"/>
      <c r="AS105" s="1448"/>
      <c r="AT105" s="1448"/>
      <c r="AU105" s="1448"/>
    </row>
    <row r="106" spans="1:48" ht="36" customHeight="1">
      <c r="A106" s="1058"/>
      <c r="B106" s="4101" t="s">
        <v>676</v>
      </c>
      <c r="C106" s="4101"/>
      <c r="D106" s="4101"/>
      <c r="E106" s="4307" t="str">
        <f>'Document Checklist'!$E$157</f>
        <v>73. AHDs Cash Flow</v>
      </c>
      <c r="F106" s="4308"/>
      <c r="G106" s="4308"/>
      <c r="H106" s="4308"/>
      <c r="I106" s="4308"/>
      <c r="J106" s="4308"/>
      <c r="K106" s="4308"/>
      <c r="L106" s="4308"/>
      <c r="M106" s="4309"/>
      <c r="N106" s="2470" t="str">
        <f>'Document Checklist'!$N$157</f>
        <v>Certification for completed and previously owned projects with positive cash flow ratio and "Debt Service Coverage Ratio of at least 1.05".</v>
      </c>
      <c r="O106" s="2470"/>
      <c r="P106" s="2470"/>
      <c r="Q106" s="2470"/>
      <c r="R106" s="2470"/>
      <c r="S106" s="2470"/>
      <c r="T106" s="2470"/>
      <c r="U106" s="2470"/>
      <c r="V106" s="2470"/>
      <c r="W106" s="2470"/>
      <c r="X106" s="2470"/>
      <c r="Y106" s="2470"/>
      <c r="Z106" s="2470"/>
      <c r="AA106" s="2470"/>
      <c r="AB106" s="2470"/>
      <c r="AC106" s="2470"/>
      <c r="AD106" s="2470"/>
      <c r="AE106" s="2470"/>
      <c r="AF106" s="2109" t="s">
        <v>843</v>
      </c>
      <c r="AG106" s="2110"/>
      <c r="AH106" s="2110"/>
      <c r="AI106" s="2110"/>
      <c r="AJ106" s="2110"/>
      <c r="AK106" s="2110"/>
      <c r="AL106" s="1727"/>
      <c r="AM106" s="1727"/>
      <c r="AN106" s="656"/>
      <c r="AO106" s="715"/>
      <c r="AQ106" s="645"/>
      <c r="AR106" s="1448"/>
      <c r="AS106" s="1448"/>
      <c r="AT106" s="1448"/>
      <c r="AU106" s="1448"/>
    </row>
    <row r="107" spans="1:48" s="303" customFormat="1" ht="36" customHeight="1">
      <c r="B107" s="1088"/>
      <c r="C107" s="1531"/>
      <c r="D107" s="1087"/>
      <c r="E107" s="3923" t="s">
        <v>1651</v>
      </c>
      <c r="F107" s="3923"/>
      <c r="G107" s="3923"/>
      <c r="H107" s="3923"/>
      <c r="I107" s="3923"/>
      <c r="J107" s="3923"/>
      <c r="K107" s="3923"/>
      <c r="L107" s="3923"/>
      <c r="M107" s="3923"/>
      <c r="N107" s="3923"/>
      <c r="O107" s="3923"/>
      <c r="P107" s="3923"/>
      <c r="Q107" s="3923"/>
      <c r="R107" s="3923"/>
      <c r="S107" s="3923"/>
      <c r="T107" s="3923"/>
      <c r="U107" s="3923"/>
      <c r="V107" s="3923"/>
      <c r="W107" s="3923"/>
      <c r="X107" s="3923"/>
      <c r="Y107" s="3923"/>
      <c r="Z107" s="3923"/>
      <c r="AA107" s="3923"/>
      <c r="AB107" s="3923"/>
      <c r="AC107" s="3923"/>
      <c r="AD107" s="3923"/>
      <c r="AE107" s="3923"/>
      <c r="AF107" s="3923"/>
      <c r="AG107" s="3923"/>
      <c r="AH107" s="3923"/>
      <c r="AI107" s="3923"/>
      <c r="AJ107" s="3923"/>
      <c r="AK107" s="3923"/>
      <c r="AL107" s="3923"/>
      <c r="AM107" s="3983"/>
      <c r="AN107" s="661"/>
      <c r="AP107" s="1058"/>
      <c r="AR107" s="1448"/>
      <c r="AS107" s="1448"/>
    </row>
    <row r="108" spans="1:48" s="303" customFormat="1" ht="88.5" customHeight="1">
      <c r="B108" s="1054"/>
      <c r="C108" s="439"/>
      <c r="D108" s="1078" t="s">
        <v>1410</v>
      </c>
      <c r="E108" s="3910" t="s">
        <v>1652</v>
      </c>
      <c r="F108" s="3910"/>
      <c r="G108" s="3910"/>
      <c r="H108" s="3910"/>
      <c r="I108" s="3910"/>
      <c r="J108" s="3910"/>
      <c r="K108" s="3910"/>
      <c r="L108" s="3910"/>
      <c r="M108" s="3910"/>
      <c r="N108" s="3910"/>
      <c r="O108" s="3910"/>
      <c r="P108" s="3910"/>
      <c r="Q108" s="3910"/>
      <c r="R108" s="3910"/>
      <c r="S108" s="3910"/>
      <c r="T108" s="3910"/>
      <c r="U108" s="3910"/>
      <c r="V108" s="3910"/>
      <c r="W108" s="3910"/>
      <c r="X108" s="3910"/>
      <c r="Y108" s="3910"/>
      <c r="Z108" s="3910"/>
      <c r="AA108" s="3910"/>
      <c r="AB108" s="3910"/>
      <c r="AC108" s="3910"/>
      <c r="AD108" s="3910"/>
      <c r="AE108" s="3910"/>
      <c r="AF108" s="3910"/>
      <c r="AG108" s="3910"/>
      <c r="AH108" s="3910"/>
      <c r="AI108" s="3910"/>
      <c r="AJ108" s="3910"/>
      <c r="AK108" s="3910"/>
      <c r="AL108" s="3910"/>
      <c r="AM108" s="3917"/>
      <c r="AP108" s="1058"/>
      <c r="AR108" s="1448"/>
      <c r="AS108" s="1448"/>
    </row>
    <row r="109" spans="1:48" s="303" customFormat="1" ht="120" customHeight="1">
      <c r="B109" s="1054"/>
      <c r="C109" s="439"/>
      <c r="D109" s="439"/>
      <c r="E109" s="3910" t="s">
        <v>1653</v>
      </c>
      <c r="F109" s="3910"/>
      <c r="G109" s="3910"/>
      <c r="H109" s="3910"/>
      <c r="I109" s="3910"/>
      <c r="J109" s="3910"/>
      <c r="K109" s="3910"/>
      <c r="L109" s="3910"/>
      <c r="M109" s="3910"/>
      <c r="N109" s="3910"/>
      <c r="O109" s="3910"/>
      <c r="P109" s="3910"/>
      <c r="Q109" s="3910"/>
      <c r="R109" s="3910"/>
      <c r="S109" s="3910"/>
      <c r="T109" s="3910"/>
      <c r="U109" s="3910"/>
      <c r="V109" s="3910"/>
      <c r="W109" s="3910"/>
      <c r="X109" s="3910"/>
      <c r="Y109" s="3910"/>
      <c r="Z109" s="3910"/>
      <c r="AA109" s="3910"/>
      <c r="AB109" s="3910"/>
      <c r="AC109" s="3910"/>
      <c r="AD109" s="3910"/>
      <c r="AE109" s="3910"/>
      <c r="AF109" s="3910"/>
      <c r="AG109" s="3910"/>
      <c r="AH109" s="3910"/>
      <c r="AI109" s="3910"/>
      <c r="AJ109" s="3910"/>
      <c r="AK109" s="3910"/>
      <c r="AL109" s="3910"/>
      <c r="AM109" s="3917"/>
      <c r="AP109" s="1058"/>
      <c r="AR109" s="1448"/>
      <c r="AS109" s="1448"/>
    </row>
    <row r="110" spans="1:48" ht="18" customHeight="1">
      <c r="A110" s="1058"/>
      <c r="B110" s="1477"/>
      <c r="C110" s="1072" t="s">
        <v>1403</v>
      </c>
      <c r="D110" s="4310" t="s">
        <v>1654</v>
      </c>
      <c r="E110" s="4310"/>
      <c r="F110" s="4310"/>
      <c r="G110" s="4310"/>
      <c r="H110" s="4310"/>
      <c r="I110" s="4310"/>
      <c r="J110" s="4310"/>
      <c r="K110" s="4310"/>
      <c r="L110" s="4310"/>
      <c r="M110" s="4310"/>
      <c r="N110" s="4310"/>
      <c r="O110" s="4310"/>
      <c r="P110" s="4310"/>
      <c r="Q110" s="4310"/>
      <c r="R110" s="4310"/>
      <c r="S110" s="4310"/>
      <c r="T110" s="4310"/>
      <c r="U110" s="4310"/>
      <c r="V110" s="4310"/>
      <c r="W110" s="4310"/>
      <c r="X110" s="4310"/>
      <c r="Y110" s="4310"/>
      <c r="Z110" s="4310"/>
      <c r="AA110" s="4310"/>
      <c r="AB110" s="4310"/>
      <c r="AC110" s="4310"/>
      <c r="AD110" s="4310"/>
      <c r="AE110" s="4310"/>
      <c r="AF110" s="4310"/>
      <c r="AG110" s="4310"/>
      <c r="AH110" s="4310"/>
      <c r="AI110" s="4310"/>
      <c r="AJ110" s="4310"/>
      <c r="AK110" s="4310"/>
      <c r="AL110" s="4310"/>
      <c r="AM110" s="4311"/>
      <c r="AN110" s="1472"/>
      <c r="AO110" s="1058"/>
      <c r="AQ110" s="1448"/>
      <c r="AR110" s="1448"/>
      <c r="AS110" s="1448"/>
      <c r="AT110" s="1058"/>
      <c r="AU110" s="1058"/>
    </row>
    <row r="111" spans="1:48" ht="35.25" customHeight="1">
      <c r="A111" s="1058"/>
      <c r="B111" s="4101" t="s">
        <v>676</v>
      </c>
      <c r="C111" s="4101"/>
      <c r="D111" s="4101"/>
      <c r="E111" s="2470" t="str">
        <f>'Document Checklist'!$E$158</f>
        <v>74. Enforceable MA</v>
      </c>
      <c r="F111" s="2470"/>
      <c r="G111" s="2470"/>
      <c r="H111" s="2470"/>
      <c r="I111" s="2470"/>
      <c r="J111" s="2470"/>
      <c r="K111" s="2470"/>
      <c r="L111" s="2470"/>
      <c r="M111" s="2470"/>
      <c r="N111" s="2470" t="str">
        <f>'Document Checklist'!$N$158</f>
        <v xml:space="preserve">An enforceable management agreement executed by both parties for the subject application must be submitted at the time of application. </v>
      </c>
      <c r="O111" s="2470"/>
      <c r="P111" s="2470"/>
      <c r="Q111" s="2470"/>
      <c r="R111" s="2470"/>
      <c r="S111" s="2470"/>
      <c r="T111" s="2470"/>
      <c r="U111" s="2470"/>
      <c r="V111" s="2470"/>
      <c r="W111" s="2470"/>
      <c r="X111" s="2470"/>
      <c r="Y111" s="2470"/>
      <c r="Z111" s="2470"/>
      <c r="AA111" s="2470"/>
      <c r="AB111" s="2470"/>
      <c r="AC111" s="2470"/>
      <c r="AD111" s="2470"/>
      <c r="AE111" s="2470"/>
      <c r="AF111" s="2109" t="s">
        <v>843</v>
      </c>
      <c r="AG111" s="2110"/>
      <c r="AH111" s="2110"/>
      <c r="AI111" s="2110"/>
      <c r="AJ111" s="2110"/>
      <c r="AK111" s="2110"/>
      <c r="AL111" s="1727"/>
      <c r="AM111" s="1727"/>
      <c r="AN111" s="1472"/>
      <c r="AO111" s="1058"/>
      <c r="AQ111" s="1448"/>
      <c r="AR111" s="1448"/>
      <c r="AS111" s="1448"/>
      <c r="AT111" s="1058"/>
      <c r="AU111" s="1058"/>
    </row>
    <row r="112" spans="1:48" ht="18" customHeight="1">
      <c r="A112" s="1058"/>
      <c r="B112" s="4292" t="s">
        <v>1655</v>
      </c>
      <c r="C112" s="4293"/>
      <c r="D112" s="4293"/>
      <c r="E112" s="4293"/>
      <c r="F112" s="4293"/>
      <c r="G112" s="4293"/>
      <c r="H112" s="4293"/>
      <c r="I112" s="4293"/>
      <c r="J112" s="4293"/>
      <c r="K112" s="4293"/>
      <c r="L112" s="4293"/>
      <c r="M112" s="4293"/>
      <c r="N112" s="4293"/>
      <c r="O112" s="4293"/>
      <c r="P112" s="4293"/>
      <c r="Q112" s="4293"/>
      <c r="R112" s="4293"/>
      <c r="S112" s="4293"/>
      <c r="T112" s="4293"/>
      <c r="U112" s="4293"/>
      <c r="V112" s="4294"/>
      <c r="W112" s="4289"/>
      <c r="X112" s="4290"/>
      <c r="Y112" s="4290"/>
      <c r="Z112" s="4290"/>
      <c r="AA112" s="4290"/>
      <c r="AB112" s="4290"/>
      <c r="AC112" s="4290"/>
      <c r="AD112" s="4290"/>
      <c r="AE112" s="4290"/>
      <c r="AF112" s="4290"/>
      <c r="AG112" s="4290"/>
      <c r="AH112" s="4290"/>
      <c r="AI112" s="4290"/>
      <c r="AJ112" s="4290"/>
      <c r="AK112" s="4290"/>
      <c r="AL112" s="4290"/>
      <c r="AM112" s="4291"/>
      <c r="AN112" s="360"/>
      <c r="AO112" s="1058"/>
      <c r="AQ112" s="1448"/>
      <c r="AR112" s="1448"/>
      <c r="AS112" s="1448"/>
      <c r="AT112" s="1058"/>
      <c r="AU112" s="1058"/>
    </row>
    <row r="113" spans="2:48" s="303" customFormat="1" ht="36" customHeight="1">
      <c r="B113" s="1054"/>
      <c r="D113" s="1074" t="s">
        <v>1408</v>
      </c>
      <c r="E113" s="1830" t="s">
        <v>1656</v>
      </c>
      <c r="F113" s="1830"/>
      <c r="G113" s="1830"/>
      <c r="H113" s="1830"/>
      <c r="I113" s="1830"/>
      <c r="J113" s="1830"/>
      <c r="K113" s="1830"/>
      <c r="L113" s="1830"/>
      <c r="M113" s="1830"/>
      <c r="N113" s="1830"/>
      <c r="O113" s="1830"/>
      <c r="P113" s="1830"/>
      <c r="Q113" s="1830"/>
      <c r="R113" s="1830"/>
      <c r="S113" s="1830"/>
      <c r="T113" s="1830"/>
      <c r="U113" s="1830"/>
      <c r="V113" s="1830"/>
      <c r="W113" s="1830"/>
      <c r="X113" s="1830"/>
      <c r="Y113" s="1830"/>
      <c r="Z113" s="1830"/>
      <c r="AA113" s="1830"/>
      <c r="AB113" s="1830"/>
      <c r="AC113" s="1830"/>
      <c r="AD113" s="1830"/>
      <c r="AE113" s="1830"/>
      <c r="AF113" s="1830"/>
      <c r="AG113" s="1830"/>
      <c r="AH113" s="1830"/>
      <c r="AI113" s="1830"/>
      <c r="AJ113" s="1830"/>
      <c r="AK113" s="1830"/>
      <c r="AL113" s="1830"/>
      <c r="AM113" s="4010"/>
    </row>
    <row r="114" spans="2:48" s="303" customFormat="1" ht="18" customHeight="1">
      <c r="B114" s="1054"/>
      <c r="E114" s="3905" t="s">
        <v>1624</v>
      </c>
      <c r="F114" s="3905"/>
      <c r="G114" s="3905"/>
      <c r="H114" s="3905"/>
      <c r="I114" s="3905"/>
      <c r="J114" s="3905"/>
      <c r="K114" s="3905"/>
      <c r="L114" s="3905"/>
      <c r="M114" s="3905"/>
      <c r="N114" s="3905"/>
      <c r="O114" s="3905"/>
      <c r="P114" s="3905"/>
      <c r="Q114" s="3905"/>
      <c r="R114" s="3905"/>
      <c r="S114" s="3905"/>
      <c r="T114" s="3905"/>
      <c r="U114" s="3905"/>
      <c r="V114" s="3905"/>
      <c r="W114" s="3905"/>
      <c r="X114" s="3905"/>
      <c r="Y114" s="3905"/>
      <c r="Z114" s="3905"/>
      <c r="AA114" s="3905"/>
      <c r="AB114" s="3905"/>
      <c r="AC114" s="3905"/>
      <c r="AD114" s="3905"/>
      <c r="AE114" s="3905"/>
      <c r="AF114" s="3905"/>
      <c r="AG114" s="3905"/>
      <c r="AH114" s="3905"/>
      <c r="AI114" s="3905"/>
      <c r="AJ114" s="3905"/>
      <c r="AK114" s="3905"/>
      <c r="AL114" s="3905"/>
      <c r="AM114" s="3906"/>
      <c r="AP114" s="1058"/>
      <c r="AR114" s="1448"/>
      <c r="AS114" s="1448"/>
    </row>
    <row r="115" spans="2:48" ht="36" customHeight="1">
      <c r="B115" s="1477"/>
      <c r="C115" s="1520"/>
      <c r="D115" s="1058"/>
      <c r="E115" s="4030" t="s">
        <v>1657</v>
      </c>
      <c r="F115" s="4030"/>
      <c r="G115" s="4030"/>
      <c r="H115" s="4030"/>
      <c r="I115" s="4030"/>
      <c r="J115" s="4030"/>
      <c r="K115" s="4030"/>
      <c r="L115" s="4030"/>
      <c r="M115" s="4030"/>
      <c r="N115" s="4030"/>
      <c r="O115" s="4030"/>
      <c r="P115" s="4030"/>
      <c r="Q115" s="4030"/>
      <c r="R115" s="4030"/>
      <c r="S115" s="4030"/>
      <c r="T115" s="4030"/>
      <c r="U115" s="4030"/>
      <c r="V115" s="4030"/>
      <c r="W115" s="4030"/>
      <c r="X115" s="4030"/>
      <c r="Y115" s="4030"/>
      <c r="Z115" s="4030"/>
      <c r="AA115" s="4030"/>
      <c r="AB115" s="4030"/>
      <c r="AC115" s="4030"/>
      <c r="AD115" s="4030"/>
      <c r="AE115" s="4030"/>
      <c r="AF115" s="4030"/>
      <c r="AG115" s="4030"/>
      <c r="AH115" s="4030"/>
      <c r="AI115" s="4030"/>
      <c r="AJ115" s="4030"/>
      <c r="AK115" s="4031"/>
      <c r="AL115" s="4313">
        <f>IF(AND(OR($AP$126=6,$AP$126=7,$AP$126=8,$AP$126=9,$AP$126=10),$AL$111="Yes",$AR$126&gt;=2),3,0)</f>
        <v>0</v>
      </c>
      <c r="AM115" s="4144"/>
      <c r="AN115" s="1472"/>
      <c r="AO115" s="1058"/>
      <c r="AQ115" s="1448"/>
      <c r="AR115" s="1448"/>
      <c r="AS115" s="1448"/>
      <c r="AT115" s="1058"/>
      <c r="AU115" s="1058"/>
      <c r="AV115" s="1058"/>
    </row>
    <row r="116" spans="2:48" ht="35.25" customHeight="1">
      <c r="B116" s="1477"/>
      <c r="C116" s="1520"/>
      <c r="D116" s="1520"/>
      <c r="E116" s="4030" t="s">
        <v>1658</v>
      </c>
      <c r="F116" s="4030"/>
      <c r="G116" s="4030"/>
      <c r="H116" s="4030"/>
      <c r="I116" s="4030"/>
      <c r="J116" s="4030"/>
      <c r="K116" s="4030"/>
      <c r="L116" s="4030"/>
      <c r="M116" s="4030"/>
      <c r="N116" s="4030"/>
      <c r="O116" s="4030"/>
      <c r="P116" s="4030"/>
      <c r="Q116" s="4030"/>
      <c r="R116" s="4030"/>
      <c r="S116" s="4030"/>
      <c r="T116" s="4030"/>
      <c r="U116" s="4030"/>
      <c r="V116" s="4030"/>
      <c r="W116" s="4030"/>
      <c r="X116" s="4030"/>
      <c r="Y116" s="4030"/>
      <c r="Z116" s="4030"/>
      <c r="AA116" s="4030"/>
      <c r="AB116" s="4030"/>
      <c r="AC116" s="4030"/>
      <c r="AD116" s="4030"/>
      <c r="AE116" s="4030"/>
      <c r="AF116" s="4030"/>
      <c r="AG116" s="4030"/>
      <c r="AH116" s="4030"/>
      <c r="AI116" s="4030"/>
      <c r="AJ116" s="4030"/>
      <c r="AK116" s="4031"/>
      <c r="AL116" s="4144">
        <f>IF(AND($AL$111="Yes",$AP$126&gt;=11,$AR$126&gt;=2),5,0)</f>
        <v>0</v>
      </c>
      <c r="AM116" s="4144"/>
      <c r="AN116" s="452"/>
      <c r="AO116" s="1058"/>
      <c r="AQ116" s="1448"/>
      <c r="AR116" s="1448"/>
      <c r="AS116" s="1448"/>
      <c r="AT116" s="1058"/>
      <c r="AU116" s="1058"/>
      <c r="AV116" s="1058"/>
    </row>
    <row r="117" spans="2:48" ht="18" customHeight="1">
      <c r="B117" s="1477"/>
      <c r="C117" s="1076"/>
      <c r="D117" s="1076"/>
      <c r="E117" s="4072" t="s">
        <v>1659</v>
      </c>
      <c r="F117" s="4072"/>
      <c r="G117" s="4072"/>
      <c r="H117" s="4072"/>
      <c r="I117" s="4072"/>
      <c r="J117" s="4072"/>
      <c r="K117" s="4072"/>
      <c r="L117" s="4072"/>
      <c r="M117" s="4072"/>
      <c r="N117" s="4072"/>
      <c r="O117" s="4072"/>
      <c r="P117" s="4072"/>
      <c r="Q117" s="4072"/>
      <c r="R117" s="4072"/>
      <c r="S117" s="4072"/>
      <c r="T117" s="4072"/>
      <c r="U117" s="4072"/>
      <c r="V117" s="4072"/>
      <c r="W117" s="4072"/>
      <c r="X117" s="4072"/>
      <c r="Y117" s="4072"/>
      <c r="Z117" s="4072"/>
      <c r="AA117" s="4072"/>
      <c r="AB117" s="4072"/>
      <c r="AC117" s="4072"/>
      <c r="AD117" s="4072"/>
      <c r="AE117" s="4072"/>
      <c r="AF117" s="4072"/>
      <c r="AG117" s="4072"/>
      <c r="AH117" s="4072"/>
      <c r="AI117" s="4072"/>
      <c r="AJ117" s="4072"/>
      <c r="AK117" s="4072"/>
      <c r="AL117" s="4072"/>
      <c r="AM117" s="4073"/>
      <c r="AN117" s="1472"/>
      <c r="AO117" s="1058"/>
      <c r="AQ117" s="1448"/>
      <c r="AR117" s="1448"/>
      <c r="AS117" s="1448"/>
      <c r="AT117" s="1058"/>
      <c r="AU117" s="1058"/>
      <c r="AV117" s="1058"/>
    </row>
    <row r="118" spans="2:48" s="303" customFormat="1" ht="18" customHeight="1">
      <c r="B118" s="1054"/>
      <c r="E118" s="4312" t="s">
        <v>1628</v>
      </c>
      <c r="F118" s="4312"/>
      <c r="G118" s="4312"/>
      <c r="H118" s="4312"/>
      <c r="I118" s="4312"/>
      <c r="J118" s="4312"/>
      <c r="K118" s="4312"/>
      <c r="L118" s="4312"/>
      <c r="AM118" s="1589"/>
    </row>
    <row r="119" spans="2:48" ht="35.25" customHeight="1">
      <c r="B119" s="1477"/>
      <c r="C119" s="1520"/>
      <c r="D119" s="1520"/>
      <c r="E119" s="4030" t="s">
        <v>1660</v>
      </c>
      <c r="F119" s="4030"/>
      <c r="G119" s="4030"/>
      <c r="H119" s="4030"/>
      <c r="I119" s="4030"/>
      <c r="J119" s="4030"/>
      <c r="K119" s="4030"/>
      <c r="L119" s="4030"/>
      <c r="M119" s="4030"/>
      <c r="N119" s="4030"/>
      <c r="O119" s="4030"/>
      <c r="P119" s="4030"/>
      <c r="Q119" s="4030"/>
      <c r="R119" s="4030"/>
      <c r="S119" s="4030"/>
      <c r="T119" s="4030"/>
      <c r="U119" s="4030"/>
      <c r="V119" s="4030"/>
      <c r="W119" s="4030"/>
      <c r="X119" s="4030"/>
      <c r="Y119" s="4030"/>
      <c r="Z119" s="4030"/>
      <c r="AA119" s="4030"/>
      <c r="AB119" s="4030"/>
      <c r="AC119" s="4030"/>
      <c r="AD119" s="4030"/>
      <c r="AE119" s="4030"/>
      <c r="AF119" s="4030"/>
      <c r="AG119" s="4030"/>
      <c r="AH119" s="4030"/>
      <c r="AI119" s="4030"/>
      <c r="AJ119" s="4030"/>
      <c r="AK119" s="4031"/>
      <c r="AL119" s="4144">
        <f>IF(AND($AL$111="Yes",$AS$126&gt;=4,$AU$126&gt;=1),5,IF(AND($AL$111="Yes",vmBonaFide="Yes",$AL$124="Yes",$X$127&gt;=11),5,0))</f>
        <v>0</v>
      </c>
      <c r="AM119" s="4144"/>
      <c r="AN119" s="1472"/>
      <c r="AO119" s="1058"/>
      <c r="AQ119" s="1448"/>
      <c r="AR119" s="1448"/>
      <c r="AS119" s="1448"/>
      <c r="AT119" s="1058"/>
      <c r="AU119" s="1058"/>
      <c r="AV119" s="1058"/>
    </row>
    <row r="120" spans="2:48" s="303" customFormat="1" ht="18" customHeight="1">
      <c r="B120" s="1054"/>
      <c r="E120" s="4312" t="s">
        <v>1630</v>
      </c>
      <c r="F120" s="4312"/>
      <c r="G120" s="4312"/>
      <c r="H120" s="4312"/>
      <c r="I120" s="4312"/>
      <c r="J120" s="4312"/>
      <c r="K120" s="4312"/>
      <c r="L120" s="4312"/>
      <c r="M120" s="4312"/>
      <c r="N120" s="4312"/>
      <c r="AM120" s="691"/>
    </row>
    <row r="121" spans="2:48" s="303" customFormat="1" ht="35.25" customHeight="1">
      <c r="B121" s="1054"/>
      <c r="E121" s="4030" t="s">
        <v>1661</v>
      </c>
      <c r="F121" s="4030"/>
      <c r="G121" s="4030"/>
      <c r="H121" s="4030"/>
      <c r="I121" s="4030"/>
      <c r="J121" s="4030"/>
      <c r="K121" s="4030"/>
      <c r="L121" s="4030"/>
      <c r="M121" s="4030"/>
      <c r="N121" s="4030"/>
      <c r="O121" s="4030"/>
      <c r="P121" s="4030"/>
      <c r="Q121" s="4030"/>
      <c r="R121" s="4030"/>
      <c r="S121" s="4030"/>
      <c r="T121" s="4030"/>
      <c r="U121" s="4030"/>
      <c r="V121" s="4030"/>
      <c r="W121" s="4030"/>
      <c r="X121" s="4030"/>
      <c r="Y121" s="4030"/>
      <c r="Z121" s="4030"/>
      <c r="AA121" s="4030"/>
      <c r="AB121" s="4030"/>
      <c r="AC121" s="4030"/>
      <c r="AD121" s="4030"/>
      <c r="AE121" s="4030"/>
      <c r="AF121" s="4030"/>
      <c r="AG121" s="4030"/>
      <c r="AH121" s="4030"/>
      <c r="AI121" s="4030"/>
      <c r="AJ121" s="4030"/>
      <c r="AK121" s="4031"/>
      <c r="AL121" s="4144">
        <f>IF(AND($AL$111="Yes",$AT$126&gt;=4,$AU$126&gt;=1),5,IF(AND($AL$111="Yes",vmBonaFide="Yes",$AL$124="Yes",$X$127&gt;=11),5,0))</f>
        <v>0</v>
      </c>
      <c r="AM121" s="4144"/>
    </row>
    <row r="122" spans="2:48" ht="18" customHeight="1">
      <c r="B122" s="4206" t="str">
        <f>CONCATENATE(W112," - ","are you contracting with a bona-fide management company?")</f>
        <v xml:space="preserve"> - are you contracting with a bona-fide management company?</v>
      </c>
      <c r="C122" s="4207"/>
      <c r="D122" s="4207"/>
      <c r="E122" s="4207"/>
      <c r="F122" s="4207"/>
      <c r="G122" s="4207"/>
      <c r="H122" s="4207"/>
      <c r="I122" s="4207"/>
      <c r="J122" s="4207"/>
      <c r="K122" s="4207"/>
      <c r="L122" s="4207"/>
      <c r="M122" s="4207"/>
      <c r="N122" s="4207"/>
      <c r="O122" s="4207"/>
      <c r="P122" s="4207"/>
      <c r="Q122" s="4207"/>
      <c r="R122" s="4207"/>
      <c r="S122" s="4207"/>
      <c r="T122" s="4207"/>
      <c r="U122" s="4207"/>
      <c r="V122" s="4207"/>
      <c r="W122" s="4207"/>
      <c r="X122" s="4207"/>
      <c r="Y122" s="4207"/>
      <c r="Z122" s="4207"/>
      <c r="AA122" s="4207"/>
      <c r="AB122" s="4207"/>
      <c r="AC122" s="4207"/>
      <c r="AD122" s="4207"/>
      <c r="AE122" s="4207"/>
      <c r="AF122" s="4207"/>
      <c r="AG122" s="4207"/>
      <c r="AH122" s="4207"/>
      <c r="AI122" s="4207"/>
      <c r="AJ122" s="4207"/>
      <c r="AK122" s="4207"/>
      <c r="AL122" s="1840"/>
      <c r="AM122" s="1840"/>
      <c r="AN122" s="360"/>
      <c r="AO122" s="1058"/>
      <c r="AQ122" s="1448"/>
      <c r="AR122" s="1448"/>
      <c r="AS122" s="1448"/>
      <c r="AT122" s="1058"/>
      <c r="AU122" s="1058"/>
      <c r="AV122" s="1058"/>
    </row>
    <row r="123" spans="2:48" ht="18" hidden="1" customHeight="1">
      <c r="B123" s="4203" t="s">
        <v>1662</v>
      </c>
      <c r="C123" s="4204"/>
      <c r="D123" s="4204"/>
      <c r="E123" s="4204"/>
      <c r="F123" s="4204"/>
      <c r="G123" s="4204"/>
      <c r="H123" s="4204"/>
      <c r="I123" s="4204"/>
      <c r="J123" s="4204"/>
      <c r="K123" s="4204"/>
      <c r="L123" s="4204"/>
      <c r="M123" s="4204"/>
      <c r="N123" s="4205"/>
      <c r="O123" s="4205"/>
      <c r="P123" s="4205"/>
      <c r="Q123" s="4205"/>
      <c r="R123" s="4205"/>
      <c r="S123" s="4205"/>
      <c r="T123" s="4205"/>
      <c r="U123" s="4205"/>
      <c r="V123" s="4205"/>
      <c r="W123" s="4205"/>
      <c r="X123" s="4205"/>
      <c r="Y123" s="4205"/>
      <c r="Z123" s="4205"/>
      <c r="AA123" s="4205"/>
      <c r="AB123" s="4205"/>
      <c r="AC123" s="4205"/>
      <c r="AD123" s="4205"/>
      <c r="AE123" s="4205"/>
      <c r="AF123" s="4205"/>
      <c r="AG123" s="4205"/>
      <c r="AH123" s="4205"/>
      <c r="AI123" s="4205"/>
      <c r="AJ123" s="4205"/>
      <c r="AK123" s="4205"/>
      <c r="AL123" s="4205"/>
      <c r="AM123" s="4205"/>
      <c r="AN123" s="1472"/>
      <c r="AO123" s="1058"/>
      <c r="AQ123" s="1448"/>
      <c r="AR123" s="1448"/>
      <c r="AS123" s="1448"/>
      <c r="AT123" s="1058"/>
      <c r="AU123" s="1058"/>
      <c r="AV123" s="1058"/>
    </row>
    <row r="124" spans="2:48" ht="36" hidden="1" customHeight="1">
      <c r="B124" s="4101" t="s">
        <v>676</v>
      </c>
      <c r="C124" s="4101"/>
      <c r="D124" s="4101"/>
      <c r="E124" s="2470" t="str">
        <f>'Document Checklist'!$E$159</f>
        <v>75. Bona-fide MA</v>
      </c>
      <c r="F124" s="2470"/>
      <c r="G124" s="2470"/>
      <c r="H124" s="2470"/>
      <c r="I124" s="2470"/>
      <c r="J124" s="2470"/>
      <c r="K124" s="2470"/>
      <c r="L124" s="2470"/>
      <c r="M124" s="2470"/>
      <c r="N124" s="4218" t="str">
        <f>'Document Checklist'!$N$159</f>
        <v xml:space="preserve">At time of applocation, provide contract agreement between   and </v>
      </c>
      <c r="O124" s="4218"/>
      <c r="P124" s="4218"/>
      <c r="Q124" s="4218"/>
      <c r="R124" s="4218"/>
      <c r="S124" s="4218"/>
      <c r="T124" s="4218"/>
      <c r="U124" s="4218"/>
      <c r="V124" s="4218"/>
      <c r="W124" s="4218"/>
      <c r="X124" s="4218"/>
      <c r="Y124" s="4218"/>
      <c r="Z124" s="4218"/>
      <c r="AA124" s="4218"/>
      <c r="AB124" s="4218"/>
      <c r="AC124" s="4218"/>
      <c r="AD124" s="4218"/>
      <c r="AE124" s="4218"/>
      <c r="AF124" s="4219" t="s">
        <v>843</v>
      </c>
      <c r="AG124" s="4220"/>
      <c r="AH124" s="4220"/>
      <c r="AI124" s="4220"/>
      <c r="AJ124" s="4220"/>
      <c r="AK124" s="4220"/>
      <c r="AL124" s="2492"/>
      <c r="AM124" s="2492"/>
      <c r="AN124" s="1472"/>
      <c r="AO124" s="1058"/>
      <c r="AQ124" s="1448"/>
      <c r="AR124" s="1448"/>
      <c r="AS124" s="1448"/>
      <c r="AT124" s="1058"/>
      <c r="AU124" s="1058"/>
      <c r="AV124" s="1058"/>
    </row>
    <row r="125" spans="2:48" s="360" customFormat="1" ht="107.25" customHeight="1">
      <c r="B125" s="4208" t="s">
        <v>1663</v>
      </c>
      <c r="C125" s="4209"/>
      <c r="D125" s="4209"/>
      <c r="E125" s="4209"/>
      <c r="F125" s="4209"/>
      <c r="G125" s="4209"/>
      <c r="H125" s="4209"/>
      <c r="I125" s="4209"/>
      <c r="J125" s="4209"/>
      <c r="K125" s="4209"/>
      <c r="L125" s="4209"/>
      <c r="M125" s="4209"/>
      <c r="N125" s="4209"/>
      <c r="O125" s="4209"/>
      <c r="P125" s="4209"/>
      <c r="Q125" s="4209"/>
      <c r="R125" s="4209"/>
      <c r="S125" s="4209"/>
      <c r="T125" s="4209"/>
      <c r="U125" s="4209"/>
      <c r="V125" s="4209"/>
      <c r="W125" s="4209"/>
      <c r="X125" s="4209"/>
      <c r="Y125" s="4209"/>
      <c r="Z125" s="4209"/>
      <c r="AA125" s="4209"/>
      <c r="AB125" s="4209"/>
      <c r="AC125" s="4209"/>
      <c r="AD125" s="4209"/>
      <c r="AE125" s="4209"/>
      <c r="AF125" s="4209"/>
      <c r="AG125" s="4209"/>
      <c r="AH125" s="4209"/>
      <c r="AI125" s="4209"/>
      <c r="AJ125" s="4209"/>
      <c r="AK125" s="4209"/>
      <c r="AL125" s="4209"/>
      <c r="AM125" s="4210"/>
      <c r="AN125" s="363"/>
      <c r="AQ125" s="1472"/>
      <c r="AR125" s="1472"/>
      <c r="AS125" s="1472"/>
    </row>
    <row r="126" spans="2:48" s="372" customFormat="1" ht="53.25" customHeight="1">
      <c r="B126" s="4143" t="s">
        <v>1632</v>
      </c>
      <c r="C126" s="4143"/>
      <c r="D126" s="4143"/>
      <c r="E126" s="4143"/>
      <c r="F126" s="4143"/>
      <c r="G126" s="4143"/>
      <c r="H126" s="4143"/>
      <c r="I126" s="4137" t="s">
        <v>1633</v>
      </c>
      <c r="J126" s="4138"/>
      <c r="K126" s="4138"/>
      <c r="L126" s="4138"/>
      <c r="M126" s="4138"/>
      <c r="N126" s="4138"/>
      <c r="O126" s="4139"/>
      <c r="P126" s="4143" t="s">
        <v>1634</v>
      </c>
      <c r="Q126" s="4143"/>
      <c r="R126" s="4143"/>
      <c r="S126" s="4143"/>
      <c r="T126" s="4137" t="s">
        <v>1664</v>
      </c>
      <c r="U126" s="4138"/>
      <c r="V126" s="4138"/>
      <c r="W126" s="4139"/>
      <c r="X126" s="4043" t="s">
        <v>1636</v>
      </c>
      <c r="Y126" s="4044"/>
      <c r="Z126" s="4045"/>
      <c r="AA126" s="4217" t="s">
        <v>1665</v>
      </c>
      <c r="AB126" s="4217"/>
      <c r="AC126" s="4221" t="s">
        <v>1666</v>
      </c>
      <c r="AD126" s="4221"/>
      <c r="AE126" s="4221"/>
      <c r="AF126" s="4043" t="s">
        <v>1638</v>
      </c>
      <c r="AG126" s="4045"/>
      <c r="AH126" s="4137" t="s">
        <v>1667</v>
      </c>
      <c r="AI126" s="4138"/>
      <c r="AJ126" s="4139"/>
      <c r="AK126" s="4211" t="s">
        <v>1668</v>
      </c>
      <c r="AL126" s="4212"/>
      <c r="AM126" s="4213"/>
      <c r="AN126" s="463"/>
      <c r="AO126" s="714"/>
      <c r="AP126" s="712">
        <f>SUM(AP128:AP142)</f>
        <v>0</v>
      </c>
      <c r="AQ126" s="1448"/>
      <c r="AR126" s="1448">
        <f>SUM(AR128:AR142)</f>
        <v>0</v>
      </c>
      <c r="AS126" s="646">
        <f>SUM(AS128:AS142)</f>
        <v>0</v>
      </c>
      <c r="AT126" s="646">
        <f>SUM(AT128:AT142)</f>
        <v>0</v>
      </c>
      <c r="AU126" s="646">
        <f>SUM(AU128:AU142)</f>
        <v>0</v>
      </c>
      <c r="AV126" s="708">
        <f>SUM(AV128:AV142)</f>
        <v>0</v>
      </c>
    </row>
    <row r="127" spans="2:48" s="372" customFormat="1" ht="18" customHeight="1">
      <c r="B127" s="4143"/>
      <c r="C127" s="4143"/>
      <c r="D127" s="4143"/>
      <c r="E127" s="4143"/>
      <c r="F127" s="4143"/>
      <c r="G127" s="4143"/>
      <c r="H127" s="4143"/>
      <c r="I127" s="4145"/>
      <c r="J127" s="4146"/>
      <c r="K127" s="4146"/>
      <c r="L127" s="4146"/>
      <c r="M127" s="4146"/>
      <c r="N127" s="4146"/>
      <c r="O127" s="4147"/>
      <c r="P127" s="4143"/>
      <c r="Q127" s="4143"/>
      <c r="R127" s="4143"/>
      <c r="S127" s="4143"/>
      <c r="T127" s="4222">
        <f>COUNTIF($AO$128:$AO$142,1)</f>
        <v>0</v>
      </c>
      <c r="U127" s="4222"/>
      <c r="V127" s="4222"/>
      <c r="W127" s="4222"/>
      <c r="X127" s="4103">
        <f>COUNTIF(X128:Z142,TRUE)</f>
        <v>0</v>
      </c>
      <c r="Y127" s="4104"/>
      <c r="Z127" s="4105"/>
      <c r="AA127" s="4217"/>
      <c r="AB127" s="4217"/>
      <c r="AC127" s="4221"/>
      <c r="AD127" s="4221"/>
      <c r="AE127" s="4221"/>
      <c r="AF127" s="4028">
        <f>COUNTIF($AF$128:$AG$142,TRUE)</f>
        <v>0</v>
      </c>
      <c r="AG127" s="4029"/>
      <c r="AH127" s="4140"/>
      <c r="AI127" s="4141"/>
      <c r="AJ127" s="4142"/>
      <c r="AK127" s="4214"/>
      <c r="AL127" s="4215"/>
      <c r="AM127" s="4216"/>
      <c r="AN127" s="463"/>
      <c r="AO127" s="1058" t="s">
        <v>1642</v>
      </c>
      <c r="AP127" s="1058" t="s">
        <v>1643</v>
      </c>
      <c r="AQ127" s="1448"/>
      <c r="AR127" s="1448" t="s">
        <v>1645</v>
      </c>
      <c r="AS127" s="514" t="s">
        <v>1646</v>
      </c>
      <c r="AT127" s="514" t="s">
        <v>1647</v>
      </c>
      <c r="AU127" s="1058" t="s">
        <v>1648</v>
      </c>
      <c r="AV127" s="709" t="s">
        <v>1669</v>
      </c>
    </row>
    <row r="128" spans="2:48" s="372" customFormat="1" ht="36" customHeight="1">
      <c r="B128" s="1489">
        <v>1</v>
      </c>
      <c r="C128" s="4078"/>
      <c r="D128" s="4079"/>
      <c r="E128" s="4079"/>
      <c r="F128" s="4079"/>
      <c r="G128" s="4079"/>
      <c r="H128" s="4080"/>
      <c r="I128" s="4083"/>
      <c r="J128" s="4083"/>
      <c r="K128" s="4083"/>
      <c r="L128" s="4083"/>
      <c r="M128" s="4083"/>
      <c r="N128" s="4083"/>
      <c r="O128" s="4083"/>
      <c r="P128" s="4084"/>
      <c r="Q128" s="4084"/>
      <c r="R128" s="4084"/>
      <c r="S128" s="4084"/>
      <c r="T128" s="4068"/>
      <c r="U128" s="4068"/>
      <c r="V128" s="4068"/>
      <c r="W128" s="4068"/>
      <c r="X128" s="4069"/>
      <c r="Y128" s="4070"/>
      <c r="Z128" s="4071"/>
      <c r="AA128" s="4077"/>
      <c r="AB128" s="4077"/>
      <c r="AC128" s="4077"/>
      <c r="AD128" s="4077"/>
      <c r="AE128" s="4077"/>
      <c r="AF128" s="4046" t="str">
        <f>IF($AC$128="","",IF($AH$128=FALSE,FALSE,IF(YEARFRAC($AC$128,MIN($F$2,$AK$128),1)&gt;3,TRUE,FALSE)))</f>
        <v/>
      </c>
      <c r="AG128" s="4047"/>
      <c r="AH128" s="4043" t="str">
        <f>IF(AND($C$128="",$AK$128=""),"",IF($AK$128="",TRUE,IF(YEARFRAC($AK$128,$F$2,1)&lt;=10,TRUE,FALSE)))</f>
        <v/>
      </c>
      <c r="AI128" s="4044"/>
      <c r="AJ128" s="4045"/>
      <c r="AK128" s="4074"/>
      <c r="AL128" s="4075"/>
      <c r="AM128" s="4076"/>
      <c r="AN128" s="463"/>
      <c r="AO128" s="1058">
        <f>IF(T128="",0,IF(T128&lt;&gt;"N/A",1,0))</f>
        <v>0</v>
      </c>
      <c r="AP128" s="712">
        <f>IFERROR(--AND(X128,AF128),0)</f>
        <v>0</v>
      </c>
      <c r="AQ128" s="1448"/>
      <c r="AR128" s="1448">
        <f t="shared" ref="AR128:AR137" si="12">--AND(AO128=1,X128,AF128)</f>
        <v>0</v>
      </c>
      <c r="AS128" s="1448">
        <f>--AND(P128="Special Needs",AP128=1)</f>
        <v>0</v>
      </c>
      <c r="AT128" s="1448">
        <f t="shared" ref="AT128:AT142" si="13">--AND(OR(vmCBD="Yes"),AP128=1)</f>
        <v>0</v>
      </c>
      <c r="AU128" s="1448">
        <f>--AND(AT128=1,AO128=1)</f>
        <v>0</v>
      </c>
      <c r="AV128" s="1493">
        <f t="shared" ref="AV128:AV142" si="14">IF(AND(C128&gt;0,I128&gt;0,AC128&lt;=$F$2),1,0)</f>
        <v>0</v>
      </c>
    </row>
    <row r="129" spans="1:48" s="372" customFormat="1" ht="36" customHeight="1">
      <c r="B129" s="1489">
        <v>2</v>
      </c>
      <c r="C129" s="4078"/>
      <c r="D129" s="4079"/>
      <c r="E129" s="4079"/>
      <c r="F129" s="4079"/>
      <c r="G129" s="4079"/>
      <c r="H129" s="4080"/>
      <c r="I129" s="4083"/>
      <c r="J129" s="4083"/>
      <c r="K129" s="4083"/>
      <c r="L129" s="4083"/>
      <c r="M129" s="4083"/>
      <c r="N129" s="4083"/>
      <c r="O129" s="4083"/>
      <c r="P129" s="4084"/>
      <c r="Q129" s="4084"/>
      <c r="R129" s="4084"/>
      <c r="S129" s="4084"/>
      <c r="T129" s="4068"/>
      <c r="U129" s="4068"/>
      <c r="V129" s="4068"/>
      <c r="W129" s="4068"/>
      <c r="X129" s="4069"/>
      <c r="Y129" s="4070"/>
      <c r="Z129" s="4071"/>
      <c r="AA129" s="4077"/>
      <c r="AB129" s="4077"/>
      <c r="AC129" s="4077"/>
      <c r="AD129" s="4077"/>
      <c r="AE129" s="4077"/>
      <c r="AF129" s="4046" t="str">
        <f>IF($AC$129="","",IF($AH$129=FALSE,FALSE,IF(YEARFRAC($AC$129,MIN($F$2,$AK$129),1)&gt;3,TRUE,FALSE)))</f>
        <v/>
      </c>
      <c r="AG129" s="4047"/>
      <c r="AH129" s="4043" t="str">
        <f>IF(AND($C$129="",$AK$129=""),"",IF($AK$129="",TRUE,IF(YEARFRAC($AK$129,$F$2,1)&lt;=10,TRUE,FALSE)))</f>
        <v/>
      </c>
      <c r="AI129" s="4044"/>
      <c r="AJ129" s="4045"/>
      <c r="AK129" s="4074"/>
      <c r="AL129" s="4075"/>
      <c r="AM129" s="4076"/>
      <c r="AN129" s="463"/>
      <c r="AO129" s="1058">
        <f t="shared" ref="AO129:AO137" si="15">IF(T129="",0,IF(T129&lt;&gt;"N/A",1,0))</f>
        <v>0</v>
      </c>
      <c r="AP129" s="712">
        <f t="shared" ref="AP129:AP137" si="16">IFERROR(--AND(X129,AF129),0)</f>
        <v>0</v>
      </c>
      <c r="AQ129" s="1448"/>
      <c r="AR129" s="1448">
        <f t="shared" si="12"/>
        <v>0</v>
      </c>
      <c r="AS129" s="1448">
        <f t="shared" ref="AS129:AS142" si="17">--AND(P129="Special Needs",AP129=1)</f>
        <v>0</v>
      </c>
      <c r="AT129" s="1448">
        <f t="shared" si="13"/>
        <v>0</v>
      </c>
      <c r="AU129" s="1448">
        <f t="shared" ref="AU129:AU137" si="18">--AND(AT129=1,AO129=1)</f>
        <v>0</v>
      </c>
      <c r="AV129" s="1493">
        <f t="shared" si="14"/>
        <v>0</v>
      </c>
    </row>
    <row r="130" spans="1:48" s="372" customFormat="1" ht="36" customHeight="1">
      <c r="A130" s="1493"/>
      <c r="B130" s="1489">
        <v>3</v>
      </c>
      <c r="C130" s="4078"/>
      <c r="D130" s="4079"/>
      <c r="E130" s="4079"/>
      <c r="F130" s="4079"/>
      <c r="G130" s="4079"/>
      <c r="H130" s="4080"/>
      <c r="I130" s="4083"/>
      <c r="J130" s="4083"/>
      <c r="K130" s="4083"/>
      <c r="L130" s="4083"/>
      <c r="M130" s="4083"/>
      <c r="N130" s="4083"/>
      <c r="O130" s="4083"/>
      <c r="P130" s="4084"/>
      <c r="Q130" s="4084"/>
      <c r="R130" s="4084"/>
      <c r="S130" s="4084"/>
      <c r="T130" s="4068"/>
      <c r="U130" s="4068"/>
      <c r="V130" s="4068"/>
      <c r="W130" s="4068"/>
      <c r="X130" s="4069"/>
      <c r="Y130" s="4070"/>
      <c r="Z130" s="4071"/>
      <c r="AA130" s="4077"/>
      <c r="AB130" s="4077"/>
      <c r="AC130" s="4077"/>
      <c r="AD130" s="4077"/>
      <c r="AE130" s="4077"/>
      <c r="AF130" s="4046" t="str">
        <f>IF($AC$130="","",IF($AH$130=FALSE,FALSE,IF(YEARFRAC($AC$130,MIN($F$2,$AK$130),1)&gt;3,TRUE,FALSE)))</f>
        <v/>
      </c>
      <c r="AG130" s="4047"/>
      <c r="AH130" s="4043" t="str">
        <f>IF(AND($C$130="",$AK$130=""),"",IF($AK$130="",TRUE,IF(YEARFRAC($AK$130,$F$2,1)&lt;=10,TRUE,FALSE)))</f>
        <v/>
      </c>
      <c r="AI130" s="4044"/>
      <c r="AJ130" s="4045"/>
      <c r="AK130" s="4074"/>
      <c r="AL130" s="4075"/>
      <c r="AM130" s="4076"/>
      <c r="AN130" s="463"/>
      <c r="AO130" s="1058">
        <f t="shared" si="15"/>
        <v>0</v>
      </c>
      <c r="AP130" s="712">
        <f t="shared" si="16"/>
        <v>0</v>
      </c>
      <c r="AQ130" s="1448"/>
      <c r="AR130" s="1448">
        <f t="shared" si="12"/>
        <v>0</v>
      </c>
      <c r="AS130" s="1448">
        <f t="shared" si="17"/>
        <v>0</v>
      </c>
      <c r="AT130" s="1448">
        <f t="shared" si="13"/>
        <v>0</v>
      </c>
      <c r="AU130" s="1448">
        <f t="shared" si="18"/>
        <v>0</v>
      </c>
      <c r="AV130" s="1493">
        <f t="shared" si="14"/>
        <v>0</v>
      </c>
    </row>
    <row r="131" spans="1:48" s="372" customFormat="1" ht="36" customHeight="1">
      <c r="A131" s="1493"/>
      <c r="B131" s="1489">
        <v>4</v>
      </c>
      <c r="C131" s="4078"/>
      <c r="D131" s="4079"/>
      <c r="E131" s="4079"/>
      <c r="F131" s="4079"/>
      <c r="G131" s="4079"/>
      <c r="H131" s="4080"/>
      <c r="I131" s="4083"/>
      <c r="J131" s="4083"/>
      <c r="K131" s="4083"/>
      <c r="L131" s="4083"/>
      <c r="M131" s="4083"/>
      <c r="N131" s="4083"/>
      <c r="O131" s="4083"/>
      <c r="P131" s="4084"/>
      <c r="Q131" s="4084"/>
      <c r="R131" s="4084"/>
      <c r="S131" s="4084"/>
      <c r="T131" s="4068"/>
      <c r="U131" s="4068"/>
      <c r="V131" s="4068"/>
      <c r="W131" s="4068"/>
      <c r="X131" s="4069"/>
      <c r="Y131" s="4070"/>
      <c r="Z131" s="4071"/>
      <c r="AA131" s="4077"/>
      <c r="AB131" s="4077"/>
      <c r="AC131" s="4077"/>
      <c r="AD131" s="4077"/>
      <c r="AE131" s="4077"/>
      <c r="AF131" s="4046" t="str">
        <f>IF($AC$131="","",IF($AH$131=FALSE,FALSE,IF(YEARFRAC($AC$131,MIN($F$2,$AK$131),1)&gt;3,TRUE,FALSE)))</f>
        <v/>
      </c>
      <c r="AG131" s="4047"/>
      <c r="AH131" s="4043" t="str">
        <f>IF(AND($C$131="",$AK$131=""),"",IF($AK$131="",TRUE,IF(YEARFRAC($AK$131,$F$2,1)&lt;=10,TRUE,FALSE)))</f>
        <v/>
      </c>
      <c r="AI131" s="4044"/>
      <c r="AJ131" s="4045"/>
      <c r="AK131" s="4074"/>
      <c r="AL131" s="4075"/>
      <c r="AM131" s="4076"/>
      <c r="AN131" s="463"/>
      <c r="AO131" s="1058">
        <f t="shared" si="15"/>
        <v>0</v>
      </c>
      <c r="AP131" s="712">
        <f t="shared" si="16"/>
        <v>0</v>
      </c>
      <c r="AQ131" s="1448"/>
      <c r="AR131" s="1448">
        <f t="shared" si="12"/>
        <v>0</v>
      </c>
      <c r="AS131" s="1448">
        <f t="shared" si="17"/>
        <v>0</v>
      </c>
      <c r="AT131" s="1448">
        <f t="shared" si="13"/>
        <v>0</v>
      </c>
      <c r="AU131" s="1448">
        <f t="shared" si="18"/>
        <v>0</v>
      </c>
      <c r="AV131" s="1493">
        <f t="shared" si="14"/>
        <v>0</v>
      </c>
    </row>
    <row r="132" spans="1:48" s="372" customFormat="1" ht="36" customHeight="1">
      <c r="A132" s="1493"/>
      <c r="B132" s="1489">
        <v>5</v>
      </c>
      <c r="C132" s="4078"/>
      <c r="D132" s="4079"/>
      <c r="E132" s="4079"/>
      <c r="F132" s="4079"/>
      <c r="G132" s="4079"/>
      <c r="H132" s="4080"/>
      <c r="I132" s="4083"/>
      <c r="J132" s="4083"/>
      <c r="K132" s="4083"/>
      <c r="L132" s="4083"/>
      <c r="M132" s="4083"/>
      <c r="N132" s="4083"/>
      <c r="O132" s="4083"/>
      <c r="P132" s="4084"/>
      <c r="Q132" s="4084"/>
      <c r="R132" s="4084"/>
      <c r="S132" s="4084"/>
      <c r="T132" s="4068"/>
      <c r="U132" s="4068"/>
      <c r="V132" s="4068"/>
      <c r="W132" s="4068"/>
      <c r="X132" s="4069"/>
      <c r="Y132" s="4070"/>
      <c r="Z132" s="4071"/>
      <c r="AA132" s="4077"/>
      <c r="AB132" s="4077"/>
      <c r="AC132" s="4077"/>
      <c r="AD132" s="4077"/>
      <c r="AE132" s="4077"/>
      <c r="AF132" s="4046" t="str">
        <f>IF($AC$132="","",IF($AH$132=FALSE,FALSE,IF(YEARFRAC($AC$132,MIN($F$2,$AK$132),1)&gt;3,TRUE,FALSE)))</f>
        <v/>
      </c>
      <c r="AG132" s="4047"/>
      <c r="AH132" s="4043" t="str">
        <f>IF(AND($C$132="",$AK$132=""),"",IF($AK$132="",TRUE,IF(YEARFRAC($AK$132,$F$2,1)&lt;=10,TRUE,FALSE)))</f>
        <v/>
      </c>
      <c r="AI132" s="4044"/>
      <c r="AJ132" s="4045"/>
      <c r="AK132" s="4074"/>
      <c r="AL132" s="4075"/>
      <c r="AM132" s="4076"/>
      <c r="AN132" s="463"/>
      <c r="AO132" s="1058">
        <f t="shared" si="15"/>
        <v>0</v>
      </c>
      <c r="AP132" s="712">
        <f t="shared" si="16"/>
        <v>0</v>
      </c>
      <c r="AQ132" s="1448"/>
      <c r="AR132" s="1448">
        <f t="shared" si="12"/>
        <v>0</v>
      </c>
      <c r="AS132" s="1448">
        <f t="shared" si="17"/>
        <v>0</v>
      </c>
      <c r="AT132" s="1448">
        <f t="shared" si="13"/>
        <v>0</v>
      </c>
      <c r="AU132" s="1448">
        <f t="shared" si="18"/>
        <v>0</v>
      </c>
      <c r="AV132" s="1493">
        <f t="shared" si="14"/>
        <v>0</v>
      </c>
    </row>
    <row r="133" spans="1:48" s="372" customFormat="1" ht="36" customHeight="1">
      <c r="A133" s="1493"/>
      <c r="B133" s="1489">
        <v>6</v>
      </c>
      <c r="C133" s="4078"/>
      <c r="D133" s="4079"/>
      <c r="E133" s="4079"/>
      <c r="F133" s="4079"/>
      <c r="G133" s="4079"/>
      <c r="H133" s="4080"/>
      <c r="I133" s="4083"/>
      <c r="J133" s="4083"/>
      <c r="K133" s="4083"/>
      <c r="L133" s="4083"/>
      <c r="M133" s="4083"/>
      <c r="N133" s="4083"/>
      <c r="O133" s="4083"/>
      <c r="P133" s="4084"/>
      <c r="Q133" s="4084"/>
      <c r="R133" s="4084"/>
      <c r="S133" s="4084"/>
      <c r="T133" s="4068"/>
      <c r="U133" s="4068"/>
      <c r="V133" s="4068"/>
      <c r="W133" s="4068"/>
      <c r="X133" s="4069"/>
      <c r="Y133" s="4070"/>
      <c r="Z133" s="4071"/>
      <c r="AA133" s="4077"/>
      <c r="AB133" s="4077"/>
      <c r="AC133" s="4077"/>
      <c r="AD133" s="4077"/>
      <c r="AE133" s="4077"/>
      <c r="AF133" s="4046" t="str">
        <f>IF($AC$133="","",IF($AH$133=FALSE,FALSE,IF(YEARFRAC($AC$133,MIN($F$2,$AK$133),1)&gt;3,TRUE,FALSE)))</f>
        <v/>
      </c>
      <c r="AG133" s="4047"/>
      <c r="AH133" s="4043" t="str">
        <f>IF(AND($C$133="",$AK$133=""),"",IF($AK$133="",TRUE,IF(YEARFRAC($AK$133,$F$2,1)&lt;=10,TRUE,FALSE)))</f>
        <v/>
      </c>
      <c r="AI133" s="4044"/>
      <c r="AJ133" s="4045"/>
      <c r="AK133" s="4074"/>
      <c r="AL133" s="4075"/>
      <c r="AM133" s="4076"/>
      <c r="AN133" s="463"/>
      <c r="AO133" s="1058">
        <f t="shared" si="15"/>
        <v>0</v>
      </c>
      <c r="AP133" s="712">
        <f t="shared" si="16"/>
        <v>0</v>
      </c>
      <c r="AQ133" s="1448"/>
      <c r="AR133" s="1448">
        <f t="shared" si="12"/>
        <v>0</v>
      </c>
      <c r="AS133" s="1448">
        <f t="shared" si="17"/>
        <v>0</v>
      </c>
      <c r="AT133" s="1448">
        <f t="shared" si="13"/>
        <v>0</v>
      </c>
      <c r="AU133" s="1448">
        <f t="shared" si="18"/>
        <v>0</v>
      </c>
      <c r="AV133" s="1493">
        <f t="shared" si="14"/>
        <v>0</v>
      </c>
    </row>
    <row r="134" spans="1:48" s="372" customFormat="1" ht="36" customHeight="1">
      <c r="A134" s="1493"/>
      <c r="B134" s="1489">
        <v>7</v>
      </c>
      <c r="C134" s="4078"/>
      <c r="D134" s="4079"/>
      <c r="E134" s="4079"/>
      <c r="F134" s="4079"/>
      <c r="G134" s="4079"/>
      <c r="H134" s="4080"/>
      <c r="I134" s="4083"/>
      <c r="J134" s="4083"/>
      <c r="K134" s="4083"/>
      <c r="L134" s="4083"/>
      <c r="M134" s="4083"/>
      <c r="N134" s="4083"/>
      <c r="O134" s="4083"/>
      <c r="P134" s="4084"/>
      <c r="Q134" s="4084"/>
      <c r="R134" s="4084"/>
      <c r="S134" s="4084"/>
      <c r="T134" s="4068"/>
      <c r="U134" s="4068"/>
      <c r="V134" s="4068"/>
      <c r="W134" s="4068"/>
      <c r="X134" s="4069"/>
      <c r="Y134" s="4070"/>
      <c r="Z134" s="4071"/>
      <c r="AA134" s="4077"/>
      <c r="AB134" s="4077"/>
      <c r="AC134" s="4077"/>
      <c r="AD134" s="4077"/>
      <c r="AE134" s="4077"/>
      <c r="AF134" s="4046" t="str">
        <f>IF($AC$134="","",IF($AH$134=FALSE,FALSE,IF(YEARFRAC($AC$134,MIN($F$2,$AK$134),1)&gt;3,TRUE,FALSE)))</f>
        <v/>
      </c>
      <c r="AG134" s="4047"/>
      <c r="AH134" s="4043" t="str">
        <f>IF(AND($C$134="",$AK$134=""),"",IF($AK$134="",TRUE,IF(YEARFRAC($AK$134,$F$2,1)&lt;=10,TRUE,FALSE)))</f>
        <v/>
      </c>
      <c r="AI134" s="4044"/>
      <c r="AJ134" s="4045"/>
      <c r="AK134" s="4074"/>
      <c r="AL134" s="4075"/>
      <c r="AM134" s="4076"/>
      <c r="AN134" s="463"/>
      <c r="AO134" s="1058">
        <f t="shared" si="15"/>
        <v>0</v>
      </c>
      <c r="AP134" s="712">
        <f t="shared" si="16"/>
        <v>0</v>
      </c>
      <c r="AQ134" s="1448"/>
      <c r="AR134" s="1448">
        <f t="shared" si="12"/>
        <v>0</v>
      </c>
      <c r="AS134" s="1448">
        <f t="shared" si="17"/>
        <v>0</v>
      </c>
      <c r="AT134" s="1448">
        <f t="shared" si="13"/>
        <v>0</v>
      </c>
      <c r="AU134" s="1448">
        <f t="shared" si="18"/>
        <v>0</v>
      </c>
      <c r="AV134" s="1493">
        <f t="shared" si="14"/>
        <v>0</v>
      </c>
    </row>
    <row r="135" spans="1:48" s="372" customFormat="1" ht="36" customHeight="1">
      <c r="A135" s="1493"/>
      <c r="B135" s="1489">
        <v>8</v>
      </c>
      <c r="C135" s="4078"/>
      <c r="D135" s="4079"/>
      <c r="E135" s="4079"/>
      <c r="F135" s="4079"/>
      <c r="G135" s="4079"/>
      <c r="H135" s="4080"/>
      <c r="I135" s="4083"/>
      <c r="J135" s="4083"/>
      <c r="K135" s="4083"/>
      <c r="L135" s="4083"/>
      <c r="M135" s="4083"/>
      <c r="N135" s="4083"/>
      <c r="O135" s="4083"/>
      <c r="P135" s="4084"/>
      <c r="Q135" s="4084"/>
      <c r="R135" s="4084"/>
      <c r="S135" s="4084"/>
      <c r="T135" s="4068"/>
      <c r="U135" s="4068"/>
      <c r="V135" s="4068"/>
      <c r="W135" s="4068"/>
      <c r="X135" s="4069"/>
      <c r="Y135" s="4070"/>
      <c r="Z135" s="4071"/>
      <c r="AA135" s="4077"/>
      <c r="AB135" s="4077"/>
      <c r="AC135" s="4077"/>
      <c r="AD135" s="4077"/>
      <c r="AE135" s="4077"/>
      <c r="AF135" s="4046" t="str">
        <f>IF($AC$135="","",IF($AH$135=FALSE,FALSE,IF(YEARFRAC($AC$135,MIN($F$2,$AK$135),1)&gt;3,TRUE,FALSE)))</f>
        <v/>
      </c>
      <c r="AG135" s="4047"/>
      <c r="AH135" s="4043" t="str">
        <f>IF(AND($C$135="",$AK$135=""),"",IF($AK$135="",TRUE,IF(YEARFRAC($AK$135,$F$2,1)&lt;=10,TRUE,FALSE)))</f>
        <v/>
      </c>
      <c r="AI135" s="4044"/>
      <c r="AJ135" s="4045"/>
      <c r="AK135" s="4074"/>
      <c r="AL135" s="4075"/>
      <c r="AM135" s="4076"/>
      <c r="AN135" s="463"/>
      <c r="AO135" s="1058">
        <f t="shared" si="15"/>
        <v>0</v>
      </c>
      <c r="AP135" s="712">
        <f t="shared" si="16"/>
        <v>0</v>
      </c>
      <c r="AQ135" s="1448"/>
      <c r="AR135" s="1448">
        <f t="shared" si="12"/>
        <v>0</v>
      </c>
      <c r="AS135" s="1448">
        <f t="shared" si="17"/>
        <v>0</v>
      </c>
      <c r="AT135" s="1448">
        <f t="shared" si="13"/>
        <v>0</v>
      </c>
      <c r="AU135" s="1448">
        <f t="shared" si="18"/>
        <v>0</v>
      </c>
      <c r="AV135" s="1493">
        <f t="shared" si="14"/>
        <v>0</v>
      </c>
    </row>
    <row r="136" spans="1:48" s="372" customFormat="1" ht="36" customHeight="1">
      <c r="A136" s="1493"/>
      <c r="B136" s="1489">
        <v>9</v>
      </c>
      <c r="C136" s="4078"/>
      <c r="D136" s="4079"/>
      <c r="E136" s="4079"/>
      <c r="F136" s="4079"/>
      <c r="G136" s="4079"/>
      <c r="H136" s="4080"/>
      <c r="I136" s="4083"/>
      <c r="J136" s="4083"/>
      <c r="K136" s="4083"/>
      <c r="L136" s="4083"/>
      <c r="M136" s="4083"/>
      <c r="N136" s="4083"/>
      <c r="O136" s="4083"/>
      <c r="P136" s="4084"/>
      <c r="Q136" s="4084"/>
      <c r="R136" s="4084"/>
      <c r="S136" s="4084"/>
      <c r="T136" s="4068"/>
      <c r="U136" s="4068"/>
      <c r="V136" s="4068"/>
      <c r="W136" s="4068"/>
      <c r="X136" s="4069"/>
      <c r="Y136" s="4070"/>
      <c r="Z136" s="4071"/>
      <c r="AA136" s="4077"/>
      <c r="AB136" s="4077"/>
      <c r="AC136" s="4077"/>
      <c r="AD136" s="4077"/>
      <c r="AE136" s="4077"/>
      <c r="AF136" s="4046" t="str">
        <f>IF($AC$136="","",IF($AH$136=FALSE,FALSE,IF(YEARFRAC($AC$136,MIN($F$2,$AK$136),1)&gt;3,TRUE,FALSE)))</f>
        <v/>
      </c>
      <c r="AG136" s="4047"/>
      <c r="AH136" s="4043" t="str">
        <f>IF(AND($C$136="",$AK$136=""),"",IF($AK$136="",TRUE,IF(YEARFRAC($AK$136,$F$2,1)&lt;=10,TRUE,FALSE)))</f>
        <v/>
      </c>
      <c r="AI136" s="4044"/>
      <c r="AJ136" s="4045"/>
      <c r="AK136" s="4074"/>
      <c r="AL136" s="4075"/>
      <c r="AM136" s="4076"/>
      <c r="AN136" s="463"/>
      <c r="AO136" s="1058">
        <f t="shared" si="15"/>
        <v>0</v>
      </c>
      <c r="AP136" s="712">
        <f t="shared" si="16"/>
        <v>0</v>
      </c>
      <c r="AQ136" s="1448"/>
      <c r="AR136" s="1448">
        <f t="shared" si="12"/>
        <v>0</v>
      </c>
      <c r="AS136" s="1448">
        <f t="shared" si="17"/>
        <v>0</v>
      </c>
      <c r="AT136" s="1448">
        <f t="shared" si="13"/>
        <v>0</v>
      </c>
      <c r="AU136" s="1448">
        <f t="shared" si="18"/>
        <v>0</v>
      </c>
      <c r="AV136" s="1493">
        <f t="shared" si="14"/>
        <v>0</v>
      </c>
    </row>
    <row r="137" spans="1:48" s="372" customFormat="1" ht="36" customHeight="1">
      <c r="A137" s="1493"/>
      <c r="B137" s="1489">
        <v>10</v>
      </c>
      <c r="C137" s="4078"/>
      <c r="D137" s="4079"/>
      <c r="E137" s="4079"/>
      <c r="F137" s="4079"/>
      <c r="G137" s="4079"/>
      <c r="H137" s="4080"/>
      <c r="I137" s="4083"/>
      <c r="J137" s="4083"/>
      <c r="K137" s="4083"/>
      <c r="L137" s="4083"/>
      <c r="M137" s="4083"/>
      <c r="N137" s="4083"/>
      <c r="O137" s="4083"/>
      <c r="P137" s="4084"/>
      <c r="Q137" s="4084"/>
      <c r="R137" s="4084"/>
      <c r="S137" s="4084"/>
      <c r="T137" s="4068"/>
      <c r="U137" s="4068"/>
      <c r="V137" s="4068"/>
      <c r="W137" s="4068"/>
      <c r="X137" s="4069"/>
      <c r="Y137" s="4070"/>
      <c r="Z137" s="4071"/>
      <c r="AA137" s="4077"/>
      <c r="AB137" s="4077"/>
      <c r="AC137" s="4077"/>
      <c r="AD137" s="4077"/>
      <c r="AE137" s="4077"/>
      <c r="AF137" s="4046" t="str">
        <f>IF($AC$137="","",IF($AH$137=FALSE,FALSE,IF(YEARFRAC($AC$137,MIN($F$2,$AK$137),1)&gt;3,TRUE,FALSE)))</f>
        <v/>
      </c>
      <c r="AG137" s="4047"/>
      <c r="AH137" s="4043" t="str">
        <f>IF(AND($C$137="",$AK$137=""),"",IF($AK$137="",TRUE,IF(YEARFRAC($AK$137,$F$2,1)&lt;=10,TRUE,FALSE)))</f>
        <v/>
      </c>
      <c r="AI137" s="4044"/>
      <c r="AJ137" s="4045"/>
      <c r="AK137" s="1517"/>
      <c r="AL137" s="1518"/>
      <c r="AM137" s="1519"/>
      <c r="AN137" s="463"/>
      <c r="AO137" s="1058">
        <f t="shared" si="15"/>
        <v>0</v>
      </c>
      <c r="AP137" s="712">
        <f t="shared" si="16"/>
        <v>0</v>
      </c>
      <c r="AQ137" s="1448"/>
      <c r="AR137" s="1448">
        <f t="shared" si="12"/>
        <v>0</v>
      </c>
      <c r="AS137" s="1448">
        <f t="shared" si="17"/>
        <v>0</v>
      </c>
      <c r="AT137" s="1448">
        <f t="shared" si="13"/>
        <v>0</v>
      </c>
      <c r="AU137" s="1448">
        <f t="shared" si="18"/>
        <v>0</v>
      </c>
      <c r="AV137" s="1493">
        <f t="shared" si="14"/>
        <v>0</v>
      </c>
    </row>
    <row r="138" spans="1:48" s="372" customFormat="1" ht="36" customHeight="1">
      <c r="A138" s="1493"/>
      <c r="B138" s="1489">
        <v>11</v>
      </c>
      <c r="C138" s="4078"/>
      <c r="D138" s="4079"/>
      <c r="E138" s="4079"/>
      <c r="F138" s="4079"/>
      <c r="G138" s="4079"/>
      <c r="H138" s="4080"/>
      <c r="I138" s="4083"/>
      <c r="J138" s="4083"/>
      <c r="K138" s="4083"/>
      <c r="L138" s="4083"/>
      <c r="M138" s="4083"/>
      <c r="N138" s="4083"/>
      <c r="O138" s="4083"/>
      <c r="P138" s="4084"/>
      <c r="Q138" s="4084"/>
      <c r="R138" s="4084"/>
      <c r="S138" s="4084"/>
      <c r="T138" s="4068"/>
      <c r="U138" s="4068"/>
      <c r="V138" s="4068"/>
      <c r="W138" s="4068"/>
      <c r="X138" s="4069"/>
      <c r="Y138" s="4070"/>
      <c r="Z138" s="4071"/>
      <c r="AA138" s="4077"/>
      <c r="AB138" s="4077"/>
      <c r="AC138" s="4077"/>
      <c r="AD138" s="4077"/>
      <c r="AE138" s="4077"/>
      <c r="AF138" s="4046" t="str">
        <f>IF($AC$138="","",IF($AH$138=FALSE,FALSE,IF(YEARFRAC($AC$138,MIN($F$2,$AK$138),1)&gt;3,TRUE,FALSE)))</f>
        <v/>
      </c>
      <c r="AG138" s="4047"/>
      <c r="AH138" s="4043" t="str">
        <f>IF(AND($C$138="",$AK$138=""),"",IF($AK$138="",TRUE,IF(YEARFRAC($AK$138,$F$2,1)&lt;=10,TRUE,FALSE)))</f>
        <v/>
      </c>
      <c r="AI138" s="4044"/>
      <c r="AJ138" s="4045"/>
      <c r="AK138" s="4074"/>
      <c r="AL138" s="4075"/>
      <c r="AM138" s="4076"/>
      <c r="AN138" s="463"/>
      <c r="AO138" s="1058">
        <f t="shared" ref="AO138:AO142" si="19">IF(T138="",0,IF(T138&lt;&gt;"N/A",1,0))</f>
        <v>0</v>
      </c>
      <c r="AP138" s="712">
        <f t="shared" ref="AP138:AP142" si="20">IFERROR(--AND(X138,AF138),0)</f>
        <v>0</v>
      </c>
      <c r="AQ138" s="1448"/>
      <c r="AR138" s="1448">
        <f t="shared" ref="AR138:AR142" si="21">--AND(AO138=1,X138,AF138)</f>
        <v>0</v>
      </c>
      <c r="AS138" s="1448">
        <f t="shared" si="17"/>
        <v>0</v>
      </c>
      <c r="AT138" s="1448">
        <f t="shared" si="13"/>
        <v>0</v>
      </c>
      <c r="AU138" s="1448">
        <f t="shared" ref="AU138:AU142" si="22">--AND(AT138=1,AO138=1)</f>
        <v>0</v>
      </c>
      <c r="AV138" s="1493">
        <f t="shared" si="14"/>
        <v>0</v>
      </c>
    </row>
    <row r="139" spans="1:48" s="372" customFormat="1" ht="36" customHeight="1">
      <c r="A139" s="1493"/>
      <c r="B139" s="1489">
        <v>12</v>
      </c>
      <c r="C139" s="4078"/>
      <c r="D139" s="4079"/>
      <c r="E139" s="4079"/>
      <c r="F139" s="4079"/>
      <c r="G139" s="4079"/>
      <c r="H139" s="4080"/>
      <c r="I139" s="4083"/>
      <c r="J139" s="4083"/>
      <c r="K139" s="4083"/>
      <c r="L139" s="4083"/>
      <c r="M139" s="4083"/>
      <c r="N139" s="4083"/>
      <c r="O139" s="4083"/>
      <c r="P139" s="4084"/>
      <c r="Q139" s="4084"/>
      <c r="R139" s="4084"/>
      <c r="S139" s="4084"/>
      <c r="T139" s="4068"/>
      <c r="U139" s="4068"/>
      <c r="V139" s="4068"/>
      <c r="W139" s="4068"/>
      <c r="X139" s="4069"/>
      <c r="Y139" s="4070"/>
      <c r="Z139" s="4071"/>
      <c r="AA139" s="4077"/>
      <c r="AB139" s="4077"/>
      <c r="AC139" s="4077"/>
      <c r="AD139" s="4077"/>
      <c r="AE139" s="4077"/>
      <c r="AF139" s="4046" t="str">
        <f>IF($AC$139="","",IF($AH$139=FALSE,FALSE,IF(YEARFRAC($AC$139,MIN($F$2,$AK$139),1)&gt;3,TRUE,FALSE)))</f>
        <v/>
      </c>
      <c r="AG139" s="4047"/>
      <c r="AH139" s="4043" t="str">
        <f>IF(AND($C$139="",$AK$139=""),"",IF($AK$139="",TRUE,IF(YEARFRAC($AK$139,$F$2,1)&lt;=10,TRUE,FALSE)))</f>
        <v/>
      </c>
      <c r="AI139" s="4044"/>
      <c r="AJ139" s="4045"/>
      <c r="AK139" s="4074"/>
      <c r="AL139" s="4075"/>
      <c r="AM139" s="4076"/>
      <c r="AN139" s="463"/>
      <c r="AO139" s="1058">
        <f t="shared" si="19"/>
        <v>0</v>
      </c>
      <c r="AP139" s="712">
        <f t="shared" si="20"/>
        <v>0</v>
      </c>
      <c r="AQ139" s="1448"/>
      <c r="AR139" s="1448">
        <f t="shared" si="21"/>
        <v>0</v>
      </c>
      <c r="AS139" s="1448">
        <f t="shared" si="17"/>
        <v>0</v>
      </c>
      <c r="AT139" s="1448">
        <f t="shared" si="13"/>
        <v>0</v>
      </c>
      <c r="AU139" s="1448">
        <f t="shared" si="22"/>
        <v>0</v>
      </c>
      <c r="AV139" s="1493">
        <f t="shared" si="14"/>
        <v>0</v>
      </c>
    </row>
    <row r="140" spans="1:48" s="372" customFormat="1" ht="36" customHeight="1">
      <c r="A140" s="1493"/>
      <c r="B140" s="1489">
        <v>13</v>
      </c>
      <c r="C140" s="4078"/>
      <c r="D140" s="4079"/>
      <c r="E140" s="4079"/>
      <c r="F140" s="4079"/>
      <c r="G140" s="4079"/>
      <c r="H140" s="4080"/>
      <c r="I140" s="4083"/>
      <c r="J140" s="4083"/>
      <c r="K140" s="4083"/>
      <c r="L140" s="4083"/>
      <c r="M140" s="4083"/>
      <c r="N140" s="4083"/>
      <c r="O140" s="4083"/>
      <c r="P140" s="4084"/>
      <c r="Q140" s="4084"/>
      <c r="R140" s="4084"/>
      <c r="S140" s="4084"/>
      <c r="T140" s="4068"/>
      <c r="U140" s="4068"/>
      <c r="V140" s="4068"/>
      <c r="W140" s="4068"/>
      <c r="X140" s="4069"/>
      <c r="Y140" s="4070"/>
      <c r="Z140" s="4071"/>
      <c r="AA140" s="4077"/>
      <c r="AB140" s="4077"/>
      <c r="AC140" s="4077"/>
      <c r="AD140" s="4077"/>
      <c r="AE140" s="4077"/>
      <c r="AF140" s="4046" t="str">
        <f>IF($AC$140="","",IF($AH$140=FALSE,FALSE,IF(YEARFRAC($AC$140,MIN($F$2,$AK$140),1)&gt;3,TRUE,FALSE)))</f>
        <v/>
      </c>
      <c r="AG140" s="4047"/>
      <c r="AH140" s="4043" t="str">
        <f>IF(AND($C$140="",$AK$140=""),"",IF($AK$140="",TRUE,IF(YEARFRAC($AK$140,$F$2,1)&lt;=10,TRUE,FALSE)))</f>
        <v/>
      </c>
      <c r="AI140" s="4044"/>
      <c r="AJ140" s="4045"/>
      <c r="AK140" s="4074"/>
      <c r="AL140" s="4075"/>
      <c r="AM140" s="4076"/>
      <c r="AN140" s="463"/>
      <c r="AO140" s="1058">
        <f t="shared" si="19"/>
        <v>0</v>
      </c>
      <c r="AP140" s="712">
        <f t="shared" si="20"/>
        <v>0</v>
      </c>
      <c r="AQ140" s="1448"/>
      <c r="AR140" s="1448">
        <f t="shared" si="21"/>
        <v>0</v>
      </c>
      <c r="AS140" s="1448">
        <f t="shared" si="17"/>
        <v>0</v>
      </c>
      <c r="AT140" s="1448">
        <f t="shared" si="13"/>
        <v>0</v>
      </c>
      <c r="AU140" s="1448">
        <f t="shared" si="22"/>
        <v>0</v>
      </c>
      <c r="AV140" s="1493">
        <f t="shared" si="14"/>
        <v>0</v>
      </c>
    </row>
    <row r="141" spans="1:48" s="372" customFormat="1" ht="36" customHeight="1">
      <c r="A141" s="1493"/>
      <c r="B141" s="1489">
        <v>14</v>
      </c>
      <c r="C141" s="4078"/>
      <c r="D141" s="4079"/>
      <c r="E141" s="4079"/>
      <c r="F141" s="4079"/>
      <c r="G141" s="4079"/>
      <c r="H141" s="4080"/>
      <c r="I141" s="4083"/>
      <c r="J141" s="4083"/>
      <c r="K141" s="4083"/>
      <c r="L141" s="4083"/>
      <c r="M141" s="4083"/>
      <c r="N141" s="4083"/>
      <c r="O141" s="4083"/>
      <c r="P141" s="4084"/>
      <c r="Q141" s="4084"/>
      <c r="R141" s="4084"/>
      <c r="S141" s="4084"/>
      <c r="T141" s="4068"/>
      <c r="U141" s="4068"/>
      <c r="V141" s="4068"/>
      <c r="W141" s="4068"/>
      <c r="X141" s="4069"/>
      <c r="Y141" s="4070"/>
      <c r="Z141" s="4071"/>
      <c r="AA141" s="4077"/>
      <c r="AB141" s="4077"/>
      <c r="AC141" s="4077"/>
      <c r="AD141" s="4077"/>
      <c r="AE141" s="4077"/>
      <c r="AF141" s="4046" t="str">
        <f>IF($AC$141="","",IF($AH$141=FALSE,FALSE,IF(YEARFRAC($AC$141,MIN($F$2,$AK$141),1)&gt;3,TRUE,FALSE)))</f>
        <v/>
      </c>
      <c r="AG141" s="4047"/>
      <c r="AH141" s="4043" t="str">
        <f>IF(AND($C$141="",$AK$141=""),"",IF($AK$141="",TRUE,IF(YEARFRAC($AK$141,$F$2,1)&lt;=10,TRUE,FALSE)))</f>
        <v/>
      </c>
      <c r="AI141" s="4044"/>
      <c r="AJ141" s="4045"/>
      <c r="AK141" s="4074"/>
      <c r="AL141" s="4075"/>
      <c r="AM141" s="4076"/>
      <c r="AN141" s="463"/>
      <c r="AO141" s="1058">
        <f t="shared" si="19"/>
        <v>0</v>
      </c>
      <c r="AP141" s="712">
        <f t="shared" si="20"/>
        <v>0</v>
      </c>
      <c r="AQ141" s="1448"/>
      <c r="AR141" s="1448">
        <f t="shared" si="21"/>
        <v>0</v>
      </c>
      <c r="AS141" s="1448">
        <f t="shared" si="17"/>
        <v>0</v>
      </c>
      <c r="AT141" s="1448">
        <f t="shared" si="13"/>
        <v>0</v>
      </c>
      <c r="AU141" s="1448">
        <f t="shared" si="22"/>
        <v>0</v>
      </c>
      <c r="AV141" s="1493">
        <f t="shared" si="14"/>
        <v>0</v>
      </c>
    </row>
    <row r="142" spans="1:48" s="372" customFormat="1" ht="36" customHeight="1">
      <c r="A142" s="1493"/>
      <c r="B142" s="1489">
        <v>15</v>
      </c>
      <c r="C142" s="4223"/>
      <c r="D142" s="4224"/>
      <c r="E142" s="4224"/>
      <c r="F142" s="4224"/>
      <c r="G142" s="4224"/>
      <c r="H142" s="4225"/>
      <c r="I142" s="4083"/>
      <c r="J142" s="4083"/>
      <c r="K142" s="4083"/>
      <c r="L142" s="4083"/>
      <c r="M142" s="4083"/>
      <c r="N142" s="4083"/>
      <c r="O142" s="4083"/>
      <c r="P142" s="4084"/>
      <c r="Q142" s="4084"/>
      <c r="R142" s="4084"/>
      <c r="S142" s="4084"/>
      <c r="T142" s="4068"/>
      <c r="U142" s="4068"/>
      <c r="V142" s="4068"/>
      <c r="W142" s="4068"/>
      <c r="X142" s="4069"/>
      <c r="Y142" s="4070"/>
      <c r="Z142" s="4071"/>
      <c r="AA142" s="4077"/>
      <c r="AB142" s="4077"/>
      <c r="AC142" s="4077"/>
      <c r="AD142" s="4077"/>
      <c r="AE142" s="4077"/>
      <c r="AF142" s="4046" t="str">
        <f>IF($AC$142="","",IF($AH$142=FALSE,FALSE,IF(YEARFRAC($AC$142,MIN($F$2,$AK$142),1)&gt;3,TRUE,FALSE)))</f>
        <v/>
      </c>
      <c r="AG142" s="4047"/>
      <c r="AH142" s="4043" t="str">
        <f>IF(AND($C$142="",$AK$142=""),"",IF($AK$142="",TRUE,IF(YEARFRAC($AK$142,$F$2,1)&lt;=10,TRUE,FALSE)))</f>
        <v/>
      </c>
      <c r="AI142" s="4044"/>
      <c r="AJ142" s="4045"/>
      <c r="AK142" s="4074"/>
      <c r="AL142" s="4075"/>
      <c r="AM142" s="4076"/>
      <c r="AN142" s="463"/>
      <c r="AO142" s="1058">
        <f t="shared" si="19"/>
        <v>0</v>
      </c>
      <c r="AP142" s="712">
        <f t="shared" si="20"/>
        <v>0</v>
      </c>
      <c r="AQ142" s="1448"/>
      <c r="AR142" s="1448">
        <f t="shared" si="21"/>
        <v>0</v>
      </c>
      <c r="AS142" s="1448">
        <f t="shared" si="17"/>
        <v>0</v>
      </c>
      <c r="AT142" s="1448">
        <f t="shared" si="13"/>
        <v>0</v>
      </c>
      <c r="AU142" s="1448">
        <f t="shared" si="22"/>
        <v>0</v>
      </c>
      <c r="AV142" s="1493">
        <f t="shared" si="14"/>
        <v>0</v>
      </c>
    </row>
    <row r="143" spans="1:48" ht="66" customHeight="1">
      <c r="A143" s="1079"/>
      <c r="B143" s="1460"/>
      <c r="C143" s="1190" t="s">
        <v>1404</v>
      </c>
      <c r="D143" s="4181" t="s">
        <v>1670</v>
      </c>
      <c r="E143" s="4181"/>
      <c r="F143" s="4181"/>
      <c r="G143" s="4181"/>
      <c r="H143" s="4181"/>
      <c r="I143" s="4181"/>
      <c r="J143" s="4181"/>
      <c r="K143" s="4181"/>
      <c r="L143" s="4181"/>
      <c r="M143" s="4181"/>
      <c r="N143" s="4181"/>
      <c r="O143" s="4181"/>
      <c r="P143" s="4181"/>
      <c r="Q143" s="4181"/>
      <c r="R143" s="4181"/>
      <c r="S143" s="4181"/>
      <c r="T143" s="4181"/>
      <c r="U143" s="4181"/>
      <c r="V143" s="4181"/>
      <c r="W143" s="4181"/>
      <c r="X143" s="4181"/>
      <c r="Y143" s="4181"/>
      <c r="Z143" s="4181"/>
      <c r="AA143" s="4181"/>
      <c r="AB143" s="4181"/>
      <c r="AC143" s="4181"/>
      <c r="AD143" s="4181"/>
      <c r="AE143" s="4181"/>
      <c r="AF143" s="4181"/>
      <c r="AG143" s="4181"/>
      <c r="AH143" s="4181"/>
      <c r="AI143" s="4181"/>
      <c r="AJ143" s="4181"/>
      <c r="AK143" s="4181"/>
      <c r="AL143" s="4181"/>
      <c r="AM143" s="4182"/>
      <c r="AN143" s="368"/>
      <c r="AO143" s="1456"/>
      <c r="AQ143" s="1448"/>
      <c r="AR143" s="1448"/>
      <c r="AS143" s="1448"/>
      <c r="AT143" s="1058"/>
      <c r="AU143" s="1058"/>
      <c r="AV143" s="1058"/>
    </row>
    <row r="144" spans="1:48" ht="36" customHeight="1">
      <c r="A144" s="655"/>
      <c r="B144" s="4202" t="s">
        <v>1671</v>
      </c>
      <c r="C144" s="4202"/>
      <c r="D144" s="4202"/>
      <c r="E144" s="4202"/>
      <c r="F144" s="4202"/>
      <c r="G144" s="4202"/>
      <c r="H144" s="4202"/>
      <c r="I144" s="4202"/>
      <c r="J144" s="4202"/>
      <c r="K144" s="4202"/>
      <c r="L144" s="4202"/>
      <c r="M144" s="4202"/>
      <c r="N144" s="4202"/>
      <c r="O144" s="4202"/>
      <c r="P144" s="4202"/>
      <c r="Q144" s="4202"/>
      <c r="R144" s="4202"/>
      <c r="S144" s="4202"/>
      <c r="T144" s="4202"/>
      <c r="U144" s="4202"/>
      <c r="V144" s="4202"/>
      <c r="W144" s="4202"/>
      <c r="X144" s="4202"/>
      <c r="Y144" s="4202"/>
      <c r="Z144" s="4202"/>
      <c r="AA144" s="4202"/>
      <c r="AB144" s="4202"/>
      <c r="AC144" s="4202"/>
      <c r="AD144" s="4202"/>
      <c r="AE144" s="4202"/>
      <c r="AF144" s="4202"/>
      <c r="AG144" s="4202"/>
      <c r="AH144" s="4202"/>
      <c r="AI144" s="4202"/>
      <c r="AJ144" s="4202"/>
      <c r="AK144" s="4202"/>
      <c r="AL144" s="4234">
        <f>MAX(SUM($AL$145:$AM$150),-50)</f>
        <v>0</v>
      </c>
      <c r="AM144" s="4024"/>
      <c r="AN144" s="452"/>
      <c r="AO144" s="1058" t="s">
        <v>1672</v>
      </c>
      <c r="AQ144" s="1448"/>
      <c r="AR144" s="1448"/>
      <c r="AS144" s="1448"/>
      <c r="AT144" s="1058"/>
      <c r="AU144" s="1058"/>
      <c r="AV144" s="1058"/>
    </row>
    <row r="145" spans="1:80" ht="36" customHeight="1">
      <c r="A145" s="655"/>
      <c r="B145" s="4125" t="s">
        <v>1673</v>
      </c>
      <c r="C145" s="4126"/>
      <c r="D145" s="4126"/>
      <c r="E145" s="4126"/>
      <c r="F145" s="4126"/>
      <c r="G145" s="4126"/>
      <c r="H145" s="4126"/>
      <c r="I145" s="4126"/>
      <c r="J145" s="4126"/>
      <c r="K145" s="4126"/>
      <c r="L145" s="4126"/>
      <c r="M145" s="4126"/>
      <c r="N145" s="4126"/>
      <c r="O145" s="4126"/>
      <c r="P145" s="4126"/>
      <c r="Q145" s="4126"/>
      <c r="R145" s="4126"/>
      <c r="S145" s="4126"/>
      <c r="T145" s="4126"/>
      <c r="U145" s="4126"/>
      <c r="V145" s="4126"/>
      <c r="W145" s="4126"/>
      <c r="X145" s="4126"/>
      <c r="Y145" s="4126"/>
      <c r="Z145" s="4126"/>
      <c r="AA145" s="4126"/>
      <c r="AB145" s="4126"/>
      <c r="AC145" s="4126"/>
      <c r="AD145" s="4126"/>
      <c r="AE145" s="4126"/>
      <c r="AF145" s="4126"/>
      <c r="AG145" s="4126"/>
      <c r="AH145" s="4082"/>
      <c r="AI145" s="4082"/>
      <c r="AJ145" s="4082"/>
      <c r="AK145" s="4082"/>
      <c r="AL145" s="4081">
        <f>IF($AH$145=$AO$145,-5,IF($AH$145=$AO$146,-10,0))</f>
        <v>0</v>
      </c>
      <c r="AM145" s="4081"/>
      <c r="AN145" s="452"/>
      <c r="AO145" s="1058" t="s">
        <v>1674</v>
      </c>
      <c r="AQ145" s="1448"/>
      <c r="AR145" s="1448"/>
      <c r="AS145" s="1448"/>
      <c r="AT145" s="1058"/>
      <c r="AU145" s="1058"/>
      <c r="AV145" s="1058"/>
    </row>
    <row r="146" spans="1:80" ht="36" customHeight="1">
      <c r="A146" s="655"/>
      <c r="B146" s="4125" t="s">
        <v>1675</v>
      </c>
      <c r="C146" s="4126"/>
      <c r="D146" s="4126"/>
      <c r="E146" s="4126"/>
      <c r="F146" s="4126"/>
      <c r="G146" s="4126"/>
      <c r="H146" s="4126"/>
      <c r="I146" s="4126"/>
      <c r="J146" s="4126"/>
      <c r="K146" s="4126"/>
      <c r="L146" s="4126"/>
      <c r="M146" s="4126"/>
      <c r="N146" s="4126"/>
      <c r="O146" s="4126"/>
      <c r="P146" s="4126"/>
      <c r="Q146" s="4126"/>
      <c r="R146" s="4126"/>
      <c r="S146" s="4126"/>
      <c r="T146" s="4126"/>
      <c r="U146" s="4126"/>
      <c r="V146" s="4126"/>
      <c r="W146" s="4126"/>
      <c r="X146" s="4126"/>
      <c r="Y146" s="4126"/>
      <c r="Z146" s="4126"/>
      <c r="AA146" s="4126"/>
      <c r="AB146" s="4126"/>
      <c r="AC146" s="4126"/>
      <c r="AD146" s="4126"/>
      <c r="AE146" s="4126"/>
      <c r="AF146" s="4126"/>
      <c r="AG146" s="4126"/>
      <c r="AH146" s="4082"/>
      <c r="AI146" s="4082"/>
      <c r="AJ146" s="4082"/>
      <c r="AK146" s="4082"/>
      <c r="AL146" s="4081">
        <f>IF($AH$146=$AO$145,-5,IF($AH$146=$AO$146,-10,0))</f>
        <v>0</v>
      </c>
      <c r="AM146" s="4081"/>
      <c r="AN146" s="452"/>
      <c r="AO146" s="1058" t="s">
        <v>1676</v>
      </c>
      <c r="AQ146" s="1448"/>
      <c r="AR146" s="1448"/>
      <c r="AS146" s="1448"/>
      <c r="AT146" s="1058"/>
      <c r="AU146" s="1058"/>
      <c r="AV146" s="1058"/>
      <c r="AW146" s="1058"/>
      <c r="AX146" s="1058"/>
      <c r="AY146" s="1058"/>
      <c r="AZ146" s="1058"/>
      <c r="BA146" s="1058"/>
      <c r="BB146" s="1058"/>
      <c r="BC146" s="1058"/>
      <c r="BD146" s="1058"/>
      <c r="BE146" s="1058"/>
      <c r="BF146" s="1058"/>
      <c r="BG146" s="1058"/>
      <c r="BH146" s="1058"/>
      <c r="BI146" s="1058"/>
      <c r="BJ146" s="1058"/>
      <c r="BK146" s="1058"/>
      <c r="BL146" s="1058"/>
      <c r="BM146" s="1058"/>
      <c r="BN146" s="1058"/>
      <c r="BO146" s="1058"/>
      <c r="BP146" s="1058"/>
      <c r="BQ146" s="1058"/>
      <c r="BR146" s="1058"/>
      <c r="BS146" s="1058"/>
      <c r="BT146" s="1058"/>
      <c r="BU146" s="1058"/>
      <c r="BV146" s="1058"/>
      <c r="BW146" s="1058"/>
      <c r="BX146" s="1058"/>
      <c r="BY146" s="1058"/>
      <c r="BZ146" s="1058"/>
      <c r="CA146" s="1058"/>
      <c r="CB146" s="1058"/>
    </row>
    <row r="147" spans="1:80" ht="36" customHeight="1">
      <c r="A147" s="655"/>
      <c r="B147" s="4125" t="s">
        <v>1677</v>
      </c>
      <c r="C147" s="4126"/>
      <c r="D147" s="4126"/>
      <c r="E147" s="4126"/>
      <c r="F147" s="4126"/>
      <c r="G147" s="4126"/>
      <c r="H147" s="4126"/>
      <c r="I147" s="4126"/>
      <c r="J147" s="4126"/>
      <c r="K147" s="4126"/>
      <c r="L147" s="4126"/>
      <c r="M147" s="4126"/>
      <c r="N147" s="4126"/>
      <c r="O147" s="4126"/>
      <c r="P147" s="4126"/>
      <c r="Q147" s="4126"/>
      <c r="R147" s="4126"/>
      <c r="S147" s="4126"/>
      <c r="T147" s="4126"/>
      <c r="U147" s="4126"/>
      <c r="V147" s="4126"/>
      <c r="W147" s="4126"/>
      <c r="X147" s="4126"/>
      <c r="Y147" s="4126"/>
      <c r="Z147" s="4126"/>
      <c r="AA147" s="4126"/>
      <c r="AB147" s="4126"/>
      <c r="AC147" s="4126"/>
      <c r="AD147" s="4126"/>
      <c r="AE147" s="4126"/>
      <c r="AF147" s="4126"/>
      <c r="AG147" s="4126"/>
      <c r="AH147" s="4082"/>
      <c r="AI147" s="4082"/>
      <c r="AJ147" s="4082"/>
      <c r="AK147" s="4082"/>
      <c r="AL147" s="4081">
        <f>IF($AH$147=$AO$145,-5,IF($AH$147=$AO$146,-10,0))</f>
        <v>0</v>
      </c>
      <c r="AM147" s="4081"/>
      <c r="AN147" s="452"/>
      <c r="AO147" s="1058" t="s">
        <v>1678</v>
      </c>
      <c r="AQ147" s="1448"/>
      <c r="AR147" s="1448"/>
      <c r="AS147" s="1448"/>
      <c r="AT147" s="1058"/>
      <c r="AU147" s="1058"/>
      <c r="AV147" s="1058"/>
      <c r="AW147" s="1058"/>
      <c r="AX147" s="1058"/>
      <c r="AY147" s="1058"/>
      <c r="AZ147" s="1058"/>
      <c r="BA147" s="1058"/>
      <c r="BB147" s="1058"/>
      <c r="BC147" s="1058"/>
      <c r="BD147" s="1058"/>
      <c r="BE147" s="1058"/>
      <c r="BF147" s="1058"/>
      <c r="BG147" s="1058"/>
      <c r="BH147" s="1058"/>
      <c r="BI147" s="1058"/>
      <c r="BJ147" s="1058"/>
      <c r="BK147" s="1058"/>
      <c r="BL147" s="1058"/>
      <c r="BM147" s="1058"/>
      <c r="BN147" s="1058"/>
      <c r="BO147" s="1058"/>
      <c r="BP147" s="1058"/>
      <c r="BQ147" s="1058"/>
      <c r="BR147" s="1058"/>
      <c r="BS147" s="1058"/>
      <c r="BT147" s="1058"/>
      <c r="BU147" s="1058"/>
      <c r="BV147" s="1058"/>
      <c r="BW147" s="1058"/>
      <c r="BX147" s="1058"/>
      <c r="BY147" s="1058"/>
      <c r="BZ147" s="1058"/>
      <c r="CA147" s="1058"/>
      <c r="CB147" s="1058"/>
    </row>
    <row r="148" spans="1:80" ht="36" customHeight="1">
      <c r="A148" s="655"/>
      <c r="B148" s="4125" t="s">
        <v>1679</v>
      </c>
      <c r="C148" s="4126"/>
      <c r="D148" s="4126"/>
      <c r="E148" s="4126"/>
      <c r="F148" s="4126"/>
      <c r="G148" s="4126"/>
      <c r="H148" s="4126"/>
      <c r="I148" s="4126"/>
      <c r="J148" s="4126"/>
      <c r="K148" s="4126"/>
      <c r="L148" s="4126"/>
      <c r="M148" s="4126"/>
      <c r="N148" s="4126"/>
      <c r="O148" s="4126"/>
      <c r="P148" s="4126"/>
      <c r="Q148" s="4126"/>
      <c r="R148" s="4126"/>
      <c r="S148" s="4126"/>
      <c r="T148" s="4126"/>
      <c r="U148" s="4126"/>
      <c r="V148" s="4126"/>
      <c r="W148" s="4126"/>
      <c r="X148" s="4126"/>
      <c r="Y148" s="4126"/>
      <c r="Z148" s="4126"/>
      <c r="AA148" s="4126"/>
      <c r="AB148" s="4126"/>
      <c r="AC148" s="4126"/>
      <c r="AD148" s="4126"/>
      <c r="AE148" s="4126"/>
      <c r="AF148" s="4126"/>
      <c r="AG148" s="4126"/>
      <c r="AH148" s="4082"/>
      <c r="AI148" s="4082"/>
      <c r="AJ148" s="4082"/>
      <c r="AK148" s="4082"/>
      <c r="AL148" s="4081">
        <f>IF($AH$148=$AO$145,-5,IF($AH$148=$AO$146,-10,0))</f>
        <v>0</v>
      </c>
      <c r="AM148" s="4081"/>
      <c r="AN148" s="452"/>
      <c r="AO148" s="1058" t="s">
        <v>1680</v>
      </c>
      <c r="AQ148" s="1448"/>
      <c r="AR148" s="1448"/>
      <c r="AS148" s="1448"/>
      <c r="AT148" s="1058"/>
      <c r="AU148" s="1058"/>
      <c r="AV148" s="1058"/>
      <c r="AW148" s="1058"/>
      <c r="AX148" s="1058"/>
      <c r="AY148" s="1058"/>
      <c r="AZ148" s="1058"/>
      <c r="BA148" s="1058"/>
      <c r="BB148" s="1058"/>
      <c r="BC148" s="1058"/>
      <c r="BD148" s="1058"/>
      <c r="BE148" s="1058"/>
      <c r="BF148" s="1058"/>
      <c r="BG148" s="1058"/>
      <c r="BH148" s="1058"/>
      <c r="BI148" s="1058"/>
      <c r="BJ148" s="1058"/>
      <c r="BK148" s="1058"/>
      <c r="BL148" s="1058"/>
      <c r="BM148" s="1058"/>
      <c r="BN148" s="1058"/>
      <c r="BO148" s="1058"/>
      <c r="BP148" s="1058"/>
      <c r="BQ148" s="1058"/>
      <c r="BR148" s="1058"/>
      <c r="BS148" s="1058"/>
      <c r="BT148" s="1058"/>
      <c r="BU148" s="1058"/>
      <c r="BV148" s="1058"/>
      <c r="BW148" s="1058"/>
      <c r="BX148" s="1058"/>
      <c r="BY148" s="1058"/>
      <c r="BZ148" s="1058"/>
      <c r="CA148" s="1058"/>
      <c r="CB148" s="1058"/>
    </row>
    <row r="149" spans="1:80" ht="36" customHeight="1">
      <c r="A149" s="655"/>
      <c r="B149" s="4125" t="s">
        <v>1681</v>
      </c>
      <c r="C149" s="4126"/>
      <c r="D149" s="4126"/>
      <c r="E149" s="4126"/>
      <c r="F149" s="4126"/>
      <c r="G149" s="4126"/>
      <c r="H149" s="4126"/>
      <c r="I149" s="4126"/>
      <c r="J149" s="4126"/>
      <c r="K149" s="4126"/>
      <c r="L149" s="4126"/>
      <c r="M149" s="4126"/>
      <c r="N149" s="4126"/>
      <c r="O149" s="4126"/>
      <c r="P149" s="4126"/>
      <c r="Q149" s="4126"/>
      <c r="R149" s="4126"/>
      <c r="S149" s="4126"/>
      <c r="T149" s="4126"/>
      <c r="U149" s="4126"/>
      <c r="V149" s="4126"/>
      <c r="W149" s="4126"/>
      <c r="X149" s="4126"/>
      <c r="Y149" s="4126"/>
      <c r="Z149" s="4126"/>
      <c r="AA149" s="4126"/>
      <c r="AB149" s="4126"/>
      <c r="AC149" s="4126"/>
      <c r="AD149" s="4126"/>
      <c r="AE149" s="4126"/>
      <c r="AF149" s="4126"/>
      <c r="AG149" s="4126"/>
      <c r="AH149" s="4082"/>
      <c r="AI149" s="4082"/>
      <c r="AJ149" s="4082"/>
      <c r="AK149" s="4082"/>
      <c r="AL149" s="4081">
        <f>IF($AH$149=$AO$145,-5,IF($AH$149=$AO$146,-10,0))</f>
        <v>0</v>
      </c>
      <c r="AM149" s="4081"/>
      <c r="AN149" s="452"/>
      <c r="AO149" s="1058"/>
      <c r="AQ149" s="1448"/>
      <c r="AR149" s="1448"/>
      <c r="AS149" s="1448"/>
      <c r="AT149" s="1058"/>
      <c r="AU149" s="1058"/>
      <c r="AV149" s="1058"/>
      <c r="AW149" s="1058"/>
      <c r="AX149" s="1058"/>
      <c r="AY149" s="1058"/>
      <c r="AZ149" s="1058"/>
      <c r="BA149" s="1058"/>
      <c r="BB149" s="1058"/>
      <c r="BC149" s="1058"/>
      <c r="BD149" s="1058"/>
      <c r="BE149" s="1058"/>
      <c r="BF149" s="1058"/>
      <c r="BG149" s="1058"/>
      <c r="BH149" s="1058"/>
      <c r="BI149" s="1058"/>
      <c r="BJ149" s="1058"/>
      <c r="BK149" s="1058"/>
      <c r="BL149" s="1058"/>
      <c r="BM149" s="1058"/>
      <c r="BN149" s="1058"/>
      <c r="BO149" s="1058"/>
      <c r="BP149" s="1058"/>
      <c r="BQ149" s="1058"/>
      <c r="BR149" s="1058"/>
      <c r="BS149" s="1058"/>
      <c r="BT149" s="1058"/>
      <c r="BU149" s="1058"/>
      <c r="BV149" s="1058"/>
      <c r="BW149" s="1058"/>
      <c r="BX149" s="1058"/>
      <c r="BY149" s="1058"/>
      <c r="BZ149" s="1058"/>
      <c r="CA149" s="1058"/>
      <c r="CB149" s="1058"/>
    </row>
    <row r="150" spans="1:80" ht="36" customHeight="1">
      <c r="A150" s="655"/>
      <c r="B150" s="4125" t="s">
        <v>1682</v>
      </c>
      <c r="C150" s="4126"/>
      <c r="D150" s="4126"/>
      <c r="E150" s="4126"/>
      <c r="F150" s="4126"/>
      <c r="G150" s="4126"/>
      <c r="H150" s="4126"/>
      <c r="I150" s="4126"/>
      <c r="J150" s="4126"/>
      <c r="K150" s="4126"/>
      <c r="L150" s="4126"/>
      <c r="M150" s="4126"/>
      <c r="N150" s="4126"/>
      <c r="O150" s="4126"/>
      <c r="P150" s="4126"/>
      <c r="Q150" s="4126"/>
      <c r="R150" s="4126"/>
      <c r="S150" s="4126"/>
      <c r="T150" s="4126"/>
      <c r="U150" s="4126"/>
      <c r="V150" s="4126"/>
      <c r="W150" s="4126"/>
      <c r="X150" s="4126"/>
      <c r="Y150" s="4126"/>
      <c r="Z150" s="4126"/>
      <c r="AA150" s="4126"/>
      <c r="AB150" s="4126"/>
      <c r="AC150" s="4126"/>
      <c r="AD150" s="4126"/>
      <c r="AE150" s="4126"/>
      <c r="AF150" s="4126"/>
      <c r="AG150" s="4126"/>
      <c r="AH150" s="4082"/>
      <c r="AI150" s="4082"/>
      <c r="AJ150" s="4082"/>
      <c r="AK150" s="4082"/>
      <c r="AL150" s="4081">
        <f>IF($AH$150=$AO$145,-5,IF($AH$150=$AO$146,-10,0))</f>
        <v>0</v>
      </c>
      <c r="AM150" s="4081"/>
      <c r="AN150" s="452"/>
      <c r="AO150" s="1058"/>
      <c r="AQ150" s="1448"/>
      <c r="AR150" s="1448"/>
      <c r="AS150" s="1448"/>
      <c r="AT150" s="1058"/>
      <c r="AU150" s="1058"/>
      <c r="AV150" s="1058"/>
      <c r="AW150" s="1058"/>
      <c r="AX150" s="1058"/>
      <c r="AY150" s="1058"/>
      <c r="AZ150" s="1058"/>
      <c r="BA150" s="1058"/>
      <c r="BB150" s="1058"/>
      <c r="BC150" s="1058"/>
      <c r="BD150" s="1058"/>
      <c r="BE150" s="1058"/>
      <c r="BF150" s="1058"/>
      <c r="BG150" s="1058"/>
      <c r="BH150" s="1058"/>
      <c r="BI150" s="1058"/>
      <c r="BJ150" s="1058"/>
      <c r="BK150" s="1058"/>
      <c r="BL150" s="1058"/>
      <c r="BM150" s="1058"/>
      <c r="BN150" s="1058"/>
      <c r="BO150" s="1058"/>
      <c r="BP150" s="1058"/>
      <c r="BQ150" s="1058"/>
      <c r="BR150" s="1058"/>
      <c r="BS150" s="1058"/>
      <c r="BT150" s="1058"/>
      <c r="BU150" s="1058"/>
      <c r="BV150" s="1058"/>
      <c r="BW150" s="1058"/>
      <c r="BX150" s="1058"/>
      <c r="BY150" s="1058"/>
      <c r="BZ150" s="1058"/>
      <c r="CA150" s="1058"/>
      <c r="CB150" s="1058"/>
    </row>
    <row r="151" spans="1:80" s="365" customFormat="1" ht="18" customHeight="1">
      <c r="AN151" s="445"/>
      <c r="AO151" s="1493"/>
      <c r="AP151" s="1058"/>
      <c r="AQ151" s="1448"/>
      <c r="AR151" s="279"/>
      <c r="AS151" s="279"/>
      <c r="AT151" s="107"/>
      <c r="AU151" s="740"/>
      <c r="AV151" s="1530"/>
    </row>
    <row r="152" spans="1:80" s="365" customFormat="1" ht="18" customHeight="1">
      <c r="A152" s="367"/>
      <c r="B152" s="1092" t="s">
        <v>1683</v>
      </c>
      <c r="C152" s="4183" t="s">
        <v>1684</v>
      </c>
      <c r="D152" s="4183"/>
      <c r="E152" s="4183"/>
      <c r="F152" s="4183"/>
      <c r="G152" s="4183"/>
      <c r="H152" s="4183"/>
      <c r="I152" s="4183"/>
      <c r="J152" s="4183"/>
      <c r="K152" s="4183"/>
      <c r="L152" s="4183"/>
      <c r="M152" s="4183"/>
      <c r="N152" s="4183"/>
      <c r="O152" s="4183"/>
      <c r="P152" s="4183"/>
      <c r="Q152" s="4183"/>
      <c r="R152" s="4183"/>
      <c r="S152" s="4183"/>
      <c r="T152" s="4183"/>
      <c r="U152" s="4183"/>
      <c r="V152" s="4183"/>
      <c r="W152" s="4183"/>
      <c r="X152" s="4183"/>
      <c r="Y152" s="4183"/>
      <c r="Z152" s="4183"/>
      <c r="AA152" s="4183"/>
      <c r="AB152" s="4183"/>
      <c r="AC152" s="4183"/>
      <c r="AD152" s="4183"/>
      <c r="AE152" s="4183"/>
      <c r="AF152" s="4183"/>
      <c r="AG152" s="4183"/>
      <c r="AH152" s="4183"/>
      <c r="AI152" s="4183"/>
      <c r="AJ152" s="4183"/>
      <c r="AK152" s="4183"/>
      <c r="AL152" s="3982">
        <f>MIN(SUM($AL$154+$AL$182)+MAX(SUM($AL$165),$AL$176,$AL$179)+$AL$159+AL192+AL194,20)</f>
        <v>0</v>
      </c>
      <c r="AM152" s="3982"/>
      <c r="AN152" s="452"/>
      <c r="AO152" s="107"/>
      <c r="AP152" s="107"/>
      <c r="AQ152" s="279"/>
      <c r="AR152" s="367"/>
      <c r="AS152" s="367"/>
      <c r="AT152" s="107"/>
      <c r="AU152" s="741"/>
      <c r="AV152" s="1530"/>
    </row>
    <row r="153" spans="1:80" s="367" customFormat="1" ht="36" customHeight="1">
      <c r="A153" s="365"/>
      <c r="B153" s="1021"/>
      <c r="C153" s="4200" t="s">
        <v>1685</v>
      </c>
      <c r="D153" s="4200"/>
      <c r="E153" s="4200"/>
      <c r="F153" s="4200"/>
      <c r="G153" s="4200"/>
      <c r="H153" s="4200"/>
      <c r="I153" s="4200"/>
      <c r="J153" s="4200"/>
      <c r="K153" s="4200"/>
      <c r="L153" s="4200"/>
      <c r="M153" s="4200"/>
      <c r="N153" s="4200"/>
      <c r="O153" s="4200"/>
      <c r="P153" s="4200"/>
      <c r="Q153" s="4200"/>
      <c r="R153" s="4200"/>
      <c r="S153" s="4200"/>
      <c r="T153" s="4200"/>
      <c r="U153" s="4200"/>
      <c r="V153" s="4200"/>
      <c r="W153" s="4200"/>
      <c r="X153" s="4200"/>
      <c r="Y153" s="4200"/>
      <c r="Z153" s="4200"/>
      <c r="AA153" s="4200"/>
      <c r="AB153" s="4200"/>
      <c r="AC153" s="4200"/>
      <c r="AD153" s="4200"/>
      <c r="AE153" s="4200"/>
      <c r="AF153" s="4200"/>
      <c r="AG153" s="4200"/>
      <c r="AH153" s="4200"/>
      <c r="AI153" s="4200"/>
      <c r="AJ153" s="4200"/>
      <c r="AK153" s="4200"/>
      <c r="AL153" s="4200"/>
      <c r="AM153" s="4201"/>
      <c r="AN153" s="452"/>
      <c r="AO153" s="107"/>
      <c r="AP153" s="1058"/>
      <c r="AR153" s="49"/>
      <c r="AS153" s="49"/>
      <c r="AU153" s="742"/>
      <c r="AV153" s="1530"/>
      <c r="AW153" s="365"/>
      <c r="AX153" s="365"/>
      <c r="AY153" s="365"/>
    </row>
    <row r="154" spans="1:80" s="365" customFormat="1" ht="54" customHeight="1">
      <c r="B154" s="1085"/>
      <c r="C154" s="1080" t="s">
        <v>1402</v>
      </c>
      <c r="D154" s="3616" t="s">
        <v>1686</v>
      </c>
      <c r="E154" s="3616"/>
      <c r="F154" s="3616"/>
      <c r="G154" s="3616"/>
      <c r="H154" s="3616"/>
      <c r="I154" s="3616"/>
      <c r="J154" s="3616"/>
      <c r="K154" s="3616"/>
      <c r="L154" s="3616"/>
      <c r="M154" s="3616"/>
      <c r="N154" s="3616"/>
      <c r="O154" s="3616"/>
      <c r="P154" s="3616"/>
      <c r="Q154" s="3616"/>
      <c r="R154" s="3616"/>
      <c r="S154" s="3616"/>
      <c r="T154" s="3616"/>
      <c r="U154" s="3616"/>
      <c r="V154" s="3616"/>
      <c r="W154" s="3616"/>
      <c r="X154" s="3616"/>
      <c r="Y154" s="3616"/>
      <c r="Z154" s="3616"/>
      <c r="AA154" s="3616"/>
      <c r="AB154" s="3616"/>
      <c r="AC154" s="3616"/>
      <c r="AD154" s="3616"/>
      <c r="AE154" s="3616"/>
      <c r="AF154" s="3616"/>
      <c r="AG154" s="3616"/>
      <c r="AH154" s="3616"/>
      <c r="AI154" s="3616"/>
      <c r="AJ154" s="3616"/>
      <c r="AK154" s="3616"/>
      <c r="AL154" s="4024">
        <f>IF(OR(vmCF="Yes",vmCF="N/A"),4,0)</f>
        <v>0</v>
      </c>
      <c r="AM154" s="4024"/>
      <c r="AN154" s="1318"/>
      <c r="AO154" s="373"/>
      <c r="AP154" s="4153" t="s">
        <v>1687</v>
      </c>
      <c r="AQ154" s="4153"/>
      <c r="AR154" s="4153"/>
      <c r="AS154" s="4153"/>
      <c r="AT154" s="4153"/>
      <c r="AU154" s="4153"/>
      <c r="AV154" s="4153"/>
      <c r="AW154" s="4153"/>
      <c r="AX154" s="4153"/>
      <c r="AY154" s="4153"/>
      <c r="AZ154" s="4153"/>
      <c r="BA154" s="4153"/>
      <c r="BB154" s="4153"/>
      <c r="BC154" s="4153"/>
      <c r="BD154" s="4153"/>
      <c r="BE154" s="4153"/>
      <c r="BF154" s="4153"/>
      <c r="BG154" s="4153"/>
      <c r="BH154" s="4153"/>
      <c r="BI154" s="4153"/>
      <c r="BJ154" s="4153"/>
      <c r="BK154" s="4153"/>
      <c r="BL154" s="4153"/>
      <c r="BM154" s="4153"/>
      <c r="BN154" s="4153"/>
      <c r="BO154" s="4153"/>
      <c r="BP154" s="4153"/>
      <c r="BQ154" s="4153"/>
      <c r="BR154" s="4159" t="str">
        <f>IF(AND(Scoring!$AL$152&gt;=10,OR('Project Overview'!$B$14="Yes",'Project Overview'!$AL$14="Yes")),"VHHP and/or FWHG meets Project Readiness category","VHHP and/or FHWH do NOT meet Project Readiness category")</f>
        <v>VHHP and/or FHWH do NOT meet Project Readiness category</v>
      </c>
      <c r="BS154" s="4159"/>
      <c r="BT154" s="4159"/>
      <c r="BU154" s="4159"/>
      <c r="BV154" s="4159"/>
      <c r="BW154" s="4159"/>
      <c r="BX154" s="4159"/>
      <c r="BY154" s="4159"/>
      <c r="BZ154" s="4159"/>
      <c r="CA154" s="4159"/>
      <c r="CB154" s="4159"/>
    </row>
    <row r="155" spans="1:80" s="365" customFormat="1" ht="18" customHeight="1">
      <c r="B155" s="1085"/>
      <c r="C155" s="1080"/>
      <c r="D155" s="3616" t="s">
        <v>1688</v>
      </c>
      <c r="E155" s="3616"/>
      <c r="F155" s="3616"/>
      <c r="G155" s="3616"/>
      <c r="H155" s="3616"/>
      <c r="I155" s="3616"/>
      <c r="J155" s="3616"/>
      <c r="K155" s="3616"/>
      <c r="L155" s="3616"/>
      <c r="M155" s="3616"/>
      <c r="N155" s="3616"/>
      <c r="O155" s="3616"/>
      <c r="P155" s="3616"/>
      <c r="Q155" s="3616"/>
      <c r="R155" s="3616"/>
      <c r="S155" s="3616"/>
      <c r="T155" s="3616"/>
      <c r="U155" s="3616"/>
      <c r="V155" s="3616"/>
      <c r="W155" s="3616"/>
      <c r="X155" s="3616"/>
      <c r="Y155" s="3616"/>
      <c r="Z155" s="3616"/>
      <c r="AA155" s="3616"/>
      <c r="AB155" s="3616"/>
      <c r="AC155" s="3616"/>
      <c r="AD155" s="3616"/>
      <c r="AE155" s="3616"/>
      <c r="AF155" s="3616"/>
      <c r="AG155" s="3616"/>
      <c r="AH155" s="3616"/>
      <c r="AI155" s="3616"/>
      <c r="AJ155" s="3616"/>
      <c r="AK155" s="3616"/>
      <c r="AL155" s="3751"/>
      <c r="AM155" s="3751"/>
      <c r="AN155" s="1081"/>
      <c r="AO155" s="373"/>
      <c r="AP155" s="1058"/>
      <c r="AQ155" s="49"/>
      <c r="AR155" s="49"/>
      <c r="AS155" s="49"/>
      <c r="AU155" s="743"/>
      <c r="AV155" s="1530"/>
    </row>
    <row r="156" spans="1:80" s="365" customFormat="1" ht="18" hidden="1" customHeight="1">
      <c r="B156" s="1085"/>
      <c r="C156" s="718"/>
      <c r="D156" s="3984" t="s">
        <v>1689</v>
      </c>
      <c r="E156" s="3984"/>
      <c r="F156" s="3984"/>
      <c r="G156" s="3984"/>
      <c r="H156" s="3984"/>
      <c r="I156" s="3984"/>
      <c r="J156" s="3984"/>
      <c r="K156" s="3984"/>
      <c r="L156" s="3984"/>
      <c r="M156" s="3984"/>
      <c r="N156" s="3984"/>
      <c r="O156" s="3984"/>
      <c r="P156" s="3984"/>
      <c r="Q156" s="3984"/>
      <c r="R156" s="3984"/>
      <c r="S156" s="718"/>
      <c r="T156" s="718"/>
      <c r="U156" s="718"/>
      <c r="V156" s="718"/>
      <c r="W156" s="718"/>
      <c r="X156" s="718"/>
      <c r="Y156" s="718"/>
      <c r="Z156" s="718"/>
      <c r="AA156" s="718"/>
      <c r="AB156" s="718"/>
      <c r="AC156" s="718"/>
      <c r="AD156" s="718"/>
      <c r="AE156" s="718"/>
      <c r="AF156" s="718"/>
      <c r="AG156" s="718"/>
      <c r="AH156" s="718"/>
      <c r="AI156" s="718"/>
      <c r="AJ156" s="718"/>
      <c r="AK156" s="718"/>
      <c r="AL156" s="718"/>
      <c r="AM156" s="1082"/>
      <c r="AP156" s="1136"/>
      <c r="AR156" s="49"/>
      <c r="AS156" s="49"/>
    </row>
    <row r="157" spans="1:80" s="365" customFormat="1" ht="36" hidden="1" customHeight="1">
      <c r="B157" s="1085"/>
      <c r="C157" s="718"/>
      <c r="D157" s="4097"/>
      <c r="E157" s="4097"/>
      <c r="F157" s="4097"/>
      <c r="G157" s="4097"/>
      <c r="H157" s="4097"/>
      <c r="I157" s="4097"/>
      <c r="J157" s="4097"/>
      <c r="K157" s="4097"/>
      <c r="L157" s="4097"/>
      <c r="M157" s="4097"/>
      <c r="N157" s="4097"/>
      <c r="O157" s="4097"/>
      <c r="P157" s="4097"/>
      <c r="Q157" s="4097"/>
      <c r="R157" s="4097"/>
      <c r="S157" s="4097"/>
      <c r="T157" s="4097"/>
      <c r="U157" s="4097"/>
      <c r="V157" s="4097"/>
      <c r="W157" s="4097"/>
      <c r="X157" s="4097"/>
      <c r="Y157" s="4097"/>
      <c r="Z157" s="4097"/>
      <c r="AA157" s="4097"/>
      <c r="AB157" s="4097"/>
      <c r="AC157" s="4097"/>
      <c r="AD157" s="4097"/>
      <c r="AE157" s="4097"/>
      <c r="AF157" s="4097"/>
      <c r="AG157" s="4097"/>
      <c r="AH157" s="4097"/>
      <c r="AI157" s="4097"/>
      <c r="AJ157" s="4097"/>
      <c r="AK157" s="4097"/>
      <c r="AL157" s="4097"/>
      <c r="AM157" s="4097"/>
      <c r="AP157" s="1136"/>
      <c r="AR157" s="49"/>
      <c r="AS157" s="49"/>
    </row>
    <row r="158" spans="1:80" s="365" customFormat="1" ht="36" customHeight="1">
      <c r="B158" s="3676" t="s">
        <v>676</v>
      </c>
      <c r="C158" s="3676"/>
      <c r="D158" s="3676"/>
      <c r="E158" s="2466" t="str">
        <f>'Document Checklist'!$E$140</f>
        <v>56. Const EFC #1, #2, etc.</v>
      </c>
      <c r="F158" s="2466"/>
      <c r="G158" s="2466"/>
      <c r="H158" s="2466"/>
      <c r="I158" s="2466"/>
      <c r="J158" s="2466"/>
      <c r="K158" s="2466"/>
      <c r="L158" s="2466"/>
      <c r="M158" s="2466"/>
      <c r="N158" s="2466" t="str">
        <f>'Document Checklist'!$N$140</f>
        <v>Commitment letter or other evidence documenting construction financing commitments.</v>
      </c>
      <c r="O158" s="2466"/>
      <c r="P158" s="2466"/>
      <c r="Q158" s="2466"/>
      <c r="R158" s="2466"/>
      <c r="S158" s="2466"/>
      <c r="T158" s="2466"/>
      <c r="U158" s="2466"/>
      <c r="V158" s="2466"/>
      <c r="W158" s="2466"/>
      <c r="X158" s="2466"/>
      <c r="Y158" s="2466"/>
      <c r="Z158" s="2466"/>
      <c r="AA158" s="2466"/>
      <c r="AB158" s="2466"/>
      <c r="AC158" s="2466"/>
      <c r="AD158" s="2466"/>
      <c r="AE158" s="2466"/>
      <c r="AF158" s="4123" t="s">
        <v>843</v>
      </c>
      <c r="AG158" s="4124"/>
      <c r="AH158" s="4124"/>
      <c r="AI158" s="4124"/>
      <c r="AJ158" s="4124"/>
      <c r="AK158" s="4124"/>
      <c r="AL158" s="1727"/>
      <c r="AM158" s="1727"/>
      <c r="AP158" s="1136"/>
      <c r="AR158" s="49"/>
      <c r="AS158" s="49"/>
    </row>
    <row r="159" spans="1:80" s="365" customFormat="1" ht="63" customHeight="1">
      <c r="B159" s="1085"/>
      <c r="C159" s="1080" t="s">
        <v>1403</v>
      </c>
      <c r="D159" s="3616" t="s">
        <v>1690</v>
      </c>
      <c r="E159" s="3616"/>
      <c r="F159" s="3616"/>
      <c r="G159" s="3616"/>
      <c r="H159" s="3616"/>
      <c r="I159" s="3616"/>
      <c r="J159" s="3616"/>
      <c r="K159" s="3616"/>
      <c r="L159" s="3616"/>
      <c r="M159" s="3616"/>
      <c r="N159" s="3616"/>
      <c r="O159" s="3616"/>
      <c r="P159" s="3616"/>
      <c r="Q159" s="3616"/>
      <c r="R159" s="3616"/>
      <c r="S159" s="3616"/>
      <c r="T159" s="3616"/>
      <c r="U159" s="3616"/>
      <c r="V159" s="3616"/>
      <c r="W159" s="3616"/>
      <c r="X159" s="3616"/>
      <c r="Y159" s="3616"/>
      <c r="Z159" s="3616"/>
      <c r="AA159" s="3616"/>
      <c r="AB159" s="3616"/>
      <c r="AC159" s="3616"/>
      <c r="AD159" s="3616"/>
      <c r="AE159" s="3616"/>
      <c r="AF159" s="3616"/>
      <c r="AG159" s="3616"/>
      <c r="AH159" s="3616"/>
      <c r="AI159" s="3616"/>
      <c r="AJ159" s="3616"/>
      <c r="AK159" s="3616"/>
      <c r="AL159" s="4024">
        <f>IF(AND(AL161="Yes",AL162="Yes"),4,0)</f>
        <v>0</v>
      </c>
      <c r="AM159" s="4024"/>
    </row>
    <row r="160" spans="1:80" s="365" customFormat="1" ht="53.25" customHeight="1">
      <c r="B160" s="1085"/>
      <c r="C160" s="718"/>
      <c r="D160" s="3979" t="s">
        <v>1691</v>
      </c>
      <c r="E160" s="3979"/>
      <c r="F160" s="3979"/>
      <c r="G160" s="3979"/>
      <c r="H160" s="3979"/>
      <c r="I160" s="3979"/>
      <c r="J160" s="3979"/>
      <c r="K160" s="3979"/>
      <c r="L160" s="3979"/>
      <c r="M160" s="3979"/>
      <c r="N160" s="3979"/>
      <c r="O160" s="3979"/>
      <c r="P160" s="3979"/>
      <c r="Q160" s="3979"/>
      <c r="R160" s="3979"/>
      <c r="S160" s="3979"/>
      <c r="T160" s="3979"/>
      <c r="U160" s="3979"/>
      <c r="V160" s="3979"/>
      <c r="W160" s="3979"/>
      <c r="X160" s="3979"/>
      <c r="Y160" s="3979"/>
      <c r="Z160" s="3979"/>
      <c r="AA160" s="3979"/>
      <c r="AB160" s="3979"/>
      <c r="AC160" s="3979"/>
      <c r="AD160" s="3979"/>
      <c r="AE160" s="3979"/>
      <c r="AF160" s="3979"/>
      <c r="AG160" s="3979"/>
      <c r="AH160" s="3979"/>
      <c r="AI160" s="3979"/>
      <c r="AJ160" s="3979"/>
      <c r="AK160" s="3979"/>
      <c r="AL160" s="3979"/>
      <c r="AM160" s="4017"/>
    </row>
    <row r="161" spans="1:39" s="365" customFormat="1" ht="18" customHeight="1">
      <c r="B161" s="1085"/>
      <c r="C161" s="718"/>
      <c r="D161" s="3984" t="s">
        <v>1692</v>
      </c>
      <c r="E161" s="3984"/>
      <c r="F161" s="3984"/>
      <c r="G161" s="3984"/>
      <c r="H161" s="3984"/>
      <c r="I161" s="3984"/>
      <c r="J161" s="3984"/>
      <c r="K161" s="3984"/>
      <c r="L161" s="3984"/>
      <c r="M161" s="3984"/>
      <c r="N161" s="3984"/>
      <c r="O161" s="3984"/>
      <c r="P161" s="3984"/>
      <c r="Q161" s="3984"/>
      <c r="R161" s="3984"/>
      <c r="S161" s="3984"/>
      <c r="T161" s="3984"/>
      <c r="U161" s="3984"/>
      <c r="V161" s="3984"/>
      <c r="W161" s="3984"/>
      <c r="X161" s="3984"/>
      <c r="Y161" s="3984"/>
      <c r="Z161" s="3984"/>
      <c r="AA161" s="3984"/>
      <c r="AB161" s="3984"/>
      <c r="AC161" s="3984"/>
      <c r="AD161" s="3984"/>
      <c r="AE161" s="3984"/>
      <c r="AF161" s="3984"/>
      <c r="AG161" s="3984"/>
      <c r="AH161" s="3984"/>
      <c r="AI161" s="3984"/>
      <c r="AJ161" s="3984"/>
      <c r="AK161" s="3984"/>
      <c r="AL161" s="3751"/>
      <c r="AM161" s="3751"/>
    </row>
    <row r="162" spans="1:39" s="365" customFormat="1" ht="36" customHeight="1">
      <c r="B162" s="1085"/>
      <c r="C162" s="718"/>
      <c r="D162" s="3979" t="s">
        <v>1693</v>
      </c>
      <c r="E162" s="3979"/>
      <c r="F162" s="3979"/>
      <c r="G162" s="3979"/>
      <c r="H162" s="3979"/>
      <c r="I162" s="3979"/>
      <c r="J162" s="3979"/>
      <c r="K162" s="3979"/>
      <c r="L162" s="3979"/>
      <c r="M162" s="3979"/>
      <c r="N162" s="3979"/>
      <c r="O162" s="3979"/>
      <c r="P162" s="3979"/>
      <c r="Q162" s="3979"/>
      <c r="R162" s="3979"/>
      <c r="S162" s="3979"/>
      <c r="T162" s="3979"/>
      <c r="U162" s="3979"/>
      <c r="V162" s="3979"/>
      <c r="W162" s="3979"/>
      <c r="X162" s="3979"/>
      <c r="Y162" s="3979"/>
      <c r="Z162" s="3979"/>
      <c r="AA162" s="3979"/>
      <c r="AB162" s="3979"/>
      <c r="AC162" s="3979"/>
      <c r="AD162" s="3979"/>
      <c r="AE162" s="3979"/>
      <c r="AF162" s="3979"/>
      <c r="AG162" s="3979"/>
      <c r="AH162" s="3979"/>
      <c r="AI162" s="3979"/>
      <c r="AJ162" s="3979"/>
      <c r="AK162" s="3979"/>
      <c r="AL162" s="3751"/>
      <c r="AM162" s="3751"/>
    </row>
    <row r="163" spans="1:39" s="365" customFormat="1" ht="36" customHeight="1">
      <c r="B163" s="3676" t="s">
        <v>676</v>
      </c>
      <c r="C163" s="3676"/>
      <c r="D163" s="3676"/>
      <c r="E163" s="2466" t="str">
        <f>'Document Checklist'!$E$141</f>
        <v>57. Perm EFC #1, #2, etc.</v>
      </c>
      <c r="F163" s="2466"/>
      <c r="G163" s="2466"/>
      <c r="H163" s="2466"/>
      <c r="I163" s="2466"/>
      <c r="J163" s="2466"/>
      <c r="K163" s="2466"/>
      <c r="L163" s="2466"/>
      <c r="M163" s="2466"/>
      <c r="N163" s="2466" t="str">
        <f>'Document Checklist'!$N$141</f>
        <v>Commitment letter or other evidence documenting deferred payment permanent financing commitments.</v>
      </c>
      <c r="O163" s="2466"/>
      <c r="P163" s="2466"/>
      <c r="Q163" s="2466"/>
      <c r="R163" s="2466"/>
      <c r="S163" s="2466"/>
      <c r="T163" s="2466"/>
      <c r="U163" s="2466"/>
      <c r="V163" s="2466"/>
      <c r="W163" s="2466"/>
      <c r="X163" s="2466"/>
      <c r="Y163" s="2466"/>
      <c r="Z163" s="2466"/>
      <c r="AA163" s="2466"/>
      <c r="AB163" s="2466"/>
      <c r="AC163" s="2466"/>
      <c r="AD163" s="2466"/>
      <c r="AE163" s="2466"/>
      <c r="AF163" s="4123" t="s">
        <v>843</v>
      </c>
      <c r="AG163" s="4124"/>
      <c r="AH163" s="4124"/>
      <c r="AI163" s="4124"/>
      <c r="AJ163" s="4124"/>
      <c r="AK163" s="4124"/>
      <c r="AL163" s="1727"/>
      <c r="AM163" s="1727"/>
    </row>
    <row r="164" spans="1:39" s="365" customFormat="1" ht="18" customHeight="1">
      <c r="B164" s="1085"/>
      <c r="C164" s="1080" t="s">
        <v>1404</v>
      </c>
      <c r="D164" s="4184" t="s">
        <v>1694</v>
      </c>
      <c r="E164" s="4184"/>
      <c r="F164" s="4184"/>
      <c r="G164" s="4184"/>
      <c r="H164" s="4184"/>
      <c r="I164" s="4184"/>
      <c r="J164" s="4184"/>
      <c r="K164" s="4184"/>
      <c r="L164" s="4184"/>
      <c r="M164" s="4184"/>
      <c r="N164" s="4184"/>
      <c r="O164" s="4184"/>
      <c r="P164" s="4184"/>
      <c r="Q164" s="4184"/>
      <c r="R164" s="4184"/>
      <c r="S164" s="4184"/>
      <c r="T164" s="4184"/>
      <c r="U164" s="4184"/>
      <c r="V164" s="4184"/>
      <c r="W164" s="4184"/>
      <c r="X164" s="4184"/>
      <c r="Y164" s="4184"/>
      <c r="Z164" s="4184"/>
      <c r="AA164" s="4184"/>
      <c r="AB164" s="4184"/>
      <c r="AC164" s="4184"/>
      <c r="AD164" s="4184"/>
      <c r="AE164" s="4184"/>
      <c r="AF164" s="4184"/>
      <c r="AG164" s="4184"/>
      <c r="AH164" s="4184"/>
      <c r="AI164" s="4184"/>
      <c r="AJ164" s="4184"/>
      <c r="AK164" s="4184"/>
      <c r="AL164" s="1090"/>
      <c r="AM164" s="1091"/>
    </row>
    <row r="165" spans="1:39" s="365" customFormat="1" ht="54" customHeight="1">
      <c r="B165" s="1085"/>
      <c r="C165" s="1482"/>
      <c r="D165" s="1083" t="s">
        <v>1619</v>
      </c>
      <c r="E165" s="3616" t="s">
        <v>1695</v>
      </c>
      <c r="F165" s="3616"/>
      <c r="G165" s="3616"/>
      <c r="H165" s="3616"/>
      <c r="I165" s="3616"/>
      <c r="J165" s="3616"/>
      <c r="K165" s="3616"/>
      <c r="L165" s="3616"/>
      <c r="M165" s="3616"/>
      <c r="N165" s="3616"/>
      <c r="O165" s="3616"/>
      <c r="P165" s="3616"/>
      <c r="Q165" s="3616"/>
      <c r="R165" s="3616"/>
      <c r="S165" s="3616"/>
      <c r="T165" s="3616"/>
      <c r="U165" s="3616"/>
      <c r="V165" s="3616"/>
      <c r="W165" s="3616"/>
      <c r="X165" s="3616"/>
      <c r="Y165" s="3616"/>
      <c r="Z165" s="3616"/>
      <c r="AA165" s="3616"/>
      <c r="AB165" s="3616"/>
      <c r="AC165" s="3616"/>
      <c r="AD165" s="3616"/>
      <c r="AE165" s="3616"/>
      <c r="AF165" s="3616"/>
      <c r="AG165" s="3616"/>
      <c r="AH165" s="3616"/>
      <c r="AI165" s="3616"/>
      <c r="AJ165" s="3616"/>
      <c r="AK165" s="3616"/>
      <c r="AL165" s="4024">
        <f>IF(OR(vmLUA="Yes",vmLUA="N/A",$AL$166="Yes"),3,IF(OR(AND(vmWCL2="Yes",$AL$172="Yes",$AL$173="Yes"),AND(vmOCL2="Yes",$AL$172="Yes",$AL$173="Yes",$AL$174="Yes")),3,0))</f>
        <v>0</v>
      </c>
      <c r="AM165" s="4024"/>
    </row>
    <row r="166" spans="1:39" s="365" customFormat="1" ht="18" customHeight="1">
      <c r="B166" s="1085"/>
      <c r="C166" s="718"/>
      <c r="D166" s="718"/>
      <c r="E166" s="3616" t="s">
        <v>1696</v>
      </c>
      <c r="F166" s="3616"/>
      <c r="G166" s="3616"/>
      <c r="H166" s="3616"/>
      <c r="I166" s="3616"/>
      <c r="J166" s="3616"/>
      <c r="K166" s="3616"/>
      <c r="L166" s="3616"/>
      <c r="M166" s="3616"/>
      <c r="N166" s="3616"/>
      <c r="O166" s="3616"/>
      <c r="P166" s="3616"/>
      <c r="Q166" s="3616"/>
      <c r="R166" s="3616"/>
      <c r="S166" s="3616"/>
      <c r="T166" s="3616"/>
      <c r="U166" s="3616"/>
      <c r="V166" s="3616"/>
      <c r="W166" s="3616"/>
      <c r="X166" s="3616"/>
      <c r="Y166" s="3616"/>
      <c r="Z166" s="3751"/>
      <c r="AA166" s="3751"/>
      <c r="AB166" s="4226" t="s">
        <v>1697</v>
      </c>
      <c r="AC166" s="4227"/>
      <c r="AD166" s="4227"/>
      <c r="AE166" s="4227"/>
      <c r="AF166" s="4227"/>
      <c r="AG166" s="4227"/>
      <c r="AH166" s="4227"/>
      <c r="AI166" s="4227"/>
      <c r="AJ166" s="4227"/>
      <c r="AK166" s="4228"/>
      <c r="AL166" s="3751"/>
      <c r="AM166" s="3751"/>
    </row>
    <row r="167" spans="1:39" s="365" customFormat="1" ht="18" hidden="1" customHeight="1">
      <c r="B167" s="1085"/>
      <c r="C167" s="718"/>
      <c r="D167" s="718"/>
      <c r="E167" s="4229" t="s">
        <v>1689</v>
      </c>
      <c r="F167" s="4229"/>
      <c r="G167" s="4229"/>
      <c r="H167" s="4229"/>
      <c r="I167" s="4229"/>
      <c r="J167" s="4229"/>
      <c r="K167" s="4229"/>
      <c r="L167" s="4229"/>
      <c r="M167" s="4229"/>
      <c r="N167" s="4229"/>
      <c r="O167" s="4229"/>
      <c r="P167" s="4229"/>
      <c r="Q167" s="4229"/>
      <c r="R167" s="4229"/>
      <c r="S167" s="4229"/>
      <c r="T167" s="4229"/>
      <c r="U167" s="4229"/>
      <c r="V167" s="4229"/>
      <c r="W167" s="4229"/>
      <c r="X167" s="4229"/>
      <c r="Y167" s="4229"/>
      <c r="Z167" s="4229"/>
      <c r="AA167" s="4229"/>
      <c r="AB167" s="4229"/>
      <c r="AC167" s="4229"/>
      <c r="AD167" s="4229"/>
      <c r="AE167" s="4229"/>
      <c r="AF167" s="4229"/>
      <c r="AG167" s="4229"/>
      <c r="AH167" s="4229"/>
      <c r="AI167" s="4229"/>
      <c r="AJ167" s="4229"/>
      <c r="AK167" s="4229"/>
      <c r="AL167" s="4229"/>
      <c r="AM167" s="4230"/>
    </row>
    <row r="168" spans="1:39" s="365" customFormat="1" ht="36" hidden="1" customHeight="1">
      <c r="B168" s="1085"/>
      <c r="C168" s="718"/>
      <c r="D168" s="718"/>
      <c r="E168" s="4231"/>
      <c r="F168" s="4232"/>
      <c r="G168" s="4232"/>
      <c r="H168" s="4232"/>
      <c r="I168" s="4232"/>
      <c r="J168" s="4232"/>
      <c r="K168" s="4232"/>
      <c r="L168" s="4232"/>
      <c r="M168" s="4232"/>
      <c r="N168" s="4232"/>
      <c r="O168" s="4232"/>
      <c r="P168" s="4232"/>
      <c r="Q168" s="4232"/>
      <c r="R168" s="4232"/>
      <c r="S168" s="4232"/>
      <c r="T168" s="4232"/>
      <c r="U168" s="4232"/>
      <c r="V168" s="4232"/>
      <c r="W168" s="4232"/>
      <c r="X168" s="4232"/>
      <c r="Y168" s="4232"/>
      <c r="Z168" s="4232"/>
      <c r="AA168" s="4232"/>
      <c r="AB168" s="4232"/>
      <c r="AC168" s="4232"/>
      <c r="AD168" s="4232"/>
      <c r="AE168" s="4232"/>
      <c r="AF168" s="4232"/>
      <c r="AG168" s="4232"/>
      <c r="AH168" s="4232"/>
      <c r="AI168" s="4232"/>
      <c r="AJ168" s="4232"/>
      <c r="AK168" s="4232"/>
      <c r="AL168" s="4232"/>
      <c r="AM168" s="4233"/>
    </row>
    <row r="169" spans="1:39" s="365" customFormat="1" ht="81" hidden="1" customHeight="1">
      <c r="A169" s="1136"/>
      <c r="B169" s="1073"/>
      <c r="C169" s="1513"/>
      <c r="D169" s="1513"/>
      <c r="E169" s="3910" t="s">
        <v>1698</v>
      </c>
      <c r="F169" s="3910"/>
      <c r="G169" s="3910"/>
      <c r="H169" s="3910"/>
      <c r="I169" s="3910"/>
      <c r="J169" s="3910"/>
      <c r="K169" s="3910"/>
      <c r="L169" s="3910"/>
      <c r="M169" s="3910"/>
      <c r="N169" s="3910"/>
      <c r="O169" s="3910"/>
      <c r="P169" s="3910"/>
      <c r="Q169" s="3910"/>
      <c r="R169" s="3910"/>
      <c r="S169" s="3910"/>
      <c r="T169" s="3910"/>
      <c r="U169" s="3910"/>
      <c r="V169" s="3910"/>
      <c r="W169" s="3910"/>
      <c r="X169" s="3910"/>
      <c r="Y169" s="3910"/>
      <c r="Z169" s="3910"/>
      <c r="AA169" s="3910"/>
      <c r="AB169" s="3910"/>
      <c r="AC169" s="3910"/>
      <c r="AD169" s="3910"/>
      <c r="AE169" s="3910"/>
      <c r="AF169" s="3910"/>
      <c r="AG169" s="3910"/>
      <c r="AH169" s="3910"/>
      <c r="AI169" s="3910"/>
      <c r="AJ169" s="3910"/>
      <c r="AK169" s="3910"/>
      <c r="AL169" s="3910"/>
      <c r="AM169" s="3917"/>
    </row>
    <row r="170" spans="1:39" s="365" customFormat="1" ht="18" hidden="1" customHeight="1">
      <c r="B170" s="1085"/>
      <c r="C170" s="718"/>
      <c r="D170" s="718"/>
      <c r="E170" s="3979" t="s">
        <v>1699</v>
      </c>
      <c r="F170" s="3979"/>
      <c r="G170" s="3979"/>
      <c r="H170" s="3979"/>
      <c r="I170" s="3979"/>
      <c r="J170" s="3979"/>
      <c r="K170" s="3979"/>
      <c r="L170" s="3979"/>
      <c r="M170" s="3979"/>
      <c r="N170" s="3979"/>
      <c r="O170" s="3979"/>
      <c r="P170" s="3979"/>
      <c r="Q170" s="3979"/>
      <c r="R170" s="3979"/>
      <c r="S170" s="3979"/>
      <c r="T170" s="3979"/>
      <c r="U170" s="3979"/>
      <c r="V170" s="3979"/>
      <c r="W170" s="3979"/>
      <c r="X170" s="3979"/>
      <c r="Y170" s="3979"/>
      <c r="Z170" s="3979"/>
      <c r="AA170" s="3979"/>
      <c r="AB170" s="3979"/>
      <c r="AC170" s="3979"/>
      <c r="AD170" s="3979"/>
      <c r="AE170" s="3979"/>
      <c r="AF170" s="3979"/>
      <c r="AG170" s="3979"/>
      <c r="AH170" s="3979"/>
      <c r="AI170" s="3979"/>
      <c r="AJ170" s="3979"/>
      <c r="AK170" s="4017"/>
      <c r="AL170" s="3751"/>
      <c r="AM170" s="3751"/>
    </row>
    <row r="171" spans="1:39" s="365" customFormat="1" ht="36" hidden="1" customHeight="1">
      <c r="B171" s="1085"/>
      <c r="C171" s="718"/>
      <c r="D171" s="718"/>
      <c r="E171" s="3979" t="s">
        <v>1700</v>
      </c>
      <c r="F171" s="3979"/>
      <c r="G171" s="3979"/>
      <c r="H171" s="3979"/>
      <c r="I171" s="3979"/>
      <c r="J171" s="3979"/>
      <c r="K171" s="3979"/>
      <c r="L171" s="3979"/>
      <c r="M171" s="3979"/>
      <c r="N171" s="3979"/>
      <c r="O171" s="3979"/>
      <c r="P171" s="3979"/>
      <c r="Q171" s="3979"/>
      <c r="R171" s="3979"/>
      <c r="S171" s="3979"/>
      <c r="T171" s="3979"/>
      <c r="U171" s="3979"/>
      <c r="V171" s="3979"/>
      <c r="W171" s="3979"/>
      <c r="X171" s="3979"/>
      <c r="Y171" s="3979"/>
      <c r="Z171" s="3979"/>
      <c r="AA171" s="3979"/>
      <c r="AB171" s="3979"/>
      <c r="AC171" s="3979"/>
      <c r="AD171" s="3979"/>
      <c r="AE171" s="3979"/>
      <c r="AF171" s="3979"/>
      <c r="AG171" s="3979"/>
      <c r="AH171" s="3979"/>
      <c r="AI171" s="3979"/>
      <c r="AJ171" s="3979"/>
      <c r="AK171" s="4017"/>
      <c r="AL171" s="3751"/>
      <c r="AM171" s="3751"/>
    </row>
    <row r="172" spans="1:39" s="365" customFormat="1" ht="36" hidden="1" customHeight="1">
      <c r="B172" s="1085"/>
      <c r="C172" s="718"/>
      <c r="D172" s="718"/>
      <c r="E172" s="3979" t="s">
        <v>1701</v>
      </c>
      <c r="F172" s="3979"/>
      <c r="G172" s="3979"/>
      <c r="H172" s="3979"/>
      <c r="I172" s="3979"/>
      <c r="J172" s="3979"/>
      <c r="K172" s="3979"/>
      <c r="L172" s="3979"/>
      <c r="M172" s="3979"/>
      <c r="N172" s="3979"/>
      <c r="O172" s="3979"/>
      <c r="P172" s="3979"/>
      <c r="Q172" s="3979"/>
      <c r="R172" s="3979"/>
      <c r="S172" s="3979"/>
      <c r="T172" s="3979"/>
      <c r="U172" s="3979"/>
      <c r="V172" s="3979"/>
      <c r="W172" s="3979"/>
      <c r="X172" s="3979"/>
      <c r="Y172" s="3979"/>
      <c r="Z172" s="3979"/>
      <c r="AA172" s="3979"/>
      <c r="AB172" s="3979"/>
      <c r="AC172" s="3979"/>
      <c r="AD172" s="3979"/>
      <c r="AE172" s="3979"/>
      <c r="AF172" s="3979"/>
      <c r="AG172" s="3979"/>
      <c r="AH172" s="3979"/>
      <c r="AI172" s="3979"/>
      <c r="AJ172" s="3979"/>
      <c r="AK172" s="3979"/>
      <c r="AL172" s="3751"/>
      <c r="AM172" s="3751"/>
    </row>
    <row r="173" spans="1:39" s="365" customFormat="1" ht="18" hidden="1" customHeight="1">
      <c r="A173" s="365" t="s">
        <v>1702</v>
      </c>
      <c r="B173" s="4101" t="s">
        <v>676</v>
      </c>
      <c r="C173" s="4101"/>
      <c r="D173" s="4101"/>
      <c r="E173" s="2470" t="str">
        <f>'Document Checklist'!$E$173</f>
        <v>89. FEMA DD</v>
      </c>
      <c r="F173" s="2470"/>
      <c r="G173" s="2470"/>
      <c r="H173" s="2470"/>
      <c r="I173" s="2470"/>
      <c r="J173" s="2470"/>
      <c r="K173" s="2470"/>
      <c r="L173" s="2470"/>
      <c r="M173" s="2470"/>
      <c r="N173" s="2470" t="str">
        <f>'Document Checklist'!$N$173</f>
        <v>At time of application, provide FEMA Major Disaster Delaration documentation.</v>
      </c>
      <c r="O173" s="2470"/>
      <c r="P173" s="2470"/>
      <c r="Q173" s="2470"/>
      <c r="R173" s="2470"/>
      <c r="S173" s="2470"/>
      <c r="T173" s="2470"/>
      <c r="U173" s="2470"/>
      <c r="V173" s="2470"/>
      <c r="W173" s="2470"/>
      <c r="X173" s="2470"/>
      <c r="Y173" s="2470"/>
      <c r="Z173" s="2470"/>
      <c r="AA173" s="2470"/>
      <c r="AB173" s="2470"/>
      <c r="AC173" s="2470"/>
      <c r="AD173" s="2470"/>
      <c r="AE173" s="2470"/>
      <c r="AF173" s="2109" t="s">
        <v>843</v>
      </c>
      <c r="AG173" s="2110"/>
      <c r="AH173" s="2110"/>
      <c r="AI173" s="2110"/>
      <c r="AJ173" s="2110"/>
      <c r="AK173" s="2110"/>
      <c r="AL173" s="1727"/>
      <c r="AM173" s="1727"/>
    </row>
    <row r="174" spans="1:39" s="365" customFormat="1" ht="36" hidden="1" customHeight="1">
      <c r="A174" s="365" t="s">
        <v>1703</v>
      </c>
      <c r="B174" s="4101" t="s">
        <v>676</v>
      </c>
      <c r="C174" s="4101"/>
      <c r="D174" s="4101"/>
      <c r="E174" s="2470" t="str">
        <f>'Document Checklist'!$E$174</f>
        <v>90. Disaster Housing Plan</v>
      </c>
      <c r="F174" s="2470"/>
      <c r="G174" s="2470"/>
      <c r="H174" s="2470"/>
      <c r="I174" s="2470"/>
      <c r="J174" s="2470"/>
      <c r="K174" s="2470"/>
      <c r="L174" s="2470"/>
      <c r="M174" s="2470"/>
      <c r="N174" s="2470" t="str">
        <f>'Document Checklist'!$N$174</f>
        <v>At time of application, provide documentation or a plan on how the project will contribute to providing housing for disaster-impacted housholds.</v>
      </c>
      <c r="O174" s="2470"/>
      <c r="P174" s="2470"/>
      <c r="Q174" s="2470"/>
      <c r="R174" s="2470"/>
      <c r="S174" s="2470"/>
      <c r="T174" s="2470"/>
      <c r="U174" s="2470"/>
      <c r="V174" s="2470"/>
      <c r="W174" s="2470"/>
      <c r="X174" s="2470"/>
      <c r="Y174" s="2470"/>
      <c r="Z174" s="2470"/>
      <c r="AA174" s="2470"/>
      <c r="AB174" s="2470"/>
      <c r="AC174" s="2470"/>
      <c r="AD174" s="2470"/>
      <c r="AE174" s="2470"/>
      <c r="AF174" s="2109" t="s">
        <v>843</v>
      </c>
      <c r="AG174" s="2110"/>
      <c r="AH174" s="2110"/>
      <c r="AI174" s="2110"/>
      <c r="AJ174" s="2110"/>
      <c r="AK174" s="2110"/>
      <c r="AL174" s="1727"/>
      <c r="AM174" s="1727"/>
    </row>
    <row r="175" spans="1:39" s="365" customFormat="1" ht="81" customHeight="1">
      <c r="B175" s="4197" t="s">
        <v>1704</v>
      </c>
      <c r="C175" s="4184"/>
      <c r="D175" s="4184"/>
      <c r="E175" s="4184"/>
      <c r="F175" s="4184"/>
      <c r="G175" s="4184"/>
      <c r="H175" s="4184"/>
      <c r="I175" s="4184"/>
      <c r="J175" s="4184"/>
      <c r="K175" s="4184"/>
      <c r="L175" s="4184"/>
      <c r="M175" s="4184"/>
      <c r="N175" s="4184"/>
      <c r="O175" s="4184"/>
      <c r="P175" s="4184"/>
      <c r="Q175" s="4184"/>
      <c r="R175" s="4184"/>
      <c r="S175" s="4184"/>
      <c r="T175" s="4184"/>
      <c r="U175" s="4184"/>
      <c r="V175" s="4184"/>
      <c r="W175" s="4184"/>
      <c r="X175" s="4184"/>
      <c r="Y175" s="4184"/>
      <c r="Z175" s="4184"/>
      <c r="AA175" s="4184"/>
      <c r="AB175" s="4184"/>
      <c r="AC175" s="4184"/>
      <c r="AD175" s="4184"/>
      <c r="AE175" s="4184"/>
      <c r="AF175" s="4184"/>
      <c r="AG175" s="4184"/>
      <c r="AH175" s="4184"/>
      <c r="AI175" s="4184"/>
      <c r="AJ175" s="4184"/>
      <c r="AK175" s="4184"/>
      <c r="AL175" s="4184"/>
      <c r="AM175" s="4198"/>
    </row>
    <row r="176" spans="1:39" s="365" customFormat="1" ht="36" customHeight="1">
      <c r="B176" s="1085"/>
      <c r="C176" s="1482"/>
      <c r="D176" s="1083" t="s">
        <v>1409</v>
      </c>
      <c r="E176" s="3616" t="s">
        <v>1705</v>
      </c>
      <c r="F176" s="3616"/>
      <c r="G176" s="3616"/>
      <c r="H176" s="3616"/>
      <c r="I176" s="3616"/>
      <c r="J176" s="3616"/>
      <c r="K176" s="3616"/>
      <c r="L176" s="3616"/>
      <c r="M176" s="3616"/>
      <c r="N176" s="3616"/>
      <c r="O176" s="3616"/>
      <c r="P176" s="3616"/>
      <c r="Q176" s="3616"/>
      <c r="R176" s="3616"/>
      <c r="S176" s="3616"/>
      <c r="T176" s="3616"/>
      <c r="U176" s="3616"/>
      <c r="V176" s="3616"/>
      <c r="W176" s="3616"/>
      <c r="X176" s="3616"/>
      <c r="Y176" s="3616"/>
      <c r="Z176" s="3616"/>
      <c r="AA176" s="3616"/>
      <c r="AB176" s="3616"/>
      <c r="AC176" s="3616"/>
      <c r="AD176" s="3616"/>
      <c r="AE176" s="3616"/>
      <c r="AF176" s="3616"/>
      <c r="AG176" s="3616"/>
      <c r="AH176" s="3616"/>
      <c r="AI176" s="3616"/>
      <c r="AJ176" s="3616"/>
      <c r="AK176" s="3616"/>
      <c r="AL176" s="4024">
        <f>IF(AND(vmCApplication="Yes",$AL$178="Yes"),2,0)</f>
        <v>0</v>
      </c>
      <c r="AM176" s="4024"/>
    </row>
    <row r="177" spans="1:51" s="365" customFormat="1" ht="36" customHeight="1">
      <c r="B177" s="1085"/>
      <c r="C177" s="718"/>
      <c r="D177" s="718"/>
      <c r="E177" s="3979" t="s">
        <v>1706</v>
      </c>
      <c r="F177" s="3979"/>
      <c r="G177" s="3979"/>
      <c r="H177" s="3979"/>
      <c r="I177" s="3979"/>
      <c r="J177" s="3979"/>
      <c r="K177" s="3979"/>
      <c r="L177" s="3979"/>
      <c r="M177" s="3979"/>
      <c r="N177" s="3979"/>
      <c r="O177" s="3979"/>
      <c r="P177" s="3979"/>
      <c r="Q177" s="3979"/>
      <c r="R177" s="3979"/>
      <c r="S177" s="3979"/>
      <c r="T177" s="3979"/>
      <c r="U177" s="3979"/>
      <c r="V177" s="3979"/>
      <c r="W177" s="3979"/>
      <c r="X177" s="3979"/>
      <c r="Y177" s="3979"/>
      <c r="Z177" s="3979"/>
      <c r="AA177" s="3979"/>
      <c r="AB177" s="3979"/>
      <c r="AC177" s="3979"/>
      <c r="AD177" s="3979"/>
      <c r="AE177" s="3979"/>
      <c r="AF177" s="3979"/>
      <c r="AG177" s="3979"/>
      <c r="AH177" s="3979"/>
      <c r="AI177" s="3979"/>
      <c r="AJ177" s="3979"/>
      <c r="AK177" s="3979"/>
      <c r="AL177" s="3751"/>
      <c r="AM177" s="3751"/>
    </row>
    <row r="178" spans="1:51" s="365" customFormat="1" ht="36" hidden="1" customHeight="1">
      <c r="A178" s="365" t="s">
        <v>1707</v>
      </c>
      <c r="B178" s="4101" t="s">
        <v>676</v>
      </c>
      <c r="C178" s="4101"/>
      <c r="D178" s="4101"/>
      <c r="E178" s="2470" t="str">
        <f>'Document Checklist'!$E$175</f>
        <v>91. Land use app submission</v>
      </c>
      <c r="F178" s="2470"/>
      <c r="G178" s="2470"/>
      <c r="H178" s="2470"/>
      <c r="I178" s="2470"/>
      <c r="J178" s="2470"/>
      <c r="K178" s="2470"/>
      <c r="L178" s="2470"/>
      <c r="M178" s="2470"/>
      <c r="N178" s="2470" t="str">
        <f>'Document Checklist'!$N$175</f>
        <v>Provide evidence for submission of a complete application to the relevant local authorities</v>
      </c>
      <c r="O178" s="2470"/>
      <c r="P178" s="2470"/>
      <c r="Q178" s="2470"/>
      <c r="R178" s="2470"/>
      <c r="S178" s="2470"/>
      <c r="T178" s="2470"/>
      <c r="U178" s="2470"/>
      <c r="V178" s="2470"/>
      <c r="W178" s="2470"/>
      <c r="X178" s="2470"/>
      <c r="Y178" s="2470"/>
      <c r="Z178" s="2470"/>
      <c r="AA178" s="2470"/>
      <c r="AB178" s="2470"/>
      <c r="AC178" s="2470"/>
      <c r="AD178" s="2470"/>
      <c r="AE178" s="2470"/>
      <c r="AF178" s="2109" t="s">
        <v>843</v>
      </c>
      <c r="AG178" s="2110"/>
      <c r="AH178" s="2110"/>
      <c r="AI178" s="2110"/>
      <c r="AJ178" s="2110"/>
      <c r="AK178" s="2110"/>
      <c r="AL178" s="1727"/>
      <c r="AM178" s="1727"/>
    </row>
    <row r="179" spans="1:51" s="365" customFormat="1" ht="54" customHeight="1">
      <c r="B179" s="1085"/>
      <c r="C179" s="1482"/>
      <c r="D179" s="1089" t="s">
        <v>1708</v>
      </c>
      <c r="E179" s="3616" t="s">
        <v>1709</v>
      </c>
      <c r="F179" s="3616"/>
      <c r="G179" s="3616"/>
      <c r="H179" s="3616"/>
      <c r="I179" s="3616"/>
      <c r="J179" s="3616"/>
      <c r="K179" s="3616"/>
      <c r="L179" s="3616"/>
      <c r="M179" s="3616"/>
      <c r="N179" s="3616"/>
      <c r="O179" s="3616"/>
      <c r="P179" s="3616"/>
      <c r="Q179" s="3616"/>
      <c r="R179" s="3616"/>
      <c r="S179" s="3616"/>
      <c r="T179" s="3616"/>
      <c r="U179" s="3616"/>
      <c r="V179" s="3616"/>
      <c r="W179" s="3616"/>
      <c r="X179" s="3616"/>
      <c r="Y179" s="3616"/>
      <c r="Z179" s="3616"/>
      <c r="AA179" s="3616"/>
      <c r="AB179" s="3616"/>
      <c r="AC179" s="3616"/>
      <c r="AD179" s="3616"/>
      <c r="AE179" s="3616"/>
      <c r="AF179" s="3616"/>
      <c r="AG179" s="3616"/>
      <c r="AH179" s="3616"/>
      <c r="AI179" s="3616"/>
      <c r="AJ179" s="3616"/>
      <c r="AK179" s="3616"/>
      <c r="AL179" s="4024">
        <f>IF(AND(vmAICP="Yes",AL181="Yes"),1,0)</f>
        <v>0</v>
      </c>
      <c r="AM179" s="4024"/>
    </row>
    <row r="180" spans="1:51" s="365" customFormat="1" ht="54" customHeight="1">
      <c r="B180" s="1085"/>
      <c r="C180" s="718"/>
      <c r="D180" s="718"/>
      <c r="E180" s="3979" t="s">
        <v>1710</v>
      </c>
      <c r="F180" s="3979"/>
      <c r="G180" s="3979"/>
      <c r="H180" s="3979"/>
      <c r="I180" s="3979"/>
      <c r="J180" s="3979"/>
      <c r="K180" s="3979"/>
      <c r="L180" s="3979"/>
      <c r="M180" s="3979"/>
      <c r="N180" s="3979"/>
      <c r="O180" s="3979"/>
      <c r="P180" s="3979"/>
      <c r="Q180" s="3979"/>
      <c r="R180" s="3979"/>
      <c r="S180" s="3979"/>
      <c r="T180" s="3979"/>
      <c r="U180" s="3979"/>
      <c r="V180" s="3979"/>
      <c r="W180" s="3979"/>
      <c r="X180" s="3979"/>
      <c r="Y180" s="3979"/>
      <c r="Z180" s="3979"/>
      <c r="AA180" s="3979"/>
      <c r="AB180" s="3979"/>
      <c r="AC180" s="3979"/>
      <c r="AD180" s="3979"/>
      <c r="AE180" s="3979"/>
      <c r="AF180" s="3979"/>
      <c r="AG180" s="3979"/>
      <c r="AH180" s="3979"/>
      <c r="AI180" s="3979"/>
      <c r="AJ180" s="3979"/>
      <c r="AK180" s="3979"/>
      <c r="AL180" s="3751"/>
      <c r="AM180" s="3751"/>
    </row>
    <row r="181" spans="1:51" s="365" customFormat="1" ht="36" hidden="1" customHeight="1">
      <c r="B181" s="3676" t="s">
        <v>676</v>
      </c>
      <c r="C181" s="3676"/>
      <c r="D181" s="3676"/>
      <c r="E181" s="2466" t="str">
        <f>'Document Checklist'!$E$160</f>
        <v>76. AICP Letter</v>
      </c>
      <c r="F181" s="2466"/>
      <c r="G181" s="2466"/>
      <c r="H181" s="2466"/>
      <c r="I181" s="2466"/>
      <c r="J181" s="2466"/>
      <c r="K181" s="2466"/>
      <c r="L181" s="2466"/>
      <c r="M181" s="2466"/>
      <c r="N181" s="2466" t="str">
        <f>'Document Checklist'!$N$160</f>
        <v>Letter signed by a planner certified by the American Institute of Certified Planners.</v>
      </c>
      <c r="O181" s="2466"/>
      <c r="P181" s="2466"/>
      <c r="Q181" s="2466"/>
      <c r="R181" s="2466"/>
      <c r="S181" s="2466"/>
      <c r="T181" s="2466"/>
      <c r="U181" s="2466"/>
      <c r="V181" s="2466"/>
      <c r="W181" s="2466"/>
      <c r="X181" s="2466"/>
      <c r="Y181" s="2466"/>
      <c r="Z181" s="2466"/>
      <c r="AA181" s="2466"/>
      <c r="AB181" s="2466"/>
      <c r="AC181" s="2466"/>
      <c r="AD181" s="2466"/>
      <c r="AE181" s="2466"/>
      <c r="AF181" s="4123" t="s">
        <v>843</v>
      </c>
      <c r="AG181" s="4124"/>
      <c r="AH181" s="4124"/>
      <c r="AI181" s="4124"/>
      <c r="AJ181" s="4124"/>
      <c r="AK181" s="4124"/>
      <c r="AL181" s="1727"/>
      <c r="AM181" s="1727"/>
    </row>
    <row r="182" spans="1:51" s="365" customFormat="1" ht="54" customHeight="1">
      <c r="B182" s="1085"/>
      <c r="C182" s="1080" t="s">
        <v>1406</v>
      </c>
      <c r="D182" s="3616" t="s">
        <v>1711</v>
      </c>
      <c r="E182" s="3616"/>
      <c r="F182" s="3616"/>
      <c r="G182" s="3616"/>
      <c r="H182" s="3616"/>
      <c r="I182" s="3616"/>
      <c r="J182" s="3616"/>
      <c r="K182" s="3616"/>
      <c r="L182" s="3616"/>
      <c r="M182" s="3616"/>
      <c r="N182" s="3616"/>
      <c r="O182" s="3616"/>
      <c r="P182" s="3616"/>
      <c r="Q182" s="3616"/>
      <c r="R182" s="3616"/>
      <c r="S182" s="3616"/>
      <c r="T182" s="3616"/>
      <c r="U182" s="3616"/>
      <c r="V182" s="3616"/>
      <c r="W182" s="3616"/>
      <c r="X182" s="3616"/>
      <c r="Y182" s="3616"/>
      <c r="Z182" s="3616"/>
      <c r="AA182" s="3616"/>
      <c r="AB182" s="3616"/>
      <c r="AC182" s="3616"/>
      <c r="AD182" s="3616"/>
      <c r="AE182" s="3616"/>
      <c r="AF182" s="3616"/>
      <c r="AG182" s="3616"/>
      <c r="AH182" s="3616"/>
      <c r="AI182" s="3616"/>
      <c r="AJ182" s="3616"/>
      <c r="AK182" s="3616"/>
      <c r="AL182" s="4158">
        <f>IF(OR(vmNER="Yes",vmNER="N/A"),4,IF(AND(vmWCL="Yes",$AL$189="Yes",$AL$190="Yes"),4,IF(AND(vmOCL="Yes",$AL$189="Yes",$AL$190="Yes",$AL$191="Yes"),4,0)))</f>
        <v>0</v>
      </c>
      <c r="AM182" s="4158"/>
      <c r="AN182" s="452"/>
      <c r="AO182" s="1058"/>
      <c r="AP182" s="1058"/>
      <c r="AQ182" s="49"/>
      <c r="AR182" s="49"/>
      <c r="AS182" s="49"/>
      <c r="AU182" s="449"/>
      <c r="AV182" s="1530"/>
    </row>
    <row r="183" spans="1:51" s="365" customFormat="1" ht="18" customHeight="1">
      <c r="B183" s="1085"/>
      <c r="C183" s="718"/>
      <c r="D183" s="3616" t="s">
        <v>1712</v>
      </c>
      <c r="E183" s="3616"/>
      <c r="F183" s="3616"/>
      <c r="G183" s="3616"/>
      <c r="H183" s="3616"/>
      <c r="I183" s="3616"/>
      <c r="J183" s="3616"/>
      <c r="K183" s="3616"/>
      <c r="L183" s="3616"/>
      <c r="M183" s="3616"/>
      <c r="N183" s="3616"/>
      <c r="O183" s="3616"/>
      <c r="P183" s="3616"/>
      <c r="Q183" s="3616"/>
      <c r="R183" s="3616"/>
      <c r="S183" s="3616"/>
      <c r="T183" s="3616"/>
      <c r="U183" s="3616"/>
      <c r="V183" s="3616"/>
      <c r="W183" s="3616"/>
      <c r="X183" s="3616"/>
      <c r="Y183" s="3616"/>
      <c r="Z183" s="3616"/>
      <c r="AA183" s="3616"/>
      <c r="AB183" s="3616"/>
      <c r="AC183" s="3616"/>
      <c r="AD183" s="3616"/>
      <c r="AE183" s="3616"/>
      <c r="AF183" s="3616"/>
      <c r="AG183" s="3616"/>
      <c r="AH183" s="3616"/>
      <c r="AI183" s="3616"/>
      <c r="AJ183" s="3616"/>
      <c r="AK183" s="3616"/>
      <c r="AL183" s="3751"/>
      <c r="AM183" s="3751"/>
      <c r="AP183" s="1136"/>
      <c r="AR183" s="49"/>
      <c r="AS183" s="49"/>
    </row>
    <row r="184" spans="1:51" s="365" customFormat="1" ht="18" hidden="1" customHeight="1">
      <c r="B184" s="1085"/>
      <c r="C184" s="718"/>
      <c r="D184" s="3984" t="s">
        <v>1689</v>
      </c>
      <c r="E184" s="3984"/>
      <c r="F184" s="3984"/>
      <c r="G184" s="3984"/>
      <c r="H184" s="3984"/>
      <c r="I184" s="3984"/>
      <c r="J184" s="3984"/>
      <c r="K184" s="3984"/>
      <c r="L184" s="3984"/>
      <c r="M184" s="3984"/>
      <c r="N184" s="3984"/>
      <c r="O184" s="3984"/>
      <c r="P184" s="3984"/>
      <c r="Q184" s="3984"/>
      <c r="R184" s="3984"/>
      <c r="S184" s="718"/>
      <c r="T184" s="718"/>
      <c r="U184" s="718"/>
      <c r="V184" s="718"/>
      <c r="W184" s="718"/>
      <c r="X184" s="718"/>
      <c r="Y184" s="718"/>
      <c r="Z184" s="718"/>
      <c r="AA184" s="718"/>
      <c r="AB184" s="718"/>
      <c r="AC184" s="718"/>
      <c r="AD184" s="718"/>
      <c r="AE184" s="718"/>
      <c r="AF184" s="718"/>
      <c r="AG184" s="718"/>
      <c r="AH184" s="718"/>
      <c r="AI184" s="718"/>
      <c r="AJ184" s="718"/>
      <c r="AK184" s="718"/>
      <c r="AL184" s="718"/>
      <c r="AM184" s="1082"/>
      <c r="AP184" s="1136"/>
      <c r="AR184" s="49"/>
      <c r="AS184" s="49"/>
    </row>
    <row r="185" spans="1:51" s="365" customFormat="1" ht="36" hidden="1" customHeight="1">
      <c r="B185" s="1085"/>
      <c r="C185" s="718"/>
      <c r="D185" s="4097"/>
      <c r="E185" s="4097"/>
      <c r="F185" s="4097"/>
      <c r="G185" s="4097"/>
      <c r="H185" s="4097"/>
      <c r="I185" s="4097"/>
      <c r="J185" s="4097"/>
      <c r="K185" s="4097"/>
      <c r="L185" s="4097"/>
      <c r="M185" s="4097"/>
      <c r="N185" s="4097"/>
      <c r="O185" s="4097"/>
      <c r="P185" s="4097"/>
      <c r="Q185" s="4097"/>
      <c r="R185" s="4097"/>
      <c r="S185" s="4097"/>
      <c r="T185" s="4097"/>
      <c r="U185" s="4097"/>
      <c r="V185" s="4097"/>
      <c r="W185" s="4097"/>
      <c r="X185" s="4097"/>
      <c r="Y185" s="4097"/>
      <c r="Z185" s="4097"/>
      <c r="AA185" s="4097"/>
      <c r="AB185" s="4097"/>
      <c r="AC185" s="4097"/>
      <c r="AD185" s="4097"/>
      <c r="AE185" s="4097"/>
      <c r="AF185" s="4097"/>
      <c r="AG185" s="4097"/>
      <c r="AH185" s="4097"/>
      <c r="AI185" s="4097"/>
      <c r="AJ185" s="4097"/>
      <c r="AK185" s="4097"/>
      <c r="AL185" s="4097"/>
      <c r="AM185" s="4097"/>
      <c r="AP185" s="1136"/>
      <c r="AR185" s="49"/>
      <c r="AS185" s="49"/>
    </row>
    <row r="186" spans="1:51" s="365" customFormat="1" ht="73.5" hidden="1" customHeight="1">
      <c r="B186" s="1085"/>
      <c r="C186" s="718"/>
      <c r="D186" s="3910" t="s">
        <v>1713</v>
      </c>
      <c r="E186" s="3910"/>
      <c r="F186" s="3910"/>
      <c r="G186" s="3910"/>
      <c r="H186" s="3910"/>
      <c r="I186" s="3910"/>
      <c r="J186" s="3910"/>
      <c r="K186" s="3910"/>
      <c r="L186" s="3910"/>
      <c r="M186" s="3910"/>
      <c r="N186" s="3910"/>
      <c r="O186" s="3910"/>
      <c r="P186" s="3910"/>
      <c r="Q186" s="3910"/>
      <c r="R186" s="3910"/>
      <c r="S186" s="3910"/>
      <c r="T186" s="3910"/>
      <c r="U186" s="3910"/>
      <c r="V186" s="3910"/>
      <c r="W186" s="3910"/>
      <c r="X186" s="3910"/>
      <c r="Y186" s="3910"/>
      <c r="Z186" s="3910"/>
      <c r="AA186" s="3910"/>
      <c r="AB186" s="3910"/>
      <c r="AC186" s="3910"/>
      <c r="AD186" s="3910"/>
      <c r="AE186" s="3910"/>
      <c r="AF186" s="3910"/>
      <c r="AG186" s="3910"/>
      <c r="AH186" s="3910"/>
      <c r="AI186" s="3910"/>
      <c r="AJ186" s="3910"/>
      <c r="AK186" s="3910"/>
      <c r="AL186" s="3910"/>
      <c r="AM186" s="3917"/>
      <c r="AN186" s="1085"/>
      <c r="AP186" s="1136"/>
      <c r="AR186" s="49"/>
      <c r="AS186" s="49"/>
    </row>
    <row r="187" spans="1:51" s="365" customFormat="1" ht="18" hidden="1" customHeight="1">
      <c r="B187" s="1085"/>
      <c r="C187" s="718"/>
      <c r="D187" s="3979" t="s">
        <v>1699</v>
      </c>
      <c r="E187" s="3979"/>
      <c r="F187" s="3979"/>
      <c r="G187" s="3979"/>
      <c r="H187" s="3979"/>
      <c r="I187" s="3979"/>
      <c r="J187" s="3979"/>
      <c r="K187" s="3979"/>
      <c r="L187" s="3979"/>
      <c r="M187" s="3979"/>
      <c r="N187" s="3979"/>
      <c r="O187" s="3979"/>
      <c r="P187" s="3979"/>
      <c r="Q187" s="3979"/>
      <c r="R187" s="3979"/>
      <c r="S187" s="3979"/>
      <c r="T187" s="3979"/>
      <c r="U187" s="3979"/>
      <c r="V187" s="3979"/>
      <c r="W187" s="3979"/>
      <c r="X187" s="3979"/>
      <c r="Y187" s="3979"/>
      <c r="Z187" s="3979"/>
      <c r="AA187" s="3979"/>
      <c r="AB187" s="3979"/>
      <c r="AC187" s="3979"/>
      <c r="AD187" s="3979"/>
      <c r="AE187" s="3979"/>
      <c r="AF187" s="3979"/>
      <c r="AG187" s="3979"/>
      <c r="AH187" s="3979"/>
      <c r="AI187" s="3979"/>
      <c r="AJ187" s="3979"/>
      <c r="AK187" s="3979"/>
      <c r="AL187" s="3751"/>
      <c r="AM187" s="3751"/>
      <c r="AP187" s="1136"/>
      <c r="AR187" s="49"/>
      <c r="AS187" s="49"/>
    </row>
    <row r="188" spans="1:51" s="365" customFormat="1" ht="36" hidden="1" customHeight="1">
      <c r="B188" s="1085"/>
      <c r="C188" s="718"/>
      <c r="D188" s="3979" t="s">
        <v>1700</v>
      </c>
      <c r="E188" s="3979"/>
      <c r="F188" s="3979"/>
      <c r="G188" s="3979"/>
      <c r="H188" s="3979"/>
      <c r="I188" s="3979"/>
      <c r="J188" s="3979"/>
      <c r="K188" s="3979"/>
      <c r="L188" s="3979"/>
      <c r="M188" s="3979"/>
      <c r="N188" s="3979"/>
      <c r="O188" s="3979"/>
      <c r="P188" s="3979"/>
      <c r="Q188" s="3979"/>
      <c r="R188" s="3979"/>
      <c r="S188" s="3979"/>
      <c r="T188" s="3979"/>
      <c r="U188" s="3979"/>
      <c r="V188" s="3979"/>
      <c r="W188" s="3979"/>
      <c r="X188" s="3979"/>
      <c r="Y188" s="3979"/>
      <c r="Z188" s="3979"/>
      <c r="AA188" s="3979"/>
      <c r="AB188" s="3979"/>
      <c r="AC188" s="3979"/>
      <c r="AD188" s="3979"/>
      <c r="AE188" s="3979"/>
      <c r="AF188" s="3979"/>
      <c r="AG188" s="3979"/>
      <c r="AH188" s="3979"/>
      <c r="AI188" s="3979"/>
      <c r="AJ188" s="3979"/>
      <c r="AK188" s="3979"/>
      <c r="AL188" s="3751"/>
      <c r="AM188" s="3751"/>
      <c r="AP188" s="1136"/>
      <c r="AR188" s="49"/>
      <c r="AS188" s="49"/>
    </row>
    <row r="189" spans="1:51" s="365" customFormat="1" ht="18" hidden="1" customHeight="1">
      <c r="B189" s="1085"/>
      <c r="C189" s="718"/>
      <c r="D189" s="3984" t="s">
        <v>1714</v>
      </c>
      <c r="E189" s="3984"/>
      <c r="F189" s="3984"/>
      <c r="G189" s="3984"/>
      <c r="H189" s="3984"/>
      <c r="I189" s="3984"/>
      <c r="J189" s="3984"/>
      <c r="K189" s="3984"/>
      <c r="L189" s="3984"/>
      <c r="M189" s="3984"/>
      <c r="N189" s="3984"/>
      <c r="O189" s="3984"/>
      <c r="P189" s="3984"/>
      <c r="Q189" s="3984"/>
      <c r="R189" s="3984"/>
      <c r="S189" s="3984"/>
      <c r="T189" s="3984"/>
      <c r="U189" s="3984"/>
      <c r="V189" s="3984"/>
      <c r="W189" s="3984"/>
      <c r="X189" s="3984"/>
      <c r="Y189" s="3984"/>
      <c r="Z189" s="3984"/>
      <c r="AA189" s="3984"/>
      <c r="AB189" s="3984"/>
      <c r="AC189" s="3984"/>
      <c r="AD189" s="3984"/>
      <c r="AE189" s="3984"/>
      <c r="AF189" s="3984"/>
      <c r="AG189" s="3984"/>
      <c r="AH189" s="3984"/>
      <c r="AI189" s="3984"/>
      <c r="AJ189" s="3984"/>
      <c r="AK189" s="3984"/>
      <c r="AL189" s="4160"/>
      <c r="AM189" s="4160"/>
      <c r="AP189" s="1136"/>
      <c r="AR189" s="49"/>
      <c r="AS189" s="49"/>
    </row>
    <row r="190" spans="1:51" s="365" customFormat="1" ht="18" hidden="1" customHeight="1">
      <c r="A190" s="365" t="s">
        <v>1715</v>
      </c>
      <c r="B190" s="4101" t="s">
        <v>676</v>
      </c>
      <c r="C190" s="4101"/>
      <c r="D190" s="4101"/>
      <c r="E190" s="2470" t="str">
        <f>'Document Checklist'!$E$173</f>
        <v>89. FEMA DD</v>
      </c>
      <c r="F190" s="2470"/>
      <c r="G190" s="2470"/>
      <c r="H190" s="2470"/>
      <c r="I190" s="2470"/>
      <c r="J190" s="2470"/>
      <c r="K190" s="2470"/>
      <c r="L190" s="2470"/>
      <c r="M190" s="2470"/>
      <c r="N190" s="2470" t="str">
        <f>'Document Checklist'!$N$173</f>
        <v>At time of application, provide FEMA Major Disaster Delaration documentation.</v>
      </c>
      <c r="O190" s="2470"/>
      <c r="P190" s="2470"/>
      <c r="Q190" s="2470"/>
      <c r="R190" s="2470"/>
      <c r="S190" s="2470"/>
      <c r="T190" s="2470"/>
      <c r="U190" s="2470"/>
      <c r="V190" s="2470"/>
      <c r="W190" s="2470"/>
      <c r="X190" s="2470"/>
      <c r="Y190" s="2470"/>
      <c r="Z190" s="2470"/>
      <c r="AA190" s="2470"/>
      <c r="AB190" s="2470"/>
      <c r="AC190" s="2470"/>
      <c r="AD190" s="2470"/>
      <c r="AE190" s="2470"/>
      <c r="AF190" s="2109" t="s">
        <v>843</v>
      </c>
      <c r="AG190" s="2110"/>
      <c r="AH190" s="2110"/>
      <c r="AI190" s="2110"/>
      <c r="AJ190" s="2110"/>
      <c r="AK190" s="2110"/>
      <c r="AL190" s="1727"/>
      <c r="AM190" s="1727"/>
      <c r="AP190" s="1136"/>
      <c r="AR190" s="49"/>
      <c r="AS190" s="49"/>
    </row>
    <row r="191" spans="1:51" s="365" customFormat="1" ht="36" hidden="1" customHeight="1">
      <c r="A191" s="365" t="s">
        <v>1716</v>
      </c>
      <c r="B191" s="4101" t="s">
        <v>676</v>
      </c>
      <c r="C191" s="4101"/>
      <c r="D191" s="4101"/>
      <c r="E191" s="2470" t="str">
        <f>'Document Checklist'!$E$174</f>
        <v>90. Disaster Housing Plan</v>
      </c>
      <c r="F191" s="2470"/>
      <c r="G191" s="2470"/>
      <c r="H191" s="2470"/>
      <c r="I191" s="2470"/>
      <c r="J191" s="2470"/>
      <c r="K191" s="2470"/>
      <c r="L191" s="2470"/>
      <c r="M191" s="2470"/>
      <c r="N191" s="2470" t="str">
        <f>'Document Checklist'!$N$174</f>
        <v>At time of application, provide documentation or a plan on how the project will contribute to providing housing for disaster-impacted housholds.</v>
      </c>
      <c r="O191" s="2470"/>
      <c r="P191" s="2470"/>
      <c r="Q191" s="2470"/>
      <c r="R191" s="2470"/>
      <c r="S191" s="2470"/>
      <c r="T191" s="2470"/>
      <c r="U191" s="2470"/>
      <c r="V191" s="2470"/>
      <c r="W191" s="2470"/>
      <c r="X191" s="2470"/>
      <c r="Y191" s="2470"/>
      <c r="Z191" s="2470"/>
      <c r="AA191" s="2470"/>
      <c r="AB191" s="2470"/>
      <c r="AC191" s="2470"/>
      <c r="AD191" s="2470"/>
      <c r="AE191" s="2470"/>
      <c r="AF191" s="2109" t="s">
        <v>843</v>
      </c>
      <c r="AG191" s="2110"/>
      <c r="AH191" s="2110"/>
      <c r="AI191" s="2110"/>
      <c r="AJ191" s="2110"/>
      <c r="AK191" s="2110"/>
      <c r="AL191" s="1727"/>
      <c r="AM191" s="1727"/>
      <c r="AP191" s="1136"/>
      <c r="AR191" s="49"/>
      <c r="AS191" s="49"/>
    </row>
    <row r="192" spans="1:51" s="365" customFormat="1" ht="36" customHeight="1">
      <c r="B192" s="1085"/>
      <c r="C192" s="1080" t="s">
        <v>1422</v>
      </c>
      <c r="D192" s="3979" t="s">
        <v>1717</v>
      </c>
      <c r="E192" s="3979"/>
      <c r="F192" s="3979"/>
      <c r="G192" s="3979"/>
      <c r="H192" s="3979"/>
      <c r="I192" s="3979"/>
      <c r="J192" s="3979"/>
      <c r="K192" s="3979"/>
      <c r="L192" s="3979"/>
      <c r="M192" s="3979"/>
      <c r="N192" s="3979"/>
      <c r="O192" s="3979"/>
      <c r="P192" s="3979"/>
      <c r="Q192" s="3979"/>
      <c r="R192" s="3979"/>
      <c r="S192" s="3979"/>
      <c r="T192" s="3979"/>
      <c r="U192" s="3979"/>
      <c r="V192" s="3979"/>
      <c r="W192" s="3979"/>
      <c r="X192" s="3979"/>
      <c r="Y192" s="3979"/>
      <c r="Z192" s="3979"/>
      <c r="AA192" s="3979"/>
      <c r="AB192" s="3979"/>
      <c r="AC192" s="3979"/>
      <c r="AD192" s="3979"/>
      <c r="AE192" s="3979"/>
      <c r="AF192" s="3979"/>
      <c r="AG192" s="3979"/>
      <c r="AH192" s="3979"/>
      <c r="AI192" s="3979"/>
      <c r="AJ192" s="3979"/>
      <c r="AK192" s="4017"/>
      <c r="AL192" s="4024">
        <f>IF(AL193="Yes",5,0)</f>
        <v>0</v>
      </c>
      <c r="AM192" s="4024"/>
      <c r="AN192" s="452"/>
      <c r="AO192" s="107"/>
      <c r="AP192" s="1136"/>
      <c r="AQ192" s="49"/>
      <c r="AR192" s="49"/>
      <c r="AS192" s="49"/>
      <c r="AT192" s="1136"/>
      <c r="AU192" s="1136"/>
      <c r="AV192" s="1058"/>
      <c r="AW192" s="1058"/>
      <c r="AX192" s="1058"/>
      <c r="AY192" s="1058"/>
    </row>
    <row r="193" spans="1:55" s="365" customFormat="1" ht="34.5" customHeight="1">
      <c r="B193" s="1085"/>
      <c r="C193" s="718"/>
      <c r="D193" s="3979" t="s">
        <v>1718</v>
      </c>
      <c r="E193" s="3979"/>
      <c r="F193" s="3979"/>
      <c r="G193" s="3979"/>
      <c r="H193" s="3979"/>
      <c r="I193" s="3979"/>
      <c r="J193" s="3979"/>
      <c r="K193" s="3979"/>
      <c r="L193" s="3979"/>
      <c r="M193" s="3979"/>
      <c r="N193" s="3979"/>
      <c r="O193" s="3979"/>
      <c r="P193" s="3979"/>
      <c r="Q193" s="3979"/>
      <c r="R193" s="3979"/>
      <c r="S193" s="3979"/>
      <c r="T193" s="3979"/>
      <c r="U193" s="3979"/>
      <c r="V193" s="3979"/>
      <c r="W193" s="3979"/>
      <c r="X193" s="3979"/>
      <c r="Y193" s="3979"/>
      <c r="Z193" s="3979"/>
      <c r="AA193" s="3979"/>
      <c r="AB193" s="3979"/>
      <c r="AC193" s="3979"/>
      <c r="AD193" s="3979"/>
      <c r="AE193" s="3979"/>
      <c r="AF193" s="3979"/>
      <c r="AG193" s="3979"/>
      <c r="AH193" s="3979"/>
      <c r="AI193" s="3979"/>
      <c r="AJ193" s="3979"/>
      <c r="AK193" s="4017"/>
      <c r="AL193" s="3751"/>
      <c r="AM193" s="3751"/>
      <c r="AP193" s="1136"/>
      <c r="AR193" s="49"/>
      <c r="AS193" s="49"/>
    </row>
    <row r="194" spans="1:55" s="365" customFormat="1" ht="36" customHeight="1">
      <c r="A194" s="1136"/>
      <c r="B194" s="1085"/>
      <c r="C194" s="1080" t="s">
        <v>1434</v>
      </c>
      <c r="D194" s="3616" t="s">
        <v>1719</v>
      </c>
      <c r="E194" s="3616"/>
      <c r="F194" s="3616"/>
      <c r="G194" s="3616"/>
      <c r="H194" s="3616"/>
      <c r="I194" s="3616"/>
      <c r="J194" s="3616"/>
      <c r="K194" s="3616"/>
      <c r="L194" s="3616"/>
      <c r="M194" s="3616"/>
      <c r="N194" s="3616"/>
      <c r="O194" s="3616"/>
      <c r="P194" s="3616"/>
      <c r="Q194" s="3616"/>
      <c r="R194" s="3616"/>
      <c r="S194" s="3616"/>
      <c r="T194" s="3616"/>
      <c r="U194" s="3616"/>
      <c r="V194" s="3616"/>
      <c r="W194" s="3616"/>
      <c r="X194" s="3616"/>
      <c r="Y194" s="3616"/>
      <c r="Z194" s="3616"/>
      <c r="AA194" s="3616"/>
      <c r="AB194" s="3616"/>
      <c r="AC194" s="3616"/>
      <c r="AD194" s="3616"/>
      <c r="AE194" s="3616"/>
      <c r="AF194" s="3616"/>
      <c r="AG194" s="3616"/>
      <c r="AH194" s="3616"/>
      <c r="AI194" s="3616"/>
      <c r="AJ194" s="3616"/>
      <c r="AK194" s="4178"/>
      <c r="AL194" s="4024">
        <f>IF(AL195="Yes",-5,0)</f>
        <v>0</v>
      </c>
      <c r="AM194" s="4024"/>
      <c r="AN194" s="452"/>
      <c r="AO194" s="716"/>
      <c r="AP194" s="1058"/>
      <c r="AQ194" s="49"/>
      <c r="AR194" s="49"/>
      <c r="AS194" s="49"/>
      <c r="AT194" s="1136"/>
      <c r="AU194" s="1136"/>
      <c r="AV194" s="1058"/>
      <c r="AW194" s="1058"/>
      <c r="AX194" s="1058"/>
      <c r="AY194" s="1058"/>
    </row>
    <row r="195" spans="1:55" s="364" customFormat="1" ht="18" customHeight="1">
      <c r="A195" s="360"/>
      <c r="B195" s="1073"/>
      <c r="C195" s="1513"/>
      <c r="D195" s="3984" t="s">
        <v>1720</v>
      </c>
      <c r="E195" s="3984"/>
      <c r="F195" s="3984"/>
      <c r="G195" s="3984"/>
      <c r="H195" s="3984"/>
      <c r="I195" s="3984"/>
      <c r="J195" s="3984"/>
      <c r="K195" s="3984"/>
      <c r="L195" s="3984"/>
      <c r="M195" s="3984"/>
      <c r="N195" s="3984"/>
      <c r="O195" s="3984"/>
      <c r="P195" s="3984"/>
      <c r="Q195" s="3984"/>
      <c r="R195" s="3984"/>
      <c r="S195" s="3984"/>
      <c r="T195" s="3984"/>
      <c r="U195" s="3984"/>
      <c r="V195" s="3984"/>
      <c r="W195" s="3984"/>
      <c r="X195" s="3984"/>
      <c r="Y195" s="3984"/>
      <c r="Z195" s="3984"/>
      <c r="AA195" s="3984"/>
      <c r="AB195" s="3984"/>
      <c r="AC195" s="3984"/>
      <c r="AD195" s="3984"/>
      <c r="AE195" s="3984"/>
      <c r="AF195" s="3984"/>
      <c r="AG195" s="3984"/>
      <c r="AH195" s="3984"/>
      <c r="AI195" s="3984"/>
      <c r="AJ195" s="3984"/>
      <c r="AK195" s="3984"/>
      <c r="AL195" s="3751"/>
      <c r="AM195" s="3751"/>
      <c r="AN195" s="452"/>
      <c r="AO195" s="1058"/>
      <c r="AP195" s="1058"/>
      <c r="AQ195" s="49"/>
      <c r="AR195" s="49"/>
      <c r="AS195" s="49"/>
      <c r="AT195" s="365"/>
      <c r="AU195" s="365"/>
      <c r="AV195" s="1058"/>
      <c r="AW195" s="1058"/>
      <c r="AX195" s="1058"/>
      <c r="AY195" s="1058"/>
      <c r="AZ195" s="1136"/>
      <c r="BA195" s="1136"/>
      <c r="BB195" s="1136"/>
      <c r="BC195" s="1136"/>
    </row>
    <row r="196" spans="1:55" ht="54" customHeight="1">
      <c r="A196" s="660"/>
      <c r="B196" s="3676" t="s">
        <v>676</v>
      </c>
      <c r="C196" s="3676"/>
      <c r="D196" s="3676"/>
      <c r="E196" s="2466" t="str">
        <f>'Document Checklist'!$E$137</f>
        <v>53. Local Approvals</v>
      </c>
      <c r="F196" s="2466"/>
      <c r="G196" s="2466"/>
      <c r="H196" s="2466"/>
      <c r="I196" s="2466"/>
      <c r="J196" s="2466"/>
      <c r="K196" s="2466"/>
      <c r="L196" s="2466"/>
      <c r="M196" s="2466"/>
      <c r="N196" s="2466" t="str">
        <f>'Document Checklist'!$N$137</f>
        <v>Local Approvals and Environmental Review Verification form(s) completed and signed by local authority or Responsible Entity, if different from jurisdiction).</v>
      </c>
      <c r="O196" s="2466"/>
      <c r="P196" s="2466"/>
      <c r="Q196" s="2466"/>
      <c r="R196" s="2466"/>
      <c r="S196" s="2466"/>
      <c r="T196" s="2466"/>
      <c r="U196" s="2466"/>
      <c r="V196" s="2466"/>
      <c r="W196" s="2466"/>
      <c r="X196" s="2466"/>
      <c r="Y196" s="2466"/>
      <c r="Z196" s="2466"/>
      <c r="AA196" s="2466"/>
      <c r="AB196" s="2466"/>
      <c r="AC196" s="2466"/>
      <c r="AD196" s="2466"/>
      <c r="AE196" s="2466"/>
      <c r="AF196" s="4123" t="s">
        <v>843</v>
      </c>
      <c r="AG196" s="4124"/>
      <c r="AH196" s="4124"/>
      <c r="AI196" s="4124"/>
      <c r="AJ196" s="4124"/>
      <c r="AK196" s="4124"/>
      <c r="AL196" s="1727"/>
      <c r="AM196" s="1727"/>
      <c r="AN196" s="452"/>
      <c r="AO196" s="1058"/>
      <c r="AP196" s="107"/>
      <c r="AQ196" s="1448"/>
      <c r="AR196" s="1448"/>
      <c r="AS196" s="1448"/>
      <c r="AT196" s="1058"/>
      <c r="AU196" s="1058"/>
      <c r="AV196" s="1136"/>
      <c r="AW196" s="107"/>
      <c r="AX196" s="107"/>
      <c r="AY196" s="107"/>
      <c r="AZ196" s="360"/>
      <c r="BA196" s="1058"/>
      <c r="BB196" s="1058"/>
      <c r="BC196" s="360"/>
    </row>
    <row r="197" spans="1:55" s="107" customFormat="1" ht="93" customHeight="1">
      <c r="A197" s="1093"/>
      <c r="B197" s="4199" t="s">
        <v>1721</v>
      </c>
      <c r="C197" s="4199"/>
      <c r="D197" s="4199"/>
      <c r="E197" s="4199"/>
      <c r="F197" s="4199"/>
      <c r="G197" s="4199"/>
      <c r="H197" s="4199"/>
      <c r="I197" s="4199"/>
      <c r="J197" s="4199"/>
      <c r="K197" s="4199"/>
      <c r="L197" s="4199"/>
      <c r="M197" s="4199"/>
      <c r="N197" s="4199"/>
      <c r="O197" s="4199"/>
      <c r="P197" s="4199"/>
      <c r="Q197" s="4199"/>
      <c r="R197" s="4199"/>
      <c r="S197" s="4199"/>
      <c r="T197" s="4199"/>
      <c r="U197" s="4199"/>
      <c r="V197" s="4199"/>
      <c r="W197" s="4199"/>
      <c r="X197" s="4199"/>
      <c r="Y197" s="4199"/>
      <c r="Z197" s="4199"/>
      <c r="AA197" s="4199"/>
      <c r="AB197" s="4199"/>
      <c r="AC197" s="4199"/>
      <c r="AD197" s="4199"/>
      <c r="AE197" s="4199"/>
      <c r="AF197" s="4199"/>
      <c r="AG197" s="4199"/>
      <c r="AH197" s="4199"/>
      <c r="AI197" s="4199"/>
      <c r="AJ197" s="4199"/>
      <c r="AK197" s="4199"/>
      <c r="AL197" s="4199"/>
      <c r="AM197" s="4199"/>
      <c r="AN197" s="452"/>
      <c r="AO197" s="1058"/>
      <c r="AQ197" s="1448"/>
      <c r="AR197" s="1448"/>
      <c r="AS197" s="1448"/>
      <c r="AT197" s="1058"/>
      <c r="AU197" s="1058"/>
      <c r="AV197" s="1058"/>
      <c r="AW197" s="1058"/>
      <c r="AX197" s="1058"/>
      <c r="AY197" s="1058"/>
    </row>
    <row r="198" spans="1:55" s="107" customFormat="1" ht="54" customHeight="1">
      <c r="B198" s="1866" t="s">
        <v>676</v>
      </c>
      <c r="C198" s="1866"/>
      <c r="D198" s="1866"/>
      <c r="E198" s="1859" t="str">
        <f>'Document Checklist'!$E$114</f>
        <v>33. Operating Subsidy Commitment</v>
      </c>
      <c r="F198" s="1859"/>
      <c r="G198" s="1859"/>
      <c r="H198" s="1859"/>
      <c r="I198" s="1859"/>
      <c r="J198" s="1859"/>
      <c r="K198" s="1859"/>
      <c r="L198" s="1859"/>
      <c r="M198" s="1859"/>
      <c r="N198" s="1859" t="str">
        <f>'Document Checklist'!$N$114</f>
        <v>Documentation evidencing commitment of Operating Subsidies including source, term (in years), total subsidy amount and estimated first year allocation.</v>
      </c>
      <c r="O198" s="1859"/>
      <c r="P198" s="1859"/>
      <c r="Q198" s="1859"/>
      <c r="R198" s="1859"/>
      <c r="S198" s="1859"/>
      <c r="T198" s="1859"/>
      <c r="U198" s="1859"/>
      <c r="V198" s="1859"/>
      <c r="W198" s="1859"/>
      <c r="X198" s="1859"/>
      <c r="Y198" s="1859"/>
      <c r="Z198" s="1859"/>
      <c r="AA198" s="1859"/>
      <c r="AB198" s="1859"/>
      <c r="AC198" s="1859"/>
      <c r="AD198" s="1859"/>
      <c r="AE198" s="1859"/>
      <c r="AF198" s="3561" t="s">
        <v>843</v>
      </c>
      <c r="AG198" s="3562"/>
      <c r="AH198" s="3562"/>
      <c r="AI198" s="3562"/>
      <c r="AJ198" s="3562"/>
      <c r="AK198" s="3562"/>
      <c r="AL198" s="1727"/>
      <c r="AM198" s="1727"/>
      <c r="AN198" s="452"/>
      <c r="AO198" s="1058"/>
      <c r="AQ198" s="1448"/>
      <c r="AR198" s="1448"/>
      <c r="AS198" s="1448"/>
      <c r="AT198" s="1058"/>
      <c r="AU198" s="1058"/>
      <c r="AV198" s="1058"/>
      <c r="AW198" s="1058"/>
      <c r="AX198" s="1058"/>
      <c r="AY198" s="1058"/>
    </row>
    <row r="199" spans="1:55" s="107" customFormat="1" ht="36" customHeight="1">
      <c r="B199" s="1866" t="s">
        <v>676</v>
      </c>
      <c r="C199" s="1866"/>
      <c r="D199" s="1866"/>
      <c r="E199" s="1859" t="str">
        <f>'Document Checklist'!$E$115</f>
        <v>34. Current Contract Rents</v>
      </c>
      <c r="F199" s="1859"/>
      <c r="G199" s="1859"/>
      <c r="H199" s="1859"/>
      <c r="I199" s="1859"/>
      <c r="J199" s="1859"/>
      <c r="K199" s="1859"/>
      <c r="L199" s="1859"/>
      <c r="M199" s="1859"/>
      <c r="N199" s="1859" t="str">
        <f>'Document Checklist'!$N$115</f>
        <v>Projects proposing project-based rental assistance: Provide documentation of current contract rents for HAP, Shelter Plus or other source, as applicable.</v>
      </c>
      <c r="O199" s="1859"/>
      <c r="P199" s="1859"/>
      <c r="Q199" s="1859"/>
      <c r="R199" s="1859"/>
      <c r="S199" s="1859"/>
      <c r="T199" s="1859"/>
      <c r="U199" s="1859"/>
      <c r="V199" s="1859"/>
      <c r="W199" s="1859"/>
      <c r="X199" s="1859"/>
      <c r="Y199" s="1859"/>
      <c r="Z199" s="1859"/>
      <c r="AA199" s="1859"/>
      <c r="AB199" s="1859"/>
      <c r="AC199" s="1859"/>
      <c r="AD199" s="1859"/>
      <c r="AE199" s="1859"/>
      <c r="AF199" s="3561" t="s">
        <v>843</v>
      </c>
      <c r="AG199" s="3562"/>
      <c r="AH199" s="3562"/>
      <c r="AI199" s="3562"/>
      <c r="AJ199" s="3562"/>
      <c r="AK199" s="3562"/>
      <c r="AL199" s="1727"/>
      <c r="AM199" s="1727"/>
      <c r="AN199" s="452"/>
      <c r="AO199" s="1058"/>
      <c r="AQ199" s="1448"/>
      <c r="AR199" s="1448"/>
      <c r="AS199" s="1448"/>
      <c r="AT199" s="1058"/>
      <c r="AU199" s="1058"/>
      <c r="AV199" s="1058"/>
      <c r="AW199" s="1058"/>
      <c r="AX199" s="1058"/>
      <c r="AY199" s="1058"/>
    </row>
    <row r="200" spans="1:55" s="107" customFormat="1" ht="18" customHeight="1">
      <c r="A200" s="373"/>
      <c r="B200" s="281"/>
      <c r="C200" s="281"/>
      <c r="D200" s="281"/>
      <c r="E200" s="33"/>
      <c r="F200" s="33"/>
      <c r="G200" s="33"/>
      <c r="H200" s="33"/>
      <c r="I200" s="33"/>
      <c r="J200" s="33"/>
      <c r="K200" s="33"/>
      <c r="L200" s="33"/>
      <c r="M200" s="33"/>
      <c r="N200" s="33"/>
      <c r="O200" s="33"/>
      <c r="P200" s="33"/>
      <c r="Q200" s="33"/>
      <c r="R200" s="33"/>
      <c r="S200" s="33"/>
      <c r="T200" s="33"/>
      <c r="U200" s="33"/>
      <c r="V200" s="33"/>
      <c r="W200" s="33"/>
      <c r="X200" s="33"/>
      <c r="Y200" s="33"/>
      <c r="Z200" s="33"/>
      <c r="AA200" s="33"/>
      <c r="AB200" s="33"/>
      <c r="AC200" s="33"/>
      <c r="AD200" s="33"/>
      <c r="AE200" s="33"/>
      <c r="AF200" s="374"/>
      <c r="AG200" s="374"/>
      <c r="AH200" s="374"/>
      <c r="AI200" s="374"/>
      <c r="AJ200" s="374"/>
      <c r="AK200" s="374"/>
      <c r="AL200" s="375"/>
      <c r="AM200" s="375"/>
      <c r="AN200" s="1473"/>
      <c r="AO200" s="1058"/>
      <c r="AQ200" s="1448"/>
      <c r="AR200" s="1448"/>
      <c r="AS200" s="1448"/>
      <c r="AT200" s="1058"/>
      <c r="AU200" s="1058"/>
      <c r="AV200" s="1058"/>
      <c r="AW200" s="1058"/>
      <c r="AX200" s="1058"/>
      <c r="AY200" s="1058"/>
    </row>
    <row r="201" spans="1:55" s="107" customFormat="1" ht="18" customHeight="1">
      <c r="B201" s="4185" t="s">
        <v>1722</v>
      </c>
      <c r="C201" s="4186"/>
      <c r="D201" s="4186"/>
      <c r="E201" s="4186"/>
      <c r="F201" s="4186"/>
      <c r="G201" s="4186"/>
      <c r="H201" s="4186"/>
      <c r="I201" s="4186"/>
      <c r="J201" s="4186"/>
      <c r="K201" s="4186"/>
      <c r="L201" s="4186"/>
      <c r="M201" s="4186"/>
      <c r="N201" s="4186"/>
      <c r="O201" s="4186"/>
      <c r="P201" s="4186"/>
      <c r="Q201" s="4186"/>
      <c r="R201" s="4186"/>
      <c r="S201" s="4186"/>
      <c r="T201" s="4186"/>
      <c r="U201" s="4186"/>
      <c r="V201" s="4186"/>
      <c r="W201" s="4186"/>
      <c r="X201" s="4186"/>
      <c r="Y201" s="4186"/>
      <c r="Z201" s="4186"/>
      <c r="AA201" s="4186"/>
      <c r="AB201" s="4186"/>
      <c r="AC201" s="4186"/>
      <c r="AD201" s="4186"/>
      <c r="AE201" s="4186"/>
      <c r="AF201" s="4186"/>
      <c r="AG201" s="4186"/>
      <c r="AH201" s="4186"/>
      <c r="AI201" s="4186"/>
      <c r="AJ201" s="4186"/>
      <c r="AK201" s="4187"/>
      <c r="AL201" s="3982">
        <f>IFERROR(MIN(SUM($AL$203,MAX($AL$220,MIN(SUM($AL$225,$AL$229,$AL$232,$AL$236),5)),$AL$241,MIN(SUM($AL$246,$AL$249,$AL$252,$AL$255,$AL$258,$AL$261),5)),20),0)</f>
        <v>0</v>
      </c>
      <c r="AM201" s="3982"/>
      <c r="AN201" s="452"/>
      <c r="AQ201" s="1448"/>
      <c r="AR201" s="279"/>
      <c r="AS201" s="279"/>
      <c r="AT201" s="1058"/>
      <c r="AU201" s="1058"/>
      <c r="AV201" s="1058"/>
      <c r="AW201" s="1058"/>
      <c r="AX201" s="1058"/>
      <c r="AY201" s="1058"/>
    </row>
    <row r="202" spans="1:55" s="701" customFormat="1" ht="18" customHeight="1">
      <c r="B202" s="4154" t="s">
        <v>1723</v>
      </c>
      <c r="C202" s="4155"/>
      <c r="D202" s="4155"/>
      <c r="E202" s="4155"/>
      <c r="F202" s="4155"/>
      <c r="G202" s="4155"/>
      <c r="H202" s="4155"/>
      <c r="I202" s="4155"/>
      <c r="J202" s="4155"/>
      <c r="K202" s="4155"/>
      <c r="L202" s="4155"/>
      <c r="M202" s="4155"/>
      <c r="N202" s="4155"/>
      <c r="O202" s="4155"/>
      <c r="P202" s="4155"/>
      <c r="Q202" s="4155"/>
      <c r="R202" s="4155"/>
      <c r="S202" s="4155"/>
      <c r="T202" s="4155"/>
      <c r="U202" s="4155"/>
      <c r="V202" s="4155"/>
      <c r="W202" s="4155"/>
      <c r="X202" s="4155"/>
      <c r="Y202" s="4155"/>
      <c r="Z202" s="4155"/>
      <c r="AA202" s="4155"/>
      <c r="AB202" s="4155"/>
      <c r="AC202" s="4155"/>
      <c r="AD202" s="4155"/>
      <c r="AE202" s="4155"/>
      <c r="AF202" s="4155"/>
      <c r="AG202" s="4155"/>
      <c r="AH202" s="4155"/>
      <c r="AI202" s="4155"/>
      <c r="AJ202" s="4155"/>
      <c r="AK202" s="4155"/>
      <c r="AL202" s="4156"/>
      <c r="AM202" s="4157"/>
      <c r="AP202" s="107"/>
      <c r="AR202" s="279"/>
      <c r="AS202" s="279"/>
    </row>
    <row r="203" spans="1:55" s="107" customFormat="1" ht="36" customHeight="1">
      <c r="B203" s="1096" t="s">
        <v>1402</v>
      </c>
      <c r="C203" s="4091" t="s">
        <v>1724</v>
      </c>
      <c r="D203" s="4091"/>
      <c r="E203" s="4091"/>
      <c r="F203" s="4091"/>
      <c r="G203" s="4091"/>
      <c r="H203" s="4091"/>
      <c r="I203" s="4091"/>
      <c r="J203" s="4091"/>
      <c r="K203" s="4091"/>
      <c r="L203" s="4091"/>
      <c r="M203" s="4091"/>
      <c r="N203" s="4091"/>
      <c r="O203" s="4091"/>
      <c r="P203" s="4091"/>
      <c r="Q203" s="4091"/>
      <c r="R203" s="4091"/>
      <c r="S203" s="4091"/>
      <c r="T203" s="4091"/>
      <c r="U203" s="4091"/>
      <c r="V203" s="4091"/>
      <c r="W203" s="4091"/>
      <c r="X203" s="4091"/>
      <c r="Y203" s="4091"/>
      <c r="Z203" s="4091"/>
      <c r="AA203" s="4091"/>
      <c r="AB203" s="4091"/>
      <c r="AC203" s="4091"/>
      <c r="AD203" s="4091"/>
      <c r="AE203" s="4091"/>
      <c r="AF203" s="4091"/>
      <c r="AG203" s="4091"/>
      <c r="AH203" s="4091"/>
      <c r="AI203" s="4091"/>
      <c r="AJ203" s="4091"/>
      <c r="AK203" s="4091"/>
      <c r="AL203" s="4024">
        <f>IF(OR($C$205&gt;0,$AL$209="Yes",vmExcessSurplus="Yes"),5,0)</f>
        <v>0</v>
      </c>
      <c r="AM203" s="4024"/>
      <c r="AN203" s="661"/>
      <c r="AP203" s="1058"/>
      <c r="AQ203" s="279"/>
      <c r="AR203" s="279"/>
      <c r="AS203" s="279"/>
      <c r="AW203" s="1058"/>
      <c r="AX203" s="1058"/>
      <c r="AY203" s="1058"/>
    </row>
    <row r="204" spans="1:55" s="701" customFormat="1" ht="18" customHeight="1">
      <c r="B204" s="855"/>
      <c r="C204" s="1097" t="s">
        <v>1619</v>
      </c>
      <c r="D204" s="3926" t="s">
        <v>1725</v>
      </c>
      <c r="E204" s="3926"/>
      <c r="F204" s="3926"/>
      <c r="G204" s="3926"/>
      <c r="H204" s="3926"/>
      <c r="I204" s="3926"/>
      <c r="J204" s="3926"/>
      <c r="K204" s="3926"/>
      <c r="L204" s="3926"/>
      <c r="M204" s="3926"/>
      <c r="N204" s="3926"/>
      <c r="O204" s="3926"/>
      <c r="P204" s="3926"/>
      <c r="Q204" s="3926"/>
      <c r="R204" s="3926"/>
      <c r="S204" s="3926"/>
      <c r="T204" s="3926"/>
      <c r="U204" s="3926"/>
      <c r="V204" s="3926"/>
      <c r="W204" s="3926"/>
      <c r="X204" s="3926"/>
      <c r="Y204" s="3926"/>
      <c r="Z204" s="3926"/>
      <c r="AA204" s="3926"/>
      <c r="AB204" s="3926"/>
      <c r="AC204" s="3926"/>
      <c r="AD204" s="3926"/>
      <c r="AE204" s="3926"/>
      <c r="AF204" s="3926"/>
      <c r="AG204" s="3926"/>
      <c r="AH204" s="3926"/>
      <c r="AI204" s="3926"/>
      <c r="AJ204" s="3926"/>
      <c r="AK204" s="3926"/>
      <c r="AL204" s="3926"/>
      <c r="AM204" s="4042"/>
      <c r="AO204" s="438" t="s">
        <v>1726</v>
      </c>
      <c r="AP204" s="107"/>
      <c r="AR204" s="279"/>
      <c r="AS204" s="279"/>
    </row>
    <row r="205" spans="1:55" s="107" customFormat="1" ht="72" customHeight="1">
      <c r="A205" s="365"/>
      <c r="B205" s="1098"/>
      <c r="C205" s="4098"/>
      <c r="D205" s="4099"/>
      <c r="E205" s="4099"/>
      <c r="F205" s="4099"/>
      <c r="G205" s="4099"/>
      <c r="H205" s="4099"/>
      <c r="I205" s="4099"/>
      <c r="J205" s="4099"/>
      <c r="K205" s="4099"/>
      <c r="L205" s="4099"/>
      <c r="M205" s="4099"/>
      <c r="N205" s="4099"/>
      <c r="O205" s="4099"/>
      <c r="P205" s="4099"/>
      <c r="Q205" s="4099"/>
      <c r="R205" s="4099"/>
      <c r="S205" s="4099"/>
      <c r="T205" s="4099"/>
      <c r="U205" s="4099"/>
      <c r="V205" s="4099"/>
      <c r="W205" s="4099"/>
      <c r="X205" s="4099"/>
      <c r="Y205" s="4099"/>
      <c r="Z205" s="4099"/>
      <c r="AA205" s="4099"/>
      <c r="AB205" s="4099"/>
      <c r="AC205" s="4099"/>
      <c r="AD205" s="4099"/>
      <c r="AE205" s="4099"/>
      <c r="AF205" s="4099"/>
      <c r="AG205" s="4099"/>
      <c r="AH205" s="4099"/>
      <c r="AI205" s="4099"/>
      <c r="AJ205" s="4099"/>
      <c r="AK205" s="4099"/>
      <c r="AL205" s="4099"/>
      <c r="AM205" s="4100"/>
      <c r="AN205" s="662"/>
      <c r="AO205" s="1058" t="s">
        <v>1727</v>
      </c>
      <c r="AP205" s="1058"/>
      <c r="AQ205" s="279"/>
      <c r="AR205" s="279"/>
      <c r="AS205" s="279"/>
    </row>
    <row r="206" spans="1:55" s="365" customFormat="1" ht="18" customHeight="1">
      <c r="A206" s="449"/>
      <c r="B206" s="1085"/>
      <c r="C206" s="1094" t="s">
        <v>1623</v>
      </c>
      <c r="D206" s="3996" t="s">
        <v>1728</v>
      </c>
      <c r="E206" s="3996"/>
      <c r="F206" s="3996"/>
      <c r="G206" s="3996"/>
      <c r="H206" s="3996"/>
      <c r="I206" s="3996"/>
      <c r="J206" s="3996"/>
      <c r="K206" s="3996"/>
      <c r="L206" s="3996"/>
      <c r="M206" s="3996"/>
      <c r="N206" s="3996"/>
      <c r="O206" s="3996"/>
      <c r="P206" s="3996"/>
      <c r="Q206" s="3996"/>
      <c r="R206" s="3996"/>
      <c r="S206" s="3996"/>
      <c r="T206" s="3996"/>
      <c r="U206" s="3996"/>
      <c r="V206" s="3996"/>
      <c r="W206" s="3996"/>
      <c r="X206" s="3996"/>
      <c r="Y206" s="3996"/>
      <c r="Z206" s="3996"/>
      <c r="AA206" s="3996"/>
      <c r="AB206" s="3996"/>
      <c r="AC206" s="3996"/>
      <c r="AD206" s="3996"/>
      <c r="AE206" s="3996"/>
      <c r="AF206" s="3996"/>
      <c r="AG206" s="3996"/>
      <c r="AH206" s="3996"/>
      <c r="AI206" s="3996"/>
      <c r="AJ206" s="3996"/>
      <c r="AK206" s="3996"/>
      <c r="AL206" s="3996"/>
      <c r="AM206" s="3997"/>
      <c r="AN206" s="662"/>
      <c r="AO206" s="1058" t="s">
        <v>1729</v>
      </c>
      <c r="AP206" s="1058"/>
      <c r="AQ206" s="279"/>
      <c r="AR206" s="279"/>
      <c r="AS206" s="279"/>
      <c r="AT206" s="107"/>
      <c r="AU206" s="107"/>
      <c r="AV206" s="107"/>
      <c r="AW206" s="107"/>
      <c r="AX206" s="107"/>
      <c r="AY206" s="107"/>
    </row>
    <row r="207" spans="1:55" s="365" customFormat="1" ht="18" hidden="1" customHeight="1">
      <c r="A207" s="449"/>
      <c r="B207" s="4188" t="s">
        <v>1730</v>
      </c>
      <c r="C207" s="4189"/>
      <c r="D207" s="4189"/>
      <c r="E207" s="4189"/>
      <c r="F207" s="4189"/>
      <c r="G207" s="4189"/>
      <c r="H207" s="4189"/>
      <c r="I207" s="4189"/>
      <c r="J207" s="4189"/>
      <c r="K207" s="4189"/>
      <c r="L207" s="4189"/>
      <c r="M207" s="4189"/>
      <c r="N207" s="4189"/>
      <c r="O207" s="4189"/>
      <c r="P207" s="4189"/>
      <c r="Q207" s="4189"/>
      <c r="R207" s="4189"/>
      <c r="S207" s="4189"/>
      <c r="T207" s="4189"/>
      <c r="U207" s="4189"/>
      <c r="V207" s="4189"/>
      <c r="W207" s="4189"/>
      <c r="X207" s="4189"/>
      <c r="Y207" s="4189"/>
      <c r="Z207" s="4189"/>
      <c r="AA207" s="4189"/>
      <c r="AB207" s="4189"/>
      <c r="AC207" s="4189"/>
      <c r="AD207" s="4189"/>
      <c r="AE207" s="4189"/>
      <c r="AF207" s="4189"/>
      <c r="AG207" s="4189"/>
      <c r="AH207" s="4189"/>
      <c r="AI207" s="4189"/>
      <c r="AJ207" s="4189"/>
      <c r="AK207" s="4189"/>
      <c r="AL207" s="4190"/>
      <c r="AM207" s="4191"/>
      <c r="AN207" s="662"/>
      <c r="AO207" s="1058"/>
      <c r="AP207" s="1058"/>
      <c r="AQ207" s="279"/>
      <c r="AR207" s="279"/>
      <c r="AS207" s="279"/>
      <c r="AT207" s="107"/>
      <c r="AU207" s="107"/>
      <c r="AV207" s="107"/>
      <c r="AW207" s="107"/>
      <c r="AX207" s="107"/>
      <c r="AY207" s="107"/>
    </row>
    <row r="208" spans="1:55" s="365" customFormat="1" ht="16.5" customHeight="1">
      <c r="A208" s="1476"/>
      <c r="B208" s="4188" t="s">
        <v>1731</v>
      </c>
      <c r="C208" s="4189"/>
      <c r="D208" s="4189"/>
      <c r="E208" s="4189"/>
      <c r="F208" s="4189"/>
      <c r="G208" s="4189"/>
      <c r="H208" s="4189"/>
      <c r="I208" s="4189"/>
      <c r="J208" s="4189"/>
      <c r="K208" s="4189"/>
      <c r="L208" s="4189"/>
      <c r="M208" s="4189"/>
      <c r="N208" s="4189"/>
      <c r="O208" s="4189"/>
      <c r="P208" s="4189"/>
      <c r="Q208" s="4189"/>
      <c r="R208" s="4189"/>
      <c r="S208" s="4189"/>
      <c r="T208" s="4189"/>
      <c r="U208" s="4189"/>
      <c r="V208" s="4189"/>
      <c r="W208" s="4189"/>
      <c r="X208" s="4189"/>
      <c r="Y208" s="4189"/>
      <c r="Z208" s="4189"/>
      <c r="AA208" s="4189"/>
      <c r="AB208" s="4189"/>
      <c r="AC208" s="4189"/>
      <c r="AD208" s="4189"/>
      <c r="AE208" s="4189"/>
      <c r="AF208" s="4189"/>
      <c r="AG208" s="4189"/>
      <c r="AH208" s="4095" t="s">
        <v>1732</v>
      </c>
      <c r="AI208" s="4095"/>
      <c r="AJ208" s="4095"/>
      <c r="AK208" s="4095"/>
      <c r="AL208" s="4092"/>
      <c r="AM208" s="4092"/>
      <c r="AN208" s="662"/>
      <c r="AO208" s="1058"/>
      <c r="AP208" s="1058"/>
      <c r="AQ208" s="279"/>
      <c r="AR208" s="279"/>
      <c r="AS208" s="279"/>
      <c r="AT208" s="107"/>
      <c r="AU208" s="107"/>
      <c r="AV208" s="107"/>
      <c r="AW208" s="107"/>
      <c r="AX208" s="107"/>
      <c r="AY208" s="107"/>
    </row>
    <row r="209" spans="1:51" s="365" customFormat="1" ht="18" customHeight="1">
      <c r="A209" s="449"/>
      <c r="B209" s="4195" t="s">
        <v>1733</v>
      </c>
      <c r="C209" s="4196"/>
      <c r="D209" s="4196"/>
      <c r="E209" s="4196"/>
      <c r="F209" s="4196"/>
      <c r="G209" s="4196"/>
      <c r="H209" s="4196"/>
      <c r="I209" s="4196"/>
      <c r="J209" s="4196"/>
      <c r="K209" s="4196"/>
      <c r="L209" s="4196"/>
      <c r="M209" s="4093">
        <f>IF($K$216=0,0,SUM($AL$210:$AM$215)/$K$216)</f>
        <v>2.7911764705882356</v>
      </c>
      <c r="N209" s="4094"/>
      <c r="O209" s="4192" t="s">
        <v>1734</v>
      </c>
      <c r="P209" s="4193"/>
      <c r="Q209" s="4193"/>
      <c r="R209" s="4193"/>
      <c r="S209" s="4193"/>
      <c r="T209" s="4193"/>
      <c r="U209" s="4193"/>
      <c r="V209" s="4193"/>
      <c r="W209" s="4193"/>
      <c r="X209" s="4193"/>
      <c r="Y209" s="4193"/>
      <c r="Z209" s="4193"/>
      <c r="AA209" s="4192"/>
      <c r="AB209" s="4193"/>
      <c r="AC209" s="4193"/>
      <c r="AD209" s="4193"/>
      <c r="AE209" s="4193"/>
      <c r="AF209" s="4193"/>
      <c r="AG209" s="4193"/>
      <c r="AH209" s="4193"/>
      <c r="AI209" s="4193"/>
      <c r="AJ209" s="4193"/>
      <c r="AK209" s="4194"/>
      <c r="AL209" s="4020" t="str">
        <f>IF($M$209&gt;=MAX($AL$208,10),"Yes","No")</f>
        <v>No</v>
      </c>
      <c r="AM209" s="4020"/>
      <c r="AN209" s="662"/>
      <c r="AO209" s="1058"/>
      <c r="AP209" s="1058"/>
      <c r="AQ209" s="279"/>
      <c r="AR209" s="279"/>
      <c r="AS209" s="279"/>
      <c r="AT209" s="107"/>
      <c r="AU209" s="107"/>
      <c r="AV209" s="107"/>
      <c r="AW209" s="107"/>
      <c r="AX209" s="107"/>
      <c r="AY209" s="107"/>
    </row>
    <row r="210" spans="1:51" s="365" customFormat="1" ht="18" customHeight="1">
      <c r="A210" s="449"/>
      <c r="B210" s="3999" t="s">
        <v>1735</v>
      </c>
      <c r="C210" s="3999"/>
      <c r="D210" s="3999"/>
      <c r="E210" s="3999"/>
      <c r="F210" s="3999"/>
      <c r="G210" s="3999"/>
      <c r="H210" s="3999"/>
      <c r="I210" s="3999"/>
      <c r="J210" s="3999"/>
      <c r="K210" s="4000">
        <f>'Project Overview'!$H$131*43560</f>
        <v>1481040</v>
      </c>
      <c r="L210" s="4000"/>
      <c r="M210" s="4000"/>
      <c r="N210" s="4001"/>
      <c r="O210" s="4058"/>
      <c r="P210" s="4061" t="s">
        <v>1736</v>
      </c>
      <c r="Q210" s="4062"/>
      <c r="R210" s="4062"/>
      <c r="S210" s="4062"/>
      <c r="T210" s="4062"/>
      <c r="U210" s="4062"/>
      <c r="V210" s="4062"/>
      <c r="W210" s="4062"/>
      <c r="X210" s="4062"/>
      <c r="Y210" s="4062"/>
      <c r="Z210" s="4063"/>
      <c r="AA210" s="1086"/>
      <c r="AB210" s="4096" t="s">
        <v>1737</v>
      </c>
      <c r="AC210" s="4096"/>
      <c r="AD210" s="4096"/>
      <c r="AE210" s="4096"/>
      <c r="AF210" s="4096"/>
      <c r="AG210" s="4096"/>
      <c r="AH210" s="4096"/>
      <c r="AI210" s="4096"/>
      <c r="AJ210" s="4096"/>
      <c r="AK210" s="4096"/>
      <c r="AL210" s="4018">
        <f>(SUMIF(UnitsTbl['# of Bedrooms],"0",UnitsTbl[Total Units]))*0.7</f>
        <v>0.7</v>
      </c>
      <c r="AM210" s="4018"/>
      <c r="AN210" s="662"/>
      <c r="AO210" s="1058"/>
      <c r="AP210" s="1058"/>
      <c r="AQ210" s="279"/>
      <c r="AR210" s="279"/>
      <c r="AS210" s="279"/>
      <c r="AT210" s="107"/>
      <c r="AU210" s="107"/>
      <c r="AV210" s="107"/>
      <c r="AW210" s="107"/>
      <c r="AX210" s="107"/>
      <c r="AY210" s="107"/>
    </row>
    <row r="211" spans="1:51" s="365" customFormat="1" ht="18" customHeight="1">
      <c r="A211" s="449"/>
      <c r="B211" s="4020" t="s">
        <v>1738</v>
      </c>
      <c r="C211" s="4020"/>
      <c r="D211" s="4020"/>
      <c r="E211" s="4020"/>
      <c r="F211" s="4020"/>
      <c r="G211" s="4020"/>
      <c r="H211" s="4020"/>
      <c r="I211" s="4020"/>
      <c r="J211" s="4020"/>
      <c r="K211" s="4020"/>
      <c r="L211" s="4020"/>
      <c r="M211" s="4020"/>
      <c r="N211" s="4021"/>
      <c r="O211" s="4059"/>
      <c r="P211" s="4064"/>
      <c r="Q211" s="4065"/>
      <c r="R211" s="4065"/>
      <c r="S211" s="4065"/>
      <c r="T211" s="4065"/>
      <c r="U211" s="4065"/>
      <c r="V211" s="4065"/>
      <c r="W211" s="4065"/>
      <c r="X211" s="4062"/>
      <c r="Y211" s="4062"/>
      <c r="Z211" s="4063"/>
      <c r="AA211" s="1085"/>
      <c r="AB211" s="4019" t="s">
        <v>1739</v>
      </c>
      <c r="AC211" s="4019"/>
      <c r="AD211" s="4019"/>
      <c r="AE211" s="4019"/>
      <c r="AF211" s="4019"/>
      <c r="AG211" s="4019"/>
      <c r="AH211" s="4019"/>
      <c r="AI211" s="4019"/>
      <c r="AJ211" s="4019"/>
      <c r="AK211" s="4019"/>
      <c r="AL211" s="4018">
        <f>(SUMIF(UnitsTbl['# of Bedrooms],"1",UnitsTbl[Total Units]))*0.9</f>
        <v>0</v>
      </c>
      <c r="AM211" s="4018"/>
      <c r="AN211" s="662"/>
      <c r="AO211" s="1058"/>
      <c r="AP211" s="1058"/>
      <c r="AQ211" s="279"/>
      <c r="AR211" s="279"/>
      <c r="AS211" s="279"/>
      <c r="AT211" s="107"/>
      <c r="AU211" s="107"/>
      <c r="AV211" s="107"/>
      <c r="AW211" s="107"/>
      <c r="AX211" s="107"/>
      <c r="AY211" s="107"/>
    </row>
    <row r="212" spans="1:51" s="365" customFormat="1" ht="18" customHeight="1">
      <c r="A212" s="449"/>
      <c r="B212" s="4037" t="s">
        <v>1740</v>
      </c>
      <c r="C212" s="4038"/>
      <c r="D212" s="4038"/>
      <c r="E212" s="4038"/>
      <c r="F212" s="4038"/>
      <c r="G212" s="4038"/>
      <c r="H212" s="4038"/>
      <c r="I212" s="4038"/>
      <c r="J212" s="4038"/>
      <c r="K212" s="4128"/>
      <c r="L212" s="4128"/>
      <c r="M212" s="4128"/>
      <c r="N212" s="4129"/>
      <c r="O212" s="4059"/>
      <c r="P212" s="4165" t="s">
        <v>1741</v>
      </c>
      <c r="Q212" s="4165"/>
      <c r="R212" s="4165"/>
      <c r="S212" s="4165"/>
      <c r="T212" s="4165"/>
      <c r="U212" s="4165"/>
      <c r="V212" s="4165"/>
      <c r="W212" s="4165"/>
      <c r="X212" s="4002"/>
      <c r="Y212" s="4002"/>
      <c r="Z212" s="4002"/>
      <c r="AA212" s="1085"/>
      <c r="AB212" s="4019" t="s">
        <v>1742</v>
      </c>
      <c r="AC212" s="4019"/>
      <c r="AD212" s="4019"/>
      <c r="AE212" s="4019"/>
      <c r="AF212" s="4019"/>
      <c r="AG212" s="4019"/>
      <c r="AH212" s="4019"/>
      <c r="AI212" s="4019"/>
      <c r="AJ212" s="4019"/>
      <c r="AK212" s="4019"/>
      <c r="AL212" s="4018">
        <f>(SUMIF(UnitsTbl['# of Bedrooms],"2",UnitsTbl[Total Units]))*1.2</f>
        <v>26.4</v>
      </c>
      <c r="AM212" s="4018"/>
      <c r="AN212" s="662"/>
      <c r="AO212" s="1058"/>
      <c r="AP212" s="1058"/>
      <c r="AQ212" s="279"/>
      <c r="AR212" s="279"/>
      <c r="AS212" s="279"/>
      <c r="AT212" s="107"/>
      <c r="AU212" s="107"/>
      <c r="AV212" s="107"/>
      <c r="AW212" s="107"/>
      <c r="AX212" s="107"/>
      <c r="AY212" s="107"/>
    </row>
    <row r="213" spans="1:51" s="365" customFormat="1" ht="18" customHeight="1">
      <c r="A213" s="449"/>
      <c r="B213" s="4037" t="s">
        <v>1743</v>
      </c>
      <c r="C213" s="4038"/>
      <c r="D213" s="4038"/>
      <c r="E213" s="4038"/>
      <c r="F213" s="4038"/>
      <c r="G213" s="4038"/>
      <c r="H213" s="4038"/>
      <c r="I213" s="4038"/>
      <c r="J213" s="4038"/>
      <c r="K213" s="4085"/>
      <c r="L213" s="4085"/>
      <c r="M213" s="4085"/>
      <c r="N213" s="4086"/>
      <c r="O213" s="4059"/>
      <c r="P213" s="718"/>
      <c r="Q213" s="4161" t="s">
        <v>1744</v>
      </c>
      <c r="R213" s="4161"/>
      <c r="S213" s="4161"/>
      <c r="T213" s="4161"/>
      <c r="U213" s="4161"/>
      <c r="V213" s="4161"/>
      <c r="W213" s="4161"/>
      <c r="X213" s="4003"/>
      <c r="Y213" s="4003"/>
      <c r="Z213" s="4003"/>
      <c r="AA213" s="1085"/>
      <c r="AB213" s="4019" t="s">
        <v>1745</v>
      </c>
      <c r="AC213" s="4019"/>
      <c r="AD213" s="4019"/>
      <c r="AE213" s="4019"/>
      <c r="AF213" s="4019"/>
      <c r="AG213" s="4019"/>
      <c r="AH213" s="4019"/>
      <c r="AI213" s="4019"/>
      <c r="AJ213" s="4019"/>
      <c r="AK213" s="4019"/>
      <c r="AL213" s="4018">
        <f>(SUMIF(UnitsTbl['# of Bedrooms],"3",UnitsTbl[Total Units]))*1.6</f>
        <v>19.200000000000003</v>
      </c>
      <c r="AM213" s="4018"/>
      <c r="AN213" s="662"/>
      <c r="AO213" s="1058"/>
      <c r="AP213" s="1058"/>
      <c r="AQ213" s="279"/>
      <c r="AR213" s="279"/>
      <c r="AS213" s="279"/>
      <c r="AT213" s="107"/>
      <c r="AU213" s="107"/>
      <c r="AV213" s="107"/>
      <c r="AW213" s="107"/>
      <c r="AX213" s="107"/>
      <c r="AY213" s="107"/>
    </row>
    <row r="214" spans="1:51" s="365" customFormat="1" ht="18" customHeight="1">
      <c r="A214" s="449"/>
      <c r="B214" s="4037" t="s">
        <v>1746</v>
      </c>
      <c r="C214" s="4038"/>
      <c r="D214" s="4038"/>
      <c r="E214" s="4038"/>
      <c r="F214" s="4038"/>
      <c r="G214" s="4038"/>
      <c r="H214" s="4038"/>
      <c r="I214" s="4038"/>
      <c r="J214" s="4038"/>
      <c r="K214" s="4085"/>
      <c r="L214" s="4085"/>
      <c r="M214" s="4085"/>
      <c r="N214" s="4086"/>
      <c r="O214" s="4059"/>
      <c r="P214" s="4023"/>
      <c r="Q214" s="4023"/>
      <c r="R214" s="4023"/>
      <c r="S214" s="4023"/>
      <c r="T214" s="4023"/>
      <c r="U214" s="4023"/>
      <c r="V214" s="4023"/>
      <c r="W214" s="4023"/>
      <c r="X214" s="4023"/>
      <c r="Y214" s="4023"/>
      <c r="Z214" s="4023"/>
      <c r="AA214" s="1085"/>
      <c r="AB214" s="4019" t="s">
        <v>1747</v>
      </c>
      <c r="AC214" s="4019"/>
      <c r="AD214" s="4019"/>
      <c r="AE214" s="4019"/>
      <c r="AF214" s="4019"/>
      <c r="AG214" s="4019"/>
      <c r="AH214" s="4019"/>
      <c r="AI214" s="4019"/>
      <c r="AJ214" s="4019"/>
      <c r="AK214" s="4019"/>
      <c r="AL214" s="4018">
        <f>(SUMIF(UnitsTbl['# of Bedrooms],"4",UnitsTbl[Total Units]))*1.8</f>
        <v>48.6</v>
      </c>
      <c r="AM214" s="4018"/>
      <c r="AN214" s="662"/>
      <c r="AO214" s="1058"/>
      <c r="AP214" s="1058"/>
      <c r="AQ214" s="279"/>
      <c r="AR214" s="279"/>
      <c r="AS214" s="279"/>
      <c r="AT214" s="107"/>
      <c r="AU214" s="107"/>
      <c r="AV214" s="107"/>
      <c r="AW214" s="107"/>
      <c r="AX214" s="107"/>
      <c r="AY214" s="107"/>
    </row>
    <row r="215" spans="1:51" s="365" customFormat="1" ht="18" customHeight="1">
      <c r="A215" s="449"/>
      <c r="B215" s="4037" t="s">
        <v>1748</v>
      </c>
      <c r="C215" s="4038"/>
      <c r="D215" s="4038"/>
      <c r="E215" s="4038"/>
      <c r="F215" s="4038"/>
      <c r="G215" s="4038"/>
      <c r="H215" s="4038"/>
      <c r="I215" s="4038"/>
      <c r="J215" s="4038"/>
      <c r="K215" s="4085"/>
      <c r="L215" s="4085"/>
      <c r="M215" s="4085"/>
      <c r="N215" s="4086"/>
      <c r="O215" s="4059"/>
      <c r="P215" s="4016" t="s">
        <v>1749</v>
      </c>
      <c r="Q215" s="4016"/>
      <c r="R215" s="4016"/>
      <c r="S215" s="4016"/>
      <c r="T215" s="4016"/>
      <c r="U215" s="4016"/>
      <c r="V215" s="4048">
        <f>IF('Project Overview'!$H$351&gt;0,'Project Overview'!$H$351,"0")</f>
        <v>419</v>
      </c>
      <c r="W215" s="4048"/>
      <c r="X215" s="4048"/>
      <c r="Y215" s="4048"/>
      <c r="Z215" s="4049"/>
      <c r="AA215" s="1100">
        <f>IF($X$213=0,0.7,IF($X$213=1,0.9,IF($X$213=2,1.2,IF($X$213=3,1.6,IF($X$213&gt;=4,1.8)))))</f>
        <v>0.7</v>
      </c>
      <c r="AB215" s="4238" t="s">
        <v>1750</v>
      </c>
      <c r="AC215" s="4238"/>
      <c r="AD215" s="4238"/>
      <c r="AE215" s="4238"/>
      <c r="AF215" s="4238"/>
      <c r="AG215" s="4238"/>
      <c r="AH215" s="4238"/>
      <c r="AI215" s="4238"/>
      <c r="AJ215" s="4238"/>
      <c r="AK215" s="4238"/>
      <c r="AL215" s="4164">
        <f>IF($X$212=0,0,IF($V$215&lt;=0,0,ROUNDDOWN(($V$215/$X$212),0)*$AA$215))</f>
        <v>0</v>
      </c>
      <c r="AM215" s="4164"/>
      <c r="AN215" s="662"/>
      <c r="AO215" s="1058"/>
      <c r="AP215" s="1058"/>
      <c r="AQ215" s="279"/>
      <c r="AR215" s="279"/>
      <c r="AS215" s="279"/>
      <c r="AT215" s="107"/>
      <c r="AU215" s="107"/>
      <c r="AV215" s="107"/>
      <c r="AW215" s="107"/>
      <c r="AX215" s="107"/>
      <c r="AY215" s="107"/>
    </row>
    <row r="216" spans="1:51" s="365" customFormat="1" ht="36" customHeight="1">
      <c r="A216" s="449"/>
      <c r="B216" s="4170" t="s">
        <v>1751</v>
      </c>
      <c r="C216" s="4171"/>
      <c r="D216" s="4171"/>
      <c r="E216" s="4171"/>
      <c r="F216" s="4171"/>
      <c r="G216" s="4171"/>
      <c r="H216" s="4171"/>
      <c r="I216" s="4171"/>
      <c r="J216" s="4172"/>
      <c r="K216" s="4087">
        <f>($K$210-$K$212-$K$213-$K$214-$K$215)/43560</f>
        <v>34</v>
      </c>
      <c r="L216" s="4087"/>
      <c r="M216" s="4087"/>
      <c r="N216" s="4088"/>
      <c r="O216" s="4060"/>
      <c r="P216" s="2130" t="s">
        <v>1752</v>
      </c>
      <c r="Q216" s="2130"/>
      <c r="R216" s="2130"/>
      <c r="S216" s="2130"/>
      <c r="T216" s="2130"/>
      <c r="U216" s="2130"/>
      <c r="V216" s="2130"/>
      <c r="W216" s="2130"/>
      <c r="X216" s="4022">
        <f>INDEX('Unit Mix'!$BZ$89:$BZ$102,MATCH($M$209,'Unit Mix'!$CA$89:$CA$102,1))</f>
        <v>1</v>
      </c>
      <c r="Y216" s="4022"/>
      <c r="Z216" s="4022"/>
      <c r="AA216" s="1099"/>
      <c r="AB216" s="4168" t="s">
        <v>1753</v>
      </c>
      <c r="AC216" s="4168"/>
      <c r="AD216" s="4168"/>
      <c r="AE216" s="4168"/>
      <c r="AF216" s="4168"/>
      <c r="AG216" s="4168"/>
      <c r="AH216" s="4168"/>
      <c r="AI216" s="4168"/>
      <c r="AJ216" s="4169"/>
      <c r="AK216" s="4166">
        <f>IF($K$216=0,0,SUM($AL$210:$AM$215)/MAX($AL$208,10)/$K$216)</f>
        <v>0.27911764705882353</v>
      </c>
      <c r="AL216" s="4167"/>
      <c r="AM216" s="4167"/>
      <c r="AN216" s="662"/>
      <c r="AO216" s="1058"/>
      <c r="AP216" s="1058"/>
      <c r="AQ216" s="279"/>
      <c r="AR216" s="279"/>
      <c r="AS216" s="279"/>
      <c r="AT216" s="107"/>
      <c r="AU216" s="107"/>
      <c r="AV216" s="107"/>
      <c r="AW216" s="107"/>
      <c r="AX216" s="107"/>
      <c r="AY216" s="107"/>
    </row>
    <row r="217" spans="1:51" s="365" customFormat="1" ht="36" customHeight="1">
      <c r="A217" s="449"/>
      <c r="B217" s="1095"/>
      <c r="C217" s="1070" t="s">
        <v>1708</v>
      </c>
      <c r="D217" s="3910" t="s">
        <v>1754</v>
      </c>
      <c r="E217" s="4162"/>
      <c r="F217" s="4162"/>
      <c r="G217" s="4162"/>
      <c r="H217" s="4162"/>
      <c r="I217" s="4162"/>
      <c r="J217" s="4162"/>
      <c r="K217" s="4162"/>
      <c r="L217" s="4162"/>
      <c r="M217" s="4162"/>
      <c r="N217" s="4162"/>
      <c r="O217" s="4162"/>
      <c r="P217" s="4162"/>
      <c r="Q217" s="4162"/>
      <c r="R217" s="4162"/>
      <c r="S217" s="4162"/>
      <c r="T217" s="4162"/>
      <c r="U217" s="4162"/>
      <c r="V217" s="4162"/>
      <c r="W217" s="4162"/>
      <c r="X217" s="4162"/>
      <c r="Y217" s="4162"/>
      <c r="Z217" s="4162"/>
      <c r="AA217" s="4162"/>
      <c r="AB217" s="4162"/>
      <c r="AC217" s="4162"/>
      <c r="AD217" s="4162"/>
      <c r="AE217" s="4162"/>
      <c r="AF217" s="4162"/>
      <c r="AG217" s="4162"/>
      <c r="AH217" s="4162"/>
      <c r="AI217" s="4162"/>
      <c r="AJ217" s="4162"/>
      <c r="AK217" s="4163"/>
      <c r="AL217" s="3998"/>
      <c r="AM217" s="3998"/>
      <c r="AN217" s="452"/>
      <c r="AO217" s="1058"/>
      <c r="AP217" s="1058"/>
      <c r="AQ217" s="279"/>
      <c r="AR217" s="279"/>
      <c r="AS217" s="279"/>
      <c r="AT217" s="107"/>
      <c r="AU217" s="107"/>
      <c r="AV217" s="107"/>
      <c r="AW217" s="107"/>
      <c r="AX217" s="107"/>
      <c r="AY217" s="107"/>
    </row>
    <row r="218" spans="1:51" s="365" customFormat="1" ht="36" hidden="1" customHeight="1">
      <c r="A218" s="449" t="s">
        <v>1755</v>
      </c>
      <c r="B218" s="1866" t="s">
        <v>676</v>
      </c>
      <c r="C218" s="1866"/>
      <c r="D218" s="1866"/>
      <c r="E218" s="2174" t="str">
        <f>'Document Checklist'!$E$161</f>
        <v>77. Excess or Surplus Land</v>
      </c>
      <c r="F218" s="2174"/>
      <c r="G218" s="2174"/>
      <c r="H218" s="2174"/>
      <c r="I218" s="2174"/>
      <c r="J218" s="2174"/>
      <c r="K218" s="2174"/>
      <c r="L218" s="2174"/>
      <c r="M218" s="2174"/>
      <c r="N218" s="2174" t="str">
        <f>'Document Checklist'!$N$161</f>
        <v>Provide a letter from DGS or Local Agency Governing Body identifying the project site as such.</v>
      </c>
      <c r="O218" s="2174"/>
      <c r="P218" s="2174"/>
      <c r="Q218" s="2174"/>
      <c r="R218" s="2174"/>
      <c r="S218" s="2174"/>
      <c r="T218" s="2174"/>
      <c r="U218" s="2174"/>
      <c r="V218" s="2174"/>
      <c r="W218" s="2174"/>
      <c r="X218" s="2174"/>
      <c r="Y218" s="2174"/>
      <c r="Z218" s="2174"/>
      <c r="AA218" s="2174"/>
      <c r="AB218" s="2174"/>
      <c r="AC218" s="2174"/>
      <c r="AD218" s="2174"/>
      <c r="AE218" s="2174"/>
      <c r="AF218" s="4179" t="s">
        <v>843</v>
      </c>
      <c r="AG218" s="4180"/>
      <c r="AH218" s="4180"/>
      <c r="AI218" s="4180"/>
      <c r="AJ218" s="4180"/>
      <c r="AK218" s="4180"/>
      <c r="AL218" s="1727"/>
      <c r="AM218" s="1727"/>
      <c r="AN218" s="452"/>
      <c r="AO218" s="1058"/>
      <c r="AP218" s="1058"/>
      <c r="AQ218" s="279"/>
      <c r="AR218" s="279"/>
      <c r="AS218" s="279"/>
      <c r="AT218" s="107"/>
      <c r="AU218" s="107"/>
      <c r="AV218" s="107"/>
      <c r="AW218" s="107"/>
      <c r="AX218" s="107"/>
      <c r="AY218" s="107"/>
    </row>
    <row r="219" spans="1:51" s="365" customFormat="1" ht="89.25" customHeight="1">
      <c r="A219" s="449"/>
      <c r="B219" s="1736" t="s">
        <v>676</v>
      </c>
      <c r="C219" s="1736"/>
      <c r="D219" s="1736"/>
      <c r="E219" s="2210" t="str">
        <f>'Document Checklist'!$E$142</f>
        <v>58. Adaptive Reuse Narrative</v>
      </c>
      <c r="F219" s="2210"/>
      <c r="G219" s="2210"/>
      <c r="H219" s="2210"/>
      <c r="I219" s="2210"/>
      <c r="J219" s="2210"/>
      <c r="K219" s="2210"/>
      <c r="L219" s="2210"/>
      <c r="M219" s="2210"/>
      <c r="N219" s="2210" t="str">
        <f>'Document Checklist'!$N$142</f>
        <v>Narrative describing Project and area in which Project will be built; must confirm Project will consist of the rehab of a vacant or underused commercial or industrial building(s). Structures such as residential hotels that are currently used for housing will not be considered to be eligible in meeting the adaptive reuse criteria. Narrative must confirm Project site is located within a developed area served with public infrastructure.</v>
      </c>
      <c r="O219" s="2210"/>
      <c r="P219" s="2210"/>
      <c r="Q219" s="2210"/>
      <c r="R219" s="2210"/>
      <c r="S219" s="2210"/>
      <c r="T219" s="2210"/>
      <c r="U219" s="2210"/>
      <c r="V219" s="2210"/>
      <c r="W219" s="2210"/>
      <c r="X219" s="2210"/>
      <c r="Y219" s="2210"/>
      <c r="Z219" s="2210"/>
      <c r="AA219" s="2210"/>
      <c r="AB219" s="2210"/>
      <c r="AC219" s="2210"/>
      <c r="AD219" s="2210"/>
      <c r="AE219" s="2210"/>
      <c r="AF219" s="2109" t="s">
        <v>843</v>
      </c>
      <c r="AG219" s="2110"/>
      <c r="AH219" s="2110"/>
      <c r="AI219" s="2110"/>
      <c r="AJ219" s="2110"/>
      <c r="AK219" s="2110"/>
      <c r="AL219" s="4127"/>
      <c r="AM219" s="4127"/>
      <c r="AN219" s="452"/>
      <c r="AO219" s="1058"/>
      <c r="AP219" s="1058"/>
      <c r="AQ219" s="279"/>
      <c r="AR219" s="279"/>
      <c r="AS219" s="279"/>
      <c r="AT219" s="107"/>
      <c r="AU219" s="107"/>
      <c r="AV219" s="107"/>
      <c r="AW219" s="107"/>
      <c r="AX219" s="107"/>
      <c r="AY219" s="107"/>
    </row>
    <row r="220" spans="1:51" s="365" customFormat="1" ht="56.25" customHeight="1">
      <c r="B220" s="1101" t="s">
        <v>1403</v>
      </c>
      <c r="C220" s="3910" t="s">
        <v>1756</v>
      </c>
      <c r="D220" s="3910"/>
      <c r="E220" s="3923"/>
      <c r="F220" s="3923"/>
      <c r="G220" s="3923"/>
      <c r="H220" s="3923"/>
      <c r="I220" s="3923"/>
      <c r="J220" s="3923"/>
      <c r="K220" s="3923"/>
      <c r="L220" s="3923"/>
      <c r="M220" s="3923"/>
      <c r="N220" s="3923"/>
      <c r="O220" s="3923"/>
      <c r="P220" s="3923"/>
      <c r="Q220" s="3923"/>
      <c r="R220" s="3923"/>
      <c r="S220" s="3923"/>
      <c r="T220" s="3923"/>
      <c r="U220" s="3923"/>
      <c r="V220" s="3923"/>
      <c r="W220" s="3923"/>
      <c r="X220" s="3923"/>
      <c r="Y220" s="3923"/>
      <c r="Z220" s="3923"/>
      <c r="AA220" s="3923"/>
      <c r="AB220" s="3923"/>
      <c r="AC220" s="3923"/>
      <c r="AD220" s="3923"/>
      <c r="AE220" s="3923"/>
      <c r="AF220" s="3923"/>
      <c r="AG220" s="3923"/>
      <c r="AH220" s="3923"/>
      <c r="AI220" s="3923"/>
      <c r="AJ220" s="3923"/>
      <c r="AK220" s="3923"/>
      <c r="AL220" s="4024">
        <f>IF(AND(vmTAL="Yes",AL222="Yes"),5,0)</f>
        <v>0</v>
      </c>
      <c r="AM220" s="4024"/>
      <c r="AN220" s="452"/>
      <c r="AO220" s="1058"/>
      <c r="AP220" s="1058"/>
      <c r="AQ220" s="279"/>
      <c r="AR220" s="279"/>
      <c r="AS220" s="279"/>
      <c r="AT220" s="107"/>
      <c r="AU220" s="107"/>
      <c r="AV220" s="107"/>
      <c r="AW220" s="107"/>
      <c r="AX220" s="107"/>
      <c r="AY220" s="107"/>
    </row>
    <row r="221" spans="1:51" s="365" customFormat="1" ht="36" customHeight="1">
      <c r="B221" s="1085"/>
      <c r="C221" s="4025" t="s">
        <v>1757</v>
      </c>
      <c r="D221" s="4025"/>
      <c r="E221" s="4026"/>
      <c r="F221" s="4026"/>
      <c r="G221" s="4026"/>
      <c r="H221" s="4026"/>
      <c r="I221" s="4026"/>
      <c r="J221" s="4026"/>
      <c r="K221" s="4026"/>
      <c r="L221" s="4026"/>
      <c r="M221" s="4026"/>
      <c r="N221" s="4026"/>
      <c r="O221" s="4026"/>
      <c r="P221" s="4026"/>
      <c r="Q221" s="4026"/>
      <c r="R221" s="4026"/>
      <c r="S221" s="4026"/>
      <c r="T221" s="4026"/>
      <c r="U221" s="4026"/>
      <c r="V221" s="4026"/>
      <c r="W221" s="4026"/>
      <c r="X221" s="4026"/>
      <c r="Y221" s="4026"/>
      <c r="Z221" s="4026"/>
      <c r="AA221" s="4026"/>
      <c r="AB221" s="4026"/>
      <c r="AC221" s="4026"/>
      <c r="AD221" s="4026"/>
      <c r="AE221" s="4026"/>
      <c r="AF221" s="4026"/>
      <c r="AG221" s="4026"/>
      <c r="AH221" s="4026"/>
      <c r="AI221" s="4026"/>
      <c r="AJ221" s="4026"/>
      <c r="AK221" s="4027"/>
      <c r="AL221" s="3634"/>
      <c r="AM221" s="3634"/>
      <c r="AN221" s="452"/>
      <c r="AO221" s="1058"/>
      <c r="AP221" s="1058"/>
      <c r="AQ221" s="279"/>
      <c r="AR221" s="279"/>
      <c r="AS221" s="279"/>
      <c r="AT221" s="107"/>
      <c r="AU221" s="107"/>
      <c r="AV221" s="107"/>
      <c r="AW221" s="107"/>
      <c r="AX221" s="107"/>
      <c r="AY221" s="107"/>
    </row>
    <row r="222" spans="1:51" s="365" customFormat="1" ht="54" hidden="1" customHeight="1">
      <c r="A222" s="449" t="s">
        <v>1758</v>
      </c>
      <c r="B222" s="1736" t="s">
        <v>676</v>
      </c>
      <c r="C222" s="1736"/>
      <c r="D222" s="1736"/>
      <c r="E222" s="2210" t="str">
        <f>'Document Checklist'!$E$146</f>
        <v>61. Amenities List</v>
      </c>
      <c r="F222" s="2210"/>
      <c r="G222" s="2210"/>
      <c r="H222" s="2210"/>
      <c r="I222" s="2210"/>
      <c r="J222" s="2210"/>
      <c r="K222" s="2210"/>
      <c r="L222" s="2210"/>
      <c r="M222" s="2210"/>
      <c r="N222" s="2210" t="str">
        <f>'Document Checklist'!$N$146</f>
        <v xml:space="preserve">List of amenities qualifying for TCAC points identified in the "Scoring" worksheet. Include amenity name, address, distance from the project and amount of TCAC points earned. </v>
      </c>
      <c r="O222" s="2210"/>
      <c r="P222" s="2210"/>
      <c r="Q222" s="2210"/>
      <c r="R222" s="2210"/>
      <c r="S222" s="2210"/>
      <c r="T222" s="2210"/>
      <c r="U222" s="2210"/>
      <c r="V222" s="2210"/>
      <c r="W222" s="2210"/>
      <c r="X222" s="2210"/>
      <c r="Y222" s="2210"/>
      <c r="Z222" s="2210"/>
      <c r="AA222" s="2210"/>
      <c r="AB222" s="2210"/>
      <c r="AC222" s="2210"/>
      <c r="AD222" s="2210"/>
      <c r="AE222" s="2210"/>
      <c r="AF222" s="4123" t="s">
        <v>843</v>
      </c>
      <c r="AG222" s="4124"/>
      <c r="AH222" s="4124"/>
      <c r="AI222" s="4124"/>
      <c r="AJ222" s="4124"/>
      <c r="AK222" s="4124"/>
      <c r="AL222" s="3634"/>
      <c r="AM222" s="3634"/>
      <c r="AN222" s="452"/>
      <c r="AO222" s="1058"/>
      <c r="AP222" s="1058"/>
      <c r="AQ222" s="279"/>
      <c r="AR222" s="279"/>
      <c r="AS222" s="279"/>
      <c r="AT222" s="107"/>
      <c r="AU222" s="107"/>
      <c r="AV222" s="107"/>
      <c r="AW222" s="107"/>
      <c r="AX222" s="107"/>
      <c r="AY222" s="107"/>
    </row>
    <row r="223" spans="1:51" s="365" customFormat="1" ht="18" customHeight="1">
      <c r="B223" s="3922" t="s">
        <v>1759</v>
      </c>
      <c r="C223" s="3923"/>
      <c r="D223" s="3923"/>
      <c r="E223" s="3923"/>
      <c r="F223" s="3923"/>
      <c r="G223" s="3923"/>
      <c r="H223" s="3923"/>
      <c r="I223" s="3923"/>
      <c r="J223" s="3923"/>
      <c r="K223" s="3923"/>
      <c r="L223" s="3923"/>
      <c r="M223" s="3923"/>
      <c r="N223" s="3923"/>
      <c r="O223" s="3923"/>
      <c r="P223" s="3923"/>
      <c r="Q223" s="3923"/>
      <c r="R223" s="3923"/>
      <c r="S223" s="3923"/>
      <c r="T223" s="3923"/>
      <c r="U223" s="3923"/>
      <c r="V223" s="3923"/>
      <c r="W223" s="3923"/>
      <c r="X223" s="3923"/>
      <c r="Y223" s="3923"/>
      <c r="Z223" s="3923"/>
      <c r="AA223" s="3923"/>
      <c r="AB223" s="3923"/>
      <c r="AC223" s="3923"/>
      <c r="AD223" s="3923"/>
      <c r="AE223" s="3923"/>
      <c r="AF223" s="3923"/>
      <c r="AG223" s="3923"/>
      <c r="AH223" s="3923"/>
      <c r="AI223" s="3923"/>
      <c r="AJ223" s="3923"/>
      <c r="AK223" s="3923"/>
      <c r="AL223" s="3923"/>
      <c r="AM223" s="3983"/>
      <c r="AP223" s="1136"/>
      <c r="AR223" s="49"/>
      <c r="AS223" s="49"/>
    </row>
    <row r="224" spans="1:51" s="365" customFormat="1" ht="63" customHeight="1">
      <c r="B224" s="4177" t="s">
        <v>1760</v>
      </c>
      <c r="C224" s="3910"/>
      <c r="D224" s="3910"/>
      <c r="E224" s="3910"/>
      <c r="F224" s="3910"/>
      <c r="G224" s="3910"/>
      <c r="H224" s="3910"/>
      <c r="I224" s="3910"/>
      <c r="J224" s="3910"/>
      <c r="K224" s="3910"/>
      <c r="L224" s="3910"/>
      <c r="M224" s="3910"/>
      <c r="N224" s="3910"/>
      <c r="O224" s="3910"/>
      <c r="P224" s="3910"/>
      <c r="Q224" s="3910"/>
      <c r="R224" s="3910"/>
      <c r="S224" s="3910"/>
      <c r="T224" s="3910"/>
      <c r="U224" s="3910"/>
      <c r="V224" s="3910"/>
      <c r="W224" s="3910"/>
      <c r="X224" s="3910"/>
      <c r="Y224" s="3910"/>
      <c r="Z224" s="3910"/>
      <c r="AA224" s="3910"/>
      <c r="AB224" s="3910"/>
      <c r="AC224" s="3910"/>
      <c r="AD224" s="3910"/>
      <c r="AE224" s="3910"/>
      <c r="AF224" s="3910"/>
      <c r="AG224" s="3910"/>
      <c r="AH224" s="3910"/>
      <c r="AI224" s="3910"/>
      <c r="AJ224" s="3910"/>
      <c r="AK224" s="3910"/>
      <c r="AL224" s="3910"/>
      <c r="AM224" s="3917"/>
      <c r="AP224" s="1136"/>
      <c r="AR224" s="49"/>
      <c r="AS224" s="49"/>
    </row>
    <row r="225" spans="1:51" s="365" customFormat="1" ht="54" customHeight="1">
      <c r="B225" s="1085"/>
      <c r="C225" s="1070" t="s">
        <v>1619</v>
      </c>
      <c r="D225" s="3910" t="s">
        <v>1761</v>
      </c>
      <c r="E225" s="3910"/>
      <c r="F225" s="3910"/>
      <c r="G225" s="3910"/>
      <c r="H225" s="3910"/>
      <c r="I225" s="3910"/>
      <c r="J225" s="3910"/>
      <c r="K225" s="3910"/>
      <c r="L225" s="3910"/>
      <c r="M225" s="3910"/>
      <c r="N225" s="3910"/>
      <c r="O225" s="3910"/>
      <c r="P225" s="3910"/>
      <c r="Q225" s="3910"/>
      <c r="R225" s="3910"/>
      <c r="S225" s="3910"/>
      <c r="T225" s="3910"/>
      <c r="U225" s="3910"/>
      <c r="V225" s="3910"/>
      <c r="W225" s="3910"/>
      <c r="X225" s="3910"/>
      <c r="Y225" s="3910"/>
      <c r="Z225" s="3910"/>
      <c r="AA225" s="3910"/>
      <c r="AB225" s="3910"/>
      <c r="AC225" s="3910"/>
      <c r="AD225" s="3910"/>
      <c r="AE225" s="3910"/>
      <c r="AF225" s="3910"/>
      <c r="AG225" s="3910"/>
      <c r="AH225" s="3910"/>
      <c r="AI225" s="3910"/>
      <c r="AJ225" s="3910"/>
      <c r="AK225" s="3910"/>
      <c r="AL225" s="4024" t="str">
        <f>IF($K$227=$AO$225,1,IF($K$227=$AO$226,0.67,IF($K$227=$AO$227,0.33,IF($K$227=$AO$228,0,""))))</f>
        <v/>
      </c>
      <c r="AM225" s="4024"/>
      <c r="AN225" s="452"/>
      <c r="AO225" s="689" t="s">
        <v>1762</v>
      </c>
      <c r="AP225" s="1058"/>
      <c r="AQ225" s="279"/>
      <c r="AR225" s="279"/>
      <c r="AS225" s="279"/>
      <c r="AT225" s="107"/>
      <c r="AU225" s="107"/>
      <c r="AV225" s="107"/>
      <c r="AW225" s="107"/>
      <c r="AX225" s="107"/>
      <c r="AY225" s="107"/>
    </row>
    <row r="226" spans="1:51" s="365" customFormat="1" ht="18" customHeight="1">
      <c r="B226" s="1085"/>
      <c r="C226" s="726"/>
      <c r="D226" s="4090" t="s">
        <v>1763</v>
      </c>
      <c r="E226" s="4090"/>
      <c r="F226" s="4090"/>
      <c r="G226" s="4090"/>
      <c r="H226" s="4090"/>
      <c r="I226" s="4090"/>
      <c r="J226" s="4090"/>
      <c r="K226" s="4090"/>
      <c r="L226" s="4090"/>
      <c r="M226" s="4090"/>
      <c r="N226" s="4090"/>
      <c r="O226" s="4090"/>
      <c r="P226" s="4090"/>
      <c r="Q226" s="4090"/>
      <c r="R226" s="4090"/>
      <c r="S226" s="1104"/>
      <c r="T226" s="1104"/>
      <c r="U226" s="1104"/>
      <c r="V226" s="726"/>
      <c r="W226" s="726"/>
      <c r="X226" s="726"/>
      <c r="Y226" s="726"/>
      <c r="Z226" s="726"/>
      <c r="AA226" s="726"/>
      <c r="AB226" s="726"/>
      <c r="AC226" s="726"/>
      <c r="AD226" s="726"/>
      <c r="AE226" s="726"/>
      <c r="AF226" s="726"/>
      <c r="AG226" s="726"/>
      <c r="AH226" s="726"/>
      <c r="AI226" s="726"/>
      <c r="AJ226" s="726"/>
      <c r="AK226" s="726"/>
      <c r="AL226" s="1103"/>
      <c r="AM226" s="1590"/>
      <c r="AN226" s="452"/>
      <c r="AO226" s="689" t="s">
        <v>1764</v>
      </c>
      <c r="AP226" s="1058"/>
      <c r="AQ226" s="279"/>
      <c r="AR226" s="279"/>
      <c r="AS226" s="279"/>
      <c r="AT226" s="107"/>
      <c r="AU226" s="107"/>
      <c r="AV226" s="107"/>
      <c r="AW226" s="107"/>
      <c r="AX226" s="107"/>
      <c r="AY226" s="107"/>
    </row>
    <row r="227" spans="1:51" s="365" customFormat="1" ht="18" customHeight="1">
      <c r="B227" s="4039" t="s">
        <v>1765</v>
      </c>
      <c r="C227" s="4040"/>
      <c r="D227" s="4040"/>
      <c r="E227" s="4040"/>
      <c r="F227" s="4040"/>
      <c r="G227" s="4040"/>
      <c r="H227" s="4040"/>
      <c r="I227" s="4040"/>
      <c r="J227" s="4041"/>
      <c r="K227" s="4089"/>
      <c r="L227" s="4089"/>
      <c r="M227" s="4089"/>
      <c r="N227" s="4089"/>
      <c r="O227" s="4089"/>
      <c r="P227" s="4089"/>
      <c r="Q227" s="4089"/>
      <c r="R227" s="4089"/>
      <c r="S227" s="4089"/>
      <c r="T227" s="4089"/>
      <c r="U227" s="4089"/>
      <c r="V227" s="4089"/>
      <c r="W227" s="4089"/>
      <c r="X227" s="4089"/>
      <c r="Y227" s="4089"/>
      <c r="Z227" s="4089"/>
      <c r="AA227" s="4089"/>
      <c r="AB227" s="4089"/>
      <c r="AC227" s="4089"/>
      <c r="AD227" s="4089"/>
      <c r="AE227" s="4089"/>
      <c r="AF227" s="4089"/>
      <c r="AG227" s="4089"/>
      <c r="AH227" s="4089"/>
      <c r="AI227" s="4089"/>
      <c r="AJ227" s="4089"/>
      <c r="AK227" s="4089"/>
      <c r="AL227" s="4089"/>
      <c r="AM227" s="4089"/>
      <c r="AN227" s="452"/>
      <c r="AO227" s="689" t="s">
        <v>1766</v>
      </c>
      <c r="AP227" s="1058"/>
      <c r="AQ227" s="279"/>
      <c r="AR227" s="279"/>
      <c r="AS227" s="279"/>
      <c r="AT227" s="107"/>
      <c r="AU227" s="107"/>
      <c r="AV227" s="107"/>
      <c r="AW227" s="107"/>
      <c r="AX227" s="107"/>
      <c r="AY227" s="107"/>
    </row>
    <row r="228" spans="1:51" s="365" customFormat="1" ht="36" customHeight="1">
      <c r="B228" s="1736" t="s">
        <v>676</v>
      </c>
      <c r="C228" s="1736"/>
      <c r="D228" s="1736"/>
      <c r="E228" s="2210" t="str">
        <f>'Document Checklist'!$E$162</f>
        <v>78. Walkability location map</v>
      </c>
      <c r="F228" s="2210"/>
      <c r="G228" s="2210"/>
      <c r="H228" s="2210"/>
      <c r="I228" s="2210"/>
      <c r="J228" s="2210"/>
      <c r="K228" s="2210"/>
      <c r="L228" s="2210"/>
      <c r="M228" s="2210"/>
      <c r="N228" s="2210" t="str">
        <f>'Document Checklist'!$N$162</f>
        <v>Location efficiency of the Project site to Transit Stop or Major Transit Stop as determined by the US EPA Walkability Index using the project address.</v>
      </c>
      <c r="O228" s="2210"/>
      <c r="P228" s="2210"/>
      <c r="Q228" s="2210"/>
      <c r="R228" s="2210"/>
      <c r="S228" s="2210"/>
      <c r="T228" s="2210"/>
      <c r="U228" s="2210"/>
      <c r="V228" s="2210"/>
      <c r="W228" s="2210"/>
      <c r="X228" s="2210"/>
      <c r="Y228" s="2210"/>
      <c r="Z228" s="2210"/>
      <c r="AA228" s="2210"/>
      <c r="AB228" s="2210"/>
      <c r="AC228" s="2210"/>
      <c r="AD228" s="2210"/>
      <c r="AE228" s="2210"/>
      <c r="AF228" s="2109" t="s">
        <v>843</v>
      </c>
      <c r="AG228" s="2110"/>
      <c r="AH228" s="2110"/>
      <c r="AI228" s="2110"/>
      <c r="AJ228" s="2110"/>
      <c r="AK228" s="2110"/>
      <c r="AL228" s="1727" t="s">
        <v>664</v>
      </c>
      <c r="AM228" s="1727"/>
      <c r="AN228" s="452"/>
      <c r="AO228" s="689" t="s">
        <v>1767</v>
      </c>
      <c r="AP228" s="1058"/>
      <c r="AQ228" s="279"/>
      <c r="AR228" s="279"/>
      <c r="AS228" s="279"/>
      <c r="AT228" s="107"/>
      <c r="AU228" s="107"/>
      <c r="AV228" s="107"/>
      <c r="AW228" s="107"/>
      <c r="AX228" s="107"/>
      <c r="AY228" s="107"/>
    </row>
    <row r="229" spans="1:51" s="365" customFormat="1" ht="54" customHeight="1">
      <c r="B229" s="1086"/>
      <c r="C229" s="1105" t="s">
        <v>1623</v>
      </c>
      <c r="D229" s="3923" t="s">
        <v>1768</v>
      </c>
      <c r="E229" s="3923"/>
      <c r="F229" s="3923"/>
      <c r="G229" s="3923"/>
      <c r="H229" s="3923"/>
      <c r="I229" s="3923"/>
      <c r="J229" s="3923"/>
      <c r="K229" s="3923"/>
      <c r="L229" s="3923"/>
      <c r="M229" s="3923"/>
      <c r="N229" s="3923"/>
      <c r="O229" s="3923"/>
      <c r="P229" s="3923"/>
      <c r="Q229" s="3923"/>
      <c r="R229" s="3923"/>
      <c r="S229" s="3923"/>
      <c r="T229" s="3923"/>
      <c r="U229" s="3923"/>
      <c r="V229" s="3923"/>
      <c r="W229" s="3923"/>
      <c r="X229" s="3923"/>
      <c r="Y229" s="3923"/>
      <c r="Z229" s="3923"/>
      <c r="AA229" s="3923"/>
      <c r="AB229" s="3923"/>
      <c r="AC229" s="3923"/>
      <c r="AD229" s="3923"/>
      <c r="AE229" s="3923"/>
      <c r="AF229" s="3923"/>
      <c r="AG229" s="3923"/>
      <c r="AH229" s="3923"/>
      <c r="AI229" s="3923"/>
      <c r="AJ229" s="3923"/>
      <c r="AK229" s="3923"/>
      <c r="AL229" s="4024">
        <f>IF($L$231=$AO$229,1.67,IF(AND(vmRural="Yes",$L$231=$AO$230),1.67,IF($L$231=$AO$231,1,IF(AND(vmRural="Yes",$L$231=$AO$232),1,0))))</f>
        <v>0</v>
      </c>
      <c r="AM229" s="4024"/>
      <c r="AN229" s="452"/>
      <c r="AO229" s="689" t="s">
        <v>1769</v>
      </c>
      <c r="AP229" s="1058"/>
      <c r="AQ229" s="279"/>
      <c r="AR229" s="279"/>
      <c r="AS229" s="279"/>
      <c r="AT229" s="107"/>
      <c r="AU229" s="107"/>
      <c r="AV229" s="107"/>
      <c r="AW229" s="107"/>
      <c r="AX229" s="107"/>
      <c r="AY229" s="107"/>
    </row>
    <row r="230" spans="1:51" s="365" customFormat="1" ht="18" customHeight="1">
      <c r="B230" s="1085"/>
      <c r="C230" s="1531"/>
      <c r="D230" s="4035" t="s">
        <v>1770</v>
      </c>
      <c r="E230" s="4035"/>
      <c r="F230" s="4035"/>
      <c r="G230" s="4035"/>
      <c r="H230" s="4035"/>
      <c r="I230" s="4035"/>
      <c r="J230" s="4035"/>
      <c r="K230" s="4035"/>
      <c r="L230" s="4012"/>
      <c r="M230" s="4012"/>
      <c r="N230" s="4012"/>
      <c r="O230" s="4012"/>
      <c r="P230" s="4012"/>
      <c r="Q230" s="4012"/>
      <c r="R230" s="4012"/>
      <c r="S230" s="4012"/>
      <c r="T230" s="4012"/>
      <c r="U230" s="4012"/>
      <c r="V230" s="4012"/>
      <c r="W230" s="4012"/>
      <c r="X230" s="4012"/>
      <c r="Y230" s="4012"/>
      <c r="Z230" s="4012"/>
      <c r="AA230" s="4012"/>
      <c r="AB230" s="4012"/>
      <c r="AC230" s="4012"/>
      <c r="AD230" s="4012"/>
      <c r="AE230" s="4012"/>
      <c r="AF230" s="4012"/>
      <c r="AG230" s="4012"/>
      <c r="AH230" s="4012"/>
      <c r="AI230" s="4012"/>
      <c r="AJ230" s="4012"/>
      <c r="AK230" s="4012"/>
      <c r="AL230" s="4012"/>
      <c r="AM230" s="4012"/>
      <c r="AN230" s="452"/>
      <c r="AO230" s="689" t="s">
        <v>1771</v>
      </c>
      <c r="AP230" s="1058"/>
      <c r="AQ230" s="279"/>
      <c r="AR230" s="279"/>
      <c r="AS230" s="279"/>
      <c r="AT230" s="107"/>
      <c r="AU230" s="107"/>
      <c r="AV230" s="107"/>
      <c r="AW230" s="107"/>
      <c r="AX230" s="107"/>
      <c r="AY230" s="107"/>
    </row>
    <row r="231" spans="1:51" s="365" customFormat="1" ht="18" customHeight="1">
      <c r="A231" s="718"/>
      <c r="B231" s="1085"/>
      <c r="C231" s="1531"/>
      <c r="D231" s="4035" t="s">
        <v>1772</v>
      </c>
      <c r="E231" s="4035"/>
      <c r="F231" s="4035"/>
      <c r="G231" s="4035"/>
      <c r="H231" s="4035"/>
      <c r="I231" s="4035"/>
      <c r="J231" s="4035"/>
      <c r="K231" s="4036"/>
      <c r="L231" s="4032"/>
      <c r="M231" s="4033"/>
      <c r="N231" s="4033"/>
      <c r="O231" s="4033"/>
      <c r="P231" s="4033"/>
      <c r="Q231" s="4033"/>
      <c r="R231" s="4033"/>
      <c r="S231" s="4033"/>
      <c r="T231" s="4033"/>
      <c r="U231" s="4033"/>
      <c r="V231" s="4033"/>
      <c r="W231" s="4033"/>
      <c r="X231" s="4033"/>
      <c r="Y231" s="4033"/>
      <c r="Z231" s="4033"/>
      <c r="AA231" s="4033"/>
      <c r="AB231" s="4033"/>
      <c r="AC231" s="4033"/>
      <c r="AD231" s="4033"/>
      <c r="AE231" s="4033"/>
      <c r="AF231" s="4033"/>
      <c r="AG231" s="4033"/>
      <c r="AH231" s="4033"/>
      <c r="AI231" s="4033"/>
      <c r="AJ231" s="4033"/>
      <c r="AK231" s="4033"/>
      <c r="AL231" s="4033"/>
      <c r="AM231" s="4034"/>
      <c r="AN231" s="452"/>
      <c r="AO231" s="689" t="s">
        <v>1773</v>
      </c>
      <c r="AP231" s="1058"/>
      <c r="AQ231" s="279"/>
      <c r="AR231" s="279"/>
      <c r="AS231" s="279"/>
      <c r="AT231" s="107"/>
      <c r="AU231" s="107"/>
      <c r="AV231" s="107"/>
      <c r="AW231" s="107"/>
      <c r="AX231" s="107"/>
      <c r="AY231" s="107"/>
    </row>
    <row r="232" spans="1:51" s="365" customFormat="1" ht="54" customHeight="1">
      <c r="B232" s="1085"/>
      <c r="C232" s="1105" t="s">
        <v>1708</v>
      </c>
      <c r="D232" s="3910" t="s">
        <v>1774</v>
      </c>
      <c r="E232" s="3910"/>
      <c r="F232" s="3910"/>
      <c r="G232" s="3910"/>
      <c r="H232" s="3910"/>
      <c r="I232" s="3910"/>
      <c r="J232" s="3910"/>
      <c r="K232" s="3910"/>
      <c r="L232" s="3910"/>
      <c r="M232" s="3910"/>
      <c r="N232" s="3910"/>
      <c r="O232" s="3910"/>
      <c r="P232" s="3910"/>
      <c r="Q232" s="3910"/>
      <c r="R232" s="3910"/>
      <c r="S232" s="3910"/>
      <c r="T232" s="3910"/>
      <c r="U232" s="3910"/>
      <c r="V232" s="3910"/>
      <c r="W232" s="3910"/>
      <c r="X232" s="3910"/>
      <c r="Y232" s="3910"/>
      <c r="Z232" s="3910"/>
      <c r="AA232" s="3910"/>
      <c r="AB232" s="3910"/>
      <c r="AC232" s="3910"/>
      <c r="AD232" s="3910"/>
      <c r="AE232" s="3910"/>
      <c r="AF232" s="3910"/>
      <c r="AG232" s="3910"/>
      <c r="AH232" s="3910"/>
      <c r="AI232" s="3910"/>
      <c r="AJ232" s="3910"/>
      <c r="AK232" s="3910"/>
      <c r="AL232" s="4024">
        <f>IF(AND($L$235=$AO$234,$AL$234="Yes"),1.67,IF(AND(vmRural="Yes",$AL$234="Yes",$L$235=$AO$235),1.67,IF(AND($L$235=$AO$236,$AL$234="Yes"),1,IF(AND(vmRural="Yes",$AL$234="Yes",$L$235=$AO$237),1,0))))</f>
        <v>0</v>
      </c>
      <c r="AM232" s="4024"/>
      <c r="AN232" s="452"/>
      <c r="AO232" s="689" t="s">
        <v>1775</v>
      </c>
      <c r="AP232" s="1058"/>
      <c r="AQ232" s="279"/>
      <c r="AR232" s="279"/>
      <c r="AS232" s="279"/>
      <c r="AT232" s="107"/>
      <c r="AU232" s="107"/>
      <c r="AV232" s="107"/>
      <c r="AW232" s="107"/>
      <c r="AX232" s="107"/>
      <c r="AY232" s="107"/>
    </row>
    <row r="233" spans="1:51" s="365" customFormat="1" ht="17.25" customHeight="1">
      <c r="B233" s="1085"/>
      <c r="C233" s="1531"/>
      <c r="D233" s="4035" t="s">
        <v>1776</v>
      </c>
      <c r="E233" s="4035"/>
      <c r="F233" s="4035"/>
      <c r="G233" s="4035"/>
      <c r="H233" s="4035"/>
      <c r="I233" s="4035"/>
      <c r="J233" s="4035"/>
      <c r="K233" s="4035"/>
      <c r="L233" s="4035"/>
      <c r="M233" s="4035"/>
      <c r="N233" s="4035"/>
      <c r="O233" s="4035"/>
      <c r="P233" s="4036"/>
      <c r="Q233" s="4012"/>
      <c r="R233" s="4012"/>
      <c r="S233" s="4012"/>
      <c r="T233" s="4012"/>
      <c r="U233" s="4012"/>
      <c r="V233" s="4012"/>
      <c r="W233" s="4012"/>
      <c r="X233" s="4012"/>
      <c r="Y233" s="4012"/>
      <c r="Z233" s="4012"/>
      <c r="AA233" s="4012"/>
      <c r="AB233" s="4012"/>
      <c r="AC233" s="4012"/>
      <c r="AD233" s="4012"/>
      <c r="AE233" s="4012"/>
      <c r="AF233" s="4012"/>
      <c r="AG233" s="4012"/>
      <c r="AH233" s="4012"/>
      <c r="AI233" s="4012"/>
      <c r="AJ233" s="4012"/>
      <c r="AK233" s="4012"/>
      <c r="AL233" s="4012"/>
      <c r="AM233" s="4012"/>
      <c r="AN233" s="452"/>
      <c r="AO233" s="689" t="s">
        <v>1475</v>
      </c>
      <c r="AP233" s="1136"/>
      <c r="AR233" s="49"/>
      <c r="AS233" s="49"/>
      <c r="AV233" s="107"/>
      <c r="AW233" s="107"/>
      <c r="AX233" s="107"/>
      <c r="AY233" s="107"/>
    </row>
    <row r="234" spans="1:51" s="365" customFormat="1" ht="18" customHeight="1">
      <c r="B234" s="1085"/>
      <c r="C234" s="1531"/>
      <c r="D234" s="3910" t="s">
        <v>1777</v>
      </c>
      <c r="E234" s="3910"/>
      <c r="F234" s="3910"/>
      <c r="G234" s="3910"/>
      <c r="H234" s="3910"/>
      <c r="I234" s="3910"/>
      <c r="J234" s="3910"/>
      <c r="K234" s="3910"/>
      <c r="L234" s="3910"/>
      <c r="M234" s="3910"/>
      <c r="N234" s="3910"/>
      <c r="O234" s="3910"/>
      <c r="P234" s="3910"/>
      <c r="Q234" s="3910"/>
      <c r="R234" s="3910"/>
      <c r="S234" s="3910"/>
      <c r="T234" s="3910"/>
      <c r="U234" s="3910"/>
      <c r="V234" s="3910"/>
      <c r="W234" s="3910"/>
      <c r="X234" s="3910"/>
      <c r="Y234" s="3910"/>
      <c r="Z234" s="3910"/>
      <c r="AA234" s="3910"/>
      <c r="AB234" s="3910"/>
      <c r="AC234" s="3910"/>
      <c r="AD234" s="3910"/>
      <c r="AE234" s="3910"/>
      <c r="AF234" s="3910"/>
      <c r="AG234" s="3910"/>
      <c r="AH234" s="3910"/>
      <c r="AI234" s="3910"/>
      <c r="AJ234" s="3910"/>
      <c r="AK234" s="3917"/>
      <c r="AL234" s="3998"/>
      <c r="AM234" s="3998"/>
      <c r="AN234" s="452"/>
      <c r="AO234" s="689" t="s">
        <v>1778</v>
      </c>
      <c r="AP234" s="1058"/>
      <c r="AQ234" s="279"/>
      <c r="AR234" s="279"/>
      <c r="AS234" s="279"/>
      <c r="AT234" s="107"/>
      <c r="AU234" s="107"/>
    </row>
    <row r="235" spans="1:51" s="365" customFormat="1" ht="18" customHeight="1">
      <c r="A235" s="717"/>
      <c r="B235" s="1085"/>
      <c r="C235" s="1531"/>
      <c r="D235" s="4035" t="s">
        <v>1772</v>
      </c>
      <c r="E235" s="4035"/>
      <c r="F235" s="4035"/>
      <c r="G235" s="4035"/>
      <c r="H235" s="4035"/>
      <c r="I235" s="4035"/>
      <c r="J235" s="4035"/>
      <c r="K235" s="4035"/>
      <c r="L235" s="3993"/>
      <c r="M235" s="3993"/>
      <c r="N235" s="3993"/>
      <c r="O235" s="3993"/>
      <c r="P235" s="3993"/>
      <c r="Q235" s="3993"/>
      <c r="R235" s="3993"/>
      <c r="S235" s="3993"/>
      <c r="T235" s="3993"/>
      <c r="U235" s="3993"/>
      <c r="V235" s="3993"/>
      <c r="W235" s="3993"/>
      <c r="X235" s="3993"/>
      <c r="Y235" s="3993"/>
      <c r="Z235" s="3993"/>
      <c r="AA235" s="3993"/>
      <c r="AB235" s="3993"/>
      <c r="AC235" s="3993"/>
      <c r="AD235" s="3993"/>
      <c r="AE235" s="3993"/>
      <c r="AF235" s="3993"/>
      <c r="AG235" s="3993"/>
      <c r="AH235" s="3993"/>
      <c r="AI235" s="3993"/>
      <c r="AJ235" s="3993"/>
      <c r="AK235" s="3993"/>
      <c r="AL235" s="3993"/>
      <c r="AM235" s="3993"/>
      <c r="AN235" s="452"/>
      <c r="AO235" s="689" t="s">
        <v>1779</v>
      </c>
      <c r="AP235" s="1058"/>
      <c r="AQ235" s="279"/>
      <c r="AR235" s="279"/>
      <c r="AS235" s="279"/>
      <c r="AT235" s="107"/>
      <c r="AU235" s="107"/>
      <c r="AV235" s="107"/>
      <c r="AW235" s="107"/>
      <c r="AX235" s="107"/>
      <c r="AY235" s="107"/>
    </row>
    <row r="236" spans="1:51" s="365" customFormat="1" ht="54" customHeight="1">
      <c r="B236" s="1102"/>
      <c r="C236" s="1070" t="s">
        <v>1411</v>
      </c>
      <c r="D236" s="3910" t="s">
        <v>1780</v>
      </c>
      <c r="E236" s="3910"/>
      <c r="F236" s="3910"/>
      <c r="G236" s="3910"/>
      <c r="H236" s="3910"/>
      <c r="I236" s="3910"/>
      <c r="J236" s="3910"/>
      <c r="K236" s="3910"/>
      <c r="L236" s="3910"/>
      <c r="M236" s="3910"/>
      <c r="N236" s="3910"/>
      <c r="O236" s="3910"/>
      <c r="P236" s="3910"/>
      <c r="Q236" s="3910"/>
      <c r="R236" s="3910"/>
      <c r="S236" s="3910"/>
      <c r="T236" s="3910"/>
      <c r="U236" s="3910"/>
      <c r="V236" s="3910"/>
      <c r="W236" s="3910"/>
      <c r="X236" s="3910"/>
      <c r="Y236" s="3910"/>
      <c r="Z236" s="3910"/>
      <c r="AA236" s="3910"/>
      <c r="AB236" s="3910"/>
      <c r="AC236" s="3910"/>
      <c r="AD236" s="3910"/>
      <c r="AE236" s="3910"/>
      <c r="AF236" s="3910"/>
      <c r="AG236" s="3910"/>
      <c r="AH236" s="3910"/>
      <c r="AI236" s="3910"/>
      <c r="AJ236" s="3910"/>
      <c r="AK236" s="3910"/>
      <c r="AL236" s="4024">
        <f>IF(AND($L$239=$AO$239,$AL$238="Yes"),1.67,IF(AND(vmRural="Yes",$AL$238="Yes",$L$239=$AO$240),1.67,IF(AND($L$239=$AO$241,$AL$238="Yes"),1,IF(AND(vmRural="Yes",$AL$238="Yes",$L$239=$AO$242),1,0))))</f>
        <v>0</v>
      </c>
      <c r="AM236" s="4024"/>
      <c r="AN236" s="689"/>
      <c r="AO236" s="689" t="s">
        <v>1781</v>
      </c>
      <c r="AP236" s="1058"/>
      <c r="AQ236" s="279"/>
      <c r="AR236" s="279"/>
      <c r="AS236" s="279"/>
      <c r="AT236" s="107"/>
      <c r="AU236" s="107"/>
      <c r="AV236" s="107"/>
      <c r="AW236" s="107"/>
      <c r="AX236" s="107"/>
      <c r="AY236" s="107"/>
    </row>
    <row r="237" spans="1:51" s="365" customFormat="1" ht="17.25" customHeight="1">
      <c r="B237" s="1085"/>
      <c r="C237" s="1531"/>
      <c r="D237" s="4035" t="s">
        <v>1782</v>
      </c>
      <c r="E237" s="4035"/>
      <c r="F237" s="4035"/>
      <c r="G237" s="4035"/>
      <c r="H237" s="4035"/>
      <c r="I237" s="4035"/>
      <c r="J237" s="4035"/>
      <c r="K237" s="4035"/>
      <c r="L237" s="4035"/>
      <c r="M237" s="4035"/>
      <c r="N237" s="4035"/>
      <c r="O237" s="4012"/>
      <c r="P237" s="4012"/>
      <c r="Q237" s="4012"/>
      <c r="R237" s="4012"/>
      <c r="S237" s="4012"/>
      <c r="T237" s="4012"/>
      <c r="U237" s="4012"/>
      <c r="V237" s="4012"/>
      <c r="W237" s="4012"/>
      <c r="X237" s="4012"/>
      <c r="Y237" s="4012"/>
      <c r="Z237" s="4012"/>
      <c r="AA237" s="4012"/>
      <c r="AB237" s="4012"/>
      <c r="AC237" s="4012"/>
      <c r="AD237" s="4012"/>
      <c r="AE237" s="4012"/>
      <c r="AF237" s="4012"/>
      <c r="AG237" s="4012"/>
      <c r="AH237" s="4012"/>
      <c r="AI237" s="4012"/>
      <c r="AJ237" s="4012"/>
      <c r="AK237" s="4012"/>
      <c r="AL237" s="4012"/>
      <c r="AM237" s="4012"/>
      <c r="AN237" s="689"/>
      <c r="AO237" s="689" t="s">
        <v>1783</v>
      </c>
      <c r="AP237" s="1058"/>
      <c r="AQ237" s="279"/>
      <c r="AR237" s="279"/>
      <c r="AS237" s="279"/>
      <c r="AT237" s="107"/>
      <c r="AU237" s="107"/>
      <c r="AV237" s="107"/>
      <c r="AW237" s="107"/>
      <c r="AX237" s="107"/>
      <c r="AY237" s="107"/>
    </row>
    <row r="238" spans="1:51" s="365" customFormat="1" ht="18" customHeight="1">
      <c r="B238" s="1085"/>
      <c r="C238" s="1531"/>
      <c r="D238" s="3910" t="s">
        <v>1784</v>
      </c>
      <c r="E238" s="3910"/>
      <c r="F238" s="3910"/>
      <c r="G238" s="3910"/>
      <c r="H238" s="3910"/>
      <c r="I238" s="3910"/>
      <c r="J238" s="3910"/>
      <c r="K238" s="3910"/>
      <c r="L238" s="3910"/>
      <c r="M238" s="3910"/>
      <c r="N238" s="3910"/>
      <c r="O238" s="3910"/>
      <c r="P238" s="3910"/>
      <c r="Q238" s="3910"/>
      <c r="R238" s="3910"/>
      <c r="S238" s="3910"/>
      <c r="T238" s="3910"/>
      <c r="U238" s="3910"/>
      <c r="V238" s="3910"/>
      <c r="W238" s="3910"/>
      <c r="X238" s="3910"/>
      <c r="Y238" s="3910"/>
      <c r="Z238" s="3910"/>
      <c r="AA238" s="3910"/>
      <c r="AB238" s="3910"/>
      <c r="AC238" s="3910"/>
      <c r="AD238" s="3910"/>
      <c r="AE238" s="3910"/>
      <c r="AF238" s="3910"/>
      <c r="AG238" s="3910"/>
      <c r="AH238" s="3910"/>
      <c r="AI238" s="3910"/>
      <c r="AJ238" s="3910"/>
      <c r="AK238" s="3917"/>
      <c r="AL238" s="3998"/>
      <c r="AM238" s="3998"/>
      <c r="AO238" s="689" t="s">
        <v>1475</v>
      </c>
      <c r="AP238" s="1058"/>
      <c r="AQ238" s="1448"/>
      <c r="AR238" s="279"/>
      <c r="AS238" s="279"/>
      <c r="AT238" s="107"/>
      <c r="AU238" s="107"/>
      <c r="AV238" s="107"/>
      <c r="AW238" s="107"/>
      <c r="AX238" s="107"/>
      <c r="AY238" s="107"/>
    </row>
    <row r="239" spans="1:51" s="365" customFormat="1" ht="18" customHeight="1">
      <c r="A239" s="717"/>
      <c r="B239" s="1085"/>
      <c r="C239" s="1531"/>
      <c r="D239" s="3994" t="s">
        <v>1785</v>
      </c>
      <c r="E239" s="3994"/>
      <c r="F239" s="3994"/>
      <c r="G239" s="3994"/>
      <c r="H239" s="3994"/>
      <c r="I239" s="3994"/>
      <c r="J239" s="3994"/>
      <c r="K239" s="3995"/>
      <c r="L239" s="3993"/>
      <c r="M239" s="3993"/>
      <c r="N239" s="3993"/>
      <c r="O239" s="3993"/>
      <c r="P239" s="3993"/>
      <c r="Q239" s="3993"/>
      <c r="R239" s="3993"/>
      <c r="S239" s="3993"/>
      <c r="T239" s="3993"/>
      <c r="U239" s="3993"/>
      <c r="V239" s="3993"/>
      <c r="W239" s="3993"/>
      <c r="X239" s="3993"/>
      <c r="Y239" s="3993"/>
      <c r="Z239" s="3993"/>
      <c r="AA239" s="3993"/>
      <c r="AB239" s="3993"/>
      <c r="AC239" s="3993"/>
      <c r="AD239" s="3993"/>
      <c r="AE239" s="3993"/>
      <c r="AF239" s="3993"/>
      <c r="AG239" s="3993"/>
      <c r="AH239" s="3993"/>
      <c r="AI239" s="3993"/>
      <c r="AJ239" s="3993"/>
      <c r="AK239" s="3993"/>
      <c r="AL239" s="3993"/>
      <c r="AM239" s="3993"/>
      <c r="AO239" s="689" t="s">
        <v>1787</v>
      </c>
      <c r="AP239" s="1058"/>
      <c r="AQ239" s="1448"/>
      <c r="AR239" s="279"/>
      <c r="AS239" s="279"/>
      <c r="AT239" s="107"/>
      <c r="AU239" s="107"/>
      <c r="AV239" s="107"/>
      <c r="AW239" s="107"/>
      <c r="AX239" s="107"/>
      <c r="AY239" s="107"/>
    </row>
    <row r="240" spans="1:51" s="718" customFormat="1" ht="36" customHeight="1">
      <c r="A240" s="1476"/>
      <c r="B240" s="1736" t="s">
        <v>676</v>
      </c>
      <c r="C240" s="1736"/>
      <c r="D240" s="1736"/>
      <c r="E240" s="4004" t="str">
        <f>'Document Checklist'!$E$145</f>
        <v>60. Amenities-Scaled Distance Map</v>
      </c>
      <c r="F240" s="4005"/>
      <c r="G240" s="4005"/>
      <c r="H240" s="4005"/>
      <c r="I240" s="4005"/>
      <c r="J240" s="4005"/>
      <c r="K240" s="4006"/>
      <c r="L240" s="4007" t="str">
        <f>'Document Checklist'!$N$145</f>
        <v>Provide a project area map showing the location(s) of amenity(ies) and the distance from the project site as selected above.</v>
      </c>
      <c r="M240" s="4008"/>
      <c r="N240" s="4008"/>
      <c r="O240" s="4008"/>
      <c r="P240" s="4008"/>
      <c r="Q240" s="4008"/>
      <c r="R240" s="4008"/>
      <c r="S240" s="4008"/>
      <c r="T240" s="4008"/>
      <c r="U240" s="4008"/>
      <c r="V240" s="4008"/>
      <c r="W240" s="4008"/>
      <c r="X240" s="4008"/>
      <c r="Y240" s="4008"/>
      <c r="Z240" s="4008"/>
      <c r="AA240" s="4008"/>
      <c r="AB240" s="4008"/>
      <c r="AC240" s="4008"/>
      <c r="AD240" s="4008"/>
      <c r="AE240" s="4009"/>
      <c r="AF240" s="2109" t="s">
        <v>843</v>
      </c>
      <c r="AG240" s="2110"/>
      <c r="AH240" s="2110"/>
      <c r="AI240" s="2110"/>
      <c r="AJ240" s="2110"/>
      <c r="AK240" s="2110"/>
      <c r="AL240" s="1727"/>
      <c r="AM240" s="1727"/>
      <c r="AO240" s="689" t="s">
        <v>1786</v>
      </c>
      <c r="AP240" s="1058"/>
      <c r="AQ240" s="1448"/>
      <c r="AR240" s="279"/>
      <c r="AS240" s="279"/>
      <c r="AT240" s="107"/>
      <c r="AU240" s="107"/>
    </row>
    <row r="241" spans="1:52" ht="18" customHeight="1">
      <c r="A241" s="718"/>
      <c r="B241" s="1107" t="s">
        <v>1404</v>
      </c>
      <c r="C241" s="3923" t="s">
        <v>1788</v>
      </c>
      <c r="D241" s="3923"/>
      <c r="E241" s="3923"/>
      <c r="F241" s="3923"/>
      <c r="G241" s="3923"/>
      <c r="H241" s="3923"/>
      <c r="I241" s="3923"/>
      <c r="J241" s="3923"/>
      <c r="K241" s="3923"/>
      <c r="L241" s="3923"/>
      <c r="M241" s="3923"/>
      <c r="N241" s="3923"/>
      <c r="O241" s="3923"/>
      <c r="P241" s="3923"/>
      <c r="Q241" s="3923"/>
      <c r="R241" s="3923"/>
      <c r="S241" s="3923"/>
      <c r="T241" s="3923"/>
      <c r="U241" s="3923"/>
      <c r="V241" s="3923"/>
      <c r="W241" s="3923"/>
      <c r="X241" s="3923"/>
      <c r="Y241" s="3923"/>
      <c r="Z241" s="3923"/>
      <c r="AA241" s="3923"/>
      <c r="AB241" s="3923"/>
      <c r="AC241" s="3923"/>
      <c r="AD241" s="3923"/>
      <c r="AE241" s="3923"/>
      <c r="AF241" s="3923"/>
      <c r="AG241" s="3923"/>
      <c r="AH241" s="3923"/>
      <c r="AI241" s="3923"/>
      <c r="AJ241" s="3923"/>
      <c r="AK241" s="3983"/>
      <c r="AL241" s="4234">
        <f>IF(AND($AL$242="Yes",vmBroadbandA="Yes",$AL$244="Yes"),5,0)</f>
        <v>0</v>
      </c>
      <c r="AM241" s="4024"/>
      <c r="AN241" s="366"/>
      <c r="AO241" s="689" t="s">
        <v>1789</v>
      </c>
      <c r="AQ241" s="1448"/>
      <c r="AR241" s="279"/>
      <c r="AS241" s="279"/>
      <c r="AT241" s="107"/>
      <c r="AU241" s="107"/>
      <c r="AV241" s="107"/>
      <c r="AW241" s="1058"/>
      <c r="AX241" s="1058"/>
      <c r="AY241" s="1058"/>
    </row>
    <row r="242" spans="1:52" ht="36" customHeight="1">
      <c r="A242" s="365"/>
      <c r="B242" s="1477"/>
      <c r="C242" s="1083" t="s">
        <v>1408</v>
      </c>
      <c r="D242" s="3979" t="s">
        <v>1790</v>
      </c>
      <c r="E242" s="3979"/>
      <c r="F242" s="3979"/>
      <c r="G242" s="3979"/>
      <c r="H242" s="3979"/>
      <c r="I242" s="3979"/>
      <c r="J242" s="3979"/>
      <c r="K242" s="3979"/>
      <c r="L242" s="3979"/>
      <c r="M242" s="3979"/>
      <c r="N242" s="3979"/>
      <c r="O242" s="3979"/>
      <c r="P242" s="3979"/>
      <c r="Q242" s="3979"/>
      <c r="R242" s="3979"/>
      <c r="S242" s="3979"/>
      <c r="T242" s="3979"/>
      <c r="U242" s="3979"/>
      <c r="V242" s="3979"/>
      <c r="W242" s="3979"/>
      <c r="X242" s="3979"/>
      <c r="Y242" s="3979"/>
      <c r="Z242" s="3979"/>
      <c r="AA242" s="3979"/>
      <c r="AB242" s="3979"/>
      <c r="AC242" s="3979"/>
      <c r="AD242" s="3979"/>
      <c r="AE242" s="3979"/>
      <c r="AF242" s="3979"/>
      <c r="AG242" s="3979"/>
      <c r="AH242" s="3979"/>
      <c r="AI242" s="3979"/>
      <c r="AJ242" s="3979"/>
      <c r="AK242" s="4017"/>
      <c r="AL242" s="4239"/>
      <c r="AM242" s="3634"/>
      <c r="AN242" s="365"/>
      <c r="AO242" s="689" t="s">
        <v>1791</v>
      </c>
      <c r="AQ242" s="1448"/>
      <c r="AR242" s="279"/>
      <c r="AS242" s="279"/>
      <c r="AT242" s="107"/>
      <c r="AU242" s="107"/>
      <c r="AV242" s="107"/>
      <c r="AW242" s="1058"/>
      <c r="AX242" s="1058"/>
      <c r="AY242" s="1058"/>
      <c r="AZ242" s="1058"/>
    </row>
    <row r="243" spans="1:52" ht="54" customHeight="1">
      <c r="A243" s="365"/>
      <c r="B243" s="1477"/>
      <c r="C243" s="1083" t="s">
        <v>1623</v>
      </c>
      <c r="D243" s="3979" t="s">
        <v>1792</v>
      </c>
      <c r="E243" s="3979"/>
      <c r="F243" s="3979"/>
      <c r="G243" s="3979"/>
      <c r="H243" s="3979"/>
      <c r="I243" s="3979"/>
      <c r="J243" s="3979"/>
      <c r="K243" s="3979"/>
      <c r="L243" s="3979"/>
      <c r="M243" s="3979"/>
      <c r="N243" s="3979"/>
      <c r="O243" s="3979"/>
      <c r="P243" s="3979"/>
      <c r="Q243" s="3979"/>
      <c r="R243" s="3979"/>
      <c r="S243" s="3979"/>
      <c r="T243" s="3979"/>
      <c r="U243" s="3979"/>
      <c r="V243" s="3979"/>
      <c r="W243" s="3979"/>
      <c r="X243" s="3979"/>
      <c r="Y243" s="3979"/>
      <c r="Z243" s="3979"/>
      <c r="AA243" s="3979"/>
      <c r="AB243" s="3979"/>
      <c r="AC243" s="3979"/>
      <c r="AD243" s="3979"/>
      <c r="AE243" s="3979"/>
      <c r="AF243" s="3979"/>
      <c r="AG243" s="3979"/>
      <c r="AH243" s="3979"/>
      <c r="AI243" s="3979"/>
      <c r="AJ243" s="3979"/>
      <c r="AK243" s="4017"/>
      <c r="AL243" s="3634"/>
      <c r="AM243" s="3634"/>
      <c r="AN243" s="365"/>
      <c r="AO243" s="689" t="s">
        <v>1475</v>
      </c>
      <c r="AQ243" s="279"/>
      <c r="AR243" s="1448"/>
      <c r="AS243" s="1448"/>
      <c r="AT243" s="1058"/>
      <c r="AU243" s="1058"/>
      <c r="AV243" s="107"/>
      <c r="AW243" s="1058"/>
      <c r="AX243" s="1058"/>
      <c r="AY243" s="1058"/>
      <c r="AZ243" s="1058"/>
    </row>
    <row r="244" spans="1:52" s="365" customFormat="1" ht="18" hidden="1" customHeight="1">
      <c r="B244" s="1736" t="s">
        <v>676</v>
      </c>
      <c r="C244" s="1736"/>
      <c r="D244" s="1736"/>
      <c r="E244" s="4004" t="str">
        <f>'Document Checklist'!$E$176</f>
        <v>92. Reducing barriers plan</v>
      </c>
      <c r="F244" s="4005"/>
      <c r="G244" s="4005"/>
      <c r="H244" s="4005"/>
      <c r="I244" s="4005"/>
      <c r="J244" s="4005"/>
      <c r="K244" s="4006"/>
      <c r="L244" s="4007" t="str">
        <f>'Document Checklist'!$N$176</f>
        <v>The plan should be tailored to the needs of the tenant population.</v>
      </c>
      <c r="M244" s="4008"/>
      <c r="N244" s="4008"/>
      <c r="O244" s="4008"/>
      <c r="P244" s="4008"/>
      <c r="Q244" s="4008"/>
      <c r="R244" s="4008"/>
      <c r="S244" s="4008"/>
      <c r="T244" s="4008"/>
      <c r="U244" s="4008"/>
      <c r="V244" s="4008"/>
      <c r="W244" s="4008"/>
      <c r="X244" s="4008"/>
      <c r="Y244" s="4008"/>
      <c r="Z244" s="4008"/>
      <c r="AA244" s="4008"/>
      <c r="AB244" s="4008"/>
      <c r="AC244" s="4008"/>
      <c r="AD244" s="4008"/>
      <c r="AE244" s="4009"/>
      <c r="AF244" s="2109" t="s">
        <v>843</v>
      </c>
      <c r="AG244" s="2110"/>
      <c r="AH244" s="2110"/>
      <c r="AI244" s="2110"/>
      <c r="AJ244" s="2110"/>
      <c r="AK244" s="2110"/>
      <c r="AL244" s="1727"/>
      <c r="AM244" s="1727"/>
      <c r="AP244" s="1136"/>
      <c r="AR244" s="49"/>
      <c r="AS244" s="49"/>
    </row>
    <row r="245" spans="1:52" ht="18" customHeight="1">
      <c r="A245" s="365"/>
      <c r="B245" s="1096" t="s">
        <v>1406</v>
      </c>
      <c r="C245" s="3923" t="s">
        <v>1793</v>
      </c>
      <c r="D245" s="3923"/>
      <c r="E245" s="3923"/>
      <c r="F245" s="3923"/>
      <c r="G245" s="3923"/>
      <c r="H245" s="3923"/>
      <c r="I245" s="3923"/>
      <c r="J245" s="3923"/>
      <c r="K245" s="3923"/>
      <c r="L245" s="3923"/>
      <c r="M245" s="3923"/>
      <c r="N245" s="3923"/>
      <c r="O245" s="3923"/>
      <c r="P245" s="3923"/>
      <c r="Q245" s="3923"/>
      <c r="R245" s="3923"/>
      <c r="S245" s="3923"/>
      <c r="T245" s="3923"/>
      <c r="U245" s="3923"/>
      <c r="V245" s="3923"/>
      <c r="W245" s="3923"/>
      <c r="X245" s="3923"/>
      <c r="Y245" s="3923"/>
      <c r="Z245" s="3923"/>
      <c r="AA245" s="3923"/>
      <c r="AB245" s="3923"/>
      <c r="AC245" s="3923"/>
      <c r="AD245" s="3923"/>
      <c r="AE245" s="3923"/>
      <c r="AF245" s="3923"/>
      <c r="AG245" s="3923"/>
      <c r="AH245" s="3923"/>
      <c r="AI245" s="3923"/>
      <c r="AJ245" s="3923"/>
      <c r="AK245" s="3923"/>
      <c r="AL245" s="3923"/>
      <c r="AM245" s="3983"/>
      <c r="AN245" s="449"/>
      <c r="AO245" s="689"/>
      <c r="AQ245" s="279"/>
      <c r="AR245" s="1448"/>
      <c r="AS245" s="1448"/>
      <c r="AT245" s="1058"/>
      <c r="AU245" s="1058"/>
      <c r="AV245" s="107"/>
      <c r="AW245" s="1058"/>
      <c r="AX245" s="1058"/>
      <c r="AY245" s="1058"/>
      <c r="AZ245" s="1058"/>
    </row>
    <row r="246" spans="1:52" ht="63" customHeight="1">
      <c r="A246" s="365"/>
      <c r="B246" s="1477"/>
      <c r="C246" s="1083" t="s">
        <v>1408</v>
      </c>
      <c r="D246" s="3910" t="s">
        <v>1794</v>
      </c>
      <c r="E246" s="3910"/>
      <c r="F246" s="3910"/>
      <c r="G246" s="3910"/>
      <c r="H246" s="3910"/>
      <c r="I246" s="3910"/>
      <c r="J246" s="3910"/>
      <c r="K246" s="3910"/>
      <c r="L246" s="3910"/>
      <c r="M246" s="3910"/>
      <c r="N246" s="3910"/>
      <c r="O246" s="3910"/>
      <c r="P246" s="3910"/>
      <c r="Q246" s="3910"/>
      <c r="R246" s="3910"/>
      <c r="S246" s="3910"/>
      <c r="T246" s="3910"/>
      <c r="U246" s="3910"/>
      <c r="V246" s="3910"/>
      <c r="W246" s="3910"/>
      <c r="X246" s="3910"/>
      <c r="Y246" s="3910"/>
      <c r="Z246" s="3910"/>
      <c r="AA246" s="3910"/>
      <c r="AB246" s="3910"/>
      <c r="AC246" s="3910"/>
      <c r="AD246" s="3910"/>
      <c r="AE246" s="3910"/>
      <c r="AF246" s="3910"/>
      <c r="AG246" s="3910"/>
      <c r="AH246" s="3910"/>
      <c r="AI246" s="3910"/>
      <c r="AJ246" s="3910"/>
      <c r="AK246" s="3910"/>
      <c r="AL246" s="4011">
        <f>IF(AND(vmSustainableCS="Yes",$AL$248="Yes"),2.5,0)</f>
        <v>0</v>
      </c>
      <c r="AM246" s="4011"/>
      <c r="AN246" s="365"/>
      <c r="AO246" s="689"/>
      <c r="AQ246" s="279"/>
      <c r="AR246" s="1448"/>
      <c r="AS246" s="1448"/>
      <c r="AT246" s="1058"/>
      <c r="AU246" s="1058"/>
      <c r="AV246" s="1058"/>
      <c r="AW246" s="360"/>
      <c r="AX246" s="360"/>
      <c r="AY246" s="360"/>
      <c r="AZ246" s="360"/>
    </row>
    <row r="247" spans="1:52" ht="36" customHeight="1">
      <c r="A247" s="365"/>
      <c r="B247" s="1479"/>
      <c r="C247" s="439"/>
      <c r="D247" s="1830" t="s">
        <v>1795</v>
      </c>
      <c r="E247" s="1830"/>
      <c r="F247" s="1830"/>
      <c r="G247" s="1830"/>
      <c r="H247" s="1830"/>
      <c r="I247" s="1830"/>
      <c r="J247" s="1830"/>
      <c r="K247" s="1830"/>
      <c r="L247" s="1830"/>
      <c r="M247" s="1830"/>
      <c r="N247" s="1830"/>
      <c r="O247" s="1830"/>
      <c r="P247" s="1830"/>
      <c r="Q247" s="1830"/>
      <c r="R247" s="1830"/>
      <c r="S247" s="1830"/>
      <c r="T247" s="1830"/>
      <c r="U247" s="1830"/>
      <c r="V247" s="1830"/>
      <c r="W247" s="1830"/>
      <c r="X247" s="1830"/>
      <c r="Y247" s="1830"/>
      <c r="Z247" s="1830"/>
      <c r="AA247" s="1830"/>
      <c r="AB247" s="1830"/>
      <c r="AC247" s="1830"/>
      <c r="AD247" s="1830"/>
      <c r="AE247" s="1830"/>
      <c r="AF247" s="1830"/>
      <c r="AG247" s="1830"/>
      <c r="AH247" s="1830"/>
      <c r="AI247" s="1830"/>
      <c r="AJ247" s="1830"/>
      <c r="AK247" s="4010"/>
      <c r="AL247" s="3634"/>
      <c r="AM247" s="3634"/>
      <c r="AN247" s="365"/>
      <c r="AO247" s="689"/>
      <c r="AQ247" s="279"/>
      <c r="AR247" s="1448"/>
      <c r="AS247" s="1448"/>
      <c r="AT247" s="1058"/>
      <c r="AU247" s="1058"/>
      <c r="AV247" s="1058"/>
      <c r="AW247" s="360"/>
      <c r="AX247" s="360"/>
      <c r="AY247" s="360"/>
      <c r="AZ247" s="360"/>
    </row>
    <row r="248" spans="1:52" s="365" customFormat="1" ht="54" hidden="1" customHeight="1">
      <c r="B248" s="1736" t="s">
        <v>676</v>
      </c>
      <c r="C248" s="1736"/>
      <c r="D248" s="1736"/>
      <c r="E248" s="2210" t="str">
        <f>'Document Checklist'!$E$163</f>
        <v>79. Sustainable Strategy</v>
      </c>
      <c r="F248" s="2210"/>
      <c r="G248" s="2210"/>
      <c r="H248" s="2210"/>
      <c r="I248" s="2210"/>
      <c r="J248" s="2210"/>
      <c r="K248" s="2210"/>
      <c r="L248" s="2210"/>
      <c r="M248" s="2210"/>
      <c r="N248" s="2210" t="str">
        <f>'Document Checklist'!$N$163</f>
        <v>Provide a letter or resolution executed by an officer or an equivalent representative from the metropolitan planning organization, regional transportation agency, planning, or local transportation commission.</v>
      </c>
      <c r="O248" s="2210"/>
      <c r="P248" s="2210"/>
      <c r="Q248" s="2210"/>
      <c r="R248" s="2210"/>
      <c r="S248" s="2210"/>
      <c r="T248" s="2210"/>
      <c r="U248" s="2210"/>
      <c r="V248" s="2210"/>
      <c r="W248" s="2210"/>
      <c r="X248" s="2210"/>
      <c r="Y248" s="2210"/>
      <c r="Z248" s="2210"/>
      <c r="AA248" s="2210"/>
      <c r="AB248" s="2210"/>
      <c r="AC248" s="2210"/>
      <c r="AD248" s="2210"/>
      <c r="AE248" s="2210"/>
      <c r="AF248" s="4123" t="s">
        <v>843</v>
      </c>
      <c r="AG248" s="4124"/>
      <c r="AH248" s="4124"/>
      <c r="AI248" s="4124"/>
      <c r="AJ248" s="4124"/>
      <c r="AK248" s="4124"/>
      <c r="AL248" s="1727"/>
      <c r="AM248" s="1727"/>
      <c r="AP248" s="1136"/>
      <c r="AR248" s="49"/>
      <c r="AS248" s="49"/>
    </row>
    <row r="249" spans="1:52" ht="63" customHeight="1">
      <c r="A249" s="365"/>
      <c r="B249" s="1460"/>
      <c r="C249" s="1083" t="s">
        <v>1409</v>
      </c>
      <c r="D249" s="3923" t="s">
        <v>1796</v>
      </c>
      <c r="E249" s="3923"/>
      <c r="F249" s="3923"/>
      <c r="G249" s="3923"/>
      <c r="H249" s="3923"/>
      <c r="I249" s="3923"/>
      <c r="J249" s="3923"/>
      <c r="K249" s="3923"/>
      <c r="L249" s="3923"/>
      <c r="M249" s="3923"/>
      <c r="N249" s="3923"/>
      <c r="O249" s="3923"/>
      <c r="P249" s="3923"/>
      <c r="Q249" s="3923"/>
      <c r="R249" s="3923"/>
      <c r="S249" s="3923"/>
      <c r="T249" s="3923"/>
      <c r="U249" s="3923"/>
      <c r="V249" s="3923"/>
      <c r="W249" s="3923"/>
      <c r="X249" s="3923"/>
      <c r="Y249" s="3923"/>
      <c r="Z249" s="3923"/>
      <c r="AA249" s="3923"/>
      <c r="AB249" s="3923"/>
      <c r="AC249" s="3923"/>
      <c r="AD249" s="3923"/>
      <c r="AE249" s="3923"/>
      <c r="AF249" s="3923"/>
      <c r="AG249" s="3923"/>
      <c r="AH249" s="3923"/>
      <c r="AI249" s="3923"/>
      <c r="AJ249" s="3923"/>
      <c r="AK249" s="3983"/>
      <c r="AL249" s="4011">
        <f>IF(AND(vmRegionalPlan="Yes",$AL$251="Yes"),2.5,0)</f>
        <v>0</v>
      </c>
      <c r="AM249" s="4011"/>
      <c r="AN249" s="365"/>
      <c r="AO249" s="1058"/>
      <c r="AQ249" s="1448"/>
      <c r="AR249" s="1448"/>
      <c r="AS249" s="1448"/>
      <c r="AT249" s="1058"/>
      <c r="AU249" s="1058"/>
      <c r="AV249" s="1058"/>
      <c r="AW249" s="360"/>
      <c r="AX249" s="360"/>
      <c r="AY249" s="360"/>
      <c r="AZ249" s="360"/>
    </row>
    <row r="250" spans="1:52" ht="18" customHeight="1">
      <c r="A250" s="717"/>
      <c r="B250" s="1477"/>
      <c r="C250" s="439"/>
      <c r="D250" s="4240" t="s">
        <v>1797</v>
      </c>
      <c r="E250" s="4240"/>
      <c r="F250" s="4240"/>
      <c r="G250" s="4240"/>
      <c r="H250" s="4240"/>
      <c r="I250" s="4240"/>
      <c r="J250" s="4240"/>
      <c r="K250" s="4240"/>
      <c r="L250" s="4240"/>
      <c r="M250" s="4240"/>
      <c r="N250" s="4240"/>
      <c r="O250" s="4240"/>
      <c r="P250" s="4240"/>
      <c r="Q250" s="4240"/>
      <c r="R250" s="4240"/>
      <c r="S250" s="4240"/>
      <c r="T250" s="4240"/>
      <c r="U250" s="4240"/>
      <c r="V250" s="4240"/>
      <c r="W250" s="4240"/>
      <c r="X250" s="4240"/>
      <c r="Y250" s="4240"/>
      <c r="Z250" s="4240"/>
      <c r="AA250" s="4240"/>
      <c r="AB250" s="4240"/>
      <c r="AC250" s="4240"/>
      <c r="AD250" s="4240"/>
      <c r="AE250" s="4240"/>
      <c r="AF250" s="4240"/>
      <c r="AG250" s="4240"/>
      <c r="AH250" s="4240"/>
      <c r="AI250" s="4240"/>
      <c r="AJ250" s="4240"/>
      <c r="AK250" s="4241"/>
      <c r="AL250" s="3634"/>
      <c r="AM250" s="3634"/>
      <c r="AN250" s="365"/>
      <c r="AO250" s="1058"/>
      <c r="AQ250" s="1448"/>
      <c r="AR250" s="1448"/>
      <c r="AS250" s="1448"/>
      <c r="AT250" s="1058"/>
      <c r="AU250" s="1058"/>
      <c r="AV250" s="1058"/>
      <c r="AW250" s="360"/>
      <c r="AX250" s="360"/>
      <c r="AY250" s="360"/>
      <c r="AZ250" s="360"/>
    </row>
    <row r="251" spans="1:52" ht="54" hidden="1" customHeight="1">
      <c r="A251" s="365"/>
      <c r="B251" s="1736" t="s">
        <v>676</v>
      </c>
      <c r="C251" s="1736"/>
      <c r="D251" s="1736"/>
      <c r="E251" s="2210" t="str">
        <f>'Document Checklist'!$E$164</f>
        <v>80. Regional Plan</v>
      </c>
      <c r="F251" s="2210"/>
      <c r="G251" s="2210"/>
      <c r="H251" s="2210"/>
      <c r="I251" s="2210"/>
      <c r="J251" s="2210"/>
      <c r="K251" s="2210"/>
      <c r="L251" s="2210"/>
      <c r="M251" s="2210"/>
      <c r="N251" s="2210" t="str">
        <f>'Document Checklist'!$N$164</f>
        <v>Provide a letter or resolution executed by an officer of, or an equivalent representative from, the metropolitan planning organization or regional transportation planning agency or local transportation commission.</v>
      </c>
      <c r="O251" s="2210"/>
      <c r="P251" s="2210"/>
      <c r="Q251" s="2210"/>
      <c r="R251" s="2210"/>
      <c r="S251" s="2210"/>
      <c r="T251" s="2210"/>
      <c r="U251" s="2210"/>
      <c r="V251" s="2210"/>
      <c r="W251" s="2210"/>
      <c r="X251" s="2210"/>
      <c r="Y251" s="2210"/>
      <c r="Z251" s="2210"/>
      <c r="AA251" s="2210"/>
      <c r="AB251" s="2210"/>
      <c r="AC251" s="2210"/>
      <c r="AD251" s="2210"/>
      <c r="AE251" s="2210"/>
      <c r="AF251" s="4123" t="s">
        <v>843</v>
      </c>
      <c r="AG251" s="4124"/>
      <c r="AH251" s="4124"/>
      <c r="AI251" s="4124"/>
      <c r="AJ251" s="4124"/>
      <c r="AK251" s="4124"/>
      <c r="AL251" s="1727"/>
      <c r="AM251" s="1727"/>
      <c r="AN251" s="365"/>
      <c r="AO251" s="1058"/>
      <c r="AQ251" s="1448"/>
      <c r="AR251" s="1448"/>
      <c r="AS251" s="1448"/>
      <c r="AT251" s="1058"/>
      <c r="AU251" s="1058"/>
      <c r="AV251" s="1058"/>
      <c r="AW251" s="1058"/>
      <c r="AX251" s="1058"/>
      <c r="AY251" s="1058"/>
      <c r="AZ251" s="1058"/>
    </row>
    <row r="252" spans="1:52" ht="54" customHeight="1">
      <c r="A252" s="365"/>
      <c r="B252" s="1460"/>
      <c r="C252" s="1488" t="s">
        <v>1410</v>
      </c>
      <c r="D252" s="3923" t="s">
        <v>1798</v>
      </c>
      <c r="E252" s="3923"/>
      <c r="F252" s="3923"/>
      <c r="G252" s="3923"/>
      <c r="H252" s="3923"/>
      <c r="I252" s="3923"/>
      <c r="J252" s="3923"/>
      <c r="K252" s="3923"/>
      <c r="L252" s="3923"/>
      <c r="M252" s="3923"/>
      <c r="N252" s="3923"/>
      <c r="O252" s="3923"/>
      <c r="P252" s="3923"/>
      <c r="Q252" s="3923"/>
      <c r="R252" s="3923"/>
      <c r="S252" s="3923"/>
      <c r="T252" s="3923"/>
      <c r="U252" s="3923"/>
      <c r="V252" s="3923"/>
      <c r="W252" s="3923"/>
      <c r="X252" s="3923"/>
      <c r="Y252" s="3923"/>
      <c r="Z252" s="3923"/>
      <c r="AA252" s="3923"/>
      <c r="AB252" s="3923"/>
      <c r="AC252" s="3923"/>
      <c r="AD252" s="3923"/>
      <c r="AE252" s="3923"/>
      <c r="AF252" s="3923"/>
      <c r="AG252" s="3923"/>
      <c r="AH252" s="3923"/>
      <c r="AI252" s="3923"/>
      <c r="AJ252" s="3923"/>
      <c r="AK252" s="3923"/>
      <c r="AL252" s="4011">
        <f>IF(AND(vmTPA="Yes",$AL$254="Yes"),2.5,0)</f>
        <v>0</v>
      </c>
      <c r="AM252" s="4011"/>
      <c r="AN252" s="365"/>
      <c r="AO252" s="360"/>
      <c r="AP252" s="360"/>
      <c r="AQ252" s="1472"/>
      <c r="AR252" s="1472"/>
      <c r="AS252" s="1472"/>
      <c r="AT252" s="1058"/>
      <c r="AU252" s="1058"/>
      <c r="AV252" s="1058"/>
      <c r="AW252" s="1058"/>
      <c r="AX252" s="1058"/>
      <c r="AY252" s="1058"/>
      <c r="AZ252" s="1058"/>
    </row>
    <row r="253" spans="1:52" s="365" customFormat="1" ht="18" customHeight="1">
      <c r="B253" s="1085"/>
      <c r="C253" s="718"/>
      <c r="D253" s="3984" t="s">
        <v>1799</v>
      </c>
      <c r="E253" s="3984"/>
      <c r="F253" s="3984"/>
      <c r="G253" s="3984"/>
      <c r="H253" s="3984"/>
      <c r="I253" s="3984"/>
      <c r="J253" s="3984"/>
      <c r="K253" s="3984"/>
      <c r="L253" s="3984"/>
      <c r="M253" s="3984"/>
      <c r="N253" s="3984"/>
      <c r="O253" s="3984"/>
      <c r="P253" s="3984"/>
      <c r="Q253" s="3984"/>
      <c r="R253" s="3984"/>
      <c r="S253" s="3984"/>
      <c r="T253" s="3984"/>
      <c r="U253" s="3984"/>
      <c r="V253" s="3984"/>
      <c r="W253" s="3984"/>
      <c r="X253" s="3984"/>
      <c r="Y253" s="3984"/>
      <c r="Z253" s="3984"/>
      <c r="AA253" s="3984"/>
      <c r="AB253" s="3984"/>
      <c r="AC253" s="3984"/>
      <c r="AD253" s="3984"/>
      <c r="AE253" s="3984"/>
      <c r="AF253" s="3984"/>
      <c r="AG253" s="3984"/>
      <c r="AH253" s="3984"/>
      <c r="AI253" s="3984"/>
      <c r="AJ253" s="3984"/>
      <c r="AK253" s="3985"/>
      <c r="AL253" s="3634"/>
      <c r="AM253" s="3634"/>
      <c r="AP253" s="1136"/>
      <c r="AR253" s="49"/>
      <c r="AS253" s="49"/>
    </row>
    <row r="254" spans="1:52" s="365" customFormat="1" ht="45.75" hidden="1" customHeight="1">
      <c r="B254" s="1736" t="s">
        <v>676</v>
      </c>
      <c r="C254" s="1736"/>
      <c r="D254" s="1736"/>
      <c r="E254" s="2210" t="str">
        <f>'Document Checklist'!$E$177</f>
        <v>93. Transit Priority Area</v>
      </c>
      <c r="F254" s="2210"/>
      <c r="G254" s="2210"/>
      <c r="H254" s="2210"/>
      <c r="I254" s="2210"/>
      <c r="J254" s="2210"/>
      <c r="K254" s="2210"/>
      <c r="L254" s="2210"/>
      <c r="M254" s="2210"/>
      <c r="N254" s="2210" t="str">
        <f>'Document Checklist'!$N$177</f>
        <v>Provide a letter or resolution executed by an officer or an equivalent representative from the metropolitan planning organization, regional transportation agency, planning, or local transportation commission.</v>
      </c>
      <c r="O254" s="2210"/>
      <c r="P254" s="2210"/>
      <c r="Q254" s="2210"/>
      <c r="R254" s="2210"/>
      <c r="S254" s="2210"/>
      <c r="T254" s="2210"/>
      <c r="U254" s="2210"/>
      <c r="V254" s="2210"/>
      <c r="W254" s="2210"/>
      <c r="X254" s="2210"/>
      <c r="Y254" s="2210"/>
      <c r="Z254" s="2210"/>
      <c r="AA254" s="2210"/>
      <c r="AB254" s="2210"/>
      <c r="AC254" s="2210"/>
      <c r="AD254" s="2210"/>
      <c r="AE254" s="2210"/>
      <c r="AF254" s="4123" t="s">
        <v>843</v>
      </c>
      <c r="AG254" s="4124"/>
      <c r="AH254" s="4124"/>
      <c r="AI254" s="4124"/>
      <c r="AJ254" s="4124"/>
      <c r="AK254" s="4124"/>
      <c r="AL254" s="1727"/>
      <c r="AM254" s="1727"/>
      <c r="AP254" s="1136"/>
      <c r="AR254" s="49"/>
      <c r="AS254" s="49"/>
    </row>
    <row r="255" spans="1:52" ht="54" customHeight="1">
      <c r="A255" s="717"/>
      <c r="B255" s="1477"/>
      <c r="C255" s="1089" t="s">
        <v>1411</v>
      </c>
      <c r="D255" s="3923" t="s">
        <v>1800</v>
      </c>
      <c r="E255" s="3923"/>
      <c r="F255" s="3923"/>
      <c r="G255" s="3923"/>
      <c r="H255" s="3923"/>
      <c r="I255" s="3923"/>
      <c r="J255" s="3923"/>
      <c r="K255" s="3923"/>
      <c r="L255" s="3923"/>
      <c r="M255" s="3923"/>
      <c r="N255" s="3923"/>
      <c r="O255" s="3923"/>
      <c r="P255" s="3923"/>
      <c r="Q255" s="3923"/>
      <c r="R255" s="3923"/>
      <c r="S255" s="3923"/>
      <c r="T255" s="3923"/>
      <c r="U255" s="3923"/>
      <c r="V255" s="3923"/>
      <c r="W255" s="3923"/>
      <c r="X255" s="3923"/>
      <c r="Y255" s="3923"/>
      <c r="Z255" s="3923"/>
      <c r="AA255" s="3923"/>
      <c r="AB255" s="3923"/>
      <c r="AC255" s="3923"/>
      <c r="AD255" s="3923"/>
      <c r="AE255" s="3923"/>
      <c r="AF255" s="3923"/>
      <c r="AG255" s="3923"/>
      <c r="AH255" s="3923"/>
      <c r="AI255" s="3923"/>
      <c r="AJ255" s="3923"/>
      <c r="AK255" s="3983"/>
      <c r="AL255" s="4175">
        <f>IF(AND(vmGreenBuilding&gt;0,AL257="Yes"),5,0)</f>
        <v>0</v>
      </c>
      <c r="AM255" s="4176"/>
      <c r="AN255" s="365"/>
      <c r="AO255" s="360"/>
      <c r="AP255" s="360"/>
      <c r="AQ255" s="1472"/>
      <c r="AR255" s="1472"/>
      <c r="AS255" s="1472"/>
      <c r="AT255" s="1058"/>
      <c r="AU255" s="1058"/>
      <c r="AV255" s="1058"/>
      <c r="AW255" s="1058"/>
      <c r="AX255" s="1058"/>
      <c r="AY255" s="1058"/>
      <c r="AZ255" s="1058"/>
    </row>
    <row r="256" spans="1:52" ht="36" customHeight="1">
      <c r="A256" s="365"/>
      <c r="B256" s="1479"/>
      <c r="C256" s="718"/>
      <c r="D256" s="3979" t="s">
        <v>1801</v>
      </c>
      <c r="E256" s="3979"/>
      <c r="F256" s="3979"/>
      <c r="G256" s="3979"/>
      <c r="H256" s="3979"/>
      <c r="I256" s="3979"/>
      <c r="J256" s="3979"/>
      <c r="K256" s="3979"/>
      <c r="L256" s="3979"/>
      <c r="M256" s="3979"/>
      <c r="N256" s="3979"/>
      <c r="O256" s="3979"/>
      <c r="P256" s="3979"/>
      <c r="Q256" s="3979"/>
      <c r="R256" s="3979"/>
      <c r="S256" s="3979"/>
      <c r="T256" s="3979"/>
      <c r="U256" s="3979"/>
      <c r="V256" s="3979"/>
      <c r="W256" s="3979"/>
      <c r="X256" s="4237"/>
      <c r="Y256" s="4237"/>
      <c r="Z256" s="4237"/>
      <c r="AA256" s="4237"/>
      <c r="AB256" s="4237"/>
      <c r="AC256" s="4237"/>
      <c r="AD256" s="4237"/>
      <c r="AE256" s="4237"/>
      <c r="AF256" s="4237"/>
      <c r="AG256" s="4237"/>
      <c r="AH256" s="4237"/>
      <c r="AI256" s="4237"/>
      <c r="AJ256" s="4237"/>
      <c r="AK256" s="4237"/>
      <c r="AL256" s="4237"/>
      <c r="AM256" s="4237"/>
      <c r="AN256" s="365"/>
      <c r="AO256" s="360"/>
      <c r="AP256" s="360"/>
      <c r="AQ256" s="1472"/>
      <c r="AR256" s="1472"/>
      <c r="AS256" s="1472"/>
      <c r="AT256" s="1058"/>
      <c r="AU256" s="1058"/>
      <c r="AV256" s="1058"/>
      <c r="AW256" s="1058"/>
      <c r="AX256" s="1058"/>
      <c r="AY256" s="1058"/>
      <c r="AZ256" s="1058"/>
    </row>
    <row r="257" spans="1:52" ht="36" hidden="1" customHeight="1">
      <c r="A257" s="365"/>
      <c r="B257" s="1736" t="s">
        <v>676</v>
      </c>
      <c r="C257" s="1736"/>
      <c r="D257" s="1736"/>
      <c r="E257" s="2210" t="str">
        <f>'Document Checklist'!$E$165</f>
        <v>81. Green Building Status</v>
      </c>
      <c r="F257" s="2210"/>
      <c r="G257" s="2210"/>
      <c r="H257" s="2210"/>
      <c r="I257" s="2210"/>
      <c r="J257" s="2210"/>
      <c r="K257" s="2210"/>
      <c r="L257" s="2210"/>
      <c r="M257" s="2210"/>
      <c r="N257" s="2210" t="str">
        <f>'Document Checklist'!$N$165</f>
        <v>Provide signed letter from a certified LEED Green rater, certified Green Point rater, or licensed engineer stating the green building status.</v>
      </c>
      <c r="O257" s="2210"/>
      <c r="P257" s="2210"/>
      <c r="Q257" s="2210"/>
      <c r="R257" s="2210"/>
      <c r="S257" s="2210"/>
      <c r="T257" s="2210"/>
      <c r="U257" s="2210"/>
      <c r="V257" s="2210"/>
      <c r="W257" s="2210"/>
      <c r="X257" s="2210"/>
      <c r="Y257" s="2210"/>
      <c r="Z257" s="2210"/>
      <c r="AA257" s="2210"/>
      <c r="AB257" s="2210"/>
      <c r="AC257" s="2210"/>
      <c r="AD257" s="2210"/>
      <c r="AE257" s="2210"/>
      <c r="AF257" s="2109" t="s">
        <v>843</v>
      </c>
      <c r="AG257" s="2110"/>
      <c r="AH257" s="2110"/>
      <c r="AI257" s="2110"/>
      <c r="AJ257" s="2110"/>
      <c r="AK257" s="2110"/>
      <c r="AL257" s="1727"/>
      <c r="AM257" s="1727"/>
      <c r="AN257" s="365"/>
      <c r="AO257" s="360"/>
      <c r="AP257" s="360"/>
      <c r="AQ257" s="1472"/>
      <c r="AR257" s="1472"/>
      <c r="AS257" s="1472"/>
      <c r="AT257" s="1058"/>
      <c r="AU257" s="1058"/>
      <c r="AV257" s="1058"/>
      <c r="AW257" s="1058"/>
      <c r="AX257" s="1058"/>
      <c r="AY257" s="1058"/>
      <c r="AZ257" s="1058"/>
    </row>
    <row r="258" spans="1:52" ht="36" customHeight="1">
      <c r="A258" s="717"/>
      <c r="B258" s="1477"/>
      <c r="C258" s="1089" t="s">
        <v>1424</v>
      </c>
      <c r="D258" s="3923" t="s">
        <v>1803</v>
      </c>
      <c r="E258" s="3923"/>
      <c r="F258" s="3923"/>
      <c r="G258" s="3923"/>
      <c r="H258" s="3923"/>
      <c r="I258" s="3923"/>
      <c r="J258" s="3923"/>
      <c r="K258" s="3923"/>
      <c r="L258" s="3923"/>
      <c r="M258" s="3923"/>
      <c r="N258" s="3923"/>
      <c r="O258" s="3923"/>
      <c r="P258" s="3923"/>
      <c r="Q258" s="3923"/>
      <c r="R258" s="3923"/>
      <c r="S258" s="3923"/>
      <c r="T258" s="3923"/>
      <c r="U258" s="3923"/>
      <c r="V258" s="3923"/>
      <c r="W258" s="3923"/>
      <c r="X258" s="3923"/>
      <c r="Y258" s="3923"/>
      <c r="Z258" s="3923"/>
      <c r="AA258" s="3923"/>
      <c r="AB258" s="3923"/>
      <c r="AC258" s="3923"/>
      <c r="AD258" s="3923"/>
      <c r="AE258" s="3923"/>
      <c r="AF258" s="3923"/>
      <c r="AG258" s="3923"/>
      <c r="AH258" s="3923"/>
      <c r="AI258" s="3923"/>
      <c r="AJ258" s="3923"/>
      <c r="AK258" s="3983"/>
      <c r="AL258" s="4175">
        <f>IF(AND(vmElectricDesign="Yes",$AL$260="Yes"),3,0)</f>
        <v>0</v>
      </c>
      <c r="AM258" s="4176"/>
      <c r="AN258" s="365"/>
      <c r="AO258" s="360"/>
      <c r="AP258" s="360"/>
      <c r="AQ258" s="1472"/>
      <c r="AR258" s="1472"/>
      <c r="AS258" s="1472"/>
    </row>
    <row r="259" spans="1:52" ht="18" customHeight="1">
      <c r="A259" s="365"/>
      <c r="B259" s="1479"/>
      <c r="C259" s="718"/>
      <c r="D259" s="3984" t="s">
        <v>1804</v>
      </c>
      <c r="E259" s="3984"/>
      <c r="F259" s="3984"/>
      <c r="G259" s="3984"/>
      <c r="H259" s="3984"/>
      <c r="I259" s="3984"/>
      <c r="J259" s="3984"/>
      <c r="K259" s="3984"/>
      <c r="L259" s="3984"/>
      <c r="M259" s="3984"/>
      <c r="N259" s="3984"/>
      <c r="O259" s="3984"/>
      <c r="P259" s="3984"/>
      <c r="Q259" s="3984"/>
      <c r="R259" s="3984"/>
      <c r="S259" s="3984"/>
      <c r="T259" s="3984"/>
      <c r="U259" s="3984"/>
      <c r="V259" s="3984"/>
      <c r="W259" s="3984"/>
      <c r="X259" s="3984"/>
      <c r="Y259" s="3984"/>
      <c r="Z259" s="3984"/>
      <c r="AA259" s="3984"/>
      <c r="AB259" s="3984"/>
      <c r="AC259" s="3984"/>
      <c r="AD259" s="3984"/>
      <c r="AE259" s="3984"/>
      <c r="AF259" s="3984"/>
      <c r="AG259" s="3984"/>
      <c r="AH259" s="3984"/>
      <c r="AI259" s="3984"/>
      <c r="AJ259" s="3984"/>
      <c r="AK259" s="3985"/>
      <c r="AL259" s="3634"/>
      <c r="AM259" s="3634"/>
      <c r="AN259" s="365"/>
      <c r="AO259" s="360"/>
      <c r="AP259" s="360"/>
      <c r="AQ259" s="1472"/>
      <c r="AR259" s="1472"/>
      <c r="AS259" s="1472"/>
    </row>
    <row r="260" spans="1:52" ht="36" hidden="1" customHeight="1">
      <c r="A260" s="365"/>
      <c r="B260" s="1736" t="s">
        <v>676</v>
      </c>
      <c r="C260" s="1736"/>
      <c r="D260" s="1736"/>
      <c r="E260" s="2210" t="str">
        <f>'Document Checklist'!$E$166</f>
        <v>82. Near Electrification</v>
      </c>
      <c r="F260" s="2210"/>
      <c r="G260" s="2210"/>
      <c r="H260" s="2210"/>
      <c r="I260" s="2210"/>
      <c r="J260" s="2210"/>
      <c r="K260" s="2210"/>
      <c r="L260" s="2210"/>
      <c r="M260" s="2210"/>
      <c r="N260" s="2210" t="str">
        <f>'Document Checklist'!$N$166</f>
        <v>Document that the AHD or Mixed Use Development will contain the level of electricity stated above.</v>
      </c>
      <c r="O260" s="2210"/>
      <c r="P260" s="2210"/>
      <c r="Q260" s="2210"/>
      <c r="R260" s="2210"/>
      <c r="S260" s="2210"/>
      <c r="T260" s="2210"/>
      <c r="U260" s="2210"/>
      <c r="V260" s="2210"/>
      <c r="W260" s="2210"/>
      <c r="X260" s="2210"/>
      <c r="Y260" s="2210"/>
      <c r="Z260" s="2210"/>
      <c r="AA260" s="2210"/>
      <c r="AB260" s="2210"/>
      <c r="AC260" s="2210"/>
      <c r="AD260" s="2210"/>
      <c r="AE260" s="2210"/>
      <c r="AF260" s="2109" t="s">
        <v>843</v>
      </c>
      <c r="AG260" s="2110"/>
      <c r="AH260" s="2110"/>
      <c r="AI260" s="2110"/>
      <c r="AJ260" s="2110"/>
      <c r="AK260" s="2110"/>
      <c r="AL260" s="1727"/>
      <c r="AM260" s="1727"/>
      <c r="AN260" s="365"/>
      <c r="AO260" s="360"/>
      <c r="AP260" s="360"/>
      <c r="AQ260" s="1472"/>
      <c r="AR260" s="1472"/>
      <c r="AS260" s="1472"/>
    </row>
    <row r="261" spans="1:52" ht="18" customHeight="1">
      <c r="A261" s="365"/>
      <c r="B261" s="1108"/>
      <c r="C261" s="1083" t="s">
        <v>1425</v>
      </c>
      <c r="D261" s="3923" t="s">
        <v>1805</v>
      </c>
      <c r="E261" s="3923"/>
      <c r="F261" s="3923"/>
      <c r="G261" s="3923"/>
      <c r="H261" s="3923"/>
      <c r="I261" s="3923"/>
      <c r="J261" s="3923"/>
      <c r="K261" s="3923"/>
      <c r="L261" s="3923"/>
      <c r="M261" s="3923"/>
      <c r="N261" s="3923"/>
      <c r="O261" s="3923"/>
      <c r="P261" s="3923"/>
      <c r="Q261" s="3923"/>
      <c r="R261" s="3923"/>
      <c r="S261" s="3923"/>
      <c r="T261" s="3923"/>
      <c r="U261" s="3923"/>
      <c r="V261" s="3923"/>
      <c r="W261" s="3923"/>
      <c r="X261" s="3923"/>
      <c r="Y261" s="3923"/>
      <c r="Z261" s="3923"/>
      <c r="AA261" s="3923"/>
      <c r="AB261" s="3923"/>
      <c r="AC261" s="3923"/>
      <c r="AD261" s="3923"/>
      <c r="AE261" s="3923"/>
      <c r="AF261" s="3923"/>
      <c r="AG261" s="3923"/>
      <c r="AH261" s="3923"/>
      <c r="AI261" s="3923"/>
      <c r="AJ261" s="3923"/>
      <c r="AK261" s="3983"/>
      <c r="AL261" s="4011">
        <f>IF(AND(vmElectricPowered="Yes",$AL$263="Yes"),5,0)</f>
        <v>0</v>
      </c>
      <c r="AM261" s="4011"/>
      <c r="AN261" s="365"/>
      <c r="AO261" s="360"/>
      <c r="AP261" s="360"/>
      <c r="AQ261" s="1472"/>
      <c r="AR261" s="1472"/>
      <c r="AS261" s="1472"/>
    </row>
    <row r="262" spans="1:52" ht="36" customHeight="1">
      <c r="A262" s="365"/>
      <c r="B262" s="1099"/>
      <c r="C262" s="725"/>
      <c r="D262" s="3979" t="s">
        <v>1806</v>
      </c>
      <c r="E262" s="3979"/>
      <c r="F262" s="3979"/>
      <c r="G262" s="3979"/>
      <c r="H262" s="3979"/>
      <c r="I262" s="3979"/>
      <c r="J262" s="3979"/>
      <c r="K262" s="3979"/>
      <c r="L262" s="3979"/>
      <c r="M262" s="3979"/>
      <c r="N262" s="3979"/>
      <c r="O262" s="3979"/>
      <c r="P262" s="3979"/>
      <c r="Q262" s="3979"/>
      <c r="R262" s="3979"/>
      <c r="S262" s="3979"/>
      <c r="T262" s="3979"/>
      <c r="U262" s="3979"/>
      <c r="V262" s="3979"/>
      <c r="W262" s="3979"/>
      <c r="X262" s="3979"/>
      <c r="Y262" s="3979"/>
      <c r="Z262" s="3979"/>
      <c r="AA262" s="3979"/>
      <c r="AB262" s="3979"/>
      <c r="AC262" s="3979"/>
      <c r="AD262" s="3979"/>
      <c r="AE262" s="3979"/>
      <c r="AF262" s="3979"/>
      <c r="AG262" s="3979"/>
      <c r="AH262" s="3979"/>
      <c r="AI262" s="3979"/>
      <c r="AJ262" s="3979"/>
      <c r="AK262" s="4017"/>
      <c r="AL262" s="3634"/>
      <c r="AM262" s="3634"/>
      <c r="AN262" s="365"/>
      <c r="AO262" s="360"/>
      <c r="AP262" s="360"/>
      <c r="AQ262" s="1472"/>
      <c r="AR262" s="1472"/>
      <c r="AS262" s="1472"/>
    </row>
    <row r="263" spans="1:52" ht="30" hidden="1" customHeight="1">
      <c r="A263" s="365"/>
      <c r="B263" s="1736" t="s">
        <v>676</v>
      </c>
      <c r="C263" s="1736"/>
      <c r="D263" s="1736"/>
      <c r="E263" s="2210" t="str">
        <f>'Document Checklist'!$E$167</f>
        <v>83. Electric Design</v>
      </c>
      <c r="F263" s="2210"/>
      <c r="G263" s="2210"/>
      <c r="H263" s="2210"/>
      <c r="I263" s="2210"/>
      <c r="J263" s="2210"/>
      <c r="K263" s="2210"/>
      <c r="L263" s="2210"/>
      <c r="M263" s="2210"/>
      <c r="N263" s="2210" t="str">
        <f>'Document Checklist'!$N$167</f>
        <v>Document that the AHD or Mixed Use Development will contain the level of electricity stated above.</v>
      </c>
      <c r="O263" s="2210"/>
      <c r="P263" s="2210"/>
      <c r="Q263" s="2210"/>
      <c r="R263" s="2210"/>
      <c r="S263" s="2210"/>
      <c r="T263" s="2210"/>
      <c r="U263" s="2210"/>
      <c r="V263" s="2210"/>
      <c r="W263" s="2210"/>
      <c r="X263" s="2210"/>
      <c r="Y263" s="2210"/>
      <c r="Z263" s="2210"/>
      <c r="AA263" s="2210"/>
      <c r="AB263" s="2210"/>
      <c r="AC263" s="2210"/>
      <c r="AD263" s="2210"/>
      <c r="AE263" s="2210"/>
      <c r="AF263" s="2109" t="s">
        <v>843</v>
      </c>
      <c r="AG263" s="2110"/>
      <c r="AH263" s="2110"/>
      <c r="AI263" s="2110"/>
      <c r="AJ263" s="2110"/>
      <c r="AK263" s="2110"/>
      <c r="AL263" s="1727"/>
      <c r="AM263" s="1727"/>
      <c r="AN263" s="365"/>
      <c r="AO263" s="360"/>
      <c r="AP263" s="360"/>
      <c r="AQ263" s="1472"/>
      <c r="AR263" s="1472"/>
      <c r="AS263" s="1472"/>
    </row>
    <row r="264" spans="1:52" ht="18" customHeight="1">
      <c r="A264" s="365"/>
      <c r="B264" s="365"/>
      <c r="C264" s="365"/>
      <c r="D264" s="365"/>
      <c r="E264" s="365"/>
      <c r="F264" s="365"/>
      <c r="G264" s="365"/>
      <c r="H264" s="365"/>
      <c r="I264" s="365"/>
      <c r="J264" s="365"/>
      <c r="K264" s="365"/>
      <c r="L264" s="365"/>
      <c r="M264" s="365"/>
      <c r="N264" s="365"/>
      <c r="O264" s="365"/>
      <c r="P264" s="365"/>
      <c r="Q264" s="365"/>
      <c r="R264" s="365"/>
      <c r="S264" s="365"/>
      <c r="T264" s="365"/>
      <c r="U264" s="365"/>
      <c r="V264" s="365"/>
      <c r="W264" s="365"/>
      <c r="X264" s="365"/>
      <c r="Y264" s="365"/>
      <c r="Z264" s="365"/>
      <c r="AA264" s="365"/>
      <c r="AB264" s="365"/>
      <c r="AC264" s="365"/>
      <c r="AD264" s="365"/>
      <c r="AE264" s="365"/>
      <c r="AF264" s="365"/>
      <c r="AG264" s="365"/>
      <c r="AH264" s="365"/>
      <c r="AI264" s="365"/>
      <c r="AJ264" s="365"/>
      <c r="AK264" s="365"/>
      <c r="AL264" s="365"/>
      <c r="AM264" s="365"/>
      <c r="AN264" s="365"/>
      <c r="AO264" s="360"/>
      <c r="AP264" s="360"/>
      <c r="AQ264" s="1472"/>
      <c r="AR264" s="1472"/>
      <c r="AS264" s="1472"/>
    </row>
    <row r="265" spans="1:52" ht="18" customHeight="1">
      <c r="A265" s="366"/>
      <c r="B265" s="4174" t="s">
        <v>4142</v>
      </c>
      <c r="C265" s="4174"/>
      <c r="D265" s="4174"/>
      <c r="E265" s="4174"/>
      <c r="F265" s="4174"/>
      <c r="G265" s="4174"/>
      <c r="H265" s="4174"/>
      <c r="I265" s="4174"/>
      <c r="J265" s="4174"/>
      <c r="K265" s="4174"/>
      <c r="L265" s="4174"/>
      <c r="M265" s="4174"/>
      <c r="N265" s="4174"/>
      <c r="O265" s="4174"/>
      <c r="P265" s="4174"/>
      <c r="Q265" s="4174"/>
      <c r="R265" s="4174"/>
      <c r="S265" s="4174"/>
      <c r="T265" s="4174"/>
      <c r="U265" s="4174"/>
      <c r="V265" s="4174"/>
      <c r="W265" s="4174"/>
      <c r="X265" s="4174"/>
      <c r="Y265" s="4174"/>
      <c r="Z265" s="4174"/>
      <c r="AA265" s="4174"/>
      <c r="AB265" s="4174"/>
      <c r="AC265" s="4174"/>
      <c r="AD265" s="4174"/>
      <c r="AE265" s="4174"/>
      <c r="AF265" s="4174"/>
      <c r="AG265" s="4174"/>
      <c r="AH265" s="4174"/>
      <c r="AI265" s="4174"/>
      <c r="AJ265" s="4174"/>
      <c r="AK265" s="4174"/>
      <c r="AL265" s="3982">
        <v>10</v>
      </c>
      <c r="AM265" s="3982"/>
      <c r="AN265" s="366"/>
      <c r="AO265" s="360"/>
      <c r="AP265" s="360"/>
      <c r="AQ265" s="1472"/>
      <c r="AR265" s="1472"/>
      <c r="AS265" s="1472"/>
    </row>
    <row r="266" spans="1:52" ht="18" customHeight="1">
      <c r="A266" s="365"/>
      <c r="B266" s="365"/>
      <c r="C266" s="365"/>
      <c r="D266" s="365"/>
      <c r="E266" s="365"/>
      <c r="F266" s="365"/>
      <c r="G266" s="365"/>
      <c r="H266" s="365"/>
      <c r="I266" s="365"/>
      <c r="J266" s="365"/>
      <c r="K266" s="365"/>
      <c r="L266" s="365"/>
      <c r="M266" s="365"/>
      <c r="N266" s="365"/>
      <c r="O266" s="365"/>
      <c r="P266" s="365"/>
      <c r="Q266" s="365"/>
      <c r="R266" s="365"/>
      <c r="S266" s="365"/>
      <c r="T266" s="365"/>
      <c r="U266" s="365"/>
      <c r="V266" s="365"/>
      <c r="W266" s="365"/>
      <c r="X266" s="365"/>
      <c r="Y266" s="365"/>
      <c r="Z266" s="365"/>
      <c r="AA266" s="365"/>
      <c r="AB266" s="365"/>
      <c r="AC266" s="365"/>
      <c r="AD266" s="365"/>
      <c r="AE266" s="365"/>
      <c r="AF266" s="365"/>
      <c r="AG266" s="365"/>
      <c r="AH266" s="365"/>
      <c r="AI266" s="365"/>
      <c r="AJ266" s="365"/>
      <c r="AK266" s="365"/>
      <c r="AL266" s="365"/>
      <c r="AM266" s="365"/>
      <c r="AN266" s="366"/>
      <c r="AO266" s="360"/>
      <c r="AP266" s="360"/>
      <c r="AQ266" s="1472"/>
      <c r="AR266" s="1472"/>
      <c r="AS266" s="1472"/>
    </row>
    <row r="267" spans="1:52" ht="18" customHeight="1">
      <c r="A267" s="365"/>
      <c r="B267" s="365"/>
      <c r="C267" s="365"/>
      <c r="D267" s="365"/>
      <c r="E267" s="365"/>
      <c r="F267" s="365"/>
      <c r="G267" s="365"/>
      <c r="H267" s="365"/>
      <c r="I267" s="365"/>
      <c r="J267" s="365"/>
      <c r="K267" s="365"/>
      <c r="L267" s="365"/>
      <c r="M267" s="365"/>
      <c r="N267" s="365"/>
      <c r="O267" s="365"/>
      <c r="P267" s="365"/>
      <c r="Q267" s="365"/>
      <c r="R267" s="365"/>
      <c r="S267" s="365"/>
      <c r="T267" s="365"/>
      <c r="U267" s="365"/>
      <c r="V267" s="365"/>
      <c r="W267" s="365"/>
      <c r="X267" s="365"/>
      <c r="Y267" s="365"/>
      <c r="Z267" s="365"/>
      <c r="AA267" s="365"/>
      <c r="AB267" s="365"/>
      <c r="AC267" s="365"/>
      <c r="AD267" s="365"/>
      <c r="AE267" s="365"/>
      <c r="AF267" s="365"/>
      <c r="AG267" s="365"/>
      <c r="AH267" s="365"/>
      <c r="AI267" s="365"/>
      <c r="AJ267" s="365"/>
      <c r="AK267" s="365"/>
      <c r="AL267" s="365"/>
      <c r="AM267" s="365"/>
      <c r="AN267" s="366"/>
      <c r="AO267" s="360"/>
      <c r="AP267" s="360"/>
      <c r="AQ267" s="1472"/>
      <c r="AR267" s="1472"/>
      <c r="AS267" s="1472"/>
    </row>
    <row r="268" spans="1:52" ht="18" customHeight="1">
      <c r="A268" s="365"/>
      <c r="B268" s="365"/>
      <c r="C268" s="365"/>
      <c r="D268" s="365"/>
      <c r="E268" s="365"/>
      <c r="F268" s="365"/>
      <c r="G268" s="365"/>
      <c r="H268" s="365"/>
      <c r="I268" s="365"/>
      <c r="J268" s="365"/>
      <c r="K268" s="365"/>
      <c r="L268" s="365"/>
      <c r="M268" s="365"/>
      <c r="N268" s="365"/>
      <c r="O268" s="365"/>
      <c r="P268" s="365"/>
      <c r="Q268" s="365"/>
      <c r="R268" s="365"/>
      <c r="S268" s="365"/>
      <c r="T268" s="365"/>
      <c r="U268" s="365"/>
      <c r="V268" s="365"/>
      <c r="W268" s="365"/>
      <c r="X268" s="365"/>
      <c r="Y268" s="365"/>
      <c r="Z268" s="365"/>
      <c r="AA268" s="365"/>
      <c r="AB268" s="365"/>
      <c r="AC268" s="365"/>
      <c r="AD268" s="365"/>
      <c r="AE268" s="365"/>
      <c r="AF268" s="365"/>
      <c r="AG268" s="365"/>
      <c r="AH268" s="365"/>
      <c r="AI268" s="365"/>
      <c r="AJ268" s="365"/>
      <c r="AK268" s="365"/>
      <c r="AL268" s="365"/>
      <c r="AM268" s="365"/>
      <c r="AN268" s="366"/>
      <c r="AO268" s="360"/>
      <c r="AP268" s="360"/>
      <c r="AQ268" s="1472"/>
      <c r="AR268" s="1472"/>
      <c r="AS268" s="1472"/>
    </row>
    <row r="269" spans="1:52" s="1058" customFormat="1" ht="18" customHeight="1">
      <c r="A269" s="365"/>
      <c r="B269" s="365"/>
      <c r="C269" s="365"/>
      <c r="D269" s="365"/>
      <c r="E269" s="365"/>
      <c r="F269" s="365"/>
      <c r="G269" s="365"/>
      <c r="H269" s="365"/>
      <c r="I269" s="365"/>
      <c r="J269" s="365"/>
      <c r="K269" s="365"/>
      <c r="L269" s="365"/>
      <c r="M269" s="365"/>
      <c r="N269" s="365"/>
      <c r="O269" s="365"/>
      <c r="P269" s="365"/>
      <c r="Q269" s="365"/>
      <c r="R269" s="365"/>
      <c r="S269" s="365"/>
      <c r="T269" s="365"/>
      <c r="U269" s="365"/>
      <c r="V269" s="365"/>
      <c r="W269" s="365"/>
      <c r="X269" s="365"/>
      <c r="Y269" s="365"/>
      <c r="Z269" s="365"/>
      <c r="AA269" s="365"/>
      <c r="AB269" s="365"/>
      <c r="AC269" s="365"/>
      <c r="AD269" s="365"/>
      <c r="AE269" s="365"/>
      <c r="AF269" s="365"/>
      <c r="AG269" s="365"/>
      <c r="AH269" s="365"/>
      <c r="AI269" s="365"/>
      <c r="AJ269" s="365"/>
      <c r="AK269" s="365"/>
      <c r="AL269" s="365"/>
      <c r="AM269" s="365"/>
      <c r="AN269" s="366"/>
      <c r="AO269" s="360"/>
      <c r="AP269" s="360"/>
      <c r="AQ269" s="1620"/>
      <c r="AR269" s="1620"/>
      <c r="AS269" s="1620"/>
    </row>
    <row r="270" spans="1:52" s="1058" customFormat="1" ht="18" customHeight="1">
      <c r="A270" s="365"/>
      <c r="B270" s="365"/>
      <c r="C270" s="365"/>
      <c r="D270" s="365"/>
      <c r="E270" s="365"/>
      <c r="F270" s="365"/>
      <c r="G270" s="365"/>
      <c r="H270" s="365"/>
      <c r="I270" s="365"/>
      <c r="J270" s="365"/>
      <c r="K270" s="365"/>
      <c r="L270" s="365"/>
      <c r="M270" s="365"/>
      <c r="N270" s="365"/>
      <c r="O270" s="365"/>
      <c r="P270" s="365"/>
      <c r="Q270" s="365"/>
      <c r="R270" s="365"/>
      <c r="S270" s="365"/>
      <c r="T270" s="365"/>
      <c r="U270" s="365"/>
      <c r="V270" s="365"/>
      <c r="W270" s="365"/>
      <c r="X270" s="365"/>
      <c r="Y270" s="365"/>
      <c r="Z270" s="365"/>
      <c r="AA270" s="365"/>
      <c r="AB270" s="365"/>
      <c r="AC270" s="365"/>
      <c r="AD270" s="365"/>
      <c r="AE270" s="365"/>
      <c r="AF270" s="365"/>
      <c r="AG270" s="365"/>
      <c r="AH270" s="365"/>
      <c r="AI270" s="365"/>
      <c r="AJ270" s="365"/>
      <c r="AK270" s="365"/>
      <c r="AL270" s="365"/>
      <c r="AM270" s="365"/>
      <c r="AN270" s="366"/>
      <c r="AO270" s="360"/>
      <c r="AP270" s="360"/>
      <c r="AQ270" s="1620"/>
      <c r="AR270" s="1620"/>
      <c r="AS270" s="1620"/>
    </row>
    <row r="271" spans="1:52" s="1058" customFormat="1" ht="18" customHeight="1">
      <c r="A271" s="365"/>
      <c r="B271" s="365"/>
      <c r="C271" s="365"/>
      <c r="D271" s="365"/>
      <c r="E271" s="365"/>
      <c r="F271" s="365"/>
      <c r="G271" s="365"/>
      <c r="H271" s="365"/>
      <c r="I271" s="365"/>
      <c r="J271" s="365"/>
      <c r="K271" s="365"/>
      <c r="L271" s="365"/>
      <c r="M271" s="365"/>
      <c r="N271" s="365"/>
      <c r="O271" s="365"/>
      <c r="P271" s="365"/>
      <c r="Q271" s="365"/>
      <c r="R271" s="365"/>
      <c r="S271" s="365"/>
      <c r="T271" s="365"/>
      <c r="U271" s="365"/>
      <c r="V271" s="365"/>
      <c r="W271" s="365"/>
      <c r="X271" s="365"/>
      <c r="Y271" s="365"/>
      <c r="Z271" s="365"/>
      <c r="AA271" s="365"/>
      <c r="AB271" s="365"/>
      <c r="AC271" s="365"/>
      <c r="AD271" s="365"/>
      <c r="AE271" s="365"/>
      <c r="AF271" s="365"/>
      <c r="AG271" s="365"/>
      <c r="AH271" s="365"/>
      <c r="AI271" s="365"/>
      <c r="AJ271" s="365"/>
      <c r="AK271" s="365"/>
      <c r="AL271" s="365"/>
      <c r="AM271" s="365"/>
      <c r="AN271" s="366"/>
      <c r="AO271" s="360"/>
      <c r="AP271" s="360"/>
      <c r="AQ271" s="1620"/>
      <c r="AR271" s="1620"/>
      <c r="AS271" s="1620"/>
    </row>
    <row r="272" spans="1:52" ht="18" customHeight="1">
      <c r="A272" s="366"/>
      <c r="B272" s="1058"/>
      <c r="C272" s="1058"/>
      <c r="D272" s="1058"/>
      <c r="E272" s="1058"/>
      <c r="F272" s="1058"/>
      <c r="G272" s="1058"/>
      <c r="H272" s="1058"/>
      <c r="I272" s="1058"/>
      <c r="J272" s="1058"/>
      <c r="K272" s="1058"/>
      <c r="L272" s="1058"/>
      <c r="M272" s="1058"/>
      <c r="N272" s="1058"/>
      <c r="O272" s="1058"/>
      <c r="P272" s="1058"/>
      <c r="Q272" s="1058"/>
      <c r="R272" s="1058"/>
      <c r="S272" s="1058"/>
      <c r="T272" s="1058"/>
      <c r="U272" s="1058"/>
      <c r="V272" s="1058"/>
      <c r="W272" s="1058"/>
      <c r="X272" s="1058"/>
      <c r="Y272" s="1058"/>
      <c r="Z272" s="1058"/>
      <c r="AA272" s="1058"/>
      <c r="AB272" s="1058"/>
      <c r="AC272" s="1058"/>
      <c r="AD272" s="1058"/>
      <c r="AE272" s="1058"/>
      <c r="AF272" s="1058"/>
      <c r="AG272" s="1058"/>
      <c r="AH272" s="1058"/>
      <c r="AI272" s="1058"/>
      <c r="AJ272" s="1058"/>
      <c r="AK272" s="1058"/>
      <c r="AL272" s="1058"/>
      <c r="AM272" s="1058"/>
      <c r="AN272" s="1448"/>
      <c r="AO272" s="1058"/>
      <c r="AP272" s="360"/>
      <c r="AQ272" s="1472"/>
      <c r="AR272" s="1472"/>
      <c r="AS272" s="1472"/>
    </row>
    <row r="273" spans="1:47" s="1058" customFormat="1" ht="18" customHeight="1">
      <c r="B273" s="1180" t="s">
        <v>1807</v>
      </c>
      <c r="C273" s="4300" t="s">
        <v>1808</v>
      </c>
      <c r="D273" s="4300"/>
      <c r="E273" s="4300"/>
      <c r="F273" s="4300"/>
      <c r="G273" s="4300"/>
      <c r="H273" s="4300"/>
      <c r="I273" s="4300"/>
      <c r="J273" s="4300"/>
      <c r="K273" s="4300"/>
      <c r="L273" s="4300"/>
      <c r="M273" s="4300"/>
      <c r="N273" s="4300"/>
      <c r="O273" s="4300"/>
      <c r="P273" s="4300"/>
      <c r="Q273" s="4300"/>
      <c r="R273" s="4300"/>
      <c r="S273" s="4300"/>
      <c r="T273" s="4300"/>
      <c r="U273" s="4300"/>
      <c r="V273" s="4300"/>
      <c r="W273" s="4300"/>
      <c r="X273" s="4300"/>
      <c r="Y273" s="4300"/>
      <c r="Z273" s="4300"/>
      <c r="AA273" s="4300"/>
      <c r="AB273" s="4300"/>
      <c r="AC273" s="4300"/>
      <c r="AD273" s="4300"/>
      <c r="AE273" s="4300"/>
      <c r="AF273" s="4300"/>
      <c r="AG273" s="4300"/>
      <c r="AH273" s="4300"/>
      <c r="AI273" s="4300"/>
      <c r="AJ273" s="4300"/>
      <c r="AK273" s="4300"/>
      <c r="AL273" s="4300"/>
      <c r="AM273" s="4300"/>
      <c r="AN273" s="365"/>
      <c r="AO273" s="360"/>
      <c r="AP273" s="360"/>
      <c r="AQ273" s="1472"/>
      <c r="AR273" s="1472"/>
      <c r="AS273" s="1472"/>
    </row>
    <row r="274" spans="1:47" s="1058" customFormat="1" ht="36" customHeight="1">
      <c r="A274" s="365"/>
      <c r="B274" s="3907" t="s">
        <v>1809</v>
      </c>
      <c r="C274" s="3907"/>
      <c r="D274" s="3907"/>
      <c r="E274" s="3907"/>
      <c r="F274" s="3907"/>
      <c r="G274" s="3907"/>
      <c r="H274" s="3907"/>
      <c r="I274" s="3907"/>
      <c r="J274" s="3907"/>
      <c r="K274" s="3907"/>
      <c r="L274" s="3907"/>
      <c r="M274" s="3907"/>
      <c r="N274" s="3907"/>
      <c r="O274" s="3907"/>
      <c r="P274" s="3907"/>
      <c r="Q274" s="3907"/>
      <c r="R274" s="3907"/>
      <c r="S274" s="3907"/>
      <c r="T274" s="3907"/>
      <c r="U274" s="3907"/>
      <c r="V274" s="3907"/>
      <c r="W274" s="3907"/>
      <c r="X274" s="3907"/>
      <c r="Y274" s="3907"/>
      <c r="Z274" s="3907"/>
      <c r="AA274" s="3907"/>
      <c r="AB274" s="3907"/>
      <c r="AC274" s="3907"/>
      <c r="AD274" s="3907"/>
      <c r="AE274" s="3907"/>
      <c r="AF274" s="3907"/>
      <c r="AG274" s="3907"/>
      <c r="AH274" s="3907"/>
      <c r="AI274" s="3907"/>
      <c r="AJ274" s="3907"/>
      <c r="AK274" s="3907"/>
      <c r="AL274" s="3907"/>
      <c r="AM274" s="3907"/>
      <c r="AN274" s="365"/>
      <c r="AO274" s="360"/>
      <c r="AP274" s="360"/>
      <c r="AQ274" s="1472"/>
      <c r="AR274" s="1472"/>
      <c r="AS274" s="1472"/>
    </row>
    <row r="275" spans="1:47" s="1058" customFormat="1" ht="18" customHeight="1">
      <c r="A275" s="365"/>
      <c r="B275" s="365"/>
      <c r="C275" s="365"/>
      <c r="D275" s="365"/>
      <c r="E275" s="365"/>
      <c r="F275" s="365"/>
      <c r="G275" s="365"/>
      <c r="H275" s="365"/>
      <c r="I275" s="365"/>
      <c r="J275" s="365"/>
      <c r="K275" s="365"/>
      <c r="L275" s="365"/>
      <c r="M275" s="365"/>
      <c r="N275" s="365"/>
      <c r="O275" s="365"/>
      <c r="P275" s="365"/>
      <c r="Q275" s="365"/>
      <c r="R275" s="365"/>
      <c r="S275" s="365"/>
      <c r="T275" s="365"/>
      <c r="U275" s="365"/>
      <c r="V275" s="365"/>
      <c r="W275" s="365"/>
      <c r="X275" s="365"/>
      <c r="Y275" s="365"/>
      <c r="Z275" s="365"/>
      <c r="AA275" s="365"/>
      <c r="AB275" s="365"/>
      <c r="AC275" s="365"/>
      <c r="AD275" s="365"/>
      <c r="AE275" s="365"/>
      <c r="AF275" s="365"/>
      <c r="AG275" s="365"/>
      <c r="AH275" s="365"/>
      <c r="AI275" s="365"/>
      <c r="AJ275" s="365"/>
      <c r="AK275" s="365"/>
      <c r="AL275" s="365"/>
      <c r="AM275" s="365"/>
      <c r="AN275" s="365"/>
      <c r="AO275" s="360"/>
      <c r="AP275" s="360"/>
      <c r="AQ275" s="1472"/>
      <c r="AR275" s="1472"/>
      <c r="AS275" s="1472"/>
    </row>
    <row r="276" spans="1:47" s="1058" customFormat="1" ht="18" hidden="1" customHeight="1">
      <c r="A276" s="365"/>
      <c r="B276" s="1140" t="s">
        <v>1397</v>
      </c>
      <c r="C276" s="3981" t="s">
        <v>1810</v>
      </c>
      <c r="D276" s="3981"/>
      <c r="E276" s="3981"/>
      <c r="F276" s="3981"/>
      <c r="G276" s="3981"/>
      <c r="H276" s="3981"/>
      <c r="I276" s="3981"/>
      <c r="J276" s="3981"/>
      <c r="K276" s="3981"/>
      <c r="L276" s="3981"/>
      <c r="M276" s="3981"/>
      <c r="N276" s="3981"/>
      <c r="O276" s="3981"/>
      <c r="P276" s="3981"/>
      <c r="Q276" s="3981"/>
      <c r="R276" s="3981"/>
      <c r="S276" s="3981"/>
      <c r="T276" s="3981"/>
      <c r="U276" s="3981"/>
      <c r="V276" s="3981"/>
      <c r="W276" s="3981"/>
      <c r="X276" s="3981"/>
      <c r="Y276" s="3981"/>
      <c r="Z276" s="3981"/>
      <c r="AA276" s="3981"/>
      <c r="AB276" s="3981"/>
      <c r="AC276" s="3981"/>
      <c r="AD276" s="3981"/>
      <c r="AE276" s="3981"/>
      <c r="AF276" s="3981"/>
      <c r="AG276" s="3981"/>
      <c r="AH276" s="3981"/>
      <c r="AI276" s="3981"/>
      <c r="AJ276" s="3981"/>
      <c r="AK276" s="3981"/>
      <c r="AL276" s="3982">
        <f>IF(IsVhhp,MIN(SUM($AL$280,$AL$282,$AL$286,$AL$290,$AL$294,AI297,AI331,AI337,AI341),40),0)</f>
        <v>0</v>
      </c>
      <c r="AM276" s="3982"/>
      <c r="AN276" s="365"/>
      <c r="AO276" s="360"/>
      <c r="AP276" s="360"/>
      <c r="AQ276" s="1472"/>
      <c r="AR276" s="1472"/>
      <c r="AS276" s="1472"/>
    </row>
    <row r="277" spans="1:47" ht="36" hidden="1" customHeight="1">
      <c r="A277" s="365"/>
      <c r="B277" s="1477"/>
      <c r="C277" s="3910" t="s">
        <v>1811</v>
      </c>
      <c r="D277" s="3910"/>
      <c r="E277" s="3910"/>
      <c r="F277" s="3910"/>
      <c r="G277" s="3910"/>
      <c r="H277" s="3910"/>
      <c r="I277" s="3910"/>
      <c r="J277" s="3910"/>
      <c r="K277" s="3910"/>
      <c r="L277" s="3910"/>
      <c r="M277" s="3910"/>
      <c r="N277" s="3910"/>
      <c r="O277" s="3910"/>
      <c r="P277" s="3910"/>
      <c r="Q277" s="3910"/>
      <c r="R277" s="3910"/>
      <c r="S277" s="3910"/>
      <c r="T277" s="3910"/>
      <c r="U277" s="3910"/>
      <c r="V277" s="3910"/>
      <c r="W277" s="3910"/>
      <c r="X277" s="3910"/>
      <c r="Y277" s="3910"/>
      <c r="Z277" s="3910"/>
      <c r="AA277" s="3910"/>
      <c r="AB277" s="3910"/>
      <c r="AC277" s="3910"/>
      <c r="AD277" s="3910"/>
      <c r="AE277" s="3910"/>
      <c r="AF277" s="3910"/>
      <c r="AG277" s="3910"/>
      <c r="AH277" s="3910"/>
      <c r="AI277" s="3910"/>
      <c r="AJ277" s="3910"/>
      <c r="AK277" s="3910"/>
      <c r="AL277" s="3910"/>
      <c r="AM277" s="3917"/>
      <c r="AN277" s="1448"/>
      <c r="AO277" s="1058"/>
      <c r="AQ277" s="1448"/>
      <c r="AR277" s="1448"/>
      <c r="AS277" s="1448"/>
      <c r="AT277" s="360"/>
      <c r="AU277" s="360"/>
    </row>
    <row r="278" spans="1:47" s="365" customFormat="1" ht="18" hidden="1" customHeight="1">
      <c r="B278" s="1085"/>
      <c r="C278" s="1141" t="s">
        <v>1402</v>
      </c>
      <c r="D278" s="3905" t="s">
        <v>1812</v>
      </c>
      <c r="E278" s="3905"/>
      <c r="F278" s="3905"/>
      <c r="G278" s="3905"/>
      <c r="H278" s="3905"/>
      <c r="I278" s="3905"/>
      <c r="J278" s="3905"/>
      <c r="K278" s="3905"/>
      <c r="L278" s="3905"/>
      <c r="M278" s="3905"/>
      <c r="N278" s="3905"/>
      <c r="O278" s="3905"/>
      <c r="P278" s="3905"/>
      <c r="Q278" s="3905"/>
      <c r="R278" s="3905"/>
      <c r="S278" s="3905"/>
      <c r="T278" s="3905"/>
      <c r="U278" s="3905"/>
      <c r="V278" s="3905"/>
      <c r="W278" s="3905"/>
      <c r="X278" s="3905"/>
      <c r="Y278" s="3905"/>
      <c r="Z278" s="3905"/>
      <c r="AA278" s="3905"/>
      <c r="AB278" s="3905"/>
      <c r="AC278" s="3905"/>
      <c r="AD278" s="3905"/>
      <c r="AE278" s="3905"/>
      <c r="AF278" s="3905"/>
      <c r="AG278" s="3905"/>
      <c r="AH278" s="3905"/>
      <c r="AI278" s="3905"/>
      <c r="AJ278" s="3905"/>
      <c r="AK278" s="3905"/>
      <c r="AL278" s="3905"/>
      <c r="AM278" s="3906"/>
      <c r="AN278" s="449"/>
      <c r="AP278" s="1136"/>
      <c r="AR278" s="49"/>
      <c r="AS278" s="49"/>
    </row>
    <row r="279" spans="1:47" s="365" customFormat="1" ht="18" hidden="1" customHeight="1">
      <c r="A279" s="449"/>
      <c r="B279" s="1085"/>
      <c r="C279" s="718"/>
      <c r="D279" s="3984" t="s">
        <v>1813</v>
      </c>
      <c r="E279" s="3984"/>
      <c r="F279" s="3984"/>
      <c r="G279" s="3984"/>
      <c r="H279" s="3984"/>
      <c r="I279" s="3984"/>
      <c r="J279" s="3984"/>
      <c r="K279" s="3984"/>
      <c r="L279" s="3984"/>
      <c r="M279" s="3984"/>
      <c r="N279" s="3984"/>
      <c r="O279" s="3984"/>
      <c r="P279" s="3984"/>
      <c r="Q279" s="3984"/>
      <c r="R279" s="3984"/>
      <c r="S279" s="3984"/>
      <c r="T279" s="3984"/>
      <c r="U279" s="4173" t="b">
        <f>IF(AND(IsVhhp,OR(IsSH,IsTH)),TRUE,FALSE)</f>
        <v>0</v>
      </c>
      <c r="V279" s="1791"/>
      <c r="W279" s="718"/>
      <c r="X279" s="718"/>
      <c r="Y279" s="718"/>
      <c r="Z279" s="718"/>
      <c r="AA279" s="718"/>
      <c r="AB279" s="718"/>
      <c r="AC279" s="718"/>
      <c r="AD279" s="718"/>
      <c r="AE279" s="718"/>
      <c r="AF279" s="718"/>
      <c r="AG279" s="718"/>
      <c r="AH279" s="718"/>
      <c r="AI279" s="718"/>
      <c r="AJ279" s="718"/>
      <c r="AK279" s="718"/>
      <c r="AL279" s="718"/>
      <c r="AM279" s="717"/>
      <c r="AP279" s="1136"/>
      <c r="AR279" s="49"/>
      <c r="AS279" s="49"/>
    </row>
    <row r="280" spans="1:47" s="365" customFormat="1" ht="18" hidden="1" customHeight="1">
      <c r="B280" s="1085"/>
      <c r="C280" s="718"/>
      <c r="D280" s="1142" t="s">
        <v>1408</v>
      </c>
      <c r="E280" s="3905" t="s">
        <v>1814</v>
      </c>
      <c r="F280" s="3905"/>
      <c r="G280" s="3905"/>
      <c r="H280" s="3905"/>
      <c r="I280" s="3905"/>
      <c r="J280" s="3905"/>
      <c r="K280" s="3905"/>
      <c r="L280" s="3905"/>
      <c r="M280" s="3905"/>
      <c r="N280" s="3905"/>
      <c r="O280" s="3905"/>
      <c r="P280" s="3905"/>
      <c r="Q280" s="3905"/>
      <c r="R280" s="3905"/>
      <c r="S280" s="3905"/>
      <c r="T280" s="3905"/>
      <c r="U280" s="3905"/>
      <c r="V280" s="3905"/>
      <c r="W280" s="3905"/>
      <c r="X280" s="3905"/>
      <c r="Y280" s="3905"/>
      <c r="Z280" s="3905"/>
      <c r="AA280" s="3905"/>
      <c r="AB280" s="3905"/>
      <c r="AC280" s="3905"/>
      <c r="AD280" s="3905"/>
      <c r="AE280" s="3905"/>
      <c r="AF280" s="3905"/>
      <c r="AG280" s="3905"/>
      <c r="AH280" s="3905"/>
      <c r="AI280" s="3905"/>
      <c r="AJ280" s="3905"/>
      <c r="AK280" s="3905"/>
      <c r="AL280" s="3980">
        <f>IF(AND(IsVhhp,$Z$281=TRUE),2,0)</f>
        <v>0</v>
      </c>
      <c r="AM280" s="3980"/>
      <c r="AP280" s="1136"/>
      <c r="AR280" s="49"/>
      <c r="AS280" s="49"/>
    </row>
    <row r="281" spans="1:47" s="365" customFormat="1" ht="18" hidden="1" customHeight="1">
      <c r="B281" s="1085"/>
      <c r="C281" s="718"/>
      <c r="D281" s="718"/>
      <c r="E281" s="3984" t="s">
        <v>1815</v>
      </c>
      <c r="F281" s="3984"/>
      <c r="G281" s="3984"/>
      <c r="H281" s="3984"/>
      <c r="I281" s="3984"/>
      <c r="J281" s="3984"/>
      <c r="K281" s="3984"/>
      <c r="L281" s="3984"/>
      <c r="M281" s="3984"/>
      <c r="N281" s="3984"/>
      <c r="O281" s="3984"/>
      <c r="P281" s="3984"/>
      <c r="Q281" s="3984"/>
      <c r="R281" s="3984"/>
      <c r="S281" s="3984"/>
      <c r="T281" s="3984"/>
      <c r="U281" s="3984"/>
      <c r="V281" s="3984"/>
      <c r="W281" s="3984"/>
      <c r="X281" s="3984"/>
      <c r="Y281" s="3985"/>
      <c r="Z281" s="4173" t="b">
        <f>IF('S1 - Supportive Services Plan'!$Q$69='S1 - Supportive Services Plan'!$AO$67,TRUE,FALSE)</f>
        <v>1</v>
      </c>
      <c r="AA281" s="1791"/>
      <c r="AB281" s="718"/>
      <c r="AC281" s="718"/>
      <c r="AD281" s="718"/>
      <c r="AE281" s="718"/>
      <c r="AF281" s="718"/>
      <c r="AG281" s="718"/>
      <c r="AH281" s="718"/>
      <c r="AI281" s="718"/>
      <c r="AJ281" s="718"/>
      <c r="AK281" s="718"/>
      <c r="AL281" s="718"/>
      <c r="AM281" s="717"/>
      <c r="AP281" s="1136"/>
      <c r="AR281" s="49"/>
      <c r="AS281" s="49"/>
    </row>
    <row r="282" spans="1:47" s="365" customFormat="1" ht="18" hidden="1" customHeight="1">
      <c r="B282" s="1085"/>
      <c r="C282" s="718"/>
      <c r="D282" s="1142" t="s">
        <v>1409</v>
      </c>
      <c r="E282" s="3905" t="s">
        <v>1816</v>
      </c>
      <c r="F282" s="3905"/>
      <c r="G282" s="3905"/>
      <c r="H282" s="3905"/>
      <c r="I282" s="3905"/>
      <c r="J282" s="3905"/>
      <c r="K282" s="3905"/>
      <c r="L282" s="3905"/>
      <c r="M282" s="3905"/>
      <c r="N282" s="3905"/>
      <c r="O282" s="3905"/>
      <c r="P282" s="3905"/>
      <c r="Q282" s="3905"/>
      <c r="R282" s="3905"/>
      <c r="S282" s="3905"/>
      <c r="T282" s="3905"/>
      <c r="U282" s="3905"/>
      <c r="V282" s="3905"/>
      <c r="W282" s="3905"/>
      <c r="X282" s="3905"/>
      <c r="Y282" s="3905"/>
      <c r="Z282" s="3905"/>
      <c r="AA282" s="3905"/>
      <c r="AB282" s="3905"/>
      <c r="AC282" s="3905"/>
      <c r="AD282" s="3905"/>
      <c r="AE282" s="3905"/>
      <c r="AF282" s="3905"/>
      <c r="AG282" s="3905"/>
      <c r="AH282" s="3905"/>
      <c r="AI282" s="3905"/>
      <c r="AJ282" s="3905"/>
      <c r="AK282" s="3905"/>
      <c r="AL282" s="3980">
        <f>IF(AND(IsVhhp,'S1 - Supportive Services Plan'!$W$71='S1 - Supportive Services Plan'!$AO$72),1,IF(AND(IsVhhp,'S1 - Supportive Services Plan'!$W$71='S1 - Supportive Services Plan'!$AO$73),2,IF(AND(IsVhhp,'S1 - Supportive Services Plan'!$W$71='S1 - Supportive Services Plan'!$AO$74),3,0)))</f>
        <v>0</v>
      </c>
      <c r="AM282" s="3980"/>
      <c r="AP282" s="1136"/>
      <c r="AR282" s="49"/>
      <c r="AS282" s="49"/>
    </row>
    <row r="283" spans="1:47" s="365" customFormat="1" ht="18" hidden="1" customHeight="1">
      <c r="B283" s="1085"/>
      <c r="C283" s="718"/>
      <c r="D283" s="718"/>
      <c r="E283" s="4235" t="s">
        <v>1817</v>
      </c>
      <c r="F283" s="4235"/>
      <c r="G283" s="4235"/>
      <c r="H283" s="4235"/>
      <c r="I283" s="4235"/>
      <c r="J283" s="4235"/>
      <c r="K283" s="4235"/>
      <c r="L283" s="4235"/>
      <c r="M283" s="4235"/>
      <c r="N283" s="4235"/>
      <c r="O283" s="4235"/>
      <c r="P283" s="4235"/>
      <c r="Q283" s="4235"/>
      <c r="R283" s="4235"/>
      <c r="S283" s="4235"/>
      <c r="T283" s="4235"/>
      <c r="U283" s="4235"/>
      <c r="V283" s="4235"/>
      <c r="W283" s="4235"/>
      <c r="X283" s="4235"/>
      <c r="Y283" s="4235"/>
      <c r="Z283" s="4235"/>
      <c r="AA283" s="4235"/>
      <c r="AB283" s="4235"/>
      <c r="AC283" s="4235"/>
      <c r="AD283" s="4235"/>
      <c r="AE283" s="4235"/>
      <c r="AF283" s="4235"/>
      <c r="AG283" s="4235"/>
      <c r="AH283" s="4235"/>
      <c r="AI283" s="4235"/>
      <c r="AJ283" s="4235"/>
      <c r="AK283" s="4235"/>
      <c r="AL283" s="4235"/>
      <c r="AM283" s="4236"/>
      <c r="AP283" s="1136"/>
      <c r="AR283" s="49"/>
      <c r="AS283" s="49"/>
    </row>
    <row r="284" spans="1:47" s="365" customFormat="1" ht="18" hidden="1" customHeight="1">
      <c r="B284" s="1085"/>
      <c r="C284" s="718"/>
      <c r="D284" s="718"/>
      <c r="E284" s="4235" t="s">
        <v>1818</v>
      </c>
      <c r="F284" s="4235"/>
      <c r="G284" s="4235"/>
      <c r="H284" s="4235"/>
      <c r="I284" s="4235"/>
      <c r="J284" s="4235"/>
      <c r="K284" s="4235"/>
      <c r="L284" s="4235"/>
      <c r="M284" s="4235"/>
      <c r="N284" s="4235"/>
      <c r="O284" s="4235"/>
      <c r="P284" s="4235"/>
      <c r="Q284" s="4235"/>
      <c r="R284" s="4235"/>
      <c r="S284" s="4235"/>
      <c r="T284" s="4235"/>
      <c r="U284" s="4235"/>
      <c r="V284" s="4235"/>
      <c r="W284" s="4235"/>
      <c r="X284" s="4235"/>
      <c r="Y284" s="4235"/>
      <c r="Z284" s="4235"/>
      <c r="AA284" s="4235"/>
      <c r="AB284" s="4235"/>
      <c r="AC284" s="4235"/>
      <c r="AD284" s="4235"/>
      <c r="AE284" s="4235"/>
      <c r="AF284" s="4235"/>
      <c r="AG284" s="4235"/>
      <c r="AH284" s="4235"/>
      <c r="AI284" s="4235"/>
      <c r="AJ284" s="4235"/>
      <c r="AK284" s="4235"/>
      <c r="AL284" s="4235"/>
      <c r="AM284" s="4236"/>
      <c r="AP284" s="1136"/>
      <c r="AR284" s="49"/>
      <c r="AS284" s="49"/>
    </row>
    <row r="285" spans="1:47" s="365" customFormat="1" ht="18" hidden="1" customHeight="1">
      <c r="B285" s="1085"/>
      <c r="C285" s="718"/>
      <c r="D285" s="718"/>
      <c r="E285" s="4235" t="s">
        <v>1819</v>
      </c>
      <c r="F285" s="4235"/>
      <c r="G285" s="4235"/>
      <c r="H285" s="4235"/>
      <c r="I285" s="4235"/>
      <c r="J285" s="4235"/>
      <c r="K285" s="4235"/>
      <c r="L285" s="4235"/>
      <c r="M285" s="4235"/>
      <c r="N285" s="4235"/>
      <c r="O285" s="4235"/>
      <c r="P285" s="4235"/>
      <c r="Q285" s="4235"/>
      <c r="R285" s="4235"/>
      <c r="S285" s="4235"/>
      <c r="T285" s="4235"/>
      <c r="U285" s="4235"/>
      <c r="V285" s="4235"/>
      <c r="W285" s="4235"/>
      <c r="X285" s="4235"/>
      <c r="Y285" s="4235"/>
      <c r="Z285" s="4235"/>
      <c r="AA285" s="4235"/>
      <c r="AB285" s="4235"/>
      <c r="AC285" s="4235"/>
      <c r="AD285" s="4235"/>
      <c r="AE285" s="4235"/>
      <c r="AF285" s="4235"/>
      <c r="AG285" s="4235"/>
      <c r="AH285" s="4235"/>
      <c r="AI285" s="4235"/>
      <c r="AJ285" s="4235"/>
      <c r="AK285" s="4235"/>
      <c r="AL285" s="4235"/>
      <c r="AM285" s="4236"/>
      <c r="AP285" s="1136"/>
      <c r="AR285" s="49"/>
      <c r="AS285" s="49"/>
    </row>
    <row r="286" spans="1:47" s="365" customFormat="1" ht="18" hidden="1" customHeight="1">
      <c r="B286" s="1085"/>
      <c r="C286" s="718"/>
      <c r="D286" s="1142" t="s">
        <v>1410</v>
      </c>
      <c r="E286" s="3905" t="s">
        <v>1820</v>
      </c>
      <c r="F286" s="3905"/>
      <c r="G286" s="3905"/>
      <c r="H286" s="3905"/>
      <c r="I286" s="3905"/>
      <c r="J286" s="3905"/>
      <c r="K286" s="3905"/>
      <c r="L286" s="3905"/>
      <c r="M286" s="3905"/>
      <c r="N286" s="3905"/>
      <c r="O286" s="3905"/>
      <c r="P286" s="3905"/>
      <c r="Q286" s="3905"/>
      <c r="R286" s="3905"/>
      <c r="S286" s="3905"/>
      <c r="T286" s="3905"/>
      <c r="U286" s="3905"/>
      <c r="V286" s="3905"/>
      <c r="W286" s="3905"/>
      <c r="X286" s="3905"/>
      <c r="Y286" s="3905"/>
      <c r="Z286" s="3905"/>
      <c r="AA286" s="3905"/>
      <c r="AB286" s="3905"/>
      <c r="AC286" s="3905"/>
      <c r="AD286" s="3905"/>
      <c r="AE286" s="3905"/>
      <c r="AF286" s="3905"/>
      <c r="AG286" s="3905"/>
      <c r="AH286" s="3905"/>
      <c r="AI286" s="3905"/>
      <c r="AJ286" s="3905"/>
      <c r="AK286" s="3905"/>
      <c r="AL286" s="3980">
        <f>IF(AND(IsVhhp,'S1 - Supportive Services Plan'!$U$72=2),1,IF(AND(IsVhhp,'S1 - Supportive Services Plan'!$U$72=3),2,IF(AND('S1 - Supportive Services Plan'!$U$72&gt;=4),3,0)))</f>
        <v>3</v>
      </c>
      <c r="AM286" s="3980"/>
      <c r="AP286" s="1136"/>
      <c r="AR286" s="49"/>
      <c r="AS286" s="49"/>
    </row>
    <row r="287" spans="1:47" s="365" customFormat="1" ht="18" hidden="1" customHeight="1">
      <c r="B287" s="1085"/>
      <c r="C287" s="718"/>
      <c r="D287" s="718"/>
      <c r="E287" s="4235" t="s">
        <v>1821</v>
      </c>
      <c r="F287" s="4235"/>
      <c r="G287" s="4235"/>
      <c r="H287" s="4235"/>
      <c r="I287" s="4235"/>
      <c r="J287" s="4235"/>
      <c r="K287" s="4235"/>
      <c r="L287" s="4235"/>
      <c r="M287" s="4235"/>
      <c r="N287" s="4235"/>
      <c r="O287" s="4235"/>
      <c r="P287" s="4235"/>
      <c r="Q287" s="4235"/>
      <c r="R287" s="4235"/>
      <c r="S287" s="4235"/>
      <c r="T287" s="4235"/>
      <c r="U287" s="4235"/>
      <c r="V287" s="4235"/>
      <c r="W287" s="4235"/>
      <c r="X287" s="4235"/>
      <c r="Y287" s="4235"/>
      <c r="Z287" s="4235"/>
      <c r="AA287" s="4235"/>
      <c r="AB287" s="4235"/>
      <c r="AC287" s="4235"/>
      <c r="AD287" s="4235"/>
      <c r="AE287" s="4235"/>
      <c r="AF287" s="4235"/>
      <c r="AG287" s="4235"/>
      <c r="AH287" s="4235"/>
      <c r="AI287" s="4235"/>
      <c r="AJ287" s="4235"/>
      <c r="AK287" s="4235"/>
      <c r="AL287" s="4235"/>
      <c r="AM287" s="4236"/>
      <c r="AP287" s="1136"/>
      <c r="AR287" s="49"/>
      <c r="AS287" s="49"/>
    </row>
    <row r="288" spans="1:47" s="365" customFormat="1" ht="18" hidden="1" customHeight="1">
      <c r="B288" s="1085"/>
      <c r="C288" s="718"/>
      <c r="D288" s="718"/>
      <c r="E288" s="4235" t="s">
        <v>1822</v>
      </c>
      <c r="F288" s="4235"/>
      <c r="G288" s="4235"/>
      <c r="H288" s="4235"/>
      <c r="I288" s="4235"/>
      <c r="J288" s="4235"/>
      <c r="K288" s="4235"/>
      <c r="L288" s="4235"/>
      <c r="M288" s="4235"/>
      <c r="N288" s="4235"/>
      <c r="O288" s="4235"/>
      <c r="P288" s="4235"/>
      <c r="Q288" s="4235"/>
      <c r="R288" s="4235"/>
      <c r="S288" s="4235"/>
      <c r="T288" s="4235"/>
      <c r="U288" s="4235"/>
      <c r="V288" s="4235"/>
      <c r="W288" s="4235"/>
      <c r="X288" s="4235"/>
      <c r="Y288" s="4235"/>
      <c r="Z288" s="4235"/>
      <c r="AA288" s="4235"/>
      <c r="AB288" s="4235"/>
      <c r="AC288" s="4235"/>
      <c r="AD288" s="4235"/>
      <c r="AE288" s="4235"/>
      <c r="AF288" s="4235"/>
      <c r="AG288" s="4235"/>
      <c r="AH288" s="4235"/>
      <c r="AI288" s="4235"/>
      <c r="AJ288" s="4235"/>
      <c r="AK288" s="4235"/>
      <c r="AL288" s="4235"/>
      <c r="AM288" s="4236"/>
      <c r="AP288" s="1136"/>
      <c r="AR288" s="49"/>
      <c r="AS288" s="49"/>
    </row>
    <row r="289" spans="2:45" s="365" customFormat="1" ht="18" hidden="1" customHeight="1">
      <c r="B289" s="1085"/>
      <c r="C289" s="718"/>
      <c r="D289" s="718"/>
      <c r="E289" s="4235" t="s">
        <v>1823</v>
      </c>
      <c r="F289" s="4235"/>
      <c r="G289" s="4235"/>
      <c r="H289" s="4235"/>
      <c r="I289" s="4235"/>
      <c r="J289" s="4235"/>
      <c r="K289" s="4235"/>
      <c r="L289" s="4235"/>
      <c r="M289" s="4235"/>
      <c r="N289" s="4235"/>
      <c r="O289" s="4235"/>
      <c r="P289" s="4235"/>
      <c r="Q289" s="4235"/>
      <c r="R289" s="4235"/>
      <c r="S289" s="4235"/>
      <c r="T289" s="4235"/>
      <c r="U289" s="4235"/>
      <c r="V289" s="4235"/>
      <c r="W289" s="4235"/>
      <c r="X289" s="4235"/>
      <c r="Y289" s="4235"/>
      <c r="Z289" s="4235"/>
      <c r="AA289" s="4235"/>
      <c r="AB289" s="4235"/>
      <c r="AC289" s="4235"/>
      <c r="AD289" s="4235"/>
      <c r="AE289" s="4235"/>
      <c r="AF289" s="4235"/>
      <c r="AG289" s="4235"/>
      <c r="AH289" s="4235"/>
      <c r="AI289" s="4235"/>
      <c r="AJ289" s="4235"/>
      <c r="AK289" s="4235"/>
      <c r="AL289" s="4235"/>
      <c r="AM289" s="4236"/>
      <c r="AP289" s="1136"/>
      <c r="AR289" s="49"/>
      <c r="AS289" s="49"/>
    </row>
    <row r="290" spans="2:45" s="365" customFormat="1" ht="18" hidden="1" customHeight="1">
      <c r="B290" s="1085"/>
      <c r="C290" s="718"/>
      <c r="D290" s="1142" t="s">
        <v>1411</v>
      </c>
      <c r="E290" s="3905" t="s">
        <v>1824</v>
      </c>
      <c r="F290" s="3905"/>
      <c r="G290" s="3905"/>
      <c r="H290" s="3905"/>
      <c r="I290" s="3905"/>
      <c r="J290" s="3905"/>
      <c r="K290" s="3905"/>
      <c r="L290" s="3905"/>
      <c r="M290" s="3905"/>
      <c r="N290" s="3905"/>
      <c r="O290" s="3905"/>
      <c r="P290" s="3905"/>
      <c r="Q290" s="3905"/>
      <c r="R290" s="3905"/>
      <c r="S290" s="3905"/>
      <c r="T290" s="3905"/>
      <c r="U290" s="3905"/>
      <c r="V290" s="3905"/>
      <c r="W290" s="3905"/>
      <c r="X290" s="3905"/>
      <c r="Y290" s="3905"/>
      <c r="Z290" s="3905"/>
      <c r="AA290" s="3905"/>
      <c r="AB290" s="3905"/>
      <c r="AC290" s="3905"/>
      <c r="AD290" s="3905"/>
      <c r="AE290" s="3905"/>
      <c r="AF290" s="3905"/>
      <c r="AG290" s="3905"/>
      <c r="AH290" s="3905"/>
      <c r="AI290" s="3905"/>
      <c r="AJ290" s="3905"/>
      <c r="AK290" s="3905"/>
      <c r="AL290" s="3980">
        <f>IF(AND(IsVhhp,'S1 - Supportive Services Plan'!$AC$70='S1 - Supportive Services Plan'!$AO$76),2,IF(AND(IsVhhp,'S1 - Supportive Services Plan'!$AC$70='S1 - Supportive Services Plan'!$AO$77),4,IF(AND(IsVhhp,'S1 - Supportive Services Plan'!$AC$70='S1 - Supportive Services Plan'!$AO$78),6,0)))</f>
        <v>0</v>
      </c>
      <c r="AM290" s="3980"/>
      <c r="AP290" s="1136"/>
      <c r="AR290" s="49"/>
      <c r="AS290" s="49"/>
    </row>
    <row r="291" spans="2:45" s="365" customFormat="1" ht="18" hidden="1" customHeight="1">
      <c r="B291" s="1085"/>
      <c r="C291" s="718"/>
      <c r="D291" s="718"/>
      <c r="E291" s="4235" t="s">
        <v>1825</v>
      </c>
      <c r="F291" s="4235"/>
      <c r="G291" s="4235"/>
      <c r="H291" s="4235"/>
      <c r="I291" s="4235"/>
      <c r="J291" s="4235"/>
      <c r="K291" s="4235"/>
      <c r="L291" s="4235"/>
      <c r="M291" s="4235"/>
      <c r="N291" s="4235"/>
      <c r="O291" s="4235"/>
      <c r="P291" s="4235"/>
      <c r="Q291" s="4235"/>
      <c r="R291" s="4235"/>
      <c r="S291" s="4235"/>
      <c r="T291" s="4235"/>
      <c r="U291" s="4235"/>
      <c r="V291" s="4235"/>
      <c r="W291" s="4235"/>
      <c r="X291" s="4235"/>
      <c r="Y291" s="4235"/>
      <c r="Z291" s="4235"/>
      <c r="AA291" s="4235"/>
      <c r="AB291" s="4235"/>
      <c r="AC291" s="4235"/>
      <c r="AD291" s="4235"/>
      <c r="AE291" s="4235"/>
      <c r="AF291" s="4235"/>
      <c r="AG291" s="4235"/>
      <c r="AH291" s="4235"/>
      <c r="AI291" s="4235"/>
      <c r="AJ291" s="4235"/>
      <c r="AK291" s="4235"/>
      <c r="AL291" s="4235"/>
      <c r="AM291" s="4236"/>
      <c r="AP291" s="1136"/>
      <c r="AR291" s="49"/>
      <c r="AS291" s="49"/>
    </row>
    <row r="292" spans="2:45" s="365" customFormat="1" ht="18" hidden="1" customHeight="1">
      <c r="B292" s="1085"/>
      <c r="C292" s="718"/>
      <c r="D292" s="718"/>
      <c r="E292" s="4235" t="s">
        <v>1826</v>
      </c>
      <c r="F292" s="4235"/>
      <c r="G292" s="4235"/>
      <c r="H292" s="4235"/>
      <c r="I292" s="4235"/>
      <c r="J292" s="4235"/>
      <c r="K292" s="4235"/>
      <c r="L292" s="4235"/>
      <c r="M292" s="4235"/>
      <c r="N292" s="4235"/>
      <c r="O292" s="4235"/>
      <c r="P292" s="4235"/>
      <c r="Q292" s="4235"/>
      <c r="R292" s="4235"/>
      <c r="S292" s="4235"/>
      <c r="T292" s="4235"/>
      <c r="U292" s="4235"/>
      <c r="V292" s="4235"/>
      <c r="W292" s="4235"/>
      <c r="X292" s="4235"/>
      <c r="Y292" s="4235"/>
      <c r="Z292" s="4235"/>
      <c r="AA292" s="4235"/>
      <c r="AB292" s="4235"/>
      <c r="AC292" s="4235"/>
      <c r="AD292" s="4235"/>
      <c r="AE292" s="4235"/>
      <c r="AF292" s="4235"/>
      <c r="AG292" s="4235"/>
      <c r="AH292" s="4235"/>
      <c r="AI292" s="4235"/>
      <c r="AJ292" s="4235"/>
      <c r="AK292" s="4235"/>
      <c r="AL292" s="4235"/>
      <c r="AM292" s="4236"/>
      <c r="AP292" s="1136"/>
      <c r="AR292" s="49"/>
      <c r="AS292" s="49"/>
    </row>
    <row r="293" spans="2:45" s="365" customFormat="1" ht="18" hidden="1" customHeight="1">
      <c r="B293" s="1085"/>
      <c r="C293" s="718"/>
      <c r="D293" s="718"/>
      <c r="E293" s="4235" t="s">
        <v>1827</v>
      </c>
      <c r="F293" s="4235"/>
      <c r="G293" s="4235"/>
      <c r="H293" s="4235"/>
      <c r="I293" s="4235"/>
      <c r="J293" s="4235"/>
      <c r="K293" s="4235"/>
      <c r="L293" s="4235"/>
      <c r="M293" s="4235"/>
      <c r="N293" s="4235"/>
      <c r="O293" s="4235"/>
      <c r="P293" s="4235"/>
      <c r="Q293" s="4235"/>
      <c r="R293" s="4235"/>
      <c r="S293" s="4235"/>
      <c r="T293" s="4235"/>
      <c r="U293" s="4235"/>
      <c r="V293" s="4235"/>
      <c r="W293" s="4235"/>
      <c r="X293" s="4235"/>
      <c r="Y293" s="4235"/>
      <c r="Z293" s="4235"/>
      <c r="AA293" s="4235"/>
      <c r="AB293" s="4235"/>
      <c r="AC293" s="4235"/>
      <c r="AD293" s="4235"/>
      <c r="AE293" s="4235"/>
      <c r="AF293" s="4235"/>
      <c r="AG293" s="4235"/>
      <c r="AH293" s="4235"/>
      <c r="AI293" s="4235"/>
      <c r="AJ293" s="4235"/>
      <c r="AK293" s="4235"/>
      <c r="AL293" s="4235"/>
      <c r="AM293" s="4236"/>
      <c r="AP293" s="1136"/>
      <c r="AR293" s="49"/>
      <c r="AS293" s="49"/>
    </row>
    <row r="294" spans="2:45" s="365" customFormat="1" ht="54" hidden="1" customHeight="1">
      <c r="B294" s="1085"/>
      <c r="C294" s="718"/>
      <c r="D294" s="1142" t="s">
        <v>1424</v>
      </c>
      <c r="E294" s="3910" t="s">
        <v>1828</v>
      </c>
      <c r="F294" s="3910"/>
      <c r="G294" s="3910"/>
      <c r="H294" s="3910"/>
      <c r="I294" s="3910"/>
      <c r="J294" s="3910"/>
      <c r="K294" s="3910"/>
      <c r="L294" s="3910"/>
      <c r="M294" s="3910"/>
      <c r="N294" s="3910"/>
      <c r="O294" s="3910"/>
      <c r="P294" s="3910"/>
      <c r="Q294" s="3910"/>
      <c r="R294" s="3910"/>
      <c r="S294" s="3910"/>
      <c r="T294" s="3910"/>
      <c r="U294" s="3910"/>
      <c r="V294" s="3910"/>
      <c r="W294" s="3910"/>
      <c r="X294" s="3910"/>
      <c r="Y294" s="3910"/>
      <c r="Z294" s="3910"/>
      <c r="AA294" s="3910"/>
      <c r="AB294" s="3910"/>
      <c r="AC294" s="3910"/>
      <c r="AD294" s="3910"/>
      <c r="AE294" s="3910"/>
      <c r="AF294" s="3910"/>
      <c r="AG294" s="3910"/>
      <c r="AH294" s="3910"/>
      <c r="AI294" s="3910"/>
      <c r="AJ294" s="3910"/>
      <c r="AK294" s="3910"/>
      <c r="AL294" s="3980">
        <f>IF(AND(IsVhhp,$AL$295="Yes"),4,0)</f>
        <v>0</v>
      </c>
      <c r="AM294" s="3980"/>
      <c r="AP294" s="1136"/>
      <c r="AR294" s="49"/>
      <c r="AS294" s="49"/>
    </row>
    <row r="295" spans="2:45" s="365" customFormat="1" ht="63" hidden="1" customHeight="1">
      <c r="B295" s="1085"/>
      <c r="C295" s="718"/>
      <c r="D295" s="718"/>
      <c r="E295" s="3979" t="s">
        <v>1829</v>
      </c>
      <c r="F295" s="3979"/>
      <c r="G295" s="3979"/>
      <c r="H295" s="3979"/>
      <c r="I295" s="3979"/>
      <c r="J295" s="3979"/>
      <c r="K295" s="3979"/>
      <c r="L295" s="3979"/>
      <c r="M295" s="3979"/>
      <c r="N295" s="3979"/>
      <c r="O295" s="3979"/>
      <c r="P295" s="3979"/>
      <c r="Q295" s="3979"/>
      <c r="R295" s="3979"/>
      <c r="S295" s="3979"/>
      <c r="T295" s="3979"/>
      <c r="U295" s="3979"/>
      <c r="V295" s="3979"/>
      <c r="W295" s="3979"/>
      <c r="X295" s="3979"/>
      <c r="Y295" s="3979"/>
      <c r="Z295" s="3979"/>
      <c r="AA295" s="3979"/>
      <c r="AB295" s="3979"/>
      <c r="AC295" s="3979"/>
      <c r="AD295" s="3979"/>
      <c r="AE295" s="3979"/>
      <c r="AF295" s="3979"/>
      <c r="AG295" s="3979"/>
      <c r="AH295" s="3979"/>
      <c r="AI295" s="3979"/>
      <c r="AJ295" s="3979"/>
      <c r="AK295" s="3979"/>
      <c r="AL295" s="3634" t="s">
        <v>664</v>
      </c>
      <c r="AM295" s="3634"/>
      <c r="AP295" s="1136"/>
      <c r="AR295" s="49"/>
      <c r="AS295" s="49"/>
    </row>
    <row r="296" spans="2:45" s="365" customFormat="1" ht="18" hidden="1" customHeight="1">
      <c r="B296" s="1085"/>
      <c r="C296" s="718"/>
      <c r="D296" s="718"/>
      <c r="E296" s="718"/>
      <c r="F296" s="718"/>
      <c r="G296" s="718"/>
      <c r="H296" s="718"/>
      <c r="I296" s="718"/>
      <c r="J296" s="718"/>
      <c r="K296" s="718"/>
      <c r="L296" s="718"/>
      <c r="M296" s="718"/>
      <c r="N296" s="718"/>
      <c r="O296" s="718"/>
      <c r="P296" s="718"/>
      <c r="Q296" s="718"/>
      <c r="R296" s="718"/>
      <c r="S296" s="718"/>
      <c r="T296" s="718"/>
      <c r="U296" s="718"/>
      <c r="V296" s="718"/>
      <c r="W296" s="718"/>
      <c r="X296" s="718"/>
      <c r="Y296" s="718"/>
      <c r="Z296" s="718"/>
      <c r="AA296" s="718"/>
      <c r="AB296" s="718"/>
      <c r="AC296" s="718"/>
      <c r="AD296" s="718"/>
      <c r="AE296" s="718"/>
      <c r="AF296" s="718"/>
      <c r="AG296" s="718"/>
      <c r="AH296" s="718"/>
      <c r="AI296" s="718"/>
      <c r="AJ296" s="718"/>
      <c r="AK296" s="718"/>
      <c r="AL296" s="718"/>
      <c r="AM296" s="717"/>
      <c r="AP296" s="1136"/>
      <c r="AR296" s="49"/>
      <c r="AS296" s="49"/>
    </row>
    <row r="297" spans="2:45" s="365" customFormat="1" ht="36" customHeight="1">
      <c r="B297" s="1085"/>
      <c r="C297" s="1141" t="s">
        <v>1403</v>
      </c>
      <c r="D297" s="4273" t="s">
        <v>1830</v>
      </c>
      <c r="E297" s="4273"/>
      <c r="F297" s="4273"/>
      <c r="G297" s="4273"/>
      <c r="H297" s="4273"/>
      <c r="I297" s="4273"/>
      <c r="J297" s="4273"/>
      <c r="K297" s="4273"/>
      <c r="L297" s="4273"/>
      <c r="M297" s="4273"/>
      <c r="N297" s="4273"/>
      <c r="O297" s="4273"/>
      <c r="P297" s="4273"/>
      <c r="Q297" s="4273"/>
      <c r="R297" s="4273"/>
      <c r="S297" s="4273"/>
      <c r="T297" s="4273"/>
      <c r="U297" s="4273"/>
      <c r="V297" s="4273"/>
      <c r="W297" s="4273"/>
      <c r="X297" s="4273"/>
      <c r="Y297" s="4273"/>
      <c r="Z297" s="4273"/>
      <c r="AA297" s="4273"/>
      <c r="AB297" s="4273"/>
      <c r="AC297" s="4273"/>
      <c r="AD297" s="4273"/>
      <c r="AE297" s="4273"/>
      <c r="AF297" s="4273"/>
      <c r="AG297" s="4273"/>
      <c r="AH297" s="4273"/>
      <c r="AI297" s="3980">
        <f>IF(AND(IsVhhp,OR(IsSH,IsTH)),SUM(AI300,AI316,AI321),0)</f>
        <v>0</v>
      </c>
      <c r="AJ297" s="3980"/>
      <c r="AK297" s="702"/>
      <c r="AL297" s="3980">
        <f>IF(AND(IsVhhp,OR(IsSH,IsTH)),SUM(AL300,AL316,AL321),0)</f>
        <v>0</v>
      </c>
      <c r="AM297" s="3980"/>
      <c r="AP297" s="1136"/>
      <c r="AR297" s="49"/>
      <c r="AS297" s="49"/>
    </row>
    <row r="298" spans="2:45" s="365" customFormat="1" ht="18" customHeight="1">
      <c r="B298" s="1085"/>
      <c r="C298" s="718"/>
      <c r="D298" s="3984" t="s">
        <v>1813</v>
      </c>
      <c r="E298" s="3984"/>
      <c r="F298" s="3984"/>
      <c r="G298" s="3984"/>
      <c r="H298" s="3984"/>
      <c r="I298" s="3984"/>
      <c r="J298" s="3984"/>
      <c r="K298" s="3984"/>
      <c r="L298" s="3984"/>
      <c r="M298" s="3984"/>
      <c r="N298" s="3984"/>
      <c r="O298" s="3984"/>
      <c r="P298" s="3984"/>
      <c r="Q298" s="3984"/>
      <c r="R298" s="3984"/>
      <c r="S298" s="3984"/>
      <c r="T298" s="3984"/>
      <c r="U298" s="4173" t="b">
        <f>IF(AND(IsVhhp,OR(IsSH,IsTH)),TRUE,FALSE)</f>
        <v>0</v>
      </c>
      <c r="V298" s="1791"/>
      <c r="W298" s="718"/>
      <c r="X298" s="718"/>
      <c r="Y298" s="718"/>
      <c r="Z298" s="718"/>
      <c r="AA298" s="718"/>
      <c r="AB298" s="718"/>
      <c r="AC298" s="718"/>
      <c r="AD298" s="718"/>
      <c r="AE298" s="718"/>
      <c r="AF298" s="718"/>
      <c r="AG298" s="718"/>
      <c r="AH298" s="718"/>
      <c r="AI298" s="4242" t="s">
        <v>1831</v>
      </c>
      <c r="AJ298" s="4242"/>
      <c r="AK298" s="1143"/>
      <c r="AL298" s="4243" t="s">
        <v>1832</v>
      </c>
      <c r="AM298" s="4244"/>
      <c r="AP298" s="1136"/>
      <c r="AR298" s="49"/>
      <c r="AS298" s="49"/>
    </row>
    <row r="299" spans="2:45" s="365" customFormat="1" ht="18" customHeight="1">
      <c r="B299" s="1085"/>
      <c r="C299" s="718"/>
      <c r="D299" s="718"/>
      <c r="E299" s="718"/>
      <c r="F299" s="718"/>
      <c r="G299" s="718"/>
      <c r="H299" s="718"/>
      <c r="I299" s="718"/>
      <c r="J299" s="718"/>
      <c r="K299" s="718"/>
      <c r="L299" s="718"/>
      <c r="M299" s="718"/>
      <c r="N299" s="718"/>
      <c r="O299" s="718"/>
      <c r="P299" s="718"/>
      <c r="Q299" s="718"/>
      <c r="R299" s="718"/>
      <c r="S299" s="718"/>
      <c r="T299" s="718"/>
      <c r="U299" s="718"/>
      <c r="V299" s="718"/>
      <c r="W299" s="718"/>
      <c r="X299" s="718"/>
      <c r="Y299" s="718"/>
      <c r="Z299" s="718"/>
      <c r="AA299" s="718"/>
      <c r="AB299" s="718"/>
      <c r="AC299" s="718"/>
      <c r="AD299" s="718"/>
      <c r="AE299" s="718"/>
      <c r="AF299" s="718"/>
      <c r="AG299" s="718"/>
      <c r="AH299" s="718"/>
      <c r="AI299" s="4056"/>
      <c r="AJ299" s="4056"/>
      <c r="AK299" s="1144"/>
      <c r="AL299" s="4245"/>
      <c r="AM299" s="4246"/>
      <c r="AP299" s="1136"/>
      <c r="AR299" s="49"/>
      <c r="AS299" s="49"/>
    </row>
    <row r="300" spans="2:45" s="365" customFormat="1" ht="18" customHeight="1">
      <c r="B300" s="1085"/>
      <c r="C300" s="718"/>
      <c r="D300" s="1142" t="s">
        <v>1408</v>
      </c>
      <c r="E300" s="3905" t="s">
        <v>1833</v>
      </c>
      <c r="F300" s="3905"/>
      <c r="G300" s="3905"/>
      <c r="H300" s="3905"/>
      <c r="I300" s="3905"/>
      <c r="J300" s="3905"/>
      <c r="K300" s="3905"/>
      <c r="L300" s="3905"/>
      <c r="M300" s="3905"/>
      <c r="N300" s="3905"/>
      <c r="O300" s="3905"/>
      <c r="P300" s="3905"/>
      <c r="Q300" s="3905"/>
      <c r="R300" s="3905"/>
      <c r="S300" s="3905"/>
      <c r="T300" s="3905"/>
      <c r="U300" s="3905"/>
      <c r="V300" s="3905"/>
      <c r="W300" s="3905"/>
      <c r="X300" s="3905"/>
      <c r="Y300" s="3905"/>
      <c r="Z300" s="3905"/>
      <c r="AA300" s="3905"/>
      <c r="AB300" s="3905"/>
      <c r="AC300" s="3905"/>
      <c r="AD300" s="3905"/>
      <c r="AE300" s="3905"/>
      <c r="AF300" s="3905"/>
      <c r="AG300" s="3905"/>
      <c r="AH300" s="3905"/>
      <c r="AI300" s="3980">
        <f>IF(AND(IsVhhp,OR(IsSH,IsTH)),SUM($AI$301,$AI$302,$AI$303,$AI$308,$AI$309,$AI$310,$AI$311),0)</f>
        <v>0</v>
      </c>
      <c r="AJ300" s="3980"/>
      <c r="AK300" s="702"/>
      <c r="AL300" s="3980">
        <f>IF(AND(IsVhhp,OR(IsSH,IsTH)),SUM($AL$301,$AL$302,$AL$303,$AL$308,$AL$309,$AL$310,$AL$311),0)</f>
        <v>0</v>
      </c>
      <c r="AM300" s="3980"/>
      <c r="AP300" s="1136"/>
      <c r="AR300" s="49"/>
      <c r="AS300" s="49"/>
    </row>
    <row r="301" spans="2:45" s="365" customFormat="1" ht="18" customHeight="1">
      <c r="B301" s="1085"/>
      <c r="C301" s="718"/>
      <c r="D301" s="718"/>
      <c r="E301" s="1142" t="s">
        <v>808</v>
      </c>
      <c r="F301" s="3984" t="s">
        <v>1834</v>
      </c>
      <c r="G301" s="3984"/>
      <c r="H301" s="3984"/>
      <c r="I301" s="3984"/>
      <c r="J301" s="3984"/>
      <c r="K301" s="3984"/>
      <c r="L301" s="3984"/>
      <c r="M301" s="3984"/>
      <c r="N301" s="3984"/>
      <c r="O301" s="3984"/>
      <c r="P301" s="3984"/>
      <c r="Q301" s="3984"/>
      <c r="R301" s="3984"/>
      <c r="S301" s="3984"/>
      <c r="T301" s="3984"/>
      <c r="U301" s="3984"/>
      <c r="V301" s="3984"/>
      <c r="W301" s="3984"/>
      <c r="X301" s="3984"/>
      <c r="Y301" s="3984"/>
      <c r="Z301" s="3984"/>
      <c r="AA301" s="3984"/>
      <c r="AB301" s="3984"/>
      <c r="AC301" s="3984"/>
      <c r="AD301" s="3984"/>
      <c r="AE301" s="3984"/>
      <c r="AF301" s="3984"/>
      <c r="AG301" s="3984"/>
      <c r="AH301" s="718"/>
      <c r="AI301" s="3988"/>
      <c r="AJ301" s="3988"/>
      <c r="AK301" s="718"/>
      <c r="AL301" s="3980"/>
      <c r="AM301" s="3980"/>
      <c r="AP301" s="1136"/>
      <c r="AR301" s="49"/>
      <c r="AS301" s="49"/>
    </row>
    <row r="302" spans="2:45" s="365" customFormat="1" ht="18" customHeight="1">
      <c r="B302" s="1085"/>
      <c r="C302" s="718"/>
      <c r="D302" s="718"/>
      <c r="E302" s="1142" t="s">
        <v>810</v>
      </c>
      <c r="F302" s="3984" t="s">
        <v>1835</v>
      </c>
      <c r="G302" s="3984"/>
      <c r="H302" s="3984"/>
      <c r="I302" s="3984"/>
      <c r="J302" s="3984"/>
      <c r="K302" s="3984"/>
      <c r="L302" s="3984"/>
      <c r="M302" s="3984"/>
      <c r="N302" s="3984"/>
      <c r="O302" s="3984"/>
      <c r="P302" s="3984"/>
      <c r="Q302" s="3984"/>
      <c r="R302" s="3984"/>
      <c r="S302" s="3984"/>
      <c r="T302" s="3984"/>
      <c r="U302" s="3984"/>
      <c r="V302" s="3984"/>
      <c r="W302" s="3984"/>
      <c r="X302" s="3984"/>
      <c r="Y302" s="3984"/>
      <c r="Z302" s="3984"/>
      <c r="AA302" s="3984"/>
      <c r="AB302" s="3984"/>
      <c r="AC302" s="3984"/>
      <c r="AD302" s="3984"/>
      <c r="AE302" s="3984"/>
      <c r="AF302" s="3984"/>
      <c r="AG302" s="3984"/>
      <c r="AH302" s="3985"/>
      <c r="AI302" s="3988"/>
      <c r="AJ302" s="3988"/>
      <c r="AK302" s="718"/>
      <c r="AL302" s="4050"/>
      <c r="AM302" s="4050"/>
      <c r="AP302" s="1136"/>
      <c r="AR302" s="49"/>
      <c r="AS302" s="49"/>
    </row>
    <row r="303" spans="2:45" s="365" customFormat="1" ht="18" customHeight="1">
      <c r="B303" s="1085"/>
      <c r="C303" s="718"/>
      <c r="D303" s="718"/>
      <c r="E303" s="1142" t="s">
        <v>812</v>
      </c>
      <c r="F303" s="3984" t="s">
        <v>1836</v>
      </c>
      <c r="G303" s="3984"/>
      <c r="H303" s="3984"/>
      <c r="I303" s="3984"/>
      <c r="J303" s="3984"/>
      <c r="K303" s="3984"/>
      <c r="L303" s="3984"/>
      <c r="M303" s="3984"/>
      <c r="N303" s="3984"/>
      <c r="O303" s="3984"/>
      <c r="P303" s="3984"/>
      <c r="Q303" s="3984"/>
      <c r="R303" s="3984"/>
      <c r="S303" s="3984"/>
      <c r="T303" s="3984"/>
      <c r="U303" s="3984"/>
      <c r="V303" s="3984"/>
      <c r="W303" s="3984"/>
      <c r="X303" s="3984"/>
      <c r="Y303" s="3984"/>
      <c r="Z303" s="3984"/>
      <c r="AA303" s="3984"/>
      <c r="AB303" s="3984"/>
      <c r="AC303" s="3984"/>
      <c r="AD303" s="3984"/>
      <c r="AE303" s="3984"/>
      <c r="AF303" s="3984"/>
      <c r="AG303" s="3984"/>
      <c r="AH303" s="3984"/>
      <c r="AI303" s="3988"/>
      <c r="AJ303" s="3988"/>
      <c r="AK303" s="718"/>
      <c r="AL303" s="4050"/>
      <c r="AM303" s="4050"/>
      <c r="AP303" s="1136"/>
      <c r="AR303" s="49"/>
      <c r="AS303" s="49"/>
    </row>
    <row r="304" spans="2:45" s="365" customFormat="1" ht="18" customHeight="1">
      <c r="B304" s="1085"/>
      <c r="C304" s="718"/>
      <c r="D304" s="718"/>
      <c r="E304" s="4253" t="s">
        <v>1837</v>
      </c>
      <c r="F304" s="4253"/>
      <c r="G304" s="4253"/>
      <c r="H304" s="4253"/>
      <c r="I304" s="4253"/>
      <c r="J304" s="4253"/>
      <c r="K304" s="4253"/>
      <c r="L304" s="4253"/>
      <c r="M304" s="4253"/>
      <c r="N304" s="4253"/>
      <c r="O304" s="4253"/>
      <c r="P304" s="4253"/>
      <c r="Q304" s="4253"/>
      <c r="R304" s="4253"/>
      <c r="S304" s="4253"/>
      <c r="T304" s="4253"/>
      <c r="U304" s="4253"/>
      <c r="V304" s="718"/>
      <c r="W304" s="3984" t="s">
        <v>1838</v>
      </c>
      <c r="X304" s="3984"/>
      <c r="Y304" s="3984"/>
      <c r="Z304" s="3984"/>
      <c r="AA304" s="3984"/>
      <c r="AB304" s="3984"/>
      <c r="AC304" s="3984"/>
      <c r="AD304" s="3984"/>
      <c r="AE304" s="3984"/>
      <c r="AF304" s="3984"/>
      <c r="AG304" s="3984"/>
      <c r="AH304" s="3984"/>
      <c r="AI304" s="3984"/>
      <c r="AJ304" s="3984"/>
      <c r="AK304" s="3984"/>
      <c r="AL304" s="3984"/>
      <c r="AM304" s="3985"/>
      <c r="AP304" s="1136"/>
      <c r="AR304" s="49"/>
      <c r="AS304" s="49"/>
    </row>
    <row r="305" spans="2:45" s="365" customFormat="1" ht="18" customHeight="1">
      <c r="B305" s="1085"/>
      <c r="C305" s="718"/>
      <c r="D305" s="718"/>
      <c r="E305" s="4253" t="s">
        <v>1839</v>
      </c>
      <c r="F305" s="4253"/>
      <c r="G305" s="4253"/>
      <c r="H305" s="4253"/>
      <c r="I305" s="4253"/>
      <c r="J305" s="4253"/>
      <c r="K305" s="4253"/>
      <c r="L305" s="4253"/>
      <c r="M305" s="4253"/>
      <c r="N305" s="4253"/>
      <c r="O305" s="4253"/>
      <c r="P305" s="4253"/>
      <c r="Q305" s="4253"/>
      <c r="R305" s="4253"/>
      <c r="S305" s="4253"/>
      <c r="T305" s="4253"/>
      <c r="U305" s="4253"/>
      <c r="V305" s="718"/>
      <c r="W305" s="3984" t="s">
        <v>1840</v>
      </c>
      <c r="X305" s="3984"/>
      <c r="Y305" s="3984"/>
      <c r="Z305" s="3984"/>
      <c r="AA305" s="3984"/>
      <c r="AB305" s="3984"/>
      <c r="AC305" s="3984"/>
      <c r="AD305" s="3984"/>
      <c r="AE305" s="3984"/>
      <c r="AF305" s="3984"/>
      <c r="AG305" s="3984"/>
      <c r="AH305" s="3984"/>
      <c r="AI305" s="3984"/>
      <c r="AJ305" s="3984"/>
      <c r="AK305" s="3984"/>
      <c r="AL305" s="3984"/>
      <c r="AM305" s="3985"/>
      <c r="AP305" s="1136"/>
      <c r="AR305" s="49"/>
      <c r="AS305" s="49"/>
    </row>
    <row r="306" spans="2:45" s="365" customFormat="1" ht="18" customHeight="1">
      <c r="B306" s="1085"/>
      <c r="C306" s="718"/>
      <c r="D306" s="718"/>
      <c r="E306" s="4253" t="s">
        <v>1841</v>
      </c>
      <c r="F306" s="4253"/>
      <c r="G306" s="4253"/>
      <c r="H306" s="4253"/>
      <c r="I306" s="4253"/>
      <c r="J306" s="4253"/>
      <c r="K306" s="4253"/>
      <c r="L306" s="4253"/>
      <c r="M306" s="4253"/>
      <c r="N306" s="4253"/>
      <c r="O306" s="4253"/>
      <c r="P306" s="4253"/>
      <c r="Q306" s="4253"/>
      <c r="R306" s="4253"/>
      <c r="S306" s="4253"/>
      <c r="T306" s="4253"/>
      <c r="U306" s="4253"/>
      <c r="V306" s="718"/>
      <c r="W306" s="3984" t="s">
        <v>1842</v>
      </c>
      <c r="X306" s="3984"/>
      <c r="Y306" s="3984"/>
      <c r="Z306" s="3984"/>
      <c r="AA306" s="3984"/>
      <c r="AB306" s="3984"/>
      <c r="AC306" s="3984"/>
      <c r="AD306" s="3984"/>
      <c r="AE306" s="3984"/>
      <c r="AF306" s="3984"/>
      <c r="AG306" s="3984"/>
      <c r="AH306" s="3984"/>
      <c r="AI306" s="3984"/>
      <c r="AJ306" s="3984"/>
      <c r="AK306" s="3984"/>
      <c r="AL306" s="3984"/>
      <c r="AM306" s="3985"/>
      <c r="AP306" s="1136"/>
      <c r="AR306" s="49"/>
      <c r="AS306" s="49"/>
    </row>
    <row r="307" spans="2:45" s="365" customFormat="1" ht="18" customHeight="1">
      <c r="B307" s="1085"/>
      <c r="C307" s="718"/>
      <c r="D307" s="718"/>
      <c r="E307" s="4253" t="s">
        <v>1843</v>
      </c>
      <c r="F307" s="4253"/>
      <c r="G307" s="4253"/>
      <c r="H307" s="4253"/>
      <c r="I307" s="4253"/>
      <c r="J307" s="4253"/>
      <c r="K307" s="4253"/>
      <c r="L307" s="4253"/>
      <c r="M307" s="4253"/>
      <c r="N307" s="4253"/>
      <c r="O307" s="4253"/>
      <c r="P307" s="4253"/>
      <c r="Q307" s="4253"/>
      <c r="R307" s="4253"/>
      <c r="S307" s="4253"/>
      <c r="T307" s="4253"/>
      <c r="U307" s="4253"/>
      <c r="V307" s="718"/>
      <c r="W307" s="3984" t="s">
        <v>1844</v>
      </c>
      <c r="X307" s="3984"/>
      <c r="Y307" s="3984"/>
      <c r="Z307" s="3984"/>
      <c r="AA307" s="3984"/>
      <c r="AB307" s="3984"/>
      <c r="AC307" s="3984"/>
      <c r="AD307" s="3984"/>
      <c r="AE307" s="3984"/>
      <c r="AF307" s="3984"/>
      <c r="AG307" s="3984"/>
      <c r="AH307" s="3984"/>
      <c r="AI307" s="3984"/>
      <c r="AJ307" s="3984"/>
      <c r="AK307" s="3984"/>
      <c r="AL307" s="3984"/>
      <c r="AM307" s="3985"/>
      <c r="AP307" s="1136"/>
      <c r="AR307" s="49"/>
      <c r="AS307" s="49"/>
    </row>
    <row r="308" spans="2:45" s="365" customFormat="1" ht="63" customHeight="1">
      <c r="B308" s="1085"/>
      <c r="C308" s="718"/>
      <c r="D308" s="718"/>
      <c r="E308" s="1142" t="s">
        <v>1845</v>
      </c>
      <c r="F308" s="3979" t="s">
        <v>1846</v>
      </c>
      <c r="G308" s="3979"/>
      <c r="H308" s="3979"/>
      <c r="I308" s="3979"/>
      <c r="J308" s="3979"/>
      <c r="K308" s="3979"/>
      <c r="L308" s="3979"/>
      <c r="M308" s="3979"/>
      <c r="N308" s="3979"/>
      <c r="O308" s="3979"/>
      <c r="P308" s="3979"/>
      <c r="Q308" s="3979"/>
      <c r="R308" s="3979"/>
      <c r="S308" s="3979"/>
      <c r="T308" s="3979"/>
      <c r="U308" s="3979"/>
      <c r="V308" s="3979"/>
      <c r="W308" s="3979"/>
      <c r="X308" s="3979"/>
      <c r="Y308" s="3979"/>
      <c r="Z308" s="3979"/>
      <c r="AA308" s="3979"/>
      <c r="AB308" s="3979"/>
      <c r="AC308" s="3979"/>
      <c r="AD308" s="3979"/>
      <c r="AE308" s="3979"/>
      <c r="AF308" s="3979"/>
      <c r="AG308" s="3979"/>
      <c r="AH308" s="3979"/>
      <c r="AI308" s="3988"/>
      <c r="AJ308" s="3988"/>
      <c r="AK308" s="718"/>
      <c r="AL308" s="4050"/>
      <c r="AM308" s="4050"/>
      <c r="AP308" s="1136"/>
      <c r="AR308" s="49"/>
      <c r="AS308" s="49"/>
    </row>
    <row r="309" spans="2:45" s="365" customFormat="1" ht="36" customHeight="1">
      <c r="B309" s="1085"/>
      <c r="C309" s="718"/>
      <c r="D309" s="718"/>
      <c r="E309" s="1142" t="s">
        <v>1847</v>
      </c>
      <c r="F309" s="3979" t="s">
        <v>1848</v>
      </c>
      <c r="G309" s="3979"/>
      <c r="H309" s="3979"/>
      <c r="I309" s="3979"/>
      <c r="J309" s="3979"/>
      <c r="K309" s="3979"/>
      <c r="L309" s="3979"/>
      <c r="M309" s="3979"/>
      <c r="N309" s="3979"/>
      <c r="O309" s="3979"/>
      <c r="P309" s="3979"/>
      <c r="Q309" s="3979"/>
      <c r="R309" s="3979"/>
      <c r="S309" s="3979"/>
      <c r="T309" s="3979"/>
      <c r="U309" s="3979"/>
      <c r="V309" s="3979"/>
      <c r="W309" s="3979"/>
      <c r="X309" s="3979"/>
      <c r="Y309" s="3979"/>
      <c r="Z309" s="3979"/>
      <c r="AA309" s="3979"/>
      <c r="AB309" s="3979"/>
      <c r="AC309" s="3979"/>
      <c r="AD309" s="3979"/>
      <c r="AE309" s="3979"/>
      <c r="AF309" s="3979"/>
      <c r="AG309" s="3979"/>
      <c r="AH309" s="3979"/>
      <c r="AI309" s="3988"/>
      <c r="AJ309" s="3988"/>
      <c r="AK309" s="718"/>
      <c r="AL309" s="4050"/>
      <c r="AM309" s="4050"/>
      <c r="AP309" s="1136"/>
      <c r="AR309" s="49"/>
      <c r="AS309" s="49"/>
    </row>
    <row r="310" spans="2:45" s="365" customFormat="1" ht="36" customHeight="1">
      <c r="B310" s="1085"/>
      <c r="C310" s="718"/>
      <c r="D310" s="718"/>
      <c r="E310" s="1142" t="s">
        <v>1849</v>
      </c>
      <c r="F310" s="3979" t="s">
        <v>1850</v>
      </c>
      <c r="G310" s="3979"/>
      <c r="H310" s="3979"/>
      <c r="I310" s="3979"/>
      <c r="J310" s="3979"/>
      <c r="K310" s="3979"/>
      <c r="L310" s="3979"/>
      <c r="M310" s="3979"/>
      <c r="N310" s="3979"/>
      <c r="O310" s="3979"/>
      <c r="P310" s="3979"/>
      <c r="Q310" s="3979"/>
      <c r="R310" s="3979"/>
      <c r="S310" s="3979"/>
      <c r="T310" s="3979"/>
      <c r="U310" s="3979"/>
      <c r="V310" s="3979"/>
      <c r="W310" s="3979"/>
      <c r="X310" s="3979"/>
      <c r="Y310" s="3979"/>
      <c r="Z310" s="3979"/>
      <c r="AA310" s="3979"/>
      <c r="AB310" s="3979"/>
      <c r="AC310" s="3979"/>
      <c r="AD310" s="3979"/>
      <c r="AE310" s="3979"/>
      <c r="AF310" s="3979"/>
      <c r="AG310" s="3979"/>
      <c r="AH310" s="3979"/>
      <c r="AI310" s="3988"/>
      <c r="AJ310" s="3988"/>
      <c r="AK310" s="718"/>
      <c r="AL310" s="4050"/>
      <c r="AM310" s="4050"/>
      <c r="AP310" s="1136"/>
      <c r="AR310" s="49"/>
      <c r="AS310" s="49"/>
    </row>
    <row r="311" spans="2:45" s="365" customFormat="1" ht="18" customHeight="1">
      <c r="B311" s="1085"/>
      <c r="C311" s="718"/>
      <c r="D311" s="718"/>
      <c r="E311" s="1142" t="s">
        <v>1851</v>
      </c>
      <c r="F311" s="3984" t="s">
        <v>1852</v>
      </c>
      <c r="G311" s="3984"/>
      <c r="H311" s="3984"/>
      <c r="I311" s="3984"/>
      <c r="J311" s="3984"/>
      <c r="K311" s="3984"/>
      <c r="L311" s="3984"/>
      <c r="M311" s="3984"/>
      <c r="N311" s="3984"/>
      <c r="O311" s="3984"/>
      <c r="P311" s="3984"/>
      <c r="Q311" s="3984"/>
      <c r="R311" s="3984"/>
      <c r="S311" s="3984"/>
      <c r="T311" s="3984"/>
      <c r="U311" s="3984"/>
      <c r="V311" s="3984"/>
      <c r="W311" s="3984"/>
      <c r="X311" s="3984"/>
      <c r="Y311" s="3984"/>
      <c r="Z311" s="3984"/>
      <c r="AA311" s="3984"/>
      <c r="AB311" s="3984"/>
      <c r="AC311" s="3984"/>
      <c r="AD311" s="3984"/>
      <c r="AE311" s="3984"/>
      <c r="AF311" s="3984"/>
      <c r="AG311" s="3984"/>
      <c r="AH311" s="3984"/>
      <c r="AI311" s="3988"/>
      <c r="AJ311" s="3988"/>
      <c r="AK311" s="718"/>
      <c r="AL311" s="4050"/>
      <c r="AM311" s="4050"/>
      <c r="AP311" s="1136"/>
      <c r="AR311" s="49"/>
      <c r="AS311" s="49"/>
    </row>
    <row r="312" spans="2:45" s="365" customFormat="1" ht="18" customHeight="1">
      <c r="B312" s="1085"/>
      <c r="C312" s="718"/>
      <c r="D312" s="718"/>
      <c r="E312" s="4253" t="s">
        <v>1853</v>
      </c>
      <c r="F312" s="4253"/>
      <c r="G312" s="4253"/>
      <c r="H312" s="4253"/>
      <c r="I312" s="4253"/>
      <c r="J312" s="4253"/>
      <c r="K312" s="4253"/>
      <c r="L312" s="4253"/>
      <c r="M312" s="4253"/>
      <c r="N312" s="4253"/>
      <c r="O312" s="4253"/>
      <c r="P312" s="4253"/>
      <c r="Q312" s="4253"/>
      <c r="R312" s="4253"/>
      <c r="S312" s="4253"/>
      <c r="T312" s="4253"/>
      <c r="U312" s="4253"/>
      <c r="V312" s="4253"/>
      <c r="W312" s="4253"/>
      <c r="X312" s="4253"/>
      <c r="Y312" s="4253"/>
      <c r="Z312" s="4253"/>
      <c r="AA312" s="4253"/>
      <c r="AB312" s="4253"/>
      <c r="AC312" s="4253"/>
      <c r="AD312" s="4253"/>
      <c r="AE312" s="4253"/>
      <c r="AF312" s="4253"/>
      <c r="AG312" s="4253"/>
      <c r="AH312" s="4253"/>
      <c r="AI312" s="4253"/>
      <c r="AJ312" s="4253"/>
      <c r="AK312" s="4253"/>
      <c r="AL312" s="4253"/>
      <c r="AM312" s="4259"/>
      <c r="AP312" s="1136"/>
      <c r="AR312" s="49"/>
      <c r="AS312" s="49"/>
    </row>
    <row r="313" spans="2:45" s="365" customFormat="1" ht="36" customHeight="1">
      <c r="B313" s="1085"/>
      <c r="C313" s="718"/>
      <c r="D313" s="718"/>
      <c r="E313" s="4274" t="s">
        <v>1854</v>
      </c>
      <c r="F313" s="4274"/>
      <c r="G313" s="4274"/>
      <c r="H313" s="4274"/>
      <c r="I313" s="4274"/>
      <c r="J313" s="4274"/>
      <c r="K313" s="4274"/>
      <c r="L313" s="4274"/>
      <c r="M313" s="4274"/>
      <c r="N313" s="4274"/>
      <c r="O313" s="4274"/>
      <c r="P313" s="4274"/>
      <c r="Q313" s="4274"/>
      <c r="R313" s="4274"/>
      <c r="S313" s="4274"/>
      <c r="T313" s="4274"/>
      <c r="U313" s="4274"/>
      <c r="V313" s="4274"/>
      <c r="W313" s="4274"/>
      <c r="X313" s="4274"/>
      <c r="Y313" s="4274"/>
      <c r="Z313" s="4274"/>
      <c r="AA313" s="4274"/>
      <c r="AB313" s="4274"/>
      <c r="AC313" s="4274"/>
      <c r="AD313" s="4274"/>
      <c r="AE313" s="4274"/>
      <c r="AF313" s="4274"/>
      <c r="AG313" s="4274"/>
      <c r="AH313" s="4274"/>
      <c r="AI313" s="1482"/>
      <c r="AJ313" s="1482"/>
      <c r="AK313" s="1482"/>
      <c r="AL313" s="1482"/>
      <c r="AM313" s="1483"/>
      <c r="AP313" s="1136"/>
      <c r="AR313" s="49"/>
      <c r="AS313" s="49"/>
    </row>
    <row r="314" spans="2:45" s="365" customFormat="1" ht="47.25" customHeight="1">
      <c r="B314" s="1085"/>
      <c r="C314" s="718"/>
      <c r="D314" s="718"/>
      <c r="E314" s="4274" t="s">
        <v>1855</v>
      </c>
      <c r="F314" s="4274"/>
      <c r="G314" s="4274"/>
      <c r="H314" s="4274"/>
      <c r="I314" s="4274"/>
      <c r="J314" s="4274"/>
      <c r="K314" s="4274"/>
      <c r="L314" s="4274"/>
      <c r="M314" s="4274"/>
      <c r="N314" s="4274"/>
      <c r="O314" s="4274"/>
      <c r="P314" s="4274"/>
      <c r="Q314" s="4274"/>
      <c r="R314" s="4274"/>
      <c r="S314" s="4274"/>
      <c r="T314" s="4274"/>
      <c r="U314" s="4274"/>
      <c r="V314" s="4274"/>
      <c r="W314" s="4274"/>
      <c r="X314" s="4274"/>
      <c r="Y314" s="4274"/>
      <c r="Z314" s="4274"/>
      <c r="AA314" s="4274"/>
      <c r="AB314" s="4274"/>
      <c r="AC314" s="4274"/>
      <c r="AD314" s="4274"/>
      <c r="AE314" s="4274"/>
      <c r="AF314" s="4274"/>
      <c r="AG314" s="4274"/>
      <c r="AH314" s="4274"/>
      <c r="AI314" s="1482"/>
      <c r="AJ314" s="1482"/>
      <c r="AK314" s="1482"/>
      <c r="AL314" s="1482"/>
      <c r="AM314" s="1483"/>
      <c r="AP314" s="1136"/>
      <c r="AR314" s="49"/>
      <c r="AS314" s="49"/>
    </row>
    <row r="315" spans="2:45" s="365" customFormat="1" ht="18" customHeight="1">
      <c r="B315" s="1085"/>
      <c r="C315" s="718"/>
      <c r="D315" s="718"/>
      <c r="E315" s="1523"/>
      <c r="F315" s="1513"/>
      <c r="G315" s="1523"/>
      <c r="H315" s="1523"/>
      <c r="I315" s="1523"/>
      <c r="J315" s="1523"/>
      <c r="K315" s="1523"/>
      <c r="L315" s="1523"/>
      <c r="M315" s="1523"/>
      <c r="N315" s="1523"/>
      <c r="O315" s="1523"/>
      <c r="P315" s="1523"/>
      <c r="Q315" s="1523"/>
      <c r="R315" s="1523"/>
      <c r="S315" s="1523"/>
      <c r="T315" s="1523"/>
      <c r="U315" s="1523"/>
      <c r="V315" s="718"/>
      <c r="W315" s="1523"/>
      <c r="X315" s="1523"/>
      <c r="Y315" s="1523"/>
      <c r="Z315" s="1523"/>
      <c r="AA315" s="1523"/>
      <c r="AB315" s="1523"/>
      <c r="AC315" s="1523"/>
      <c r="AD315" s="1523"/>
      <c r="AE315" s="1523"/>
      <c r="AF315" s="1523"/>
      <c r="AG315" s="1523"/>
      <c r="AH315" s="1523"/>
      <c r="AI315" s="1133"/>
      <c r="AJ315" s="1133"/>
      <c r="AK315" s="1143"/>
      <c r="AL315" s="1134"/>
      <c r="AM315" s="1145"/>
      <c r="AP315" s="1136"/>
      <c r="AR315" s="49"/>
      <c r="AS315" s="49"/>
    </row>
    <row r="316" spans="2:45" s="365" customFormat="1" ht="18" customHeight="1">
      <c r="B316" s="1085"/>
      <c r="C316" s="718"/>
      <c r="D316" s="1142" t="s">
        <v>1409</v>
      </c>
      <c r="E316" s="3905" t="s">
        <v>1856</v>
      </c>
      <c r="F316" s="3905"/>
      <c r="G316" s="3905"/>
      <c r="H316" s="3905"/>
      <c r="I316" s="3905"/>
      <c r="J316" s="3905"/>
      <c r="K316" s="3905"/>
      <c r="L316" s="3905"/>
      <c r="M316" s="3905"/>
      <c r="N316" s="3905"/>
      <c r="O316" s="3905"/>
      <c r="P316" s="3905"/>
      <c r="Q316" s="3905"/>
      <c r="R316" s="3905"/>
      <c r="S316" s="3905"/>
      <c r="T316" s="3905"/>
      <c r="U316" s="3905"/>
      <c r="V316" s="3905"/>
      <c r="W316" s="3905"/>
      <c r="X316" s="3905"/>
      <c r="Y316" s="3905"/>
      <c r="Z316" s="3905"/>
      <c r="AA316" s="3905"/>
      <c r="AB316" s="3905"/>
      <c r="AC316" s="3905"/>
      <c r="AD316" s="3905"/>
      <c r="AE316" s="3905"/>
      <c r="AF316" s="3905"/>
      <c r="AG316" s="3905"/>
      <c r="AH316" s="3906"/>
      <c r="AI316" s="3980">
        <f>IF(AND(IsVhhp,OR(IsSH,IsTH)),SUM($AI$317:$AJ$319),0)</f>
        <v>0</v>
      </c>
      <c r="AJ316" s="3980"/>
      <c r="AK316" s="702"/>
      <c r="AL316" s="3980">
        <f>IF(AND(IsVhhp,OR(IsSH,IsTH)),SUM($AL$317:$AM$319),0)</f>
        <v>0</v>
      </c>
      <c r="AM316" s="3980"/>
      <c r="AP316" s="1136"/>
      <c r="AR316" s="49"/>
      <c r="AS316" s="49"/>
    </row>
    <row r="317" spans="2:45" s="365" customFormat="1" ht="18" customHeight="1">
      <c r="B317" s="1085"/>
      <c r="C317" s="718"/>
      <c r="D317" s="718"/>
      <c r="E317" s="1142" t="s">
        <v>808</v>
      </c>
      <c r="F317" s="3984" t="s">
        <v>1857</v>
      </c>
      <c r="G317" s="3984"/>
      <c r="H317" s="3984"/>
      <c r="I317" s="3984"/>
      <c r="J317" s="3984"/>
      <c r="K317" s="3984"/>
      <c r="L317" s="3984"/>
      <c r="M317" s="3984"/>
      <c r="N317" s="3984"/>
      <c r="O317" s="3984"/>
      <c r="P317" s="3984"/>
      <c r="Q317" s="3984"/>
      <c r="R317" s="3984"/>
      <c r="S317" s="3984"/>
      <c r="T317" s="3984"/>
      <c r="U317" s="3984"/>
      <c r="V317" s="3984"/>
      <c r="W317" s="3984"/>
      <c r="X317" s="3984"/>
      <c r="Y317" s="3984"/>
      <c r="Z317" s="3984"/>
      <c r="AA317" s="3984"/>
      <c r="AB317" s="3984"/>
      <c r="AC317" s="3984"/>
      <c r="AD317" s="3984"/>
      <c r="AE317" s="3984"/>
      <c r="AF317" s="3984"/>
      <c r="AG317" s="3984"/>
      <c r="AH317" s="3984"/>
      <c r="AI317" s="3988"/>
      <c r="AJ317" s="3988"/>
      <c r="AK317" s="718"/>
      <c r="AL317" s="3989"/>
      <c r="AM317" s="3989"/>
      <c r="AP317" s="1136"/>
      <c r="AR317" s="49"/>
      <c r="AS317" s="49"/>
    </row>
    <row r="318" spans="2:45" s="365" customFormat="1" ht="18" customHeight="1">
      <c r="B318" s="1085"/>
      <c r="C318" s="718"/>
      <c r="D318" s="718"/>
      <c r="E318" s="1142" t="s">
        <v>810</v>
      </c>
      <c r="F318" s="3984" t="s">
        <v>1858</v>
      </c>
      <c r="G318" s="3984"/>
      <c r="H318" s="3984"/>
      <c r="I318" s="3984"/>
      <c r="J318" s="3984"/>
      <c r="K318" s="3984"/>
      <c r="L318" s="3984"/>
      <c r="M318" s="3984"/>
      <c r="N318" s="3984"/>
      <c r="O318" s="3984"/>
      <c r="P318" s="3984"/>
      <c r="Q318" s="3984"/>
      <c r="R318" s="3984"/>
      <c r="S318" s="3984"/>
      <c r="T318" s="3984"/>
      <c r="U318" s="3984"/>
      <c r="V318" s="3984"/>
      <c r="W318" s="3984"/>
      <c r="X318" s="3984"/>
      <c r="Y318" s="3984"/>
      <c r="Z318" s="3984"/>
      <c r="AA318" s="3984"/>
      <c r="AB318" s="3984"/>
      <c r="AC318" s="3984"/>
      <c r="AD318" s="3984"/>
      <c r="AE318" s="3984"/>
      <c r="AF318" s="3984"/>
      <c r="AG318" s="3984"/>
      <c r="AH318" s="3984"/>
      <c r="AI318" s="3988"/>
      <c r="AJ318" s="3988"/>
      <c r="AK318" s="718"/>
      <c r="AL318" s="3989"/>
      <c r="AM318" s="3989"/>
      <c r="AP318" s="1136"/>
      <c r="AR318" s="49"/>
      <c r="AS318" s="49"/>
    </row>
    <row r="319" spans="2:45" s="365" customFormat="1" ht="18" customHeight="1">
      <c r="B319" s="1085"/>
      <c r="C319" s="718"/>
      <c r="D319" s="718"/>
      <c r="E319" s="1142" t="s">
        <v>812</v>
      </c>
      <c r="F319" s="3984" t="s">
        <v>1859</v>
      </c>
      <c r="G319" s="3984"/>
      <c r="H319" s="3984"/>
      <c r="I319" s="3984"/>
      <c r="J319" s="3984"/>
      <c r="K319" s="3984"/>
      <c r="L319" s="3984"/>
      <c r="M319" s="3984"/>
      <c r="N319" s="3984"/>
      <c r="O319" s="3984"/>
      <c r="P319" s="3984"/>
      <c r="Q319" s="3984"/>
      <c r="R319" s="3984"/>
      <c r="S319" s="3984"/>
      <c r="T319" s="3984"/>
      <c r="U319" s="3984"/>
      <c r="V319" s="3984"/>
      <c r="W319" s="3984"/>
      <c r="X319" s="3984"/>
      <c r="Y319" s="3984"/>
      <c r="Z319" s="3984"/>
      <c r="AA319" s="3984"/>
      <c r="AB319" s="3984"/>
      <c r="AC319" s="3984"/>
      <c r="AD319" s="3984"/>
      <c r="AE319" s="3984"/>
      <c r="AF319" s="3984"/>
      <c r="AG319" s="3984"/>
      <c r="AH319" s="3984"/>
      <c r="AI319" s="3988"/>
      <c r="AJ319" s="3988"/>
      <c r="AK319" s="718"/>
      <c r="AL319" s="4050"/>
      <c r="AM319" s="4050"/>
      <c r="AP319" s="1136"/>
      <c r="AR319" s="49"/>
      <c r="AS319" s="49"/>
    </row>
    <row r="320" spans="2:45" s="365" customFormat="1" ht="18" customHeight="1">
      <c r="B320" s="1085"/>
      <c r="C320" s="718"/>
      <c r="D320" s="718"/>
      <c r="E320" s="1523"/>
      <c r="F320" s="1513"/>
      <c r="G320" s="1523"/>
      <c r="H320" s="1523"/>
      <c r="I320" s="1523"/>
      <c r="J320" s="1523"/>
      <c r="K320" s="1523"/>
      <c r="L320" s="1523"/>
      <c r="M320" s="1523"/>
      <c r="N320" s="1523"/>
      <c r="O320" s="1523"/>
      <c r="P320" s="1523"/>
      <c r="Q320" s="1523"/>
      <c r="R320" s="1523"/>
      <c r="S320" s="1523"/>
      <c r="T320" s="1523"/>
      <c r="U320" s="1523"/>
      <c r="V320" s="718"/>
      <c r="W320" s="1523"/>
      <c r="X320" s="1523"/>
      <c r="Y320" s="1523"/>
      <c r="Z320" s="1523"/>
      <c r="AA320" s="1523"/>
      <c r="AB320" s="1523"/>
      <c r="AC320" s="1523"/>
      <c r="AD320" s="1523"/>
      <c r="AE320" s="1523"/>
      <c r="AF320" s="1523"/>
      <c r="AG320" s="1523"/>
      <c r="AH320" s="1523"/>
      <c r="AI320" s="1523"/>
      <c r="AJ320" s="1523"/>
      <c r="AK320" s="1523"/>
      <c r="AL320" s="1523"/>
      <c r="AM320" s="1138"/>
      <c r="AP320" s="1136"/>
      <c r="AR320" s="49"/>
      <c r="AS320" s="49"/>
    </row>
    <row r="321" spans="2:45" s="365" customFormat="1" ht="36" customHeight="1">
      <c r="B321" s="1085"/>
      <c r="C321" s="718"/>
      <c r="D321" s="1142" t="s">
        <v>1410</v>
      </c>
      <c r="E321" s="3910" t="s">
        <v>1860</v>
      </c>
      <c r="F321" s="3910"/>
      <c r="G321" s="3910"/>
      <c r="H321" s="3910"/>
      <c r="I321" s="3910"/>
      <c r="J321" s="3910"/>
      <c r="K321" s="3910"/>
      <c r="L321" s="3910"/>
      <c r="M321" s="3910"/>
      <c r="N321" s="3910"/>
      <c r="O321" s="3910"/>
      <c r="P321" s="3910"/>
      <c r="Q321" s="3910"/>
      <c r="R321" s="3910"/>
      <c r="S321" s="3910"/>
      <c r="T321" s="3910"/>
      <c r="U321" s="3910"/>
      <c r="V321" s="3910"/>
      <c r="W321" s="3910"/>
      <c r="X321" s="3910"/>
      <c r="Y321" s="3910"/>
      <c r="Z321" s="3910"/>
      <c r="AA321" s="3910"/>
      <c r="AB321" s="3910"/>
      <c r="AC321" s="3910"/>
      <c r="AD321" s="3910"/>
      <c r="AE321" s="3910"/>
      <c r="AF321" s="3910"/>
      <c r="AG321" s="3910"/>
      <c r="AH321" s="3910"/>
      <c r="AI321" s="3980">
        <f>IF(AND(IsVhhp,OR(IsSH,IsTH)),SUM($AI$322:$AJ$326),0)</f>
        <v>0</v>
      </c>
      <c r="AJ321" s="3980"/>
      <c r="AK321" s="702"/>
      <c r="AL321" s="3980">
        <f>IF(AND(IsVhhp,OR(IsSH,IsTH)),SUM($AL$322:$AM$326),0)</f>
        <v>0</v>
      </c>
      <c r="AM321" s="3980"/>
      <c r="AP321" s="1136"/>
      <c r="AR321" s="49"/>
      <c r="AS321" s="49"/>
    </row>
    <row r="322" spans="2:45" s="365" customFormat="1" ht="36" customHeight="1">
      <c r="B322" s="1085"/>
      <c r="C322" s="718"/>
      <c r="D322" s="718"/>
      <c r="E322" s="1142" t="s">
        <v>808</v>
      </c>
      <c r="F322" s="3979" t="s">
        <v>1861</v>
      </c>
      <c r="G322" s="3979"/>
      <c r="H322" s="3979"/>
      <c r="I322" s="3979"/>
      <c r="J322" s="3979"/>
      <c r="K322" s="3979"/>
      <c r="L322" s="3979"/>
      <c r="M322" s="3979"/>
      <c r="N322" s="3979"/>
      <c r="O322" s="3979"/>
      <c r="P322" s="3979"/>
      <c r="Q322" s="3979"/>
      <c r="R322" s="3979"/>
      <c r="S322" s="3979"/>
      <c r="T322" s="3979"/>
      <c r="U322" s="3979"/>
      <c r="V322" s="3979"/>
      <c r="W322" s="3979"/>
      <c r="X322" s="3979"/>
      <c r="Y322" s="3979"/>
      <c r="Z322" s="3979"/>
      <c r="AA322" s="3979"/>
      <c r="AB322" s="3979"/>
      <c r="AC322" s="3979"/>
      <c r="AD322" s="3979"/>
      <c r="AE322" s="3979"/>
      <c r="AF322" s="3979"/>
      <c r="AG322" s="3979"/>
      <c r="AH322" s="3979"/>
      <c r="AI322" s="3988"/>
      <c r="AJ322" s="3988"/>
      <c r="AK322" s="718"/>
      <c r="AL322" s="4050"/>
      <c r="AM322" s="4050"/>
      <c r="AP322" s="1136"/>
      <c r="AR322" s="49"/>
      <c r="AS322" s="49"/>
    </row>
    <row r="323" spans="2:45" s="365" customFormat="1" ht="18" customHeight="1">
      <c r="B323" s="1085"/>
      <c r="C323" s="718"/>
      <c r="D323" s="718"/>
      <c r="E323" s="1142" t="s">
        <v>810</v>
      </c>
      <c r="F323" s="3984" t="s">
        <v>1862</v>
      </c>
      <c r="G323" s="3984"/>
      <c r="H323" s="3984"/>
      <c r="I323" s="3984"/>
      <c r="J323" s="3984"/>
      <c r="K323" s="3984"/>
      <c r="L323" s="3984"/>
      <c r="M323" s="3984"/>
      <c r="N323" s="3984"/>
      <c r="O323" s="3984"/>
      <c r="P323" s="3984"/>
      <c r="Q323" s="3984"/>
      <c r="R323" s="3984"/>
      <c r="S323" s="3984"/>
      <c r="T323" s="3984"/>
      <c r="U323" s="3984"/>
      <c r="V323" s="3984"/>
      <c r="W323" s="3984"/>
      <c r="X323" s="3984"/>
      <c r="Y323" s="3984"/>
      <c r="Z323" s="3984"/>
      <c r="AA323" s="3984"/>
      <c r="AB323" s="3984"/>
      <c r="AC323" s="3984"/>
      <c r="AD323" s="3984"/>
      <c r="AE323" s="3984"/>
      <c r="AF323" s="3984"/>
      <c r="AG323" s="3984"/>
      <c r="AH323" s="3984"/>
      <c r="AI323" s="3988"/>
      <c r="AJ323" s="3988"/>
      <c r="AK323" s="718"/>
      <c r="AL323" s="4050"/>
      <c r="AM323" s="4050"/>
      <c r="AP323" s="1136"/>
      <c r="AR323" s="49"/>
      <c r="AS323" s="49"/>
    </row>
    <row r="324" spans="2:45" s="365" customFormat="1" ht="36" customHeight="1">
      <c r="B324" s="1085"/>
      <c r="C324" s="718"/>
      <c r="D324" s="718"/>
      <c r="E324" s="1142" t="s">
        <v>812</v>
      </c>
      <c r="F324" s="3979" t="s">
        <v>1863</v>
      </c>
      <c r="G324" s="3979"/>
      <c r="H324" s="3979"/>
      <c r="I324" s="3979"/>
      <c r="J324" s="3979"/>
      <c r="K324" s="3979"/>
      <c r="L324" s="3979"/>
      <c r="M324" s="3979"/>
      <c r="N324" s="3979"/>
      <c r="O324" s="3979"/>
      <c r="P324" s="3979"/>
      <c r="Q324" s="3979"/>
      <c r="R324" s="3979"/>
      <c r="S324" s="3979"/>
      <c r="T324" s="3979"/>
      <c r="U324" s="3979"/>
      <c r="V324" s="3979"/>
      <c r="W324" s="3979"/>
      <c r="X324" s="3979"/>
      <c r="Y324" s="3979"/>
      <c r="Z324" s="3979"/>
      <c r="AA324" s="3979"/>
      <c r="AB324" s="3979"/>
      <c r="AC324" s="3979"/>
      <c r="AD324" s="3979"/>
      <c r="AE324" s="3979"/>
      <c r="AF324" s="3979"/>
      <c r="AG324" s="3979"/>
      <c r="AH324" s="3979"/>
      <c r="AI324" s="3988"/>
      <c r="AJ324" s="3988"/>
      <c r="AK324" s="718"/>
      <c r="AL324" s="4050"/>
      <c r="AM324" s="4050"/>
      <c r="AP324" s="1136"/>
      <c r="AR324" s="49"/>
      <c r="AS324" s="49"/>
    </row>
    <row r="325" spans="2:45" s="365" customFormat="1" ht="36" customHeight="1">
      <c r="B325" s="1085"/>
      <c r="C325" s="718"/>
      <c r="D325" s="718"/>
      <c r="E325" s="1142" t="s">
        <v>1845</v>
      </c>
      <c r="F325" s="3979" t="s">
        <v>1864</v>
      </c>
      <c r="G325" s="3979"/>
      <c r="H325" s="3979"/>
      <c r="I325" s="3979"/>
      <c r="J325" s="3979"/>
      <c r="K325" s="3979"/>
      <c r="L325" s="3979"/>
      <c r="M325" s="3979"/>
      <c r="N325" s="3979"/>
      <c r="O325" s="3979"/>
      <c r="P325" s="3979"/>
      <c r="Q325" s="3979"/>
      <c r="R325" s="3979"/>
      <c r="S325" s="3979"/>
      <c r="T325" s="3979"/>
      <c r="U325" s="3979"/>
      <c r="V325" s="3979"/>
      <c r="W325" s="3979"/>
      <c r="X325" s="3979"/>
      <c r="Y325" s="3979"/>
      <c r="Z325" s="3979"/>
      <c r="AA325" s="3979"/>
      <c r="AB325" s="3979"/>
      <c r="AC325" s="3979"/>
      <c r="AD325" s="3979"/>
      <c r="AE325" s="3979"/>
      <c r="AF325" s="3979"/>
      <c r="AG325" s="3979"/>
      <c r="AH325" s="3979"/>
      <c r="AI325" s="3988"/>
      <c r="AJ325" s="3988"/>
      <c r="AK325" s="718"/>
      <c r="AL325" s="4050"/>
      <c r="AM325" s="4050"/>
      <c r="AP325" s="1136"/>
      <c r="AR325" s="49"/>
      <c r="AS325" s="49"/>
    </row>
    <row r="326" spans="2:45" s="365" customFormat="1" ht="18" customHeight="1">
      <c r="B326" s="1085"/>
      <c r="C326" s="718"/>
      <c r="D326" s="718"/>
      <c r="E326" s="1142" t="s">
        <v>1847</v>
      </c>
      <c r="F326" s="3984" t="s">
        <v>1865</v>
      </c>
      <c r="G326" s="3984"/>
      <c r="H326" s="3984"/>
      <c r="I326" s="3984"/>
      <c r="J326" s="3984"/>
      <c r="K326" s="3984"/>
      <c r="L326" s="3984"/>
      <c r="M326" s="3984"/>
      <c r="N326" s="3984"/>
      <c r="O326" s="3984"/>
      <c r="P326" s="3984"/>
      <c r="Q326" s="3984"/>
      <c r="R326" s="3984"/>
      <c r="S326" s="3984"/>
      <c r="T326" s="3984"/>
      <c r="U326" s="3984"/>
      <c r="V326" s="3984"/>
      <c r="W326" s="3984"/>
      <c r="X326" s="3984"/>
      <c r="Y326" s="3984"/>
      <c r="Z326" s="3984"/>
      <c r="AA326" s="3984"/>
      <c r="AB326" s="3984"/>
      <c r="AC326" s="3984"/>
      <c r="AD326" s="3984"/>
      <c r="AE326" s="3984"/>
      <c r="AF326" s="3984"/>
      <c r="AG326" s="3984"/>
      <c r="AH326" s="3984"/>
      <c r="AI326" s="3988"/>
      <c r="AJ326" s="3988"/>
      <c r="AK326" s="718"/>
      <c r="AL326" s="4050"/>
      <c r="AM326" s="4050"/>
      <c r="AP326" s="1136"/>
      <c r="AR326" s="49"/>
      <c r="AS326" s="49"/>
    </row>
    <row r="327" spans="2:45" s="365" customFormat="1" ht="18" customHeight="1">
      <c r="B327" s="1085"/>
      <c r="C327" s="718"/>
      <c r="D327" s="718"/>
      <c r="E327" s="1523"/>
      <c r="F327" s="1513"/>
      <c r="G327" s="1523"/>
      <c r="H327" s="1523"/>
      <c r="I327" s="1523"/>
      <c r="J327" s="1523"/>
      <c r="K327" s="1523"/>
      <c r="L327" s="1523"/>
      <c r="M327" s="1523"/>
      <c r="N327" s="1523"/>
      <c r="O327" s="1523"/>
      <c r="P327" s="1523"/>
      <c r="Q327" s="1523"/>
      <c r="R327" s="1523"/>
      <c r="S327" s="1523"/>
      <c r="T327" s="1523"/>
      <c r="U327" s="1523"/>
      <c r="V327" s="718"/>
      <c r="W327" s="1523"/>
      <c r="X327" s="1523"/>
      <c r="Y327" s="1523"/>
      <c r="Z327" s="1523"/>
      <c r="AA327" s="1523"/>
      <c r="AB327" s="1523"/>
      <c r="AC327" s="1523"/>
      <c r="AD327" s="1523"/>
      <c r="AE327" s="1523"/>
      <c r="AF327" s="1523"/>
      <c r="AG327" s="1523"/>
      <c r="AH327" s="1523"/>
      <c r="AI327" s="1523"/>
      <c r="AJ327" s="1523"/>
      <c r="AK327" s="1523"/>
      <c r="AL327" s="1523"/>
      <c r="AM327" s="1138"/>
      <c r="AP327" s="1136"/>
      <c r="AR327" s="49"/>
      <c r="AS327" s="49"/>
    </row>
    <row r="328" spans="2:45" s="365" customFormat="1" ht="36" hidden="1" customHeight="1">
      <c r="B328" s="1085"/>
      <c r="C328" s="718"/>
      <c r="D328" s="1142" t="s">
        <v>1411</v>
      </c>
      <c r="E328" s="3910" t="s">
        <v>1866</v>
      </c>
      <c r="F328" s="3910"/>
      <c r="G328" s="3910"/>
      <c r="H328" s="3910"/>
      <c r="I328" s="3910"/>
      <c r="J328" s="3910"/>
      <c r="K328" s="3910"/>
      <c r="L328" s="3910"/>
      <c r="M328" s="3910"/>
      <c r="N328" s="3910"/>
      <c r="O328" s="3910"/>
      <c r="P328" s="3910"/>
      <c r="Q328" s="3910"/>
      <c r="R328" s="3910"/>
      <c r="S328" s="3910"/>
      <c r="T328" s="3910"/>
      <c r="U328" s="3910"/>
      <c r="V328" s="3910"/>
      <c r="W328" s="3910"/>
      <c r="X328" s="3910"/>
      <c r="Y328" s="3910"/>
      <c r="Z328" s="3910"/>
      <c r="AA328" s="3910"/>
      <c r="AB328" s="3910"/>
      <c r="AC328" s="3910"/>
      <c r="AD328" s="3910"/>
      <c r="AE328" s="3910"/>
      <c r="AF328" s="3910"/>
      <c r="AG328" s="3910"/>
      <c r="AH328" s="3910"/>
      <c r="AI328" s="718"/>
      <c r="AJ328" s="1133"/>
      <c r="AK328" s="1143"/>
      <c r="AL328" s="718"/>
      <c r="AM328" s="1145"/>
      <c r="AP328" s="1136"/>
      <c r="AR328" s="49"/>
      <c r="AS328" s="49"/>
    </row>
    <row r="329" spans="2:45" s="365" customFormat="1" ht="18" hidden="1" customHeight="1">
      <c r="B329" s="1085"/>
      <c r="C329" s="718"/>
      <c r="D329" s="1142"/>
      <c r="E329" s="3984" t="s">
        <v>1813</v>
      </c>
      <c r="F329" s="3984"/>
      <c r="G329" s="3984"/>
      <c r="H329" s="3984"/>
      <c r="I329" s="3984"/>
      <c r="J329" s="3984"/>
      <c r="K329" s="3984"/>
      <c r="L329" s="3984"/>
      <c r="M329" s="3984"/>
      <c r="N329" s="3984"/>
      <c r="O329" s="3984"/>
      <c r="P329" s="3984"/>
      <c r="Q329" s="3984"/>
      <c r="R329" s="3984"/>
      <c r="S329" s="3984"/>
      <c r="T329" s="3984"/>
      <c r="U329" s="3984"/>
      <c r="V329" s="4173" t="b">
        <f>IF(AND(IsVhhp,OR(IsSH,IsTH)),TRUE,FALSE)</f>
        <v>0</v>
      </c>
      <c r="W329" s="1791"/>
      <c r="X329" s="1507"/>
      <c r="Y329" s="1507"/>
      <c r="Z329" s="1507"/>
      <c r="AA329" s="1507"/>
      <c r="AB329" s="1507"/>
      <c r="AC329" s="1507"/>
      <c r="AD329" s="1507"/>
      <c r="AE329" s="1507"/>
      <c r="AF329" s="1507"/>
      <c r="AG329" s="1507"/>
      <c r="AH329" s="1507"/>
      <c r="AI329" s="4055" t="s">
        <v>1831</v>
      </c>
      <c r="AJ329" s="4055"/>
      <c r="AK329" s="1143"/>
      <c r="AL329" s="4243" t="s">
        <v>1832</v>
      </c>
      <c r="AM329" s="4244"/>
      <c r="AP329" s="1136"/>
      <c r="AR329" s="49"/>
      <c r="AS329" s="49"/>
    </row>
    <row r="330" spans="2:45" s="365" customFormat="1" ht="18" hidden="1" customHeight="1">
      <c r="B330" s="1085"/>
      <c r="C330" s="718"/>
      <c r="D330" s="718"/>
      <c r="E330" s="3905" t="s">
        <v>1867</v>
      </c>
      <c r="F330" s="3905"/>
      <c r="G330" s="3905"/>
      <c r="H330" s="3905"/>
      <c r="I330" s="3905"/>
      <c r="J330" s="3905"/>
      <c r="K330" s="3905"/>
      <c r="L330" s="3905"/>
      <c r="M330" s="3905"/>
      <c r="N330" s="3905"/>
      <c r="O330" s="3905"/>
      <c r="P330" s="3905"/>
      <c r="Q330" s="3905"/>
      <c r="R330" s="3905"/>
      <c r="S330" s="3905"/>
      <c r="T330" s="3905"/>
      <c r="U330" s="3905"/>
      <c r="V330" s="3905"/>
      <c r="W330" s="3905"/>
      <c r="X330" s="3905"/>
      <c r="Y330" s="3905"/>
      <c r="Z330" s="3905"/>
      <c r="AA330" s="3905"/>
      <c r="AB330" s="3905"/>
      <c r="AC330" s="3905"/>
      <c r="AD330" s="3905"/>
      <c r="AE330" s="3905"/>
      <c r="AF330" s="3905"/>
      <c r="AG330" s="3905"/>
      <c r="AH330" s="3905"/>
      <c r="AI330" s="4056"/>
      <c r="AJ330" s="4056"/>
      <c r="AK330" s="1144"/>
      <c r="AL330" s="4245"/>
      <c r="AM330" s="4246"/>
      <c r="AP330" s="1136"/>
      <c r="AR330" s="49"/>
      <c r="AS330" s="49"/>
    </row>
    <row r="331" spans="2:45" s="365" customFormat="1" ht="18" hidden="1" customHeight="1">
      <c r="B331" s="1085"/>
      <c r="C331" s="718"/>
      <c r="D331" s="718"/>
      <c r="E331" s="1142" t="s">
        <v>808</v>
      </c>
      <c r="F331" s="3905" t="s">
        <v>1868</v>
      </c>
      <c r="G331" s="3905"/>
      <c r="H331" s="3905"/>
      <c r="I331" s="3905"/>
      <c r="J331" s="3905"/>
      <c r="K331" s="3905"/>
      <c r="L331" s="3905"/>
      <c r="M331" s="3905"/>
      <c r="N331" s="3905"/>
      <c r="O331" s="3905"/>
      <c r="P331" s="3905"/>
      <c r="Q331" s="3905"/>
      <c r="R331" s="3905"/>
      <c r="S331" s="3905"/>
      <c r="T331" s="3905"/>
      <c r="U331" s="3905"/>
      <c r="V331" s="3905"/>
      <c r="W331" s="3905"/>
      <c r="X331" s="3905"/>
      <c r="Y331" s="3905"/>
      <c r="Z331" s="3905"/>
      <c r="AA331" s="3905"/>
      <c r="AB331" s="3905"/>
      <c r="AC331" s="3905"/>
      <c r="AD331" s="3905"/>
      <c r="AE331" s="3905"/>
      <c r="AF331" s="3905"/>
      <c r="AG331" s="3905"/>
      <c r="AH331" s="3905"/>
      <c r="AI331" s="4251">
        <f>IF(IsVhhp,SUM($AI$332:$AJ$334),0)</f>
        <v>0</v>
      </c>
      <c r="AJ331" s="4252"/>
      <c r="AK331" s="702"/>
      <c r="AL331" s="4251">
        <f>IF(IsVhhp,SUM($AL$332:$AM$334),0)</f>
        <v>0</v>
      </c>
      <c r="AM331" s="4252"/>
      <c r="AP331" s="1136"/>
      <c r="AR331" s="49"/>
      <c r="AS331" s="49"/>
    </row>
    <row r="332" spans="2:45" s="365" customFormat="1" ht="18" hidden="1" customHeight="1">
      <c r="B332" s="1085"/>
      <c r="C332" s="718"/>
      <c r="D332" s="718"/>
      <c r="E332" s="718"/>
      <c r="F332" s="3905" t="s">
        <v>1869</v>
      </c>
      <c r="G332" s="3905"/>
      <c r="H332" s="3905"/>
      <c r="I332" s="3905"/>
      <c r="J332" s="3905"/>
      <c r="K332" s="3905"/>
      <c r="L332" s="3905"/>
      <c r="M332" s="3905"/>
      <c r="N332" s="3905"/>
      <c r="O332" s="3905"/>
      <c r="P332" s="3905"/>
      <c r="Q332" s="3905"/>
      <c r="R332" s="3905"/>
      <c r="S332" s="3905"/>
      <c r="T332" s="3905"/>
      <c r="U332" s="3905"/>
      <c r="V332" s="3905"/>
      <c r="W332" s="3905"/>
      <c r="X332" s="3905"/>
      <c r="Y332" s="3905"/>
      <c r="Z332" s="3905"/>
      <c r="AA332" s="3905"/>
      <c r="AB332" s="3905"/>
      <c r="AC332" s="3905"/>
      <c r="AD332" s="3905"/>
      <c r="AE332" s="3905"/>
      <c r="AF332" s="3905"/>
      <c r="AG332" s="3905"/>
      <c r="AH332" s="3905"/>
      <c r="AI332" s="3988">
        <v>2</v>
      </c>
      <c r="AJ332" s="3988"/>
      <c r="AK332" s="718"/>
      <c r="AL332" s="4050"/>
      <c r="AM332" s="4050"/>
      <c r="AP332" s="1136"/>
      <c r="AR332" s="49"/>
      <c r="AS332" s="49"/>
    </row>
    <row r="333" spans="2:45" s="365" customFormat="1" ht="18" hidden="1" customHeight="1">
      <c r="B333" s="1085"/>
      <c r="C333" s="718"/>
      <c r="D333" s="718"/>
      <c r="E333" s="1523"/>
      <c r="F333" s="3905" t="s">
        <v>1870</v>
      </c>
      <c r="G333" s="3905"/>
      <c r="H333" s="3905"/>
      <c r="I333" s="3905"/>
      <c r="J333" s="3905"/>
      <c r="K333" s="3905"/>
      <c r="L333" s="3905"/>
      <c r="M333" s="3905"/>
      <c r="N333" s="3905"/>
      <c r="O333" s="3905"/>
      <c r="P333" s="3905"/>
      <c r="Q333" s="3905"/>
      <c r="R333" s="3905"/>
      <c r="S333" s="3905"/>
      <c r="T333" s="3905"/>
      <c r="U333" s="3905"/>
      <c r="V333" s="3905"/>
      <c r="W333" s="3905"/>
      <c r="X333" s="3905"/>
      <c r="Y333" s="3905"/>
      <c r="Z333" s="3905"/>
      <c r="AA333" s="3905"/>
      <c r="AB333" s="3905"/>
      <c r="AC333" s="3905"/>
      <c r="AD333" s="3905"/>
      <c r="AE333" s="3905"/>
      <c r="AF333" s="3905"/>
      <c r="AG333" s="3905"/>
      <c r="AH333" s="3905"/>
      <c r="AI333" s="3988">
        <v>1</v>
      </c>
      <c r="AJ333" s="3988"/>
      <c r="AK333" s="718"/>
      <c r="AL333" s="4050"/>
      <c r="AM333" s="4050"/>
      <c r="AP333" s="1136"/>
      <c r="AR333" s="49"/>
      <c r="AS333" s="49"/>
    </row>
    <row r="334" spans="2:45" s="365" customFormat="1" ht="18" hidden="1" customHeight="1">
      <c r="B334" s="1085"/>
      <c r="C334" s="718"/>
      <c r="D334" s="718"/>
      <c r="E334" s="1523"/>
      <c r="F334" s="3905" t="s">
        <v>1871</v>
      </c>
      <c r="G334" s="3905"/>
      <c r="H334" s="3905"/>
      <c r="I334" s="3905"/>
      <c r="J334" s="3905"/>
      <c r="K334" s="3905"/>
      <c r="L334" s="3905"/>
      <c r="M334" s="3905"/>
      <c r="N334" s="3905"/>
      <c r="O334" s="3905"/>
      <c r="P334" s="3905"/>
      <c r="Q334" s="3905"/>
      <c r="R334" s="3905"/>
      <c r="S334" s="3905"/>
      <c r="T334" s="3905"/>
      <c r="U334" s="3905"/>
      <c r="V334" s="3905"/>
      <c r="W334" s="3905"/>
      <c r="X334" s="3905"/>
      <c r="Y334" s="3905"/>
      <c r="Z334" s="3905"/>
      <c r="AA334" s="3905"/>
      <c r="AB334" s="3905"/>
      <c r="AC334" s="3905"/>
      <c r="AD334" s="3905"/>
      <c r="AE334" s="3905"/>
      <c r="AF334" s="3905"/>
      <c r="AG334" s="3905"/>
      <c r="AH334" s="3905"/>
      <c r="AI334" s="3988">
        <v>1</v>
      </c>
      <c r="AJ334" s="3988"/>
      <c r="AK334" s="718"/>
      <c r="AL334" s="4050"/>
      <c r="AM334" s="4050"/>
      <c r="AP334" s="1136"/>
      <c r="AR334" s="49"/>
      <c r="AS334" s="49"/>
    </row>
    <row r="335" spans="2:45" s="365" customFormat="1" ht="18" hidden="1" customHeight="1">
      <c r="B335" s="1085"/>
      <c r="C335" s="718"/>
      <c r="D335" s="718"/>
      <c r="E335" s="1523"/>
      <c r="F335" s="1513"/>
      <c r="G335" s="4258" t="s">
        <v>1872</v>
      </c>
      <c r="H335" s="4258"/>
      <c r="I335" s="4258"/>
      <c r="J335" s="4258"/>
      <c r="K335" s="4258"/>
      <c r="L335" s="4258"/>
      <c r="M335" s="4258"/>
      <c r="N335" s="4258"/>
      <c r="O335" s="4258"/>
      <c r="P335" s="4258"/>
      <c r="Q335" s="4258"/>
      <c r="R335" s="4258"/>
      <c r="S335" s="4258"/>
      <c r="T335" s="4258"/>
      <c r="U335" s="4258"/>
      <c r="V335" s="4258"/>
      <c r="W335" s="4258"/>
      <c r="X335" s="4258"/>
      <c r="Y335" s="4258"/>
      <c r="Z335" s="4258"/>
      <c r="AA335" s="4258"/>
      <c r="AB335" s="4258"/>
      <c r="AC335" s="4258"/>
      <c r="AD335" s="4258"/>
      <c r="AE335" s="4258"/>
      <c r="AF335" s="4258"/>
      <c r="AG335" s="4258"/>
      <c r="AH335" s="4258"/>
      <c r="AI335" s="718"/>
      <c r="AJ335" s="718"/>
      <c r="AK335" s="718"/>
      <c r="AL335" s="718"/>
      <c r="AM335" s="717"/>
      <c r="AP335" s="1136"/>
      <c r="AR335" s="49"/>
      <c r="AS335" s="49"/>
    </row>
    <row r="336" spans="2:45" s="365" customFormat="1" ht="36" hidden="1" customHeight="1">
      <c r="B336" s="1085"/>
      <c r="C336" s="718"/>
      <c r="D336" s="718"/>
      <c r="E336" s="1523"/>
      <c r="F336" s="1513"/>
      <c r="G336" s="4051" t="s">
        <v>1873</v>
      </c>
      <c r="H336" s="4051"/>
      <c r="I336" s="4051"/>
      <c r="J336" s="4051"/>
      <c r="K336" s="4051"/>
      <c r="L336" s="4051"/>
      <c r="M336" s="4051"/>
      <c r="N336" s="4051"/>
      <c r="O336" s="4051"/>
      <c r="P336" s="4051"/>
      <c r="Q336" s="4051"/>
      <c r="R336" s="4051"/>
      <c r="S336" s="4051"/>
      <c r="T336" s="4051"/>
      <c r="U336" s="4051"/>
      <c r="V336" s="4051"/>
      <c r="W336" s="4051"/>
      <c r="X336" s="4051"/>
      <c r="Y336" s="4051"/>
      <c r="Z336" s="4051"/>
      <c r="AA336" s="4051"/>
      <c r="AB336" s="4051"/>
      <c r="AC336" s="4051"/>
      <c r="AD336" s="4051"/>
      <c r="AE336" s="4051"/>
      <c r="AF336" s="4051"/>
      <c r="AG336" s="4051"/>
      <c r="AH336" s="4051"/>
      <c r="AI336" s="718"/>
      <c r="AJ336" s="718"/>
      <c r="AK336" s="718"/>
      <c r="AL336" s="718"/>
      <c r="AM336" s="717"/>
      <c r="AP336" s="1136"/>
      <c r="AR336" s="49"/>
      <c r="AS336" s="49"/>
    </row>
    <row r="337" spans="1:47" s="365" customFormat="1" ht="18" hidden="1" customHeight="1">
      <c r="B337" s="1085"/>
      <c r="C337" s="718"/>
      <c r="D337" s="718"/>
      <c r="E337" s="1142" t="s">
        <v>810</v>
      </c>
      <c r="F337" s="3905" t="s">
        <v>1874</v>
      </c>
      <c r="G337" s="3905"/>
      <c r="H337" s="3905"/>
      <c r="I337" s="3905"/>
      <c r="J337" s="3905"/>
      <c r="K337" s="3905"/>
      <c r="L337" s="3905"/>
      <c r="M337" s="3905"/>
      <c r="N337" s="3905"/>
      <c r="O337" s="3905"/>
      <c r="P337" s="3905"/>
      <c r="Q337" s="3905"/>
      <c r="R337" s="3905"/>
      <c r="S337" s="3905"/>
      <c r="T337" s="3905"/>
      <c r="U337" s="3905"/>
      <c r="V337" s="3905"/>
      <c r="W337" s="3905"/>
      <c r="X337" s="3905"/>
      <c r="Y337" s="3905"/>
      <c r="Z337" s="3905"/>
      <c r="AA337" s="3905"/>
      <c r="AB337" s="3905"/>
      <c r="AC337" s="3905"/>
      <c r="AD337" s="3905"/>
      <c r="AE337" s="3905"/>
      <c r="AF337" s="3905"/>
      <c r="AG337" s="3905"/>
      <c r="AH337" s="3905"/>
      <c r="AI337" s="3980">
        <f>IF(IsVhhp,SUM($AI$338:$AJ$340),0)</f>
        <v>0</v>
      </c>
      <c r="AJ337" s="3980"/>
      <c r="AK337" s="702"/>
      <c r="AL337" s="3980">
        <f>IF(IsVhhp,SUM($AL$338:$AM$340),0)</f>
        <v>0</v>
      </c>
      <c r="AM337" s="3980"/>
      <c r="AP337" s="1136"/>
      <c r="AR337" s="49"/>
      <c r="AS337" s="49"/>
    </row>
    <row r="338" spans="1:47" s="365" customFormat="1" ht="18" hidden="1" customHeight="1">
      <c r="B338" s="1085"/>
      <c r="C338" s="718"/>
      <c r="D338" s="718"/>
      <c r="E338" s="1523"/>
      <c r="F338" s="3905" t="s">
        <v>1875</v>
      </c>
      <c r="G338" s="3905"/>
      <c r="H338" s="3905"/>
      <c r="I338" s="3905"/>
      <c r="J338" s="3905"/>
      <c r="K338" s="3905"/>
      <c r="L338" s="3905"/>
      <c r="M338" s="3905"/>
      <c r="N338" s="3905"/>
      <c r="O338" s="3905"/>
      <c r="P338" s="3905"/>
      <c r="Q338" s="3905"/>
      <c r="R338" s="3905"/>
      <c r="S338" s="3905"/>
      <c r="T338" s="3905"/>
      <c r="U338" s="3905"/>
      <c r="V338" s="3905"/>
      <c r="W338" s="3905"/>
      <c r="X338" s="3905"/>
      <c r="Y338" s="3905"/>
      <c r="Z338" s="3905"/>
      <c r="AA338" s="3905"/>
      <c r="AB338" s="3905"/>
      <c r="AC338" s="3905"/>
      <c r="AD338" s="3905"/>
      <c r="AE338" s="3905"/>
      <c r="AF338" s="3905"/>
      <c r="AG338" s="3905"/>
      <c r="AH338" s="3905"/>
      <c r="AI338" s="3988">
        <v>0.5</v>
      </c>
      <c r="AJ338" s="3988"/>
      <c r="AK338" s="718"/>
      <c r="AL338" s="3989"/>
      <c r="AM338" s="3989"/>
      <c r="AP338" s="1136"/>
      <c r="AR338" s="49"/>
      <c r="AS338" s="49"/>
    </row>
    <row r="339" spans="1:47" s="365" customFormat="1" ht="18" hidden="1" customHeight="1">
      <c r="B339" s="1085"/>
      <c r="C339" s="718"/>
      <c r="D339" s="718"/>
      <c r="E339" s="1523"/>
      <c r="F339" s="3905" t="s">
        <v>1876</v>
      </c>
      <c r="G339" s="3905"/>
      <c r="H339" s="3905"/>
      <c r="I339" s="3905"/>
      <c r="J339" s="3905"/>
      <c r="K339" s="3905"/>
      <c r="L339" s="3905"/>
      <c r="M339" s="3905"/>
      <c r="N339" s="3905"/>
      <c r="O339" s="3905"/>
      <c r="P339" s="3905"/>
      <c r="Q339" s="3905"/>
      <c r="R339" s="3905"/>
      <c r="S339" s="3905"/>
      <c r="T339" s="3905"/>
      <c r="U339" s="3905"/>
      <c r="V339" s="3905"/>
      <c r="W339" s="3905"/>
      <c r="X339" s="3905"/>
      <c r="Y339" s="3905"/>
      <c r="Z339" s="3905"/>
      <c r="AA339" s="3905"/>
      <c r="AB339" s="3905"/>
      <c r="AC339" s="3905"/>
      <c r="AD339" s="3905"/>
      <c r="AE339" s="3905"/>
      <c r="AF339" s="3905"/>
      <c r="AG339" s="3905"/>
      <c r="AH339" s="3905"/>
      <c r="AI339" s="3988">
        <v>0.5</v>
      </c>
      <c r="AJ339" s="3988"/>
      <c r="AK339" s="718"/>
      <c r="AL339" s="3989"/>
      <c r="AM339" s="3989"/>
      <c r="AP339" s="1136"/>
      <c r="AR339" s="49"/>
      <c r="AS339" s="49"/>
    </row>
    <row r="340" spans="1:47" s="365" customFormat="1" ht="18" hidden="1" customHeight="1">
      <c r="B340" s="1085"/>
      <c r="C340" s="718"/>
      <c r="D340" s="718"/>
      <c r="E340" s="1523"/>
      <c r="F340" s="3905" t="s">
        <v>1877</v>
      </c>
      <c r="G340" s="3905"/>
      <c r="H340" s="3905"/>
      <c r="I340" s="3905"/>
      <c r="J340" s="3905"/>
      <c r="K340" s="3905"/>
      <c r="L340" s="3905"/>
      <c r="M340" s="3905"/>
      <c r="N340" s="3905"/>
      <c r="O340" s="3905"/>
      <c r="P340" s="3905"/>
      <c r="Q340" s="3905"/>
      <c r="R340" s="3905"/>
      <c r="S340" s="3905"/>
      <c r="T340" s="3905"/>
      <c r="U340" s="3905"/>
      <c r="V340" s="3905"/>
      <c r="W340" s="3905"/>
      <c r="X340" s="3905"/>
      <c r="Y340" s="3905"/>
      <c r="Z340" s="3905"/>
      <c r="AA340" s="3905"/>
      <c r="AB340" s="3905"/>
      <c r="AC340" s="3905"/>
      <c r="AD340" s="3905"/>
      <c r="AE340" s="3905"/>
      <c r="AF340" s="3905"/>
      <c r="AG340" s="3905"/>
      <c r="AH340" s="3905"/>
      <c r="AI340" s="3988">
        <v>1</v>
      </c>
      <c r="AJ340" s="3988"/>
      <c r="AK340" s="718"/>
      <c r="AL340" s="4050"/>
      <c r="AM340" s="4050"/>
      <c r="AP340" s="1136"/>
      <c r="AR340" s="49"/>
      <c r="AS340" s="49"/>
    </row>
    <row r="341" spans="1:47" s="365" customFormat="1" ht="36" hidden="1" customHeight="1">
      <c r="B341" s="1085"/>
      <c r="C341" s="718"/>
      <c r="D341" s="718"/>
      <c r="E341" s="1523"/>
      <c r="F341" s="3910" t="s">
        <v>1878</v>
      </c>
      <c r="G341" s="3910"/>
      <c r="H341" s="3910"/>
      <c r="I341" s="3910"/>
      <c r="J341" s="3910"/>
      <c r="K341" s="3910"/>
      <c r="L341" s="3910"/>
      <c r="M341" s="3910"/>
      <c r="N341" s="3910"/>
      <c r="O341" s="3910"/>
      <c r="P341" s="3910"/>
      <c r="Q341" s="3910"/>
      <c r="R341" s="3910"/>
      <c r="S341" s="3910"/>
      <c r="T341" s="3910"/>
      <c r="U341" s="3910"/>
      <c r="V341" s="3910"/>
      <c r="W341" s="3910"/>
      <c r="X341" s="3910"/>
      <c r="Y341" s="3910"/>
      <c r="Z341" s="3910"/>
      <c r="AA341" s="3910"/>
      <c r="AB341" s="3910"/>
      <c r="AC341" s="3910"/>
      <c r="AD341" s="3910"/>
      <c r="AE341" s="3910"/>
      <c r="AF341" s="3910"/>
      <c r="AG341" s="3910"/>
      <c r="AH341" s="3910"/>
      <c r="AI341" s="3980">
        <f>IF(IsVhhp,SUM($AI$342:$AJ$344),0)</f>
        <v>0</v>
      </c>
      <c r="AJ341" s="3980"/>
      <c r="AK341" s="702"/>
      <c r="AL341" s="3980">
        <f>IF(IsVhhp,SUM($AL$342:$AM$344),0)</f>
        <v>0</v>
      </c>
      <c r="AM341" s="3980"/>
      <c r="AP341" s="1136"/>
      <c r="AR341" s="49"/>
      <c r="AS341" s="49"/>
    </row>
    <row r="342" spans="1:47" s="365" customFormat="1" ht="36" hidden="1" customHeight="1">
      <c r="B342" s="1085"/>
      <c r="C342" s="718"/>
      <c r="D342" s="718"/>
      <c r="E342" s="1523"/>
      <c r="F342" s="1513"/>
      <c r="G342" s="4051" t="s">
        <v>1879</v>
      </c>
      <c r="H342" s="4051"/>
      <c r="I342" s="4051"/>
      <c r="J342" s="4051"/>
      <c r="K342" s="4051"/>
      <c r="L342" s="4051"/>
      <c r="M342" s="4051"/>
      <c r="N342" s="4051"/>
      <c r="O342" s="4051"/>
      <c r="P342" s="4051"/>
      <c r="Q342" s="4051"/>
      <c r="R342" s="4051"/>
      <c r="S342" s="4051"/>
      <c r="T342" s="4051"/>
      <c r="U342" s="4051"/>
      <c r="V342" s="4051"/>
      <c r="W342" s="4051"/>
      <c r="X342" s="4051"/>
      <c r="Y342" s="4051"/>
      <c r="Z342" s="4051"/>
      <c r="AA342" s="4051"/>
      <c r="AB342" s="4051"/>
      <c r="AC342" s="4051"/>
      <c r="AD342" s="4051"/>
      <c r="AE342" s="4051"/>
      <c r="AF342" s="4051"/>
      <c r="AG342" s="4051"/>
      <c r="AH342" s="4051"/>
      <c r="AI342" s="3988">
        <v>2</v>
      </c>
      <c r="AJ342" s="3988"/>
      <c r="AK342" s="718"/>
      <c r="AL342" s="4050"/>
      <c r="AM342" s="4050"/>
      <c r="AP342" s="1136"/>
      <c r="AR342" s="49"/>
      <c r="AS342" s="49"/>
    </row>
    <row r="343" spans="1:47" s="365" customFormat="1" ht="18" hidden="1" customHeight="1">
      <c r="B343" s="1085"/>
      <c r="C343" s="718"/>
      <c r="D343" s="718"/>
      <c r="E343" s="1523"/>
      <c r="F343" s="1513"/>
      <c r="G343" s="4258" t="s">
        <v>1880</v>
      </c>
      <c r="H343" s="4258"/>
      <c r="I343" s="4258"/>
      <c r="J343" s="4258"/>
      <c r="K343" s="4258"/>
      <c r="L343" s="4258"/>
      <c r="M343" s="4258"/>
      <c r="N343" s="4258"/>
      <c r="O343" s="4258"/>
      <c r="P343" s="4258"/>
      <c r="Q343" s="4258"/>
      <c r="R343" s="4258"/>
      <c r="S343" s="4258"/>
      <c r="T343" s="4258"/>
      <c r="U343" s="4258"/>
      <c r="V343" s="4258"/>
      <c r="W343" s="4258"/>
      <c r="X343" s="4258"/>
      <c r="Y343" s="4258"/>
      <c r="Z343" s="4258"/>
      <c r="AA343" s="4258"/>
      <c r="AB343" s="4258"/>
      <c r="AC343" s="4258"/>
      <c r="AD343" s="4258"/>
      <c r="AE343" s="4258"/>
      <c r="AF343" s="4258"/>
      <c r="AG343" s="4258"/>
      <c r="AH343" s="4258"/>
      <c r="AI343" s="3988">
        <v>1</v>
      </c>
      <c r="AJ343" s="3988"/>
      <c r="AK343" s="718"/>
      <c r="AL343" s="4050"/>
      <c r="AM343" s="4050"/>
      <c r="AP343" s="1136"/>
      <c r="AR343" s="49"/>
      <c r="AS343" s="49"/>
    </row>
    <row r="344" spans="1:47" s="365" customFormat="1" ht="18" hidden="1" customHeight="1">
      <c r="B344" s="1099"/>
      <c r="C344" s="725"/>
      <c r="D344" s="725"/>
      <c r="E344" s="1484"/>
      <c r="F344" s="1526"/>
      <c r="G344" s="4249" t="s">
        <v>1881</v>
      </c>
      <c r="H344" s="4249"/>
      <c r="I344" s="4249"/>
      <c r="J344" s="4249"/>
      <c r="K344" s="4249"/>
      <c r="L344" s="4249"/>
      <c r="M344" s="4249"/>
      <c r="N344" s="4249"/>
      <c r="O344" s="4249"/>
      <c r="P344" s="4249"/>
      <c r="Q344" s="4249"/>
      <c r="R344" s="4249"/>
      <c r="S344" s="4249"/>
      <c r="T344" s="4249"/>
      <c r="U344" s="4249"/>
      <c r="V344" s="4249"/>
      <c r="W344" s="4249"/>
      <c r="X344" s="4249"/>
      <c r="Y344" s="4249"/>
      <c r="Z344" s="4249"/>
      <c r="AA344" s="4249"/>
      <c r="AB344" s="4249"/>
      <c r="AC344" s="4249"/>
      <c r="AD344" s="4249"/>
      <c r="AE344" s="4249"/>
      <c r="AF344" s="4249"/>
      <c r="AG344" s="4249"/>
      <c r="AH344" s="4250"/>
      <c r="AI344" s="3988">
        <v>1</v>
      </c>
      <c r="AJ344" s="3988"/>
      <c r="AK344" s="725"/>
      <c r="AL344" s="4050"/>
      <c r="AM344" s="4050"/>
      <c r="AP344" s="1136"/>
      <c r="AR344" s="49"/>
      <c r="AS344" s="49"/>
    </row>
    <row r="345" spans="1:47" s="365" customFormat="1" ht="18" hidden="1" customHeight="1">
      <c r="E345" s="49"/>
      <c r="F345" s="1136"/>
      <c r="G345" s="49"/>
      <c r="H345" s="49"/>
      <c r="I345" s="49"/>
      <c r="J345" s="49"/>
      <c r="K345" s="49"/>
      <c r="L345" s="49"/>
      <c r="M345" s="49"/>
      <c r="N345" s="49"/>
      <c r="O345" s="49"/>
      <c r="P345" s="49"/>
      <c r="Q345" s="49"/>
      <c r="R345" s="49"/>
      <c r="S345" s="49"/>
      <c r="T345" s="49"/>
      <c r="U345" s="49"/>
      <c r="W345" s="49"/>
      <c r="X345" s="49"/>
      <c r="Y345" s="49"/>
      <c r="Z345" s="49"/>
      <c r="AA345" s="49"/>
      <c r="AB345" s="49"/>
      <c r="AC345" s="49"/>
      <c r="AD345" s="49"/>
      <c r="AE345" s="49"/>
      <c r="AF345" s="49"/>
      <c r="AG345" s="49"/>
      <c r="AH345" s="49"/>
      <c r="AI345" s="49"/>
      <c r="AJ345" s="49"/>
      <c r="AK345" s="49"/>
      <c r="AL345" s="49"/>
      <c r="AM345" s="49"/>
      <c r="AP345" s="1136"/>
      <c r="AR345" s="49"/>
      <c r="AS345" s="49"/>
    </row>
    <row r="346" spans="1:47" s="365" customFormat="1" ht="18" customHeight="1">
      <c r="B346" s="1140" t="s">
        <v>1399</v>
      </c>
      <c r="C346" s="4275" t="s">
        <v>1882</v>
      </c>
      <c r="D346" s="4275"/>
      <c r="E346" s="4275"/>
      <c r="F346" s="4275"/>
      <c r="G346" s="4275"/>
      <c r="H346" s="4275"/>
      <c r="I346" s="4275"/>
      <c r="J346" s="4275"/>
      <c r="K346" s="4275"/>
      <c r="L346" s="4275"/>
      <c r="M346" s="4275"/>
      <c r="N346" s="4275"/>
      <c r="O346" s="4275"/>
      <c r="P346" s="4275"/>
      <c r="Q346" s="4275"/>
      <c r="R346" s="4275"/>
      <c r="S346" s="4275"/>
      <c r="T346" s="4275"/>
      <c r="U346" s="4275"/>
      <c r="V346" s="4275"/>
      <c r="W346" s="4275"/>
      <c r="X346" s="4275"/>
      <c r="Y346" s="4275"/>
      <c r="Z346" s="4275"/>
      <c r="AA346" s="4275"/>
      <c r="AB346" s="4275"/>
      <c r="AC346" s="4275"/>
      <c r="AD346" s="4275"/>
      <c r="AE346" s="4275"/>
      <c r="AF346" s="4275"/>
      <c r="AG346" s="4275"/>
      <c r="AH346" s="4275"/>
      <c r="AI346" s="4275"/>
      <c r="AJ346" s="4275"/>
      <c r="AK346" s="4275"/>
      <c r="AL346" s="4276">
        <f>SUM(AL347,AL351)</f>
        <v>3</v>
      </c>
      <c r="AM346" s="4276"/>
    </row>
    <row r="347" spans="1:47" s="365" customFormat="1" ht="36" customHeight="1">
      <c r="B347" s="1085"/>
      <c r="C347" s="1141" t="s">
        <v>1402</v>
      </c>
      <c r="D347" s="3979" t="s">
        <v>1883</v>
      </c>
      <c r="E347" s="3979"/>
      <c r="F347" s="3979"/>
      <c r="G347" s="3979"/>
      <c r="H347" s="3979"/>
      <c r="I347" s="3979"/>
      <c r="J347" s="3979"/>
      <c r="K347" s="3979"/>
      <c r="L347" s="3979"/>
      <c r="M347" s="3979"/>
      <c r="N347" s="3979"/>
      <c r="O347" s="3979"/>
      <c r="P347" s="3979"/>
      <c r="Q347" s="3979"/>
      <c r="R347" s="3979"/>
      <c r="S347" s="3979"/>
      <c r="T347" s="3979"/>
      <c r="U347" s="3979"/>
      <c r="V347" s="3979"/>
      <c r="W347" s="3979"/>
      <c r="X347" s="3979"/>
      <c r="Y347" s="3979"/>
      <c r="Z347" s="3979"/>
      <c r="AA347" s="3979"/>
      <c r="AB347" s="3979"/>
      <c r="AC347" s="3979"/>
      <c r="AD347" s="3979"/>
      <c r="AE347" s="3979"/>
      <c r="AF347" s="3979"/>
      <c r="AG347" s="3979"/>
      <c r="AH347" s="3979"/>
      <c r="AI347" s="3979"/>
      <c r="AJ347" s="3979"/>
      <c r="AK347" s="1523"/>
      <c r="AL347" s="3980">
        <f>IF(AND(IsSerna,'Unit Mix'!$H$7&gt;=$AO$347),30,IF(AND(IsSerna,'Unit Mix'!$H$7&gt;=$AO$348,'Unit Mix'!$H$7&lt;$AO$347),20,IF(AND(IsSerna,'Unit Mix'!$H$7&gt;=$AO$349,'Unit Mix'!$H$7&lt;$AO$348),10,IF('Unit Mix'!$H$7&lt;$AO$349,0,0))))</f>
        <v>0</v>
      </c>
      <c r="AM347" s="3980"/>
      <c r="AO347" s="732">
        <v>0.75</v>
      </c>
    </row>
    <row r="348" spans="1:47" ht="18" customHeight="1">
      <c r="A348" s="365"/>
      <c r="B348" s="1477"/>
      <c r="C348" s="726"/>
      <c r="D348" s="3905" t="s">
        <v>1884</v>
      </c>
      <c r="E348" s="3905"/>
      <c r="F348" s="3905"/>
      <c r="G348" s="3905"/>
      <c r="H348" s="3905"/>
      <c r="I348" s="3905"/>
      <c r="J348" s="3905"/>
      <c r="K348" s="3905"/>
      <c r="L348" s="3905"/>
      <c r="M348" s="3905"/>
      <c r="N348" s="3905"/>
      <c r="O348" s="3905"/>
      <c r="P348" s="3905"/>
      <c r="Q348" s="3905"/>
      <c r="R348" s="3905"/>
      <c r="S348" s="3905"/>
      <c r="T348" s="3905"/>
      <c r="U348" s="3905"/>
      <c r="V348" s="3905"/>
      <c r="W348" s="3905"/>
      <c r="X348" s="3905"/>
      <c r="Y348" s="3905"/>
      <c r="Z348" s="3905"/>
      <c r="AA348" s="3905"/>
      <c r="AB348" s="3905"/>
      <c r="AC348" s="3905"/>
      <c r="AD348" s="3905"/>
      <c r="AE348" s="3905"/>
      <c r="AF348" s="3905"/>
      <c r="AG348" s="3905"/>
      <c r="AH348" s="3905"/>
      <c r="AI348" s="3905"/>
      <c r="AJ348" s="3905"/>
      <c r="AK348" s="3906"/>
      <c r="AL348" s="3128" t="b">
        <f>IF(AND(IsSerna,'Unit Mix'!$H$7&gt;=25%),TRUE,FALSE)</f>
        <v>0</v>
      </c>
      <c r="AM348" s="3128"/>
      <c r="AN348" s="365"/>
      <c r="AO348" s="732">
        <v>0.5</v>
      </c>
      <c r="AQ348" s="1448"/>
      <c r="AR348" s="1448"/>
      <c r="AS348" s="1448"/>
      <c r="AT348" s="1058"/>
      <c r="AU348" s="360"/>
    </row>
    <row r="349" spans="1:47" ht="36" customHeight="1">
      <c r="A349" s="365"/>
      <c r="B349" s="727"/>
      <c r="C349" s="1141" t="s">
        <v>1403</v>
      </c>
      <c r="D349" s="3910" t="s">
        <v>1885</v>
      </c>
      <c r="E349" s="3910"/>
      <c r="F349" s="3910"/>
      <c r="G349" s="3910"/>
      <c r="H349" s="3910"/>
      <c r="I349" s="3910"/>
      <c r="J349" s="3910"/>
      <c r="K349" s="3910"/>
      <c r="L349" s="3910"/>
      <c r="M349" s="3910"/>
      <c r="N349" s="3910"/>
      <c r="O349" s="3910"/>
      <c r="P349" s="3910"/>
      <c r="Q349" s="3910"/>
      <c r="R349" s="3910"/>
      <c r="S349" s="3910"/>
      <c r="T349" s="3910"/>
      <c r="U349" s="3910"/>
      <c r="V349" s="3910"/>
      <c r="W349" s="3910"/>
      <c r="X349" s="3910"/>
      <c r="Y349" s="3910"/>
      <c r="Z349" s="3910"/>
      <c r="AA349" s="3910"/>
      <c r="AB349" s="3910"/>
      <c r="AC349" s="3910"/>
      <c r="AD349" s="3910"/>
      <c r="AE349" s="3910"/>
      <c r="AF349" s="3910"/>
      <c r="AG349" s="3910"/>
      <c r="AH349" s="3910"/>
      <c r="AI349" s="3910"/>
      <c r="AJ349" s="3910"/>
      <c r="AK349" s="3910"/>
      <c r="AL349" s="3910"/>
      <c r="AM349" s="3917"/>
      <c r="AN349" s="365"/>
      <c r="AO349" s="732">
        <v>0.25</v>
      </c>
      <c r="AQ349" s="1448"/>
      <c r="AR349" s="1448"/>
      <c r="AS349" s="1448"/>
      <c r="AT349" s="1058"/>
      <c r="AU349" s="360"/>
    </row>
    <row r="350" spans="1:47" ht="17.25" customHeight="1">
      <c r="A350" s="365"/>
      <c r="B350" s="727"/>
      <c r="C350" s="1459"/>
      <c r="D350" s="4254" t="s">
        <v>1886</v>
      </c>
      <c r="E350" s="4254"/>
      <c r="F350" s="4254"/>
      <c r="G350" s="4254"/>
      <c r="H350" s="4254"/>
      <c r="I350" s="4254"/>
      <c r="J350" s="4254"/>
      <c r="K350" s="4254"/>
      <c r="L350" s="4254"/>
      <c r="M350" s="4254"/>
      <c r="N350" s="1459"/>
      <c r="O350" s="1459"/>
      <c r="P350" s="1459"/>
      <c r="Q350" s="1459"/>
      <c r="R350" s="1459"/>
      <c r="S350" s="1459"/>
      <c r="T350" s="1459"/>
      <c r="U350" s="1459"/>
      <c r="V350" s="1459"/>
      <c r="W350" s="1459"/>
      <c r="X350" s="1459"/>
      <c r="Y350" s="1459"/>
      <c r="Z350" s="1459"/>
      <c r="AA350" s="1459"/>
      <c r="AB350" s="1459"/>
      <c r="AC350" s="1459"/>
      <c r="AD350" s="1459"/>
      <c r="AE350" s="1459"/>
      <c r="AF350" s="1459"/>
      <c r="AG350" s="1459"/>
      <c r="AH350" s="1459"/>
      <c r="AI350" s="1459"/>
      <c r="AJ350" s="1459"/>
      <c r="AK350" s="1459"/>
      <c r="AL350" s="1459"/>
      <c r="AM350" s="1478"/>
      <c r="AN350" s="365"/>
      <c r="AO350" s="1058"/>
      <c r="AQ350" s="1448"/>
      <c r="AR350" s="1448"/>
      <c r="AS350" s="1448"/>
      <c r="AT350" s="1058"/>
      <c r="AU350" s="360"/>
    </row>
    <row r="351" spans="1:47" ht="18" customHeight="1">
      <c r="A351" s="365"/>
      <c r="B351" s="727"/>
      <c r="C351" s="1527"/>
      <c r="D351" s="3984" t="s">
        <v>1887</v>
      </c>
      <c r="E351" s="3984"/>
      <c r="F351" s="3984"/>
      <c r="G351" s="3984"/>
      <c r="H351" s="3984"/>
      <c r="I351" s="3984"/>
      <c r="J351" s="4255" t="str">
        <f>County</f>
        <v>Amador</v>
      </c>
      <c r="K351" s="4255"/>
      <c r="L351" s="4255"/>
      <c r="M351" s="4255"/>
      <c r="N351" s="4255"/>
      <c r="O351" s="4255"/>
      <c r="P351" s="3984" t="s">
        <v>1888</v>
      </c>
      <c r="Q351" s="3984"/>
      <c r="R351" s="3984"/>
      <c r="S351" s="3984"/>
      <c r="T351" s="3984"/>
      <c r="U351" s="3984"/>
      <c r="V351" s="3984"/>
      <c r="W351" s="3984"/>
      <c r="X351" s="3984"/>
      <c r="Y351" s="3984"/>
      <c r="Z351" s="4256">
        <v>0.05</v>
      </c>
      <c r="AA351" s="4257"/>
      <c r="AB351" s="1527"/>
      <c r="AC351" s="1527"/>
      <c r="AD351" s="1527"/>
      <c r="AE351" s="1527"/>
      <c r="AF351" s="1527"/>
      <c r="AG351" s="1527"/>
      <c r="AH351" s="1527"/>
      <c r="AI351" s="1527"/>
      <c r="AJ351" s="718"/>
      <c r="AK351" s="718"/>
      <c r="AL351" s="4050">
        <f>IF(AND(IsSerna,Z$351&gt;=5%),VLOOKUP(J$351,Dropdowns!J$9:M$66,2,FALSE),IF(AND(,IsSerna,Z$351&gt;=3%,Z$351&lt;5%),VLOOKUP(J$351,Dropdowns!J$9:M$66,3,FALSE),IF(AND(IsSerna,Z$351&lt;&gt;3%),VLOOKUP(J$351,Dropdowns!J$9:M$66,3,FALSE),0)))</f>
        <v>3</v>
      </c>
      <c r="AM351" s="4050"/>
      <c r="AN351" s="365"/>
      <c r="AO351" s="1058"/>
      <c r="AQ351" s="1448"/>
      <c r="AR351" s="1448"/>
      <c r="AS351" s="1448"/>
      <c r="AT351" s="1058"/>
      <c r="AU351" s="360"/>
    </row>
    <row r="352" spans="1:47" ht="36" customHeight="1">
      <c r="A352" s="365"/>
      <c r="B352" s="1736" t="s">
        <v>676</v>
      </c>
      <c r="C352" s="1736"/>
      <c r="D352" s="1736"/>
      <c r="E352" s="2210" t="str">
        <f>'Document Checklist'!$E$179</f>
        <v>95. Farmworker Need</v>
      </c>
      <c r="F352" s="2210"/>
      <c r="G352" s="2210"/>
      <c r="H352" s="2210"/>
      <c r="I352" s="2210"/>
      <c r="J352" s="2210"/>
      <c r="K352" s="2210"/>
      <c r="L352" s="2210"/>
      <c r="M352" s="2210"/>
      <c r="N352" s="2210" t="str">
        <f>'Document Checklist'!$N$179</f>
        <v>Provide documentation from the USDA on how you arrived to the percentage on the presence of farmworkers in the County in which the project is located.</v>
      </c>
      <c r="O352" s="2210"/>
      <c r="P352" s="2210"/>
      <c r="Q352" s="2210"/>
      <c r="R352" s="2210"/>
      <c r="S352" s="2210"/>
      <c r="T352" s="2210"/>
      <c r="U352" s="2210"/>
      <c r="V352" s="2210"/>
      <c r="W352" s="2210"/>
      <c r="X352" s="2210"/>
      <c r="Y352" s="2210"/>
      <c r="Z352" s="2210"/>
      <c r="AA352" s="2210"/>
      <c r="AB352" s="2210"/>
      <c r="AC352" s="2210"/>
      <c r="AD352" s="2210"/>
      <c r="AE352" s="2210"/>
      <c r="AF352" s="2109" t="s">
        <v>843</v>
      </c>
      <c r="AG352" s="2110"/>
      <c r="AH352" s="2110"/>
      <c r="AI352" s="2110"/>
      <c r="AJ352" s="2110"/>
      <c r="AK352" s="2110"/>
      <c r="AL352" s="1727" t="s">
        <v>664</v>
      </c>
      <c r="AM352" s="1727"/>
      <c r="AN352" s="365"/>
      <c r="AO352" s="1509"/>
      <c r="AQ352" s="1448"/>
      <c r="AR352" s="1448"/>
      <c r="AS352" s="1448"/>
      <c r="AT352" s="1058"/>
      <c r="AU352" s="360"/>
    </row>
    <row r="353" spans="1:47" s="1058" customFormat="1" ht="18" customHeight="1">
      <c r="A353" s="365"/>
      <c r="AN353" s="365"/>
      <c r="AO353" s="1509"/>
      <c r="AU353" s="360"/>
    </row>
    <row r="354" spans="1:47" s="1058" customFormat="1" ht="18" customHeight="1">
      <c r="A354" s="365"/>
      <c r="B354" s="1140" t="s">
        <v>1400</v>
      </c>
      <c r="C354" s="4275" t="s">
        <v>1889</v>
      </c>
      <c r="D354" s="4275"/>
      <c r="E354" s="4275"/>
      <c r="F354" s="4275"/>
      <c r="G354" s="4275"/>
      <c r="H354" s="4275"/>
      <c r="I354" s="4275"/>
      <c r="J354" s="4275"/>
      <c r="K354" s="4275"/>
      <c r="L354" s="4275"/>
      <c r="M354" s="4275"/>
      <c r="N354" s="4275"/>
      <c r="O354" s="4275"/>
      <c r="P354" s="4275"/>
      <c r="Q354" s="4275"/>
      <c r="R354" s="4275"/>
      <c r="S354" s="4275"/>
      <c r="T354" s="4275"/>
      <c r="U354" s="4275"/>
      <c r="V354" s="4275"/>
      <c r="W354" s="4275"/>
      <c r="X354" s="4275"/>
      <c r="Y354" s="4275"/>
      <c r="Z354" s="4275"/>
      <c r="AA354" s="4275"/>
      <c r="AB354" s="4275"/>
      <c r="AC354" s="4275"/>
      <c r="AD354" s="4275"/>
      <c r="AE354" s="4275"/>
      <c r="AF354" s="4275"/>
      <c r="AG354" s="4275"/>
      <c r="AH354" s="4275"/>
      <c r="AI354" s="4275"/>
      <c r="AJ354" s="4275"/>
      <c r="AK354" s="4275"/>
      <c r="AL354" s="4276">
        <f>SUM(AL355,AL359,AL360,AL366,AL370)</f>
        <v>10</v>
      </c>
      <c r="AM354" s="4276"/>
      <c r="AN354" s="365"/>
      <c r="AO354" s="724">
        <v>1.5</v>
      </c>
      <c r="AU354" s="360"/>
    </row>
    <row r="355" spans="1:47" s="1058" customFormat="1" ht="63" customHeight="1">
      <c r="A355" s="365"/>
      <c r="B355" s="727"/>
      <c r="C355" s="1141" t="s">
        <v>1402</v>
      </c>
      <c r="D355" s="4277" t="s">
        <v>1890</v>
      </c>
      <c r="E355" s="4277"/>
      <c r="F355" s="4277"/>
      <c r="G355" s="4277"/>
      <c r="H355" s="4277"/>
      <c r="I355" s="4277"/>
      <c r="J355" s="4277"/>
      <c r="K355" s="4277"/>
      <c r="L355" s="4277"/>
      <c r="M355" s="4277"/>
      <c r="N355" s="4277"/>
      <c r="O355" s="4277"/>
      <c r="P355" s="4277"/>
      <c r="Q355" s="4277"/>
      <c r="R355" s="4277"/>
      <c r="S355" s="4277"/>
      <c r="T355" s="4277"/>
      <c r="U355" s="4277"/>
      <c r="V355" s="4277"/>
      <c r="W355" s="4277"/>
      <c r="X355" s="4277"/>
      <c r="Y355" s="4277"/>
      <c r="Z355" s="4277"/>
      <c r="AA355" s="4277"/>
      <c r="AB355" s="4277"/>
      <c r="AC355" s="4277"/>
      <c r="AD355" s="4277"/>
      <c r="AE355" s="4277"/>
      <c r="AF355" s="4277"/>
      <c r="AG355" s="4277"/>
      <c r="AH355" s="4277"/>
      <c r="AI355" s="4277"/>
      <c r="AJ355" s="4277"/>
      <c r="AK355" s="4277"/>
      <c r="AL355" s="3980">
        <f>IF(AND(IsIig,$AL$356=FALSE),0,IF(AND(IsIig,$S$358&gt;=$AO$354),30,IF(AND(IsIig,$S$358&gt;=$AO$355,$S$358&lt;$AO$354),25,IF(AND(IsIig,$S$358&gt;=$AO$356,$S$358&lt;$AO$355),15,IF(AND(IsIig,$S$358&gt;=$AO$357,$S$358&lt;$AO$356),10,IF(AND(IsIig,$S$358&gt;=$AO$358,$S$358&lt;$AO$357),5,IF(AND(IsIig,$S$358&lt;$AO$358),0,0)))))))</f>
        <v>0</v>
      </c>
      <c r="AM355" s="3980"/>
      <c r="AN355" s="365"/>
      <c r="AO355" s="724">
        <v>1.4</v>
      </c>
      <c r="AU355" s="360"/>
    </row>
    <row r="356" spans="1:47" s="1058" customFormat="1" ht="18" customHeight="1">
      <c r="A356" s="365"/>
      <c r="B356" s="1477"/>
      <c r="C356" s="1531"/>
      <c r="D356" s="3910" t="s">
        <v>4143</v>
      </c>
      <c r="E356" s="3910"/>
      <c r="F356" s="3910"/>
      <c r="G356" s="3910"/>
      <c r="H356" s="3910"/>
      <c r="I356" s="3910"/>
      <c r="J356" s="3910"/>
      <c r="K356" s="3910"/>
      <c r="L356" s="3910"/>
      <c r="M356" s="3910"/>
      <c r="N356" s="3910"/>
      <c r="O356" s="3910"/>
      <c r="P356" s="3910"/>
      <c r="Q356" s="3910"/>
      <c r="R356" s="3910"/>
      <c r="S356" s="3910"/>
      <c r="T356" s="3910"/>
      <c r="U356" s="3910"/>
      <c r="V356" s="3910"/>
      <c r="W356" s="3910"/>
      <c r="X356" s="3910"/>
      <c r="Y356" s="3910"/>
      <c r="Z356" s="3910"/>
      <c r="AA356" s="3910"/>
      <c r="AB356" s="3910"/>
      <c r="AC356" s="3910"/>
      <c r="AD356" s="3910"/>
      <c r="AE356" s="3910"/>
      <c r="AF356" s="3910"/>
      <c r="AG356" s="3910"/>
      <c r="AH356" s="3910"/>
      <c r="AI356" s="3910"/>
      <c r="AJ356" s="3910"/>
      <c r="AK356" s="3917"/>
      <c r="AL356" s="3128" t="b">
        <f>IF(AND(IsIig,'Unit Mix'!E7&gt;=15%),TRUE,FALSE)</f>
        <v>0</v>
      </c>
      <c r="AM356" s="3128"/>
      <c r="AN356" s="365"/>
      <c r="AO356" s="724">
        <v>1.3</v>
      </c>
      <c r="AU356" s="360"/>
    </row>
    <row r="357" spans="1:47" s="1058" customFormat="1" ht="18" customHeight="1">
      <c r="A357" s="365"/>
      <c r="B357" s="1477"/>
      <c r="C357" s="1152"/>
      <c r="D357" s="1142" t="s">
        <v>1408</v>
      </c>
      <c r="E357" s="3984" t="s">
        <v>1891</v>
      </c>
      <c r="F357" s="3984"/>
      <c r="G357" s="3984"/>
      <c r="H357" s="3984"/>
      <c r="I357" s="3984"/>
      <c r="J357" s="3984"/>
      <c r="K357" s="3984"/>
      <c r="L357" s="3984"/>
      <c r="M357" s="3984"/>
      <c r="N357" s="3984"/>
      <c r="O357" s="3984"/>
      <c r="P357" s="3984"/>
      <c r="Q357" s="3984"/>
      <c r="R357" s="3984"/>
      <c r="S357" s="3984"/>
      <c r="T357" s="3984"/>
      <c r="U357" s="3984"/>
      <c r="V357" s="3984"/>
      <c r="W357" s="3984"/>
      <c r="X357" s="3984"/>
      <c r="Y357" s="3984"/>
      <c r="Z357" s="3984"/>
      <c r="AA357" s="3984"/>
      <c r="AB357" s="3984"/>
      <c r="AC357" s="3984"/>
      <c r="AD357" s="3984"/>
      <c r="AE357" s="3984"/>
      <c r="AF357" s="3984"/>
      <c r="AG357" s="3984"/>
      <c r="AH357" s="3984"/>
      <c r="AI357" s="3984"/>
      <c r="AJ357" s="3984"/>
      <c r="AK357" s="3984"/>
      <c r="AL357" s="3984"/>
      <c r="AM357" s="3985"/>
      <c r="AN357" s="365"/>
      <c r="AO357" s="724">
        <v>1.2</v>
      </c>
      <c r="AU357" s="360"/>
    </row>
    <row r="358" spans="1:47" s="1058" customFormat="1" ht="18" customHeight="1">
      <c r="A358" s="365"/>
      <c r="B358" s="1477"/>
      <c r="C358" s="1459"/>
      <c r="D358" s="1142" t="s">
        <v>1409</v>
      </c>
      <c r="E358" s="1850" t="s">
        <v>1892</v>
      </c>
      <c r="F358" s="1850"/>
      <c r="G358" s="1850"/>
      <c r="H358" s="1850"/>
      <c r="I358" s="1850"/>
      <c r="J358" s="1850"/>
      <c r="K358" s="1850"/>
      <c r="L358" s="1850"/>
      <c r="M358" s="1850"/>
      <c r="N358" s="1850"/>
      <c r="O358" s="1850"/>
      <c r="P358" s="1850"/>
      <c r="Q358" s="1850"/>
      <c r="R358" s="1850"/>
      <c r="S358" s="4288">
        <f>$AK$216</f>
        <v>0.27911764705882353</v>
      </c>
      <c r="T358" s="4288"/>
      <c r="U358" s="4288"/>
      <c r="V358" s="1459"/>
      <c r="W358" s="1459"/>
      <c r="X358" s="1459"/>
      <c r="Y358" s="1459"/>
      <c r="Z358" s="1459"/>
      <c r="AA358" s="1459"/>
      <c r="AB358" s="1459"/>
      <c r="AC358" s="1459"/>
      <c r="AD358" s="1459"/>
      <c r="AE358" s="1459"/>
      <c r="AF358" s="1459"/>
      <c r="AG358" s="1459"/>
      <c r="AH358" s="1459"/>
      <c r="AI358" s="1459"/>
      <c r="AJ358" s="1459"/>
      <c r="AK358" s="1459"/>
      <c r="AL358" s="1459"/>
      <c r="AM358" s="1478"/>
      <c r="AN358" s="365"/>
      <c r="AO358" s="724">
        <v>1.1000000000000001</v>
      </c>
      <c r="AU358" s="360"/>
    </row>
    <row r="359" spans="1:47" s="1058" customFormat="1" ht="54" customHeight="1">
      <c r="A359" s="718"/>
      <c r="B359" s="1736" t="s">
        <v>676</v>
      </c>
      <c r="C359" s="1736"/>
      <c r="D359" s="1736"/>
      <c r="E359" s="2499" t="str">
        <f>'Document Checklist'!$E$168</f>
        <v>84. Net Density Verification</v>
      </c>
      <c r="F359" s="2499"/>
      <c r="G359" s="2499"/>
      <c r="H359" s="2499"/>
      <c r="I359" s="2499"/>
      <c r="J359" s="2499"/>
      <c r="K359" s="2499"/>
      <c r="L359" s="2210" t="str">
        <f>'Document Checklist'!$N$168</f>
        <v>Provide a minimum density ordinance, recorded binding covenant or date stamped map and letter certified by a California State-licensed professional such as an engineer, surveyor or landscape architect confirming the Net Density.</v>
      </c>
      <c r="M359" s="2210"/>
      <c r="N359" s="2210"/>
      <c r="O359" s="2210"/>
      <c r="P359" s="2210"/>
      <c r="Q359" s="2210"/>
      <c r="R359" s="2210"/>
      <c r="S359" s="2210"/>
      <c r="T359" s="2210"/>
      <c r="U359" s="2210"/>
      <c r="V359" s="2210"/>
      <c r="W359" s="2210"/>
      <c r="X359" s="2210"/>
      <c r="Y359" s="2210"/>
      <c r="Z359" s="2210"/>
      <c r="AA359" s="2210"/>
      <c r="AB359" s="2210"/>
      <c r="AC359" s="2210"/>
      <c r="AD359" s="2210"/>
      <c r="AE359" s="2210"/>
      <c r="AF359" s="2210"/>
      <c r="AG359" s="2210"/>
      <c r="AH359" s="2210"/>
      <c r="AI359" s="4287" t="s">
        <v>1893</v>
      </c>
      <c r="AJ359" s="4287"/>
      <c r="AK359" s="4287"/>
      <c r="AL359" s="1727" t="s">
        <v>664</v>
      </c>
      <c r="AM359" s="1727"/>
      <c r="AN359" s="365"/>
      <c r="AO359" s="1486" t="s">
        <v>1894</v>
      </c>
      <c r="AU359" s="360"/>
    </row>
    <row r="360" spans="1:47" s="1058" customFormat="1" ht="36" customHeight="1">
      <c r="A360" s="365"/>
      <c r="B360" s="1460"/>
      <c r="C360" s="1153" t="s">
        <v>1403</v>
      </c>
      <c r="D360" s="4278" t="s">
        <v>1895</v>
      </c>
      <c r="E360" s="4278"/>
      <c r="F360" s="4278"/>
      <c r="G360" s="4278"/>
      <c r="H360" s="4278"/>
      <c r="I360" s="4278"/>
      <c r="J360" s="4278"/>
      <c r="K360" s="4278"/>
      <c r="L360" s="4278"/>
      <c r="M360" s="4278"/>
      <c r="N360" s="4278"/>
      <c r="O360" s="4278"/>
      <c r="P360" s="4278"/>
      <c r="Q360" s="4278"/>
      <c r="R360" s="4278"/>
      <c r="S360" s="4278"/>
      <c r="T360" s="4278"/>
      <c r="U360" s="4278"/>
      <c r="V360" s="4278"/>
      <c r="W360" s="4278"/>
      <c r="X360" s="4278"/>
      <c r="Y360" s="4278"/>
      <c r="Z360" s="4278"/>
      <c r="AA360" s="4278"/>
      <c r="AB360" s="4278"/>
      <c r="AC360" s="4278"/>
      <c r="AD360" s="4278"/>
      <c r="AE360" s="4278"/>
      <c r="AF360" s="4278"/>
      <c r="AG360" s="4278"/>
      <c r="AH360" s="4278"/>
      <c r="AI360" s="4278"/>
      <c r="AJ360" s="4278"/>
      <c r="AK360" s="4278"/>
      <c r="AL360" s="4024">
        <f>IF($D$362=$AO$359,8,IF(AND($D$362=$AO$360,OR(HRCategory="High Segregation &amp; Poverty",HRCategory="Low Resource")),6,IF($D$362=$AO$361,4,0)))</f>
        <v>8</v>
      </c>
      <c r="AM360" s="4024"/>
      <c r="AN360" s="365"/>
      <c r="AO360" s="1486" t="s">
        <v>1896</v>
      </c>
      <c r="AU360" s="360"/>
    </row>
    <row r="361" spans="1:47" s="1058" customFormat="1" ht="18" customHeight="1">
      <c r="A361" s="365"/>
      <c r="B361" s="727"/>
      <c r="C361" s="1527"/>
      <c r="D361" s="4279" t="s">
        <v>67</v>
      </c>
      <c r="E361" s="4280"/>
      <c r="F361" s="4280"/>
      <c r="G361" s="4280"/>
      <c r="H361" s="4280"/>
      <c r="I361" s="4280"/>
      <c r="J361" s="4280"/>
      <c r="K361" s="4280"/>
      <c r="L361" s="4281" t="str">
        <f>IF('Project Overview'!$AE$140&gt;0,'Project Overview'!$AE$140,"No Selection")</f>
        <v>High Resource</v>
      </c>
      <c r="M361" s="4282"/>
      <c r="N361" s="4282"/>
      <c r="O361" s="4282"/>
      <c r="P361" s="4282"/>
      <c r="Q361" s="4282"/>
      <c r="R361" s="4282"/>
      <c r="S361" s="4282"/>
      <c r="T361" s="4282"/>
      <c r="U361" s="4283"/>
      <c r="V361" s="1527"/>
      <c r="W361" s="1527"/>
      <c r="X361" s="1527"/>
      <c r="Y361" s="1527"/>
      <c r="Z361" s="1527"/>
      <c r="AA361" s="1527"/>
      <c r="AB361" s="1527"/>
      <c r="AC361" s="1527"/>
      <c r="AD361" s="1527"/>
      <c r="AE361" s="1527"/>
      <c r="AF361" s="1527"/>
      <c r="AG361" s="1527"/>
      <c r="AH361" s="1527"/>
      <c r="AI361" s="1527"/>
      <c r="AJ361" s="718"/>
      <c r="AK361" s="718"/>
      <c r="AL361" s="718"/>
      <c r="AM361" s="717"/>
      <c r="AN361" s="365"/>
      <c r="AO361" s="1486" t="s">
        <v>1897</v>
      </c>
      <c r="AU361" s="360"/>
    </row>
    <row r="362" spans="1:47" s="1058" customFormat="1" ht="35.25" customHeight="1">
      <c r="A362" s="365"/>
      <c r="B362" s="727"/>
      <c r="C362" s="1527"/>
      <c r="D362" s="4284" t="s">
        <v>1894</v>
      </c>
      <c r="E362" s="4285"/>
      <c r="F362" s="4285"/>
      <c r="G362" s="4285"/>
      <c r="H362" s="4285"/>
      <c r="I362" s="4285"/>
      <c r="J362" s="4285"/>
      <c r="K362" s="4285"/>
      <c r="L362" s="4285"/>
      <c r="M362" s="4285"/>
      <c r="N362" s="4285"/>
      <c r="O362" s="4285"/>
      <c r="P362" s="4285"/>
      <c r="Q362" s="4285"/>
      <c r="R362" s="4285"/>
      <c r="S362" s="4285"/>
      <c r="T362" s="4285"/>
      <c r="U362" s="4285"/>
      <c r="V362" s="4285"/>
      <c r="W362" s="4285"/>
      <c r="X362" s="4285"/>
      <c r="Y362" s="4285"/>
      <c r="Z362" s="4285"/>
      <c r="AA362" s="4285"/>
      <c r="AB362" s="4285"/>
      <c r="AC362" s="4285"/>
      <c r="AD362" s="4285"/>
      <c r="AE362" s="4285"/>
      <c r="AF362" s="4285"/>
      <c r="AG362" s="4285"/>
      <c r="AH362" s="4285"/>
      <c r="AI362" s="4285"/>
      <c r="AJ362" s="4285"/>
      <c r="AK362" s="4285"/>
      <c r="AL362" s="4285"/>
      <c r="AM362" s="4286"/>
      <c r="AN362" s="365"/>
      <c r="AO362" s="1509"/>
      <c r="AU362" s="360"/>
    </row>
    <row r="363" spans="1:47" s="1058" customFormat="1" ht="36.75" customHeight="1">
      <c r="A363" s="365"/>
      <c r="B363" s="727"/>
      <c r="C363" s="1527"/>
      <c r="D363" s="3923" t="s">
        <v>1898</v>
      </c>
      <c r="E363" s="3923"/>
      <c r="F363" s="3923"/>
      <c r="G363" s="3923"/>
      <c r="H363" s="3923"/>
      <c r="I363" s="3923"/>
      <c r="J363" s="3923"/>
      <c r="K363" s="3923"/>
      <c r="L363" s="3923"/>
      <c r="M363" s="3923"/>
      <c r="N363" s="3923"/>
      <c r="O363" s="3923"/>
      <c r="P363" s="3923"/>
      <c r="Q363" s="3923"/>
      <c r="R363" s="3923"/>
      <c r="S363" s="3923"/>
      <c r="T363" s="3923"/>
      <c r="U363" s="3923"/>
      <c r="V363" s="3923"/>
      <c r="W363" s="3923"/>
      <c r="X363" s="3923"/>
      <c r="Y363" s="3923"/>
      <c r="Z363" s="3923"/>
      <c r="AA363" s="3923"/>
      <c r="AB363" s="3923"/>
      <c r="AC363" s="3923"/>
      <c r="AD363" s="3923"/>
      <c r="AE363" s="3923"/>
      <c r="AF363" s="3923"/>
      <c r="AG363" s="3923"/>
      <c r="AH363" s="3923"/>
      <c r="AI363" s="3923"/>
      <c r="AJ363" s="3923"/>
      <c r="AK363" s="3923"/>
      <c r="AL363" s="3923"/>
      <c r="AM363" s="3983"/>
      <c r="AN363" s="365"/>
      <c r="AO363" s="1509"/>
      <c r="AU363" s="360"/>
    </row>
    <row r="364" spans="1:47" s="1058" customFormat="1" ht="36" customHeight="1">
      <c r="A364" s="365"/>
      <c r="B364" s="1736" t="s">
        <v>676</v>
      </c>
      <c r="C364" s="1736"/>
      <c r="D364" s="1736"/>
      <c r="E364" s="2210" t="str">
        <f>'Document Checklist'!$E$162</f>
        <v>78. Walkability location map</v>
      </c>
      <c r="F364" s="2210"/>
      <c r="G364" s="2210"/>
      <c r="H364" s="2210"/>
      <c r="I364" s="2210"/>
      <c r="J364" s="2210"/>
      <c r="K364" s="2210"/>
      <c r="L364" s="2210"/>
      <c r="M364" s="2210"/>
      <c r="N364" s="2210" t="str">
        <f>'Document Checklist'!$N$162</f>
        <v>Location efficiency of the Project site to Transit Stop or Major Transit Stop as determined by the US EPA Walkability Index using the project address.</v>
      </c>
      <c r="O364" s="2210"/>
      <c r="P364" s="2210"/>
      <c r="Q364" s="2210"/>
      <c r="R364" s="2210"/>
      <c r="S364" s="2210"/>
      <c r="T364" s="2210"/>
      <c r="U364" s="2210"/>
      <c r="V364" s="2210"/>
      <c r="W364" s="2210"/>
      <c r="X364" s="2210"/>
      <c r="Y364" s="2210"/>
      <c r="Z364" s="2210"/>
      <c r="AA364" s="2210"/>
      <c r="AB364" s="2210"/>
      <c r="AC364" s="2210"/>
      <c r="AD364" s="2210"/>
      <c r="AE364" s="2210"/>
      <c r="AF364" s="2109" t="s">
        <v>843</v>
      </c>
      <c r="AG364" s="2110"/>
      <c r="AH364" s="2110"/>
      <c r="AI364" s="2110"/>
      <c r="AJ364" s="2110"/>
      <c r="AK364" s="2110"/>
      <c r="AL364" s="1727" t="s">
        <v>664</v>
      </c>
      <c r="AM364" s="1727"/>
      <c r="AN364" s="365"/>
      <c r="AO364" s="1509"/>
      <c r="AU364" s="360"/>
    </row>
    <row r="365" spans="1:47" s="1058" customFormat="1" ht="18" customHeight="1">
      <c r="A365" s="365"/>
      <c r="B365" s="727"/>
      <c r="C365" s="1153" t="s">
        <v>1404</v>
      </c>
      <c r="D365" s="1157" t="s">
        <v>1899</v>
      </c>
      <c r="E365" s="1527"/>
      <c r="F365" s="1527"/>
      <c r="G365" s="1527"/>
      <c r="H365" s="1527"/>
      <c r="I365" s="1527"/>
      <c r="J365" s="1527"/>
      <c r="K365" s="1527"/>
      <c r="L365" s="1527"/>
      <c r="M365" s="1527"/>
      <c r="N365" s="1527"/>
      <c r="O365" s="1527"/>
      <c r="P365" s="1527"/>
      <c r="Q365" s="1527"/>
      <c r="R365" s="1527"/>
      <c r="S365" s="1527"/>
      <c r="T365" s="1527"/>
      <c r="U365" s="1527"/>
      <c r="V365" s="1527"/>
      <c r="W365" s="1527"/>
      <c r="X365" s="1527"/>
      <c r="Y365" s="1527"/>
      <c r="Z365" s="1527"/>
      <c r="AA365" s="1527"/>
      <c r="AB365" s="1527"/>
      <c r="AC365" s="1527"/>
      <c r="AD365" s="1527"/>
      <c r="AE365" s="1527"/>
      <c r="AF365" s="1527"/>
      <c r="AG365" s="1527"/>
      <c r="AH365" s="1527"/>
      <c r="AI365" s="1527"/>
      <c r="AJ365" s="718"/>
      <c r="AK365" s="718"/>
      <c r="AL365" s="718"/>
      <c r="AM365" s="717"/>
      <c r="AN365" s="365"/>
      <c r="AO365" s="1509"/>
      <c r="AU365" s="360"/>
    </row>
    <row r="366" spans="1:47" ht="63.75" customHeight="1">
      <c r="A366" s="365"/>
      <c r="B366" s="1477"/>
      <c r="C366" s="1459"/>
      <c r="D366" s="1142" t="s">
        <v>1408</v>
      </c>
      <c r="E366" s="4302" t="s">
        <v>1900</v>
      </c>
      <c r="F366" s="4302"/>
      <c r="G366" s="4302"/>
      <c r="H366" s="4302"/>
      <c r="I366" s="4302"/>
      <c r="J366" s="4302"/>
      <c r="K366" s="4302"/>
      <c r="L366" s="4302"/>
      <c r="M366" s="4302"/>
      <c r="N366" s="4302"/>
      <c r="O366" s="4302"/>
      <c r="P366" s="4302"/>
      <c r="Q366" s="4302"/>
      <c r="R366" s="4302"/>
      <c r="S366" s="4302"/>
      <c r="T366" s="4302"/>
      <c r="U366" s="4302"/>
      <c r="V366" s="4302"/>
      <c r="W366" s="4302"/>
      <c r="X366" s="4302"/>
      <c r="Y366" s="4302"/>
      <c r="Z366" s="4302"/>
      <c r="AA366" s="4302"/>
      <c r="AB366" s="4302"/>
      <c r="AC366" s="4302"/>
      <c r="AD366" s="4302"/>
      <c r="AE366" s="4302"/>
      <c r="AF366" s="4302"/>
      <c r="AG366" s="4302"/>
      <c r="AH366" s="4302"/>
      <c r="AI366" s="4302"/>
      <c r="AJ366" s="4302"/>
      <c r="AK366" s="4302"/>
      <c r="AL366" s="4024">
        <f>IF(AND(IsIig,$AL$368="Yes",OR($AL$371="No",AL371="",AL371="N/A")),2,0)</f>
        <v>2</v>
      </c>
      <c r="AM366" s="4024"/>
      <c r="AN366" s="1448"/>
      <c r="AO366" s="1058"/>
      <c r="AQ366" s="1448"/>
      <c r="AR366" s="1448"/>
      <c r="AS366" s="1448"/>
      <c r="AT366" s="1058"/>
      <c r="AU366" s="360"/>
    </row>
    <row r="367" spans="1:47" s="365" customFormat="1" ht="18.75" customHeight="1">
      <c r="B367" s="1085"/>
      <c r="C367" s="718"/>
      <c r="D367" s="718"/>
      <c r="E367" s="4304" t="s">
        <v>1901</v>
      </c>
      <c r="F367" s="4304"/>
      <c r="G367" s="4304"/>
      <c r="H367" s="4304"/>
      <c r="I367" s="4304"/>
      <c r="J367" s="4304"/>
      <c r="K367" s="4304"/>
      <c r="L367" s="4304"/>
      <c r="M367" s="718"/>
      <c r="N367" s="718"/>
      <c r="O367" s="718"/>
      <c r="P367" s="718"/>
      <c r="Q367" s="718"/>
      <c r="R367" s="718"/>
      <c r="S367" s="718"/>
      <c r="T367" s="718"/>
      <c r="U367" s="718"/>
      <c r="V367" s="718"/>
      <c r="W367" s="718"/>
      <c r="X367" s="718"/>
      <c r="Y367" s="718"/>
      <c r="Z367" s="718"/>
      <c r="AA367" s="718"/>
      <c r="AB367" s="718"/>
      <c r="AC367" s="718"/>
      <c r="AD367" s="718"/>
      <c r="AE367" s="718"/>
      <c r="AF367" s="718"/>
      <c r="AG367" s="718"/>
      <c r="AH367" s="718"/>
      <c r="AI367" s="718"/>
      <c r="AJ367" s="718"/>
      <c r="AK367" s="718"/>
      <c r="AL367" s="718"/>
      <c r="AM367" s="717"/>
    </row>
    <row r="368" spans="1:47" ht="36" customHeight="1">
      <c r="A368" s="365"/>
      <c r="B368" s="1477"/>
      <c r="C368" s="1459"/>
      <c r="D368" s="1459"/>
      <c r="E368" s="4303" t="s">
        <v>1902</v>
      </c>
      <c r="F368" s="4303"/>
      <c r="G368" s="4303"/>
      <c r="H368" s="4303"/>
      <c r="I368" s="4303"/>
      <c r="J368" s="4303"/>
      <c r="K368" s="4303"/>
      <c r="L368" s="4303"/>
      <c r="M368" s="4303"/>
      <c r="N368" s="4303"/>
      <c r="O368" s="4303"/>
      <c r="P368" s="4303"/>
      <c r="Q368" s="4303"/>
      <c r="R368" s="4303"/>
      <c r="S368" s="4303"/>
      <c r="T368" s="4303"/>
      <c r="U368" s="4303"/>
      <c r="V368" s="4303"/>
      <c r="W368" s="4303"/>
      <c r="X368" s="4303"/>
      <c r="Y368" s="4303"/>
      <c r="Z368" s="4303"/>
      <c r="AA368" s="4303"/>
      <c r="AB368" s="4303"/>
      <c r="AC368" s="4303"/>
      <c r="AD368" s="4303"/>
      <c r="AE368" s="4303"/>
      <c r="AF368" s="4303"/>
      <c r="AG368" s="4303"/>
      <c r="AH368" s="4303"/>
      <c r="AI368" s="4303"/>
      <c r="AJ368" s="4303"/>
      <c r="AK368" s="4303"/>
      <c r="AL368" s="3634" t="s">
        <v>664</v>
      </c>
      <c r="AM368" s="3634"/>
      <c r="AN368" s="1448"/>
      <c r="AO368" s="1058"/>
      <c r="AQ368" s="1448"/>
      <c r="AR368" s="1448"/>
      <c r="AS368" s="1448"/>
      <c r="AT368" s="1058"/>
      <c r="AU368" s="360"/>
    </row>
    <row r="369" spans="1:47" s="1058" customFormat="1" ht="36" customHeight="1">
      <c r="A369" s="365"/>
      <c r="B369" s="1736" t="s">
        <v>676</v>
      </c>
      <c r="C369" s="1736"/>
      <c r="D369" s="1736"/>
      <c r="E369" s="2210" t="str">
        <f>'Document Checklist'!$E$180</f>
        <v>96. Prohousing Designation</v>
      </c>
      <c r="F369" s="2210"/>
      <c r="G369" s="2210"/>
      <c r="H369" s="2210"/>
      <c r="I369" s="2210"/>
      <c r="J369" s="2210"/>
      <c r="K369" s="2210"/>
      <c r="L369" s="2210"/>
      <c r="M369" s="2210"/>
      <c r="N369" s="2210" t="str">
        <f>'Document Checklist'!$N$180</f>
        <v>Provide documentation for adoption of prohousing local policies pursuant to the Department’s Prohousing Designation Program.</v>
      </c>
      <c r="O369" s="2210"/>
      <c r="P369" s="2210"/>
      <c r="Q369" s="2210"/>
      <c r="R369" s="2210"/>
      <c r="S369" s="2210"/>
      <c r="T369" s="2210"/>
      <c r="U369" s="2210"/>
      <c r="V369" s="2210"/>
      <c r="W369" s="2210"/>
      <c r="X369" s="2210"/>
      <c r="Y369" s="2210"/>
      <c r="Z369" s="2210"/>
      <c r="AA369" s="2210"/>
      <c r="AB369" s="2210"/>
      <c r="AC369" s="2210"/>
      <c r="AD369" s="2210"/>
      <c r="AE369" s="2210"/>
      <c r="AF369" s="2109" t="s">
        <v>843</v>
      </c>
      <c r="AG369" s="2110"/>
      <c r="AH369" s="2110"/>
      <c r="AI369" s="2110"/>
      <c r="AJ369" s="2110"/>
      <c r="AK369" s="2110"/>
      <c r="AL369" s="1727"/>
      <c r="AM369" s="1727"/>
      <c r="AN369" s="1448"/>
      <c r="AQ369" s="1448"/>
      <c r="AR369" s="1448"/>
      <c r="AS369" s="1448"/>
      <c r="AU369" s="360"/>
    </row>
    <row r="370" spans="1:47" s="1058" customFormat="1" ht="54" hidden="1" customHeight="1">
      <c r="A370" s="365"/>
      <c r="B370" s="1477"/>
      <c r="C370" s="1459"/>
      <c r="D370" s="1142" t="s">
        <v>1409</v>
      </c>
      <c r="E370" s="4302" t="s">
        <v>1903</v>
      </c>
      <c r="F370" s="4302"/>
      <c r="G370" s="4302"/>
      <c r="H370" s="4302"/>
      <c r="I370" s="4302"/>
      <c r="J370" s="4302"/>
      <c r="K370" s="4302"/>
      <c r="L370" s="4302"/>
      <c r="M370" s="4302"/>
      <c r="N370" s="4302"/>
      <c r="O370" s="4302"/>
      <c r="P370" s="4302"/>
      <c r="Q370" s="4302"/>
      <c r="R370" s="4302"/>
      <c r="S370" s="4302"/>
      <c r="T370" s="4302"/>
      <c r="U370" s="4302"/>
      <c r="V370" s="4302"/>
      <c r="W370" s="4302"/>
      <c r="X370" s="4302"/>
      <c r="Y370" s="4302"/>
      <c r="Z370" s="4302"/>
      <c r="AA370" s="4302"/>
      <c r="AB370" s="4302"/>
      <c r="AC370" s="4302"/>
      <c r="AD370" s="4302"/>
      <c r="AE370" s="4302"/>
      <c r="AF370" s="4302"/>
      <c r="AG370" s="4302"/>
      <c r="AH370" s="4302"/>
      <c r="AI370" s="4302"/>
      <c r="AJ370" s="4302"/>
      <c r="AK370" s="4302"/>
      <c r="AL370" s="4305">
        <f>IF(AND(IsIig,AL371="Yes",vmProhousing="No",$E$372&gt;0,$E$373&gt;0,$E$374&gt;0),1,0)</f>
        <v>0</v>
      </c>
      <c r="AM370" s="4305"/>
      <c r="AN370" s="1448"/>
      <c r="AQ370" s="1448"/>
      <c r="AR370" s="1448"/>
      <c r="AS370" s="1448"/>
      <c r="AU370" s="360"/>
    </row>
    <row r="371" spans="1:47" s="365" customFormat="1" ht="18" hidden="1" customHeight="1">
      <c r="B371" s="1085"/>
      <c r="E371" s="4229" t="s">
        <v>1904</v>
      </c>
      <c r="F371" s="4229"/>
      <c r="G371" s="4229"/>
      <c r="H371" s="4229"/>
      <c r="I371" s="4229"/>
      <c r="J371" s="4229"/>
      <c r="K371" s="4229"/>
      <c r="L371" s="4229"/>
      <c r="M371" s="4229"/>
      <c r="N371" s="4229"/>
      <c r="O371" s="4229"/>
      <c r="P371" s="4229"/>
      <c r="Q371" s="4229"/>
      <c r="R371" s="4229"/>
      <c r="S371" s="4229"/>
      <c r="T371" s="4229"/>
      <c r="U371" s="4229"/>
      <c r="V371" s="4229"/>
      <c r="W371" s="4229"/>
      <c r="X371" s="4229"/>
      <c r="Y371" s="4229"/>
      <c r="Z371" s="4229"/>
      <c r="AA371" s="4229"/>
      <c r="AB371" s="4229"/>
      <c r="AC371" s="4229"/>
      <c r="AD371" s="4229"/>
      <c r="AE371" s="4229"/>
      <c r="AF371" s="4229"/>
      <c r="AG371" s="4229"/>
      <c r="AH371" s="4229"/>
      <c r="AI371" s="4229"/>
      <c r="AJ371" s="4229"/>
      <c r="AK371" s="4229"/>
      <c r="AL371" s="3634"/>
      <c r="AM371" s="3634"/>
    </row>
    <row r="372" spans="1:47" s="1058" customFormat="1" ht="63.75" hidden="1" customHeight="1">
      <c r="A372" s="365"/>
      <c r="B372" s="1477"/>
      <c r="C372" s="1459"/>
      <c r="D372" s="1459"/>
      <c r="E372" s="4306"/>
      <c r="F372" s="4306"/>
      <c r="G372" s="4306"/>
      <c r="H372" s="4306"/>
      <c r="I372" s="4306"/>
      <c r="J372" s="4306"/>
      <c r="K372" s="4306"/>
      <c r="L372" s="4306"/>
      <c r="M372" s="4306"/>
      <c r="N372" s="4306"/>
      <c r="O372" s="4306"/>
      <c r="P372" s="4306"/>
      <c r="Q372" s="4306"/>
      <c r="R372" s="4306"/>
      <c r="S372" s="4306"/>
      <c r="T372" s="4306"/>
      <c r="U372" s="4306"/>
      <c r="V372" s="4306"/>
      <c r="W372" s="4306"/>
      <c r="X372" s="4306"/>
      <c r="Y372" s="4306"/>
      <c r="Z372" s="4306"/>
      <c r="AA372" s="4306"/>
      <c r="AB372" s="4306"/>
      <c r="AC372" s="4306"/>
      <c r="AD372" s="4306"/>
      <c r="AE372" s="4306"/>
      <c r="AF372" s="4306"/>
      <c r="AG372" s="4306"/>
      <c r="AH372" s="4306"/>
      <c r="AI372" s="4306"/>
      <c r="AJ372" s="4306"/>
      <c r="AK372" s="4306"/>
      <c r="AL372" s="4306"/>
      <c r="AM372" s="4306"/>
      <c r="AN372" s="1448"/>
      <c r="AQ372" s="1448"/>
      <c r="AR372" s="1448"/>
      <c r="AS372" s="1448"/>
      <c r="AU372" s="360"/>
    </row>
    <row r="373" spans="1:47" s="1058" customFormat="1" ht="61.5" hidden="1" customHeight="1">
      <c r="A373" s="365"/>
      <c r="B373" s="1477"/>
      <c r="C373" s="1459"/>
      <c r="D373" s="1459"/>
      <c r="E373" s="4306"/>
      <c r="F373" s="4306"/>
      <c r="G373" s="4306"/>
      <c r="H373" s="4306"/>
      <c r="I373" s="4306"/>
      <c r="J373" s="4306"/>
      <c r="K373" s="4306"/>
      <c r="L373" s="4306"/>
      <c r="M373" s="4306"/>
      <c r="N373" s="4306"/>
      <c r="O373" s="4306"/>
      <c r="P373" s="4306"/>
      <c r="Q373" s="4306"/>
      <c r="R373" s="4306"/>
      <c r="S373" s="4306"/>
      <c r="T373" s="4306"/>
      <c r="U373" s="4306"/>
      <c r="V373" s="4306"/>
      <c r="W373" s="4306"/>
      <c r="X373" s="4306"/>
      <c r="Y373" s="4306"/>
      <c r="Z373" s="4306"/>
      <c r="AA373" s="4306"/>
      <c r="AB373" s="4306"/>
      <c r="AC373" s="4306"/>
      <c r="AD373" s="4306"/>
      <c r="AE373" s="4306"/>
      <c r="AF373" s="4306"/>
      <c r="AG373" s="4306"/>
      <c r="AH373" s="4306"/>
      <c r="AI373" s="4306"/>
      <c r="AJ373" s="4306"/>
      <c r="AK373" s="4306"/>
      <c r="AL373" s="4306"/>
      <c r="AM373" s="4306"/>
      <c r="AN373" s="1448"/>
      <c r="AQ373" s="1448"/>
      <c r="AR373" s="1448"/>
      <c r="AS373" s="1448"/>
      <c r="AU373" s="360"/>
    </row>
    <row r="374" spans="1:47" ht="61.5" hidden="1" customHeight="1">
      <c r="A374" s="365"/>
      <c r="B374" s="1479"/>
      <c r="C374" s="1480"/>
      <c r="D374" s="1480"/>
      <c r="E374" s="4306"/>
      <c r="F374" s="4306"/>
      <c r="G374" s="4306"/>
      <c r="H374" s="4306"/>
      <c r="I374" s="4306"/>
      <c r="J374" s="4306"/>
      <c r="K374" s="4306"/>
      <c r="L374" s="4306"/>
      <c r="M374" s="4306"/>
      <c r="N374" s="4306"/>
      <c r="O374" s="4306"/>
      <c r="P374" s="4306"/>
      <c r="Q374" s="4306"/>
      <c r="R374" s="4306"/>
      <c r="S374" s="4306"/>
      <c r="T374" s="4306"/>
      <c r="U374" s="4306"/>
      <c r="V374" s="4306"/>
      <c r="W374" s="4306"/>
      <c r="X374" s="4306"/>
      <c r="Y374" s="4306"/>
      <c r="Z374" s="4306"/>
      <c r="AA374" s="4306"/>
      <c r="AB374" s="4306"/>
      <c r="AC374" s="4306"/>
      <c r="AD374" s="4306"/>
      <c r="AE374" s="4306"/>
      <c r="AF374" s="4306"/>
      <c r="AG374" s="4306"/>
      <c r="AH374" s="4306"/>
      <c r="AI374" s="4306"/>
      <c r="AJ374" s="4306"/>
      <c r="AK374" s="4306"/>
      <c r="AL374" s="4306"/>
      <c r="AM374" s="4306"/>
      <c r="AN374" s="1448"/>
      <c r="AO374" s="1058"/>
      <c r="AQ374" s="1448"/>
      <c r="AR374" s="1448"/>
      <c r="AS374" s="1448"/>
      <c r="AT374" s="1058"/>
      <c r="AU374" s="360"/>
    </row>
    <row r="375" spans="1:47" s="1058" customFormat="1" ht="35.25" hidden="1" customHeight="1">
      <c r="A375" s="365"/>
      <c r="B375" s="1736" t="s">
        <v>676</v>
      </c>
      <c r="C375" s="1736"/>
      <c r="D375" s="1736"/>
      <c r="E375" s="2210" t="str">
        <f>'Document Checklist'!$E$181</f>
        <v>97. Prohousing Application</v>
      </c>
      <c r="F375" s="2210"/>
      <c r="G375" s="2210"/>
      <c r="H375" s="2210"/>
      <c r="I375" s="2210"/>
      <c r="J375" s="2210"/>
      <c r="K375" s="2210"/>
      <c r="L375" s="2210"/>
      <c r="M375" s="2210"/>
      <c r="N375" s="2210" t="str">
        <f>'Document Checklist'!$N$181</f>
        <v>Please provide evidence of Prohousing Application, pursuant to the Department’s Prohousing Designation Program.</v>
      </c>
      <c r="O375" s="2210"/>
      <c r="P375" s="2210"/>
      <c r="Q375" s="2210"/>
      <c r="R375" s="2210"/>
      <c r="S375" s="2210"/>
      <c r="T375" s="2210"/>
      <c r="U375" s="2210"/>
      <c r="V375" s="2210"/>
      <c r="W375" s="2210"/>
      <c r="X375" s="2210"/>
      <c r="Y375" s="2210"/>
      <c r="Z375" s="2210"/>
      <c r="AA375" s="2210"/>
      <c r="AB375" s="2210"/>
      <c r="AC375" s="2210"/>
      <c r="AD375" s="2210"/>
      <c r="AE375" s="2210"/>
      <c r="AF375" s="2109" t="s">
        <v>843</v>
      </c>
      <c r="AG375" s="2110"/>
      <c r="AH375" s="2110"/>
      <c r="AI375" s="2110"/>
      <c r="AJ375" s="2110"/>
      <c r="AK375" s="2110"/>
      <c r="AL375" s="1727" t="s">
        <v>664</v>
      </c>
      <c r="AM375" s="1727"/>
      <c r="AN375" s="1448"/>
      <c r="AQ375" s="1448"/>
      <c r="AR375" s="1448"/>
      <c r="AS375" s="1448"/>
      <c r="AU375" s="360"/>
    </row>
    <row r="376" spans="1:47" s="1058" customFormat="1" ht="18" customHeight="1">
      <c r="A376" s="365"/>
      <c r="AN376" s="1448"/>
      <c r="AQ376" s="1448"/>
      <c r="AR376" s="1448"/>
      <c r="AS376" s="1448"/>
      <c r="AU376" s="360"/>
    </row>
    <row r="377" spans="1:47" ht="18" customHeight="1">
      <c r="A377" s="365"/>
      <c r="B377" s="1156" t="s">
        <v>1905</v>
      </c>
      <c r="C377" s="3970" t="s">
        <v>1906</v>
      </c>
      <c r="D377" s="3970"/>
      <c r="E377" s="3970"/>
      <c r="F377" s="3970"/>
      <c r="G377" s="3970"/>
      <c r="H377" s="3970"/>
      <c r="I377" s="3970"/>
      <c r="J377" s="3970"/>
      <c r="K377" s="3970"/>
      <c r="L377" s="3970"/>
      <c r="M377" s="3970"/>
      <c r="N377" s="3970"/>
      <c r="O377" s="3970"/>
      <c r="P377" s="3970"/>
      <c r="Q377" s="3970"/>
      <c r="R377" s="3970"/>
      <c r="S377" s="3970"/>
      <c r="T377" s="3970"/>
      <c r="U377" s="3970"/>
      <c r="V377" s="3970"/>
      <c r="W377" s="3970"/>
      <c r="X377" s="3970"/>
      <c r="Y377" s="3970"/>
      <c r="Z377" s="3970"/>
      <c r="AA377" s="3970"/>
      <c r="AB377" s="3970"/>
      <c r="AC377" s="3970"/>
      <c r="AD377" s="3970"/>
      <c r="AE377" s="3970"/>
      <c r="AF377" s="3970"/>
      <c r="AG377" s="3970"/>
      <c r="AH377" s="3970"/>
      <c r="AI377" s="3970"/>
      <c r="AJ377" s="3970"/>
      <c r="AK377" s="3970"/>
      <c r="AL377" s="1459"/>
      <c r="AM377" s="1058"/>
      <c r="AN377" s="365"/>
      <c r="AO377" s="1509"/>
      <c r="AQ377" s="1448"/>
      <c r="AR377" s="1448"/>
      <c r="AS377" s="1448"/>
      <c r="AT377" s="1058"/>
      <c r="AU377" s="360"/>
    </row>
    <row r="378" spans="1:47" ht="39.75" customHeight="1">
      <c r="A378" s="365"/>
      <c r="B378" s="4197" t="s">
        <v>1907</v>
      </c>
      <c r="C378" s="4184"/>
      <c r="D378" s="4184"/>
      <c r="E378" s="4184"/>
      <c r="F378" s="4184"/>
      <c r="G378" s="4184"/>
      <c r="H378" s="4184"/>
      <c r="I378" s="4184"/>
      <c r="J378" s="4184"/>
      <c r="K378" s="4184"/>
      <c r="L378" s="4184"/>
      <c r="M378" s="4184"/>
      <c r="N378" s="4184"/>
      <c r="O378" s="4184"/>
      <c r="P378" s="4184"/>
      <c r="Q378" s="4184"/>
      <c r="R378" s="4184"/>
      <c r="S378" s="4184"/>
      <c r="T378" s="4184"/>
      <c r="U378" s="4184"/>
      <c r="V378" s="4184"/>
      <c r="W378" s="4184"/>
      <c r="X378" s="4184"/>
      <c r="Y378" s="4184"/>
      <c r="Z378" s="4184"/>
      <c r="AA378" s="4184"/>
      <c r="AB378" s="4184"/>
      <c r="AC378" s="4184"/>
      <c r="AD378" s="4184"/>
      <c r="AE378" s="4184"/>
      <c r="AF378" s="4184"/>
      <c r="AG378" s="4184"/>
      <c r="AH378" s="4184"/>
      <c r="AI378" s="4184"/>
      <c r="AJ378" s="4184"/>
      <c r="AK378" s="4184"/>
      <c r="AL378" s="4184"/>
      <c r="AM378" s="4198"/>
      <c r="AN378" s="365"/>
      <c r="AO378" s="1509"/>
      <c r="AQ378" s="1448"/>
      <c r="AR378" s="1448"/>
      <c r="AS378" s="1448"/>
      <c r="AT378" s="1058"/>
      <c r="AU378" s="360"/>
    </row>
    <row r="379" spans="1:47" s="1058" customFormat="1" ht="18" customHeight="1">
      <c r="A379" s="365"/>
      <c r="B379" s="1158" t="s">
        <v>1402</v>
      </c>
      <c r="C379" s="3979" t="s">
        <v>1908</v>
      </c>
      <c r="D379" s="3979"/>
      <c r="E379" s="3979"/>
      <c r="F379" s="3979"/>
      <c r="G379" s="3979"/>
      <c r="H379" s="3979"/>
      <c r="I379" s="3979"/>
      <c r="J379" s="3979"/>
      <c r="K379" s="3979"/>
      <c r="L379" s="3979"/>
      <c r="M379" s="3979"/>
      <c r="N379" s="3979"/>
      <c r="O379" s="3979"/>
      <c r="P379" s="3979"/>
      <c r="Q379" s="3979"/>
      <c r="R379" s="3979"/>
      <c r="S379" s="3979"/>
      <c r="T379" s="3979"/>
      <c r="U379" s="3979"/>
      <c r="V379" s="3979"/>
      <c r="W379" s="3979"/>
      <c r="X379" s="3979"/>
      <c r="Y379" s="3979"/>
      <c r="Z379" s="3979"/>
      <c r="AA379" s="3979"/>
      <c r="AB379" s="3979"/>
      <c r="AC379" s="3979"/>
      <c r="AD379" s="3979"/>
      <c r="AE379" s="3979"/>
      <c r="AF379" s="3979"/>
      <c r="AG379" s="3979"/>
      <c r="AH379" s="3979"/>
      <c r="AI379" s="3979"/>
      <c r="AJ379" s="3979"/>
      <c r="AK379" s="3979"/>
      <c r="AL379" s="4247"/>
      <c r="AM379" s="4248"/>
      <c r="AN379" s="365"/>
      <c r="AO379" s="1509"/>
      <c r="AQ379" s="1448"/>
      <c r="AR379" s="1448"/>
      <c r="AS379" s="1448"/>
      <c r="AU379" s="360"/>
    </row>
    <row r="380" spans="1:47" s="1058" customFormat="1" ht="36" customHeight="1">
      <c r="A380" s="365"/>
      <c r="B380" s="1137"/>
      <c r="C380" s="1083" t="s">
        <v>1408</v>
      </c>
      <c r="D380" s="3901" t="s">
        <v>1909</v>
      </c>
      <c r="E380" s="3901"/>
      <c r="F380" s="3901"/>
      <c r="G380" s="3901"/>
      <c r="H380" s="3901"/>
      <c r="I380" s="3901"/>
      <c r="J380" s="3901"/>
      <c r="K380" s="3901"/>
      <c r="L380" s="3901"/>
      <c r="M380" s="3901"/>
      <c r="N380" s="3901"/>
      <c r="O380" s="3901"/>
      <c r="P380" s="3901"/>
      <c r="Q380" s="3901"/>
      <c r="R380" s="3901"/>
      <c r="S380" s="3901"/>
      <c r="T380" s="3901"/>
      <c r="U380" s="3901"/>
      <c r="V380" s="3901"/>
      <c r="W380" s="3901"/>
      <c r="X380" s="3901"/>
      <c r="Y380" s="3901"/>
      <c r="Z380" s="3901"/>
      <c r="AA380" s="3901"/>
      <c r="AB380" s="3901"/>
      <c r="AC380" s="3901"/>
      <c r="AD380" s="3901"/>
      <c r="AE380" s="3901"/>
      <c r="AF380" s="3901"/>
      <c r="AG380" s="3901"/>
      <c r="AH380" s="3901"/>
      <c r="AI380" s="3901"/>
      <c r="AJ380" s="3901"/>
      <c r="AK380" s="3901"/>
      <c r="AL380" s="4175">
        <f>IFERROR('Unit Mix'!$BW$85/'Unit Mix'!$D$8,0)</f>
        <v>4.3421052631578944E-2</v>
      </c>
      <c r="AM380" s="4176"/>
      <c r="AN380" s="365"/>
      <c r="AO380" s="1509"/>
      <c r="AQ380" s="1448"/>
      <c r="AR380" s="1448"/>
      <c r="AS380" s="1448"/>
      <c r="AU380" s="360"/>
    </row>
    <row r="381" spans="1:47" s="1058" customFormat="1" ht="18" customHeight="1">
      <c r="A381" s="365"/>
      <c r="B381" s="1137"/>
      <c r="C381" s="1512"/>
      <c r="D381" s="1512"/>
      <c r="E381" s="1512"/>
      <c r="F381" s="1512"/>
      <c r="G381" s="1512"/>
      <c r="H381" s="1512"/>
      <c r="I381" s="1512"/>
      <c r="J381" s="1512"/>
      <c r="K381" s="1512"/>
      <c r="L381" s="1512"/>
      <c r="M381" s="1512"/>
      <c r="N381" s="1512"/>
      <c r="O381" s="1512"/>
      <c r="P381" s="1512"/>
      <c r="Q381" s="1512"/>
      <c r="R381" s="1512"/>
      <c r="S381" s="1512"/>
      <c r="T381" s="1512"/>
      <c r="U381" s="1512"/>
      <c r="V381" s="1512"/>
      <c r="W381" s="1512"/>
      <c r="X381" s="1512"/>
      <c r="Y381" s="1512"/>
      <c r="Z381" s="1512"/>
      <c r="AA381" s="1512"/>
      <c r="AB381" s="1512"/>
      <c r="AC381" s="1512"/>
      <c r="AD381" s="1512"/>
      <c r="AE381" s="1512"/>
      <c r="AF381" s="1512"/>
      <c r="AG381" s="1512"/>
      <c r="AH381" s="1512"/>
      <c r="AI381" s="1512"/>
      <c r="AJ381" s="1512"/>
      <c r="AK381" s="1512"/>
      <c r="AL381" s="1512"/>
      <c r="AM381" s="1514"/>
      <c r="AN381" s="365"/>
      <c r="AO381" s="1509"/>
      <c r="AQ381" s="1448"/>
      <c r="AR381" s="1448"/>
      <c r="AS381" s="1448"/>
      <c r="AU381" s="360"/>
    </row>
    <row r="382" spans="1:47" s="1058" customFormat="1" ht="18" customHeight="1">
      <c r="A382" s="365"/>
      <c r="B382" s="1137"/>
      <c r="C382" s="1083" t="s">
        <v>1409</v>
      </c>
      <c r="D382" s="1512"/>
      <c r="E382" s="1512"/>
      <c r="F382" s="1512"/>
      <c r="G382" s="1512"/>
      <c r="H382" s="1512"/>
      <c r="I382" s="1512"/>
      <c r="J382" s="1512"/>
      <c r="K382" s="1512"/>
      <c r="L382" s="1512"/>
      <c r="M382" s="1512"/>
      <c r="N382" s="1512"/>
      <c r="O382" s="1512"/>
      <c r="P382" s="1512"/>
      <c r="Q382" s="1512"/>
      <c r="R382" s="1512"/>
      <c r="S382" s="1512"/>
      <c r="T382" s="1512"/>
      <c r="U382" s="1512"/>
      <c r="V382" s="1512"/>
      <c r="W382" s="1512"/>
      <c r="X382" s="1512"/>
      <c r="Y382" s="1512"/>
      <c r="Z382" s="1512"/>
      <c r="AA382" s="1512"/>
      <c r="AB382" s="1512"/>
      <c r="AC382" s="1512"/>
      <c r="AD382" s="1512"/>
      <c r="AE382" s="1512"/>
      <c r="AF382" s="1512"/>
      <c r="AG382" s="1512"/>
      <c r="AH382" s="1512"/>
      <c r="AI382" s="1512"/>
      <c r="AJ382" s="1512"/>
      <c r="AK382" s="1512"/>
      <c r="AL382" s="1512"/>
      <c r="AM382" s="1514"/>
      <c r="AN382" s="365"/>
      <c r="AO382" s="1509"/>
      <c r="AQ382" s="1448"/>
      <c r="AR382" s="1448"/>
      <c r="AS382" s="1448"/>
      <c r="AU382" s="360"/>
    </row>
    <row r="383" spans="1:47" s="1058" customFormat="1" ht="18" customHeight="1">
      <c r="A383" s="365"/>
      <c r="B383" s="1137"/>
      <c r="C383" s="1512"/>
      <c r="D383" s="1512"/>
      <c r="E383" s="1512"/>
      <c r="F383" s="1512"/>
      <c r="G383" s="1512"/>
      <c r="H383" s="1512"/>
      <c r="I383" s="1512"/>
      <c r="J383" s="1512"/>
      <c r="K383" s="1512"/>
      <c r="L383" s="1512"/>
      <c r="M383" s="1512"/>
      <c r="N383" s="1512"/>
      <c r="O383" s="1512"/>
      <c r="P383" s="1512"/>
      <c r="Q383" s="1512"/>
      <c r="R383" s="1512"/>
      <c r="S383" s="1512"/>
      <c r="T383" s="1512"/>
      <c r="U383" s="1512"/>
      <c r="V383" s="1512"/>
      <c r="W383" s="1512"/>
      <c r="X383" s="1512"/>
      <c r="Y383" s="1512"/>
      <c r="Z383" s="1512"/>
      <c r="AA383" s="1512"/>
      <c r="AB383" s="1512"/>
      <c r="AC383" s="1512"/>
      <c r="AD383" s="1512"/>
      <c r="AE383" s="1512"/>
      <c r="AF383" s="1512"/>
      <c r="AG383" s="1512"/>
      <c r="AH383" s="1512"/>
      <c r="AI383" s="1512"/>
      <c r="AJ383" s="1512"/>
      <c r="AK383" s="1512"/>
      <c r="AL383" s="1512"/>
      <c r="AM383" s="1514"/>
      <c r="AN383" s="365"/>
      <c r="AO383" s="1509"/>
      <c r="AQ383" s="1448"/>
      <c r="AR383" s="1448"/>
      <c r="AS383" s="1448"/>
      <c r="AU383" s="360"/>
    </row>
    <row r="384" spans="1:47" s="1058" customFormat="1" ht="18" customHeight="1">
      <c r="A384" s="365"/>
      <c r="B384" s="1137"/>
      <c r="C384" s="1083" t="s">
        <v>1410</v>
      </c>
      <c r="D384" s="1512"/>
      <c r="E384" s="1512"/>
      <c r="F384" s="1512"/>
      <c r="G384" s="1512"/>
      <c r="H384" s="1512"/>
      <c r="I384" s="1512"/>
      <c r="J384" s="1512"/>
      <c r="K384" s="1512"/>
      <c r="L384" s="1512"/>
      <c r="M384" s="1512"/>
      <c r="N384" s="1512"/>
      <c r="O384" s="1512"/>
      <c r="P384" s="1512"/>
      <c r="Q384" s="1512"/>
      <c r="R384" s="1512"/>
      <c r="S384" s="1512"/>
      <c r="T384" s="1512"/>
      <c r="U384" s="1512"/>
      <c r="V384" s="1512"/>
      <c r="W384" s="1512"/>
      <c r="X384" s="1512"/>
      <c r="Y384" s="1512"/>
      <c r="Z384" s="1512"/>
      <c r="AA384" s="1512"/>
      <c r="AB384" s="1512"/>
      <c r="AC384" s="1512"/>
      <c r="AD384" s="1512"/>
      <c r="AE384" s="1512"/>
      <c r="AF384" s="1512"/>
      <c r="AG384" s="1512"/>
      <c r="AH384" s="1512"/>
      <c r="AI384" s="1512"/>
      <c r="AJ384" s="1512"/>
      <c r="AK384" s="1512"/>
      <c r="AL384" s="1512"/>
      <c r="AM384" s="1514"/>
      <c r="AN384" s="365"/>
      <c r="AO384" s="1509"/>
      <c r="AQ384" s="1448"/>
      <c r="AR384" s="1448"/>
      <c r="AS384" s="1448"/>
      <c r="AU384" s="360"/>
    </row>
    <row r="385" spans="1:48" s="1058" customFormat="1" ht="18" customHeight="1">
      <c r="A385" s="365"/>
      <c r="B385" s="1137"/>
      <c r="C385" s="1512"/>
      <c r="D385" s="1512"/>
      <c r="E385" s="1512"/>
      <c r="F385" s="1512"/>
      <c r="G385" s="1512"/>
      <c r="H385" s="1512"/>
      <c r="I385" s="1512"/>
      <c r="J385" s="1512"/>
      <c r="K385" s="1512"/>
      <c r="L385" s="1512"/>
      <c r="M385" s="1512"/>
      <c r="N385" s="1512"/>
      <c r="O385" s="1512"/>
      <c r="P385" s="1512"/>
      <c r="Q385" s="1512"/>
      <c r="R385" s="1512"/>
      <c r="S385" s="1512"/>
      <c r="T385" s="1512"/>
      <c r="U385" s="1512"/>
      <c r="V385" s="1512"/>
      <c r="W385" s="1512"/>
      <c r="X385" s="1512"/>
      <c r="Y385" s="1512"/>
      <c r="Z385" s="1512"/>
      <c r="AA385" s="1512"/>
      <c r="AB385" s="1512"/>
      <c r="AC385" s="1512"/>
      <c r="AD385" s="1512"/>
      <c r="AE385" s="1512"/>
      <c r="AF385" s="1512"/>
      <c r="AG385" s="1512"/>
      <c r="AH385" s="1512"/>
      <c r="AI385" s="1512"/>
      <c r="AJ385" s="1512"/>
      <c r="AK385" s="1512"/>
      <c r="AL385" s="1512"/>
      <c r="AM385" s="1514"/>
      <c r="AN385" s="365"/>
      <c r="AO385" s="1509"/>
      <c r="AQ385" s="1448"/>
      <c r="AR385" s="1448"/>
      <c r="AS385" s="1448"/>
      <c r="AU385" s="360"/>
    </row>
    <row r="386" spans="1:48" s="1058" customFormat="1" ht="18" customHeight="1">
      <c r="A386" s="365"/>
      <c r="B386" s="1137"/>
      <c r="C386" s="1512"/>
      <c r="D386" s="1512"/>
      <c r="E386" s="1512"/>
      <c r="F386" s="1512"/>
      <c r="G386" s="1512"/>
      <c r="H386" s="1512"/>
      <c r="I386" s="1512"/>
      <c r="J386" s="1512"/>
      <c r="K386" s="1512"/>
      <c r="L386" s="1512"/>
      <c r="M386" s="1512"/>
      <c r="N386" s="1512"/>
      <c r="O386" s="1512"/>
      <c r="P386" s="1512"/>
      <c r="Q386" s="1512"/>
      <c r="R386" s="1512"/>
      <c r="S386" s="1512"/>
      <c r="T386" s="1512"/>
      <c r="U386" s="1512"/>
      <c r="V386" s="1512"/>
      <c r="W386" s="1512"/>
      <c r="X386" s="1512"/>
      <c r="Y386" s="1512"/>
      <c r="Z386" s="1512"/>
      <c r="AA386" s="1512"/>
      <c r="AB386" s="1512"/>
      <c r="AC386" s="1512"/>
      <c r="AD386" s="1512"/>
      <c r="AE386" s="1512"/>
      <c r="AF386" s="1512"/>
      <c r="AG386" s="1512"/>
      <c r="AH386" s="1512"/>
      <c r="AI386" s="1512"/>
      <c r="AJ386" s="1512"/>
      <c r="AK386" s="1512"/>
      <c r="AL386" s="1512"/>
      <c r="AM386" s="1514"/>
      <c r="AN386" s="365"/>
      <c r="AO386" s="1509"/>
      <c r="AQ386" s="1448"/>
      <c r="AR386" s="1448"/>
      <c r="AS386" s="1448"/>
      <c r="AU386" s="360"/>
    </row>
    <row r="387" spans="1:48" s="1058" customFormat="1" ht="18" customHeight="1">
      <c r="A387" s="365"/>
      <c r="B387" s="1137"/>
      <c r="C387" s="1512"/>
      <c r="D387" s="1512"/>
      <c r="E387" s="1512"/>
      <c r="F387" s="1512"/>
      <c r="G387" s="1512"/>
      <c r="H387" s="1512"/>
      <c r="I387" s="1512"/>
      <c r="J387" s="1512"/>
      <c r="K387" s="1512"/>
      <c r="L387" s="1512"/>
      <c r="M387" s="1512"/>
      <c r="N387" s="1512"/>
      <c r="O387" s="1512"/>
      <c r="P387" s="1512"/>
      <c r="Q387" s="1512"/>
      <c r="R387" s="1512"/>
      <c r="S387" s="1512"/>
      <c r="T387" s="1512"/>
      <c r="U387" s="1512"/>
      <c r="V387" s="1512"/>
      <c r="W387" s="1512"/>
      <c r="X387" s="1512"/>
      <c r="Y387" s="1512"/>
      <c r="Z387" s="1512"/>
      <c r="AA387" s="1512"/>
      <c r="AB387" s="1512"/>
      <c r="AC387" s="1512"/>
      <c r="AD387" s="1512"/>
      <c r="AE387" s="1512"/>
      <c r="AF387" s="1512"/>
      <c r="AG387" s="1512"/>
      <c r="AH387" s="1512"/>
      <c r="AI387" s="1512"/>
      <c r="AJ387" s="1512"/>
      <c r="AK387" s="1512"/>
      <c r="AL387" s="1512"/>
      <c r="AM387" s="1514"/>
      <c r="AN387" s="365"/>
      <c r="AO387" s="1509"/>
      <c r="AQ387" s="1448"/>
      <c r="AR387" s="1448"/>
      <c r="AS387" s="1448"/>
      <c r="AU387" s="360"/>
    </row>
    <row r="388" spans="1:48" ht="18" customHeight="1">
      <c r="A388" s="365"/>
      <c r="B388" s="1158" t="s">
        <v>1403</v>
      </c>
      <c r="C388" s="3971" t="s">
        <v>1910</v>
      </c>
      <c r="D388" s="3971"/>
      <c r="E388" s="3971"/>
      <c r="F388" s="3971"/>
      <c r="G388" s="3971"/>
      <c r="H388" s="3971"/>
      <c r="I388" s="3971"/>
      <c r="J388" s="3971"/>
      <c r="K388" s="3971"/>
      <c r="L388" s="3971"/>
      <c r="M388" s="3971"/>
      <c r="N388" s="3971"/>
      <c r="O388" s="3971"/>
      <c r="P388" s="3971"/>
      <c r="Q388" s="3971"/>
      <c r="R388" s="3971"/>
      <c r="S388" s="3971"/>
      <c r="T388" s="3971"/>
      <c r="U388" s="3971"/>
      <c r="V388" s="3971"/>
      <c r="W388" s="3971"/>
      <c r="X388" s="3971"/>
      <c r="Y388" s="3971"/>
      <c r="Z388" s="3971"/>
      <c r="AA388" s="3971"/>
      <c r="AB388" s="3971"/>
      <c r="AC388" s="3971"/>
      <c r="AD388" s="3971"/>
      <c r="AE388" s="3971"/>
      <c r="AF388" s="3971"/>
      <c r="AG388" s="3971"/>
      <c r="AH388" s="3971"/>
      <c r="AI388" s="3971"/>
      <c r="AJ388" s="3971"/>
      <c r="AK388" s="3971"/>
      <c r="AL388" s="3971"/>
      <c r="AM388" s="3972"/>
      <c r="AN388" s="365"/>
      <c r="AO388" s="1509"/>
      <c r="AQ388" s="1448"/>
      <c r="AR388" s="1448"/>
      <c r="AS388" s="1448"/>
      <c r="AT388" s="1058"/>
      <c r="AU388" s="360"/>
    </row>
    <row r="389" spans="1:48" ht="36" customHeight="1">
      <c r="A389" s="365"/>
      <c r="B389" s="1196"/>
      <c r="C389" s="1083" t="s">
        <v>1408</v>
      </c>
      <c r="D389" s="3910" t="s">
        <v>1911</v>
      </c>
      <c r="E389" s="3910"/>
      <c r="F389" s="3910"/>
      <c r="G389" s="3910"/>
      <c r="H389" s="3910"/>
      <c r="I389" s="3910"/>
      <c r="J389" s="3910"/>
      <c r="K389" s="3910"/>
      <c r="L389" s="3910"/>
      <c r="M389" s="3910"/>
      <c r="N389" s="3910"/>
      <c r="O389" s="3910"/>
      <c r="P389" s="3910"/>
      <c r="Q389" s="3910"/>
      <c r="R389" s="3910"/>
      <c r="S389" s="3910"/>
      <c r="T389" s="3910"/>
      <c r="U389" s="3910"/>
      <c r="V389" s="3910"/>
      <c r="W389" s="3910"/>
      <c r="X389" s="3910"/>
      <c r="Y389" s="3910"/>
      <c r="Z389" s="3910"/>
      <c r="AA389" s="3910"/>
      <c r="AB389" s="3910"/>
      <c r="AC389" s="3910"/>
      <c r="AD389" s="3910"/>
      <c r="AE389" s="3910"/>
      <c r="AF389" s="3910"/>
      <c r="AG389" s="3910"/>
      <c r="AH389" s="3910"/>
      <c r="AI389" s="3910"/>
      <c r="AJ389" s="3910"/>
      <c r="AK389" s="3910"/>
      <c r="AL389" s="3910"/>
      <c r="AM389" s="3917"/>
      <c r="AN389" s="365"/>
      <c r="AO389" s="1058"/>
      <c r="AQ389" s="1448"/>
      <c r="AR389" s="1448"/>
      <c r="AS389" s="1448"/>
      <c r="AT389" s="1058"/>
      <c r="AU389" s="1058"/>
      <c r="AV389" s="360"/>
    </row>
    <row r="390" spans="1:48" ht="36" customHeight="1">
      <c r="A390" s="365"/>
      <c r="B390" s="1196"/>
      <c r="C390" s="1083" t="s">
        <v>1409</v>
      </c>
      <c r="D390" s="3910" t="s">
        <v>1912</v>
      </c>
      <c r="E390" s="3910"/>
      <c r="F390" s="3910"/>
      <c r="G390" s="3910"/>
      <c r="H390" s="3910"/>
      <c r="I390" s="3910"/>
      <c r="J390" s="3910"/>
      <c r="K390" s="3910"/>
      <c r="L390" s="3910"/>
      <c r="M390" s="3910"/>
      <c r="N390" s="3910"/>
      <c r="O390" s="3910"/>
      <c r="P390" s="3910"/>
      <c r="Q390" s="3910"/>
      <c r="R390" s="3910"/>
      <c r="S390" s="3910"/>
      <c r="T390" s="3910"/>
      <c r="U390" s="3910"/>
      <c r="V390" s="3910"/>
      <c r="W390" s="3910"/>
      <c r="X390" s="3910"/>
      <c r="Y390" s="3910"/>
      <c r="Z390" s="3910"/>
      <c r="AA390" s="3910"/>
      <c r="AB390" s="3910"/>
      <c r="AC390" s="3910"/>
      <c r="AD390" s="3910"/>
      <c r="AE390" s="3910"/>
      <c r="AF390" s="3910"/>
      <c r="AG390" s="3910"/>
      <c r="AH390" s="3910"/>
      <c r="AI390" s="3910"/>
      <c r="AJ390" s="3910"/>
      <c r="AK390" s="3910"/>
      <c r="AL390" s="3910"/>
      <c r="AM390" s="3917"/>
      <c r="AN390" s="365"/>
      <c r="AO390" s="1058"/>
      <c r="AQ390" s="1448"/>
      <c r="AR390" s="1448"/>
      <c r="AS390" s="1448"/>
      <c r="AT390" s="1058"/>
      <c r="AU390" s="1058"/>
      <c r="AV390" s="1058"/>
    </row>
    <row r="391" spans="1:48" ht="54.75" customHeight="1">
      <c r="A391" s="365"/>
      <c r="B391" s="1196"/>
      <c r="C391" s="1512"/>
      <c r="D391" s="3910" t="s">
        <v>1913</v>
      </c>
      <c r="E391" s="3910"/>
      <c r="F391" s="3910"/>
      <c r="G391" s="3910"/>
      <c r="H391" s="3910"/>
      <c r="I391" s="3910"/>
      <c r="J391" s="3910"/>
      <c r="K391" s="3910"/>
      <c r="L391" s="3910"/>
      <c r="M391" s="3910"/>
      <c r="N391" s="3910"/>
      <c r="O391" s="3910"/>
      <c r="P391" s="3910"/>
      <c r="Q391" s="3910"/>
      <c r="R391" s="3910"/>
      <c r="S391" s="3910"/>
      <c r="T391" s="3910"/>
      <c r="U391" s="3910"/>
      <c r="V391" s="3910"/>
      <c r="W391" s="3910"/>
      <c r="X391" s="3910"/>
      <c r="Y391" s="3910"/>
      <c r="Z391" s="3910"/>
      <c r="AA391" s="3910"/>
      <c r="AB391" s="3910"/>
      <c r="AC391" s="3910"/>
      <c r="AD391" s="3910"/>
      <c r="AE391" s="3910"/>
      <c r="AF391" s="3910"/>
      <c r="AG391" s="3910"/>
      <c r="AH391" s="3910"/>
      <c r="AI391" s="3910"/>
      <c r="AJ391" s="3910"/>
      <c r="AK391" s="3910"/>
      <c r="AL391" s="1727"/>
      <c r="AM391" s="1727"/>
      <c r="AN391" s="718"/>
      <c r="AO391" s="1459"/>
      <c r="AQ391" s="1448"/>
      <c r="AR391" s="1448"/>
      <c r="AS391" s="1448"/>
      <c r="AT391" s="1058"/>
      <c r="AU391" s="1058"/>
      <c r="AV391" s="1058"/>
    </row>
    <row r="392" spans="1:48" ht="18" customHeight="1">
      <c r="A392" s="365"/>
      <c r="B392" s="1196"/>
      <c r="C392" s="1083" t="s">
        <v>1410</v>
      </c>
      <c r="D392" s="3905" t="s">
        <v>1914</v>
      </c>
      <c r="E392" s="3905"/>
      <c r="F392" s="3905"/>
      <c r="G392" s="3905"/>
      <c r="H392" s="3905"/>
      <c r="I392" s="3905"/>
      <c r="J392" s="3905"/>
      <c r="K392" s="3905"/>
      <c r="L392" s="3905"/>
      <c r="M392" s="3905"/>
      <c r="N392" s="3905"/>
      <c r="O392" s="3905"/>
      <c r="P392" s="3905"/>
      <c r="Q392" s="3905"/>
      <c r="R392" s="3905"/>
      <c r="S392" s="3905"/>
      <c r="T392" s="3905"/>
      <c r="U392" s="3905"/>
      <c r="V392" s="3905"/>
      <c r="W392" s="3905"/>
      <c r="X392" s="3905"/>
      <c r="Y392" s="3905"/>
      <c r="Z392" s="3905"/>
      <c r="AA392" s="3905"/>
      <c r="AB392" s="3905"/>
      <c r="AC392" s="3905"/>
      <c r="AD392" s="3905"/>
      <c r="AE392" s="3905"/>
      <c r="AF392" s="3905"/>
      <c r="AG392" s="3905"/>
      <c r="AH392" s="3905"/>
      <c r="AI392" s="3906"/>
      <c r="AJ392" s="3961">
        <f>SUMIF('Dev Sources'!E34:E61,"Local Land Donation",'Dev Sources'!G34:G61)+SUMIF('Dev Sources'!E34:E61,"Local",'Dev Sources'!G34:G61)+SUMIF('Dev Sources'!E34:E61,"Local Fee Waiver",'Dev Sources'!G34:G61)</f>
        <v>6522270</v>
      </c>
      <c r="AK392" s="3962"/>
      <c r="AL392" s="3962"/>
      <c r="AM392" s="3963"/>
      <c r="AN392" s="718"/>
      <c r="AO392" s="1459"/>
      <c r="AQ392" s="1448"/>
      <c r="AR392" s="1448"/>
      <c r="AS392" s="1448"/>
      <c r="AT392" s="1058"/>
      <c r="AU392" s="1058"/>
      <c r="AV392" s="1058"/>
    </row>
    <row r="393" spans="1:48" ht="18" customHeight="1">
      <c r="A393" s="365"/>
      <c r="B393" s="1196"/>
      <c r="C393" s="1083" t="s">
        <v>1411</v>
      </c>
      <c r="D393" s="3905" t="s">
        <v>1915</v>
      </c>
      <c r="E393" s="3905"/>
      <c r="F393" s="3905"/>
      <c r="G393" s="3905"/>
      <c r="H393" s="3905"/>
      <c r="I393" s="3905"/>
      <c r="J393" s="3905"/>
      <c r="K393" s="3905"/>
      <c r="L393" s="3905"/>
      <c r="M393" s="3905"/>
      <c r="N393" s="3905"/>
      <c r="O393" s="3905"/>
      <c r="P393" s="3905"/>
      <c r="Q393" s="3905"/>
      <c r="R393" s="3905"/>
      <c r="S393" s="3905"/>
      <c r="T393" s="3905"/>
      <c r="U393" s="3905"/>
      <c r="V393" s="3905"/>
      <c r="W393" s="3905"/>
      <c r="X393" s="3905"/>
      <c r="Y393" s="3905"/>
      <c r="Z393" s="3905"/>
      <c r="AA393" s="3905"/>
      <c r="AB393" s="3905"/>
      <c r="AC393" s="3905"/>
      <c r="AD393" s="3905"/>
      <c r="AE393" s="3905"/>
      <c r="AF393" s="3905"/>
      <c r="AG393" s="3905"/>
      <c r="AH393" s="3905"/>
      <c r="AI393" s="3905"/>
      <c r="AJ393" s="3961">
        <f>SUMIF('Dev Sources'!E34:E61,"State-HCD",'Dev Sources'!G34:G61)</f>
        <v>48118197</v>
      </c>
      <c r="AK393" s="3962"/>
      <c r="AL393" s="3962"/>
      <c r="AM393" s="3963"/>
      <c r="AN393" s="718"/>
      <c r="AO393" s="1459"/>
      <c r="AQ393" s="1448"/>
      <c r="AR393" s="1448"/>
      <c r="AS393" s="1448"/>
      <c r="AT393" s="1058"/>
      <c r="AU393" s="1058"/>
      <c r="AV393" s="1058"/>
    </row>
    <row r="394" spans="1:48" s="1058" customFormat="1" ht="18" customHeight="1">
      <c r="A394" s="365"/>
      <c r="B394" s="1196"/>
      <c r="C394" s="1083" t="s">
        <v>1424</v>
      </c>
      <c r="D394" s="3905" t="s">
        <v>1916</v>
      </c>
      <c r="E394" s="3905"/>
      <c r="F394" s="3905"/>
      <c r="G394" s="3905"/>
      <c r="H394" s="3905"/>
      <c r="I394" s="3905"/>
      <c r="J394" s="3905"/>
      <c r="K394" s="3905"/>
      <c r="L394" s="3905"/>
      <c r="M394" s="3905"/>
      <c r="N394" s="3905"/>
      <c r="O394" s="3905"/>
      <c r="P394" s="3905"/>
      <c r="Q394" s="3905"/>
      <c r="R394" s="3905"/>
      <c r="S394" s="3905"/>
      <c r="T394" s="3905"/>
      <c r="U394" s="3905"/>
      <c r="V394" s="3905"/>
      <c r="W394" s="3905"/>
      <c r="X394" s="3905"/>
      <c r="Y394" s="3905"/>
      <c r="Z394" s="3905"/>
      <c r="AA394" s="3905"/>
      <c r="AB394" s="3905"/>
      <c r="AC394" s="3905"/>
      <c r="AD394" s="3905"/>
      <c r="AE394" s="3905"/>
      <c r="AF394" s="3905"/>
      <c r="AG394" s="3905"/>
      <c r="AH394" s="3905"/>
      <c r="AI394" s="3905"/>
      <c r="AJ394" s="3973">
        <f>IFERROR(AJ392/AJ393,0)</f>
        <v>0.13554684935514105</v>
      </c>
      <c r="AK394" s="3974"/>
      <c r="AL394" s="3974"/>
      <c r="AM394" s="3975"/>
      <c r="AN394" s="718"/>
      <c r="AO394" s="1459"/>
      <c r="AQ394" s="1448"/>
      <c r="AR394" s="1448"/>
      <c r="AS394" s="1448"/>
    </row>
    <row r="395" spans="1:48" s="1058" customFormat="1" ht="18" customHeight="1">
      <c r="A395" s="365"/>
      <c r="B395" s="1196"/>
      <c r="C395" s="1083" t="s">
        <v>1425</v>
      </c>
      <c r="D395" s="3905" t="s">
        <v>1917</v>
      </c>
      <c r="E395" s="3905"/>
      <c r="F395" s="3905"/>
      <c r="G395" s="3905"/>
      <c r="H395" s="3905"/>
      <c r="I395" s="3905"/>
      <c r="J395" s="3905"/>
      <c r="K395" s="3905"/>
      <c r="L395" s="3905"/>
      <c r="M395" s="3905"/>
      <c r="N395" s="3905"/>
      <c r="O395" s="3905"/>
      <c r="P395" s="3905"/>
      <c r="Q395" s="3905"/>
      <c r="R395" s="3905"/>
      <c r="S395" s="3905"/>
      <c r="T395" s="3905"/>
      <c r="U395" s="3905"/>
      <c r="V395" s="3905"/>
      <c r="W395" s="3905"/>
      <c r="X395" s="3905"/>
      <c r="Y395" s="3905"/>
      <c r="Z395" s="3905"/>
      <c r="AA395" s="3905"/>
      <c r="AB395" s="3905"/>
      <c r="AC395" s="3905"/>
      <c r="AD395" s="3905"/>
      <c r="AE395" s="3905"/>
      <c r="AF395" s="3905"/>
      <c r="AG395" s="3905"/>
      <c r="AH395" s="3905"/>
      <c r="AI395" s="3905"/>
      <c r="AJ395" s="3976">
        <f>$AJ$394*0.9</f>
        <v>0.12199216441962694</v>
      </c>
      <c r="AK395" s="3977"/>
      <c r="AL395" s="3977"/>
      <c r="AM395" s="3978"/>
      <c r="AN395" s="718"/>
      <c r="AO395" s="1459"/>
      <c r="AQ395" s="1448"/>
      <c r="AR395" s="1448"/>
      <c r="AS395" s="1448"/>
    </row>
    <row r="396" spans="1:48" s="1058" customFormat="1" ht="18" customHeight="1">
      <c r="A396" s="365"/>
      <c r="B396" s="1196"/>
      <c r="C396" s="1139"/>
      <c r="D396" s="1139"/>
      <c r="E396" s="1139"/>
      <c r="F396" s="1139"/>
      <c r="G396" s="1139"/>
      <c r="H396" s="1139"/>
      <c r="I396" s="1139"/>
      <c r="J396" s="1139"/>
      <c r="K396" s="1139"/>
      <c r="L396" s="1139"/>
      <c r="M396" s="1139"/>
      <c r="N396" s="1139"/>
      <c r="O396" s="1139"/>
      <c r="P396" s="1139"/>
      <c r="Q396" s="1139"/>
      <c r="R396" s="1139"/>
      <c r="S396" s="1139"/>
      <c r="T396" s="1139"/>
      <c r="U396" s="1139"/>
      <c r="V396" s="1139"/>
      <c r="W396" s="1139"/>
      <c r="X396" s="1139"/>
      <c r="Y396" s="1139"/>
      <c r="Z396" s="1139"/>
      <c r="AA396" s="1139"/>
      <c r="AB396" s="1139"/>
      <c r="AC396" s="1139"/>
      <c r="AD396" s="1139"/>
      <c r="AE396" s="1139"/>
      <c r="AF396" s="1139"/>
      <c r="AG396" s="1139"/>
      <c r="AH396" s="1139"/>
      <c r="AI396" s="1139"/>
      <c r="AJ396" s="1139"/>
      <c r="AK396" s="1139"/>
      <c r="AL396" s="1139"/>
      <c r="AM396" s="1139"/>
      <c r="AN396" s="718"/>
      <c r="AO396" s="1459"/>
      <c r="AQ396" s="1448"/>
      <c r="AR396" s="1448"/>
      <c r="AS396" s="1448"/>
    </row>
    <row r="397" spans="1:48" s="1058" customFormat="1" ht="63" customHeight="1">
      <c r="A397" s="365"/>
      <c r="B397" s="1158" t="s">
        <v>1404</v>
      </c>
      <c r="C397" s="3901" t="s">
        <v>4131</v>
      </c>
      <c r="D397" s="3901"/>
      <c r="E397" s="3901"/>
      <c r="F397" s="3901"/>
      <c r="G397" s="3901"/>
      <c r="H397" s="3901"/>
      <c r="I397" s="3901"/>
      <c r="J397" s="3901"/>
      <c r="K397" s="3901"/>
      <c r="L397" s="3901"/>
      <c r="M397" s="3901"/>
      <c r="N397" s="3901"/>
      <c r="O397" s="3901"/>
      <c r="P397" s="3901"/>
      <c r="Q397" s="3901"/>
      <c r="R397" s="3901"/>
      <c r="S397" s="3901"/>
      <c r="T397" s="3901"/>
      <c r="U397" s="3901"/>
      <c r="V397" s="3901"/>
      <c r="W397" s="3901"/>
      <c r="X397" s="3901"/>
      <c r="Y397" s="3901"/>
      <c r="Z397" s="3901"/>
      <c r="AA397" s="3901"/>
      <c r="AB397" s="3901"/>
      <c r="AC397" s="3901"/>
      <c r="AD397" s="3901"/>
      <c r="AE397" s="3901"/>
      <c r="AF397" s="3901"/>
      <c r="AG397" s="3901"/>
      <c r="AH397" s="3901"/>
      <c r="AI397" s="3901"/>
      <c r="AJ397" s="3901"/>
      <c r="AK397" s="3901"/>
      <c r="AL397" s="3901"/>
      <c r="AM397" s="3901"/>
      <c r="AN397" s="718"/>
      <c r="AO397" s="1459"/>
      <c r="AQ397" s="1448"/>
      <c r="AR397" s="1448"/>
      <c r="AS397" s="1448"/>
    </row>
    <row r="398" spans="1:48" s="1058" customFormat="1" ht="18" customHeight="1">
      <c r="A398" s="365"/>
      <c r="B398" s="1139"/>
      <c r="C398" s="3957" t="s">
        <v>4132</v>
      </c>
      <c r="D398" s="3957"/>
      <c r="E398" s="3957"/>
      <c r="F398" s="3957"/>
      <c r="G398" s="3957"/>
      <c r="H398" s="3957"/>
      <c r="I398" s="3957"/>
      <c r="J398" s="3957"/>
      <c r="K398" s="3957"/>
      <c r="L398" s="3957"/>
      <c r="M398" s="3957"/>
      <c r="N398" s="3957"/>
      <c r="O398" s="1659" t="s">
        <v>4133</v>
      </c>
      <c r="P398" s="3958" t="s">
        <v>4134</v>
      </c>
      <c r="Q398" s="3959"/>
      <c r="R398" s="3959"/>
      <c r="S398" s="3959"/>
      <c r="T398" s="3959"/>
      <c r="U398" s="3959"/>
      <c r="V398" s="3959"/>
      <c r="W398" s="3959"/>
      <c r="X398" s="3959"/>
      <c r="Y398" s="3959"/>
      <c r="Z398" s="3959"/>
      <c r="AA398" s="3959"/>
      <c r="AB398" s="3959"/>
      <c r="AC398" s="3959"/>
      <c r="AD398" s="3959"/>
      <c r="AE398" s="3959"/>
      <c r="AF398" s="3959"/>
      <c r="AG398" s="3959"/>
      <c r="AH398" s="3959"/>
      <c r="AI398" s="3960"/>
      <c r="AJ398" s="3961" t="str">
        <f>IFERROR(SUM('Dev Budget SU'!$F$3:$G$3)/'High-Cost Verification'!$AH$7,"")</f>
        <v/>
      </c>
      <c r="AK398" s="3962"/>
      <c r="AL398" s="3962"/>
      <c r="AM398" s="3963"/>
      <c r="AN398" s="718"/>
      <c r="AO398" s="1459"/>
      <c r="AP398" s="363"/>
      <c r="AQ398" s="1448"/>
      <c r="AR398" s="1448"/>
      <c r="AS398" s="1448"/>
    </row>
    <row r="399" spans="1:48" s="1058" customFormat="1" ht="18" customHeight="1">
      <c r="A399" s="365"/>
      <c r="B399" s="1139"/>
      <c r="C399" s="3964" t="s">
        <v>4135</v>
      </c>
      <c r="D399" s="3964"/>
      <c r="E399" s="3964"/>
      <c r="F399" s="3964"/>
      <c r="G399" s="3964"/>
      <c r="H399" s="3964"/>
      <c r="I399" s="3964"/>
      <c r="J399" s="3964"/>
      <c r="K399" s="3964"/>
      <c r="L399" s="3964"/>
      <c r="M399" s="3964"/>
      <c r="N399" s="3964"/>
      <c r="O399" s="3964"/>
      <c r="P399" s="3964"/>
      <c r="Q399" s="3964"/>
      <c r="R399" s="3964"/>
      <c r="S399" s="3964"/>
      <c r="T399" s="3964"/>
      <c r="U399" s="3964"/>
      <c r="V399" s="3964"/>
      <c r="W399" s="3964"/>
      <c r="X399" s="3964"/>
      <c r="Y399" s="3964"/>
      <c r="Z399" s="3964"/>
      <c r="AA399" s="3964"/>
      <c r="AB399" s="3964"/>
      <c r="AC399" s="3964"/>
      <c r="AD399" s="3964"/>
      <c r="AE399" s="3964"/>
      <c r="AF399" s="3964"/>
      <c r="AG399" s="3964"/>
      <c r="AH399" s="3964"/>
      <c r="AI399" s="3964"/>
      <c r="AJ399" s="3965" t="str">
        <f>IFERROR(AJ398*0.125,"")</f>
        <v/>
      </c>
      <c r="AK399" s="3966"/>
      <c r="AL399" s="3966"/>
      <c r="AM399" s="3967"/>
      <c r="AN399" s="718"/>
      <c r="AO399" s="1619"/>
      <c r="AQ399" s="1618"/>
      <c r="AR399" s="1618"/>
      <c r="AS399" s="1618"/>
    </row>
    <row r="400" spans="1:48" s="1058" customFormat="1" ht="63" customHeight="1">
      <c r="A400" s="365"/>
      <c r="B400" s="1139"/>
      <c r="C400" s="3910" t="s">
        <v>4136</v>
      </c>
      <c r="D400" s="3910"/>
      <c r="E400" s="3910"/>
      <c r="F400" s="3910"/>
      <c r="G400" s="3910"/>
      <c r="H400" s="3910"/>
      <c r="I400" s="3910"/>
      <c r="J400" s="3910"/>
      <c r="K400" s="3910"/>
      <c r="L400" s="3910"/>
      <c r="M400" s="3910"/>
      <c r="N400" s="3910"/>
      <c r="O400" s="3910"/>
      <c r="P400" s="3910"/>
      <c r="Q400" s="3910"/>
      <c r="R400" s="3910"/>
      <c r="S400" s="3910"/>
      <c r="T400" s="3910"/>
      <c r="U400" s="3910"/>
      <c r="V400" s="3910"/>
      <c r="W400" s="3910"/>
      <c r="X400" s="3910"/>
      <c r="Y400" s="3910"/>
      <c r="Z400" s="3910"/>
      <c r="AA400" s="3910"/>
      <c r="AB400" s="3910"/>
      <c r="AC400" s="3910"/>
      <c r="AD400" s="3910"/>
      <c r="AE400" s="3910"/>
      <c r="AF400" s="3910"/>
      <c r="AG400" s="3910"/>
      <c r="AH400" s="3910"/>
      <c r="AI400" s="3910"/>
      <c r="AJ400" s="1623"/>
      <c r="AK400" s="1623"/>
      <c r="AL400" s="1623"/>
      <c r="AM400" s="1623"/>
      <c r="AN400" s="718"/>
      <c r="AO400" s="1619"/>
      <c r="AQ400" s="1618"/>
      <c r="AR400" s="1618"/>
      <c r="AS400" s="1618"/>
    </row>
    <row r="401" spans="1:48" s="1058" customFormat="1" ht="18" customHeight="1" thickBot="1">
      <c r="A401" s="365"/>
      <c r="B401" s="1139"/>
      <c r="C401" s="1139"/>
      <c r="D401" s="1139"/>
      <c r="E401" s="1139"/>
      <c r="F401" s="1139"/>
      <c r="G401" s="1139"/>
      <c r="H401" s="1139"/>
      <c r="I401" s="1139"/>
      <c r="J401" s="1139"/>
      <c r="K401" s="1139"/>
      <c r="L401" s="1139"/>
      <c r="M401" s="1139"/>
      <c r="N401" s="1139"/>
      <c r="O401" s="1139"/>
      <c r="P401" s="1139"/>
      <c r="Q401" s="1139"/>
      <c r="R401" s="1139"/>
      <c r="S401" s="1139"/>
      <c r="T401" s="1139"/>
      <c r="U401" s="1139"/>
      <c r="V401" s="1139"/>
      <c r="W401" s="1139"/>
      <c r="X401" s="1139"/>
      <c r="Y401" s="1139"/>
      <c r="Z401" s="1139"/>
      <c r="AA401" s="1139"/>
      <c r="AB401" s="1139"/>
      <c r="AC401" s="1139"/>
      <c r="AD401" s="1139"/>
      <c r="AE401" s="1139"/>
      <c r="AF401" s="1139"/>
      <c r="AG401" s="1139"/>
      <c r="AH401" s="1139"/>
      <c r="AI401" s="1139"/>
      <c r="AJ401" s="1139"/>
      <c r="AK401" s="1139"/>
      <c r="AL401" s="1139"/>
      <c r="AM401" s="1139"/>
      <c r="AN401" s="718"/>
      <c r="AO401" s="1619"/>
      <c r="AQ401" s="1618"/>
      <c r="AR401" s="1618"/>
      <c r="AS401" s="1618"/>
    </row>
    <row r="402" spans="1:48" s="1058" customFormat="1" ht="18" customHeight="1" thickBot="1">
      <c r="A402" s="365"/>
      <c r="B402" s="1139"/>
      <c r="C402" s="3950" t="s">
        <v>4137</v>
      </c>
      <c r="D402" s="3950"/>
      <c r="E402" s="3950"/>
      <c r="F402" s="3950"/>
      <c r="G402" s="3950"/>
      <c r="H402" s="3950"/>
      <c r="I402" s="3950"/>
      <c r="J402" s="3950"/>
      <c r="K402" s="3950"/>
      <c r="L402" s="3950"/>
      <c r="M402" s="3950"/>
      <c r="N402" s="3950"/>
      <c r="O402" s="3950"/>
      <c r="P402" s="3950"/>
      <c r="Q402" s="3950"/>
      <c r="R402" s="3950"/>
      <c r="S402" s="3950"/>
      <c r="T402" s="3950"/>
      <c r="U402" s="3950"/>
      <c r="V402" s="3950"/>
      <c r="W402" s="3950"/>
      <c r="X402" s="3950"/>
      <c r="Y402" s="3950"/>
      <c r="Z402" s="3950"/>
      <c r="AA402" s="3950"/>
      <c r="AB402" s="3950"/>
      <c r="AC402" s="3950"/>
      <c r="AD402" s="3950"/>
      <c r="AE402" s="3950"/>
      <c r="AF402" s="3950"/>
      <c r="AG402" s="3950"/>
      <c r="AH402" s="3950"/>
      <c r="AI402" s="3950"/>
      <c r="AJ402" s="3951">
        <f>SUM(AL379,AJ395,AJ399)/3</f>
        <v>4.0664054806542317E-2</v>
      </c>
      <c r="AK402" s="3952"/>
      <c r="AL402" s="3952"/>
      <c r="AM402" s="3953"/>
      <c r="AN402" s="718"/>
      <c r="AO402" s="1459"/>
      <c r="AQ402" s="1448"/>
      <c r="AR402" s="1448"/>
      <c r="AS402" s="1448"/>
    </row>
    <row r="403" spans="1:48" s="1058" customFormat="1" ht="18" customHeight="1">
      <c r="A403" s="365"/>
      <c r="B403" s="1139"/>
      <c r="C403" s="1139"/>
      <c r="D403" s="1139"/>
      <c r="E403" s="1139"/>
      <c r="F403" s="1139"/>
      <c r="G403" s="1139"/>
      <c r="H403" s="1139"/>
      <c r="I403" s="1139"/>
      <c r="J403" s="1139"/>
      <c r="K403" s="1139"/>
      <c r="L403" s="1139"/>
      <c r="M403" s="1139"/>
      <c r="N403" s="1139"/>
      <c r="O403" s="1139"/>
      <c r="P403" s="1139"/>
      <c r="Q403" s="1139"/>
      <c r="R403" s="1139"/>
      <c r="S403" s="1139"/>
      <c r="T403" s="1139"/>
      <c r="U403" s="1139"/>
      <c r="V403" s="1139"/>
      <c r="W403" s="1139"/>
      <c r="X403" s="1139"/>
      <c r="Y403" s="1139"/>
      <c r="Z403" s="1139"/>
      <c r="AA403" s="1139"/>
      <c r="AB403" s="1139"/>
      <c r="AC403" s="1139"/>
      <c r="AD403" s="1139"/>
      <c r="AE403" s="1139"/>
      <c r="AF403" s="1139"/>
      <c r="AG403" s="1139"/>
      <c r="AH403" s="1139"/>
      <c r="AI403" s="1139"/>
      <c r="AJ403" s="1139"/>
      <c r="AK403" s="1139"/>
      <c r="AL403" s="1139"/>
      <c r="AM403" s="1139"/>
      <c r="AN403" s="718"/>
      <c r="AO403" s="1619"/>
      <c r="AQ403" s="1618"/>
      <c r="AR403" s="1618"/>
      <c r="AS403" s="1618"/>
    </row>
    <row r="404" spans="1:48" ht="18" customHeight="1">
      <c r="A404" s="365"/>
      <c r="B404" s="1156" t="s">
        <v>1918</v>
      </c>
      <c r="C404" s="3970" t="s">
        <v>1919</v>
      </c>
      <c r="D404" s="3970"/>
      <c r="E404" s="3970"/>
      <c r="F404" s="3970"/>
      <c r="G404" s="3970"/>
      <c r="H404" s="3970"/>
      <c r="I404" s="3970"/>
      <c r="J404" s="3970"/>
      <c r="K404" s="3970"/>
      <c r="L404" s="3970"/>
      <c r="M404" s="3970"/>
      <c r="N404" s="3970"/>
      <c r="O404" s="3970"/>
      <c r="P404" s="3970"/>
      <c r="Q404" s="3970"/>
      <c r="R404" s="3970"/>
      <c r="S404" s="3970"/>
      <c r="T404" s="3970"/>
      <c r="U404" s="3970"/>
      <c r="V404" s="3970"/>
      <c r="W404" s="3970"/>
      <c r="X404" s="3970"/>
      <c r="Y404" s="3970"/>
      <c r="Z404" s="3970"/>
      <c r="AA404" s="3970"/>
      <c r="AB404" s="3970"/>
      <c r="AC404" s="3970"/>
      <c r="AD404" s="3970"/>
      <c r="AE404" s="3970"/>
      <c r="AF404" s="3970"/>
      <c r="AG404" s="3970"/>
      <c r="AH404" s="3970"/>
      <c r="AI404" s="3970"/>
      <c r="AJ404" s="3970"/>
      <c r="AK404" s="3970"/>
      <c r="AL404" s="1139"/>
      <c r="AM404" s="1139"/>
      <c r="AN404" s="718"/>
      <c r="AO404" s="1459"/>
      <c r="AQ404" s="1448"/>
      <c r="AR404" s="1448"/>
      <c r="AS404" s="1448"/>
      <c r="AT404" s="1058"/>
      <c r="AU404" s="1058"/>
      <c r="AV404" s="1058"/>
    </row>
    <row r="405" spans="1:48" ht="18" customHeight="1">
      <c r="A405" s="365"/>
      <c r="B405" s="736"/>
      <c r="C405" s="3905" t="s">
        <v>1920</v>
      </c>
      <c r="D405" s="3905"/>
      <c r="E405" s="3905"/>
      <c r="F405" s="3905"/>
      <c r="G405" s="3905"/>
      <c r="H405" s="3905"/>
      <c r="I405" s="3905"/>
      <c r="J405" s="3905"/>
      <c r="K405" s="3905"/>
      <c r="L405" s="3905"/>
      <c r="M405" s="3905"/>
      <c r="N405" s="3905"/>
      <c r="O405" s="3905"/>
      <c r="P405" s="3905"/>
      <c r="Q405" s="3905"/>
      <c r="R405" s="3905"/>
      <c r="S405" s="3905"/>
      <c r="T405" s="3905"/>
      <c r="U405" s="3905"/>
      <c r="V405" s="3905"/>
      <c r="W405" s="3905"/>
      <c r="X405" s="3905"/>
      <c r="Y405" s="3905"/>
      <c r="Z405" s="3905"/>
      <c r="AA405" s="3905"/>
      <c r="AB405" s="3905"/>
      <c r="AC405" s="3905"/>
      <c r="AD405" s="3905"/>
      <c r="AE405" s="3905"/>
      <c r="AF405" s="3905"/>
      <c r="AG405" s="3905"/>
      <c r="AH405" s="3905"/>
      <c r="AI405" s="3905"/>
      <c r="AJ405" s="3905"/>
      <c r="AK405" s="3905"/>
      <c r="AL405" s="1727"/>
      <c r="AM405" s="1727"/>
      <c r="AN405" s="718"/>
      <c r="AO405" s="1459"/>
      <c r="AQ405" s="1448"/>
      <c r="AR405" s="1448"/>
      <c r="AS405" s="1448"/>
      <c r="AT405" s="1058"/>
      <c r="AU405" s="1058"/>
      <c r="AV405" s="1058"/>
    </row>
    <row r="406" spans="1:48" ht="18" customHeight="1">
      <c r="A406" s="365"/>
      <c r="B406" s="736"/>
      <c r="C406" s="1139"/>
      <c r="D406" s="1139"/>
      <c r="E406" s="1139"/>
      <c r="F406" s="1139"/>
      <c r="G406" s="1139"/>
      <c r="H406" s="1139"/>
      <c r="I406" s="1139"/>
      <c r="J406" s="1139"/>
      <c r="K406" s="1139"/>
      <c r="L406" s="1139"/>
      <c r="M406" s="1139"/>
      <c r="N406" s="1139"/>
      <c r="O406" s="1139"/>
      <c r="P406" s="1139"/>
      <c r="Q406" s="1139"/>
      <c r="R406" s="1139"/>
      <c r="S406" s="1139"/>
      <c r="T406" s="1139"/>
      <c r="U406" s="1139"/>
      <c r="V406" s="1139"/>
      <c r="W406" s="1139"/>
      <c r="X406" s="1139"/>
      <c r="Y406" s="1139"/>
      <c r="Z406" s="1139"/>
      <c r="AA406" s="1139"/>
      <c r="AB406" s="1139"/>
      <c r="AC406" s="1139"/>
      <c r="AD406" s="1139"/>
      <c r="AE406" s="1139"/>
      <c r="AF406" s="1139"/>
      <c r="AG406" s="1139"/>
      <c r="AH406" s="1139"/>
      <c r="AI406" s="1139"/>
      <c r="AJ406" s="1139"/>
      <c r="AK406" s="1139"/>
      <c r="AL406" s="1139"/>
      <c r="AM406" s="1139"/>
      <c r="AN406" s="718"/>
      <c r="AO406" s="1459"/>
      <c r="AQ406" s="1448"/>
      <c r="AR406" s="1448"/>
      <c r="AS406" s="1448"/>
      <c r="AT406" s="1058"/>
      <c r="AU406" s="1058"/>
      <c r="AV406" s="1058"/>
    </row>
    <row r="407" spans="1:48" ht="18" customHeight="1">
      <c r="A407" s="1058"/>
      <c r="B407" s="1058"/>
      <c r="C407" s="1459"/>
      <c r="D407" s="1459"/>
      <c r="E407" s="1459"/>
      <c r="F407" s="1459"/>
      <c r="G407" s="1459"/>
      <c r="H407" s="1459"/>
      <c r="I407" s="1459"/>
      <c r="J407" s="1459"/>
      <c r="K407" s="1459"/>
      <c r="L407" s="1459"/>
      <c r="M407" s="1459"/>
      <c r="N407" s="1459"/>
      <c r="O407" s="1459"/>
      <c r="P407" s="1459"/>
      <c r="Q407" s="1459"/>
      <c r="R407" s="1459"/>
      <c r="S407" s="1459"/>
      <c r="T407" s="1459"/>
      <c r="U407" s="1459"/>
      <c r="V407" s="1459"/>
      <c r="W407" s="1459"/>
      <c r="X407" s="1459"/>
      <c r="Y407" s="1459"/>
      <c r="Z407" s="1459"/>
      <c r="AA407" s="1459"/>
      <c r="AB407" s="1459"/>
      <c r="AC407" s="1459"/>
      <c r="AD407" s="1459"/>
      <c r="AE407" s="1459"/>
      <c r="AF407" s="1459"/>
      <c r="AG407" s="1459"/>
      <c r="AH407" s="1459"/>
      <c r="AI407" s="1459"/>
      <c r="AJ407" s="1459"/>
      <c r="AK407" s="1459"/>
      <c r="AL407" s="1459"/>
      <c r="AM407" s="1459"/>
      <c r="AN407" s="463"/>
      <c r="AO407" s="1459"/>
      <c r="AQ407" s="1448"/>
      <c r="AR407" s="1448"/>
      <c r="AS407" s="1448"/>
      <c r="AT407" s="1058"/>
      <c r="AU407" s="1058"/>
      <c r="AV407" s="1058"/>
    </row>
    <row r="408" spans="1:48" ht="18" customHeight="1">
      <c r="A408" s="1058"/>
      <c r="B408" s="1058"/>
      <c r="C408" s="1058"/>
      <c r="D408" s="1058"/>
      <c r="E408" s="1058"/>
      <c r="F408" s="1058"/>
      <c r="G408" s="1058"/>
      <c r="H408" s="1058"/>
      <c r="I408" s="1058"/>
      <c r="J408" s="1058"/>
      <c r="K408" s="1058"/>
      <c r="L408" s="1058"/>
      <c r="M408" s="1058"/>
      <c r="N408" s="1058"/>
      <c r="O408" s="1058"/>
      <c r="P408" s="1058"/>
      <c r="Q408" s="1058"/>
      <c r="R408" s="1058"/>
      <c r="S408" s="1058"/>
      <c r="T408" s="1058"/>
      <c r="U408" s="1058"/>
      <c r="V408" s="1058"/>
      <c r="W408" s="1058"/>
      <c r="X408" s="1058"/>
      <c r="Y408" s="1058"/>
      <c r="Z408" s="1058"/>
      <c r="AA408" s="1058"/>
      <c r="AB408" s="1058"/>
      <c r="AC408" s="1058"/>
      <c r="AD408" s="1058"/>
      <c r="AE408" s="1058"/>
      <c r="AF408" s="1058"/>
      <c r="AG408" s="1058"/>
      <c r="AH408" s="1058"/>
      <c r="AI408" s="1058"/>
      <c r="AJ408" s="1058"/>
      <c r="AK408" s="1058"/>
      <c r="AL408" s="1058"/>
      <c r="AM408" s="1058"/>
      <c r="AN408" s="452"/>
      <c r="AO408" s="1058"/>
      <c r="AQ408" s="1448"/>
      <c r="AR408" s="1448"/>
      <c r="AS408" s="1448"/>
      <c r="AT408" s="1058"/>
      <c r="AU408" s="1058"/>
      <c r="AV408" s="1058"/>
    </row>
    <row r="409" spans="1:48" ht="18" customHeight="1">
      <c r="B409" s="1685" t="s">
        <v>639</v>
      </c>
      <c r="C409" s="1685"/>
      <c r="D409" s="1685"/>
      <c r="E409" s="1685"/>
      <c r="F409" s="1685"/>
      <c r="G409" s="1685"/>
      <c r="H409" s="1685"/>
      <c r="I409" s="1685"/>
      <c r="J409" s="1685"/>
      <c r="K409" s="1685"/>
      <c r="L409" s="1685"/>
      <c r="M409" s="1685"/>
      <c r="N409" s="1685"/>
      <c r="O409" s="1685"/>
      <c r="P409" s="1685"/>
      <c r="Q409" s="1685"/>
      <c r="R409" s="1685"/>
      <c r="S409" s="1685"/>
      <c r="T409" s="1685"/>
      <c r="U409" s="1685"/>
      <c r="V409" s="1685"/>
      <c r="W409" s="1685"/>
      <c r="X409" s="1685"/>
      <c r="Y409" s="1685"/>
      <c r="Z409" s="1685"/>
      <c r="AA409" s="1685"/>
      <c r="AB409" s="1685"/>
      <c r="AC409" s="1685"/>
      <c r="AD409" s="1685"/>
      <c r="AE409" s="1685"/>
      <c r="AF409" s="1685"/>
      <c r="AG409" s="1685"/>
      <c r="AH409" s="1685"/>
      <c r="AI409" s="1685"/>
      <c r="AJ409" s="1685"/>
      <c r="AK409" s="1685"/>
      <c r="AL409" s="1685"/>
      <c r="AM409" s="1685"/>
      <c r="AN409" s="463"/>
    </row>
    <row r="410" spans="1:48" ht="18" customHeight="1">
      <c r="B410" s="1058"/>
      <c r="C410" s="1058"/>
      <c r="D410" s="1058"/>
      <c r="E410" s="1058"/>
      <c r="F410" s="1058"/>
      <c r="G410" s="1058"/>
      <c r="H410" s="1058"/>
      <c r="I410" s="1058"/>
      <c r="J410" s="1058"/>
      <c r="K410" s="1058"/>
      <c r="L410" s="1058"/>
      <c r="M410" s="1058"/>
      <c r="N410" s="1058"/>
      <c r="O410" s="1058"/>
      <c r="P410" s="1058"/>
      <c r="Q410" s="1058"/>
      <c r="R410" s="1058"/>
      <c r="S410" s="1058"/>
      <c r="T410" s="1058"/>
      <c r="U410" s="1058"/>
      <c r="V410" s="1058"/>
      <c r="W410" s="1058"/>
      <c r="X410" s="1058"/>
      <c r="Y410" s="1058"/>
      <c r="Z410" s="1058"/>
      <c r="AA410" s="1058"/>
      <c r="AB410" s="1058"/>
      <c r="AC410" s="1058"/>
      <c r="AD410" s="1058"/>
      <c r="AE410" s="1058"/>
      <c r="AF410" s="1058"/>
      <c r="AG410" s="1058"/>
      <c r="AH410" s="1058"/>
      <c r="AI410" s="1058"/>
      <c r="AJ410" s="1058"/>
      <c r="AK410" s="1058"/>
      <c r="AL410" s="1058"/>
      <c r="AM410" s="1058"/>
      <c r="AN410" s="452"/>
    </row>
  </sheetData>
  <sortState xmlns:xlrd2="http://schemas.microsoft.com/office/spreadsheetml/2017/richdata2" ref="AP346:AQ406">
    <sortCondition descending="1" ref="AQ346:AQ406"/>
  </sortState>
  <dataConsolidate/>
  <mergeCells count="1290">
    <mergeCell ref="E118:L118"/>
    <mergeCell ref="E120:N120"/>
    <mergeCell ref="E121:AK121"/>
    <mergeCell ref="AL121:AM121"/>
    <mergeCell ref="K37:L37"/>
    <mergeCell ref="M37:S37"/>
    <mergeCell ref="T37:U37"/>
    <mergeCell ref="K38:L38"/>
    <mergeCell ref="M38:S38"/>
    <mergeCell ref="T38:U38"/>
    <mergeCell ref="K39:L39"/>
    <mergeCell ref="M39:S39"/>
    <mergeCell ref="T39:U39"/>
    <mergeCell ref="K40:L40"/>
    <mergeCell ref="M40:S40"/>
    <mergeCell ref="T40:U40"/>
    <mergeCell ref="K41:L41"/>
    <mergeCell ref="M41:S41"/>
    <mergeCell ref="T41:U41"/>
    <mergeCell ref="D46:E46"/>
    <mergeCell ref="AK94:AM94"/>
    <mergeCell ref="AF93:AG93"/>
    <mergeCell ref="E115:AK115"/>
    <mergeCell ref="AL115:AM115"/>
    <mergeCell ref="AL116:AM116"/>
    <mergeCell ref="AH102:AJ102"/>
    <mergeCell ref="E111:M111"/>
    <mergeCell ref="N111:AE111"/>
    <mergeCell ref="AL106:AM106"/>
    <mergeCell ref="AF100:AG100"/>
    <mergeCell ref="E113:AM113"/>
    <mergeCell ref="E109:AM109"/>
    <mergeCell ref="M34:S34"/>
    <mergeCell ref="T34:U34"/>
    <mergeCell ref="K35:L35"/>
    <mergeCell ref="M35:S35"/>
    <mergeCell ref="K36:L36"/>
    <mergeCell ref="M36:S36"/>
    <mergeCell ref="T36:U36"/>
    <mergeCell ref="C36:J36"/>
    <mergeCell ref="C37:J37"/>
    <mergeCell ref="E87:L87"/>
    <mergeCell ref="E89:N89"/>
    <mergeCell ref="E90:AK90"/>
    <mergeCell ref="X94:Z94"/>
    <mergeCell ref="I95:O95"/>
    <mergeCell ref="Z54:AA54"/>
    <mergeCell ref="AB54:AC54"/>
    <mergeCell ref="P54:Q54"/>
    <mergeCell ref="P53:Q53"/>
    <mergeCell ref="D52:E52"/>
    <mergeCell ref="D51:E51"/>
    <mergeCell ref="F51:G51"/>
    <mergeCell ref="T91:W91"/>
    <mergeCell ref="T92:W92"/>
    <mergeCell ref="AJ47:AK47"/>
    <mergeCell ref="J49:K49"/>
    <mergeCell ref="X48:Y48"/>
    <mergeCell ref="V49:W49"/>
    <mergeCell ref="T54:U54"/>
    <mergeCell ref="AJ48:AK48"/>
    <mergeCell ref="F52:G52"/>
    <mergeCell ref="D50:E50"/>
    <mergeCell ref="T51:U51"/>
    <mergeCell ref="B111:D111"/>
    <mergeCell ref="X100:Z100"/>
    <mergeCell ref="C101:H101"/>
    <mergeCell ref="C102:H102"/>
    <mergeCell ref="X102:Z102"/>
    <mergeCell ref="AF102:AG102"/>
    <mergeCell ref="E106:M106"/>
    <mergeCell ref="N106:AE106"/>
    <mergeCell ref="P102:S102"/>
    <mergeCell ref="AF103:AK103"/>
    <mergeCell ref="AA102:AC102"/>
    <mergeCell ref="N105:AE105"/>
    <mergeCell ref="AD102:AE102"/>
    <mergeCell ref="X101:Z101"/>
    <mergeCell ref="AA101:AC101"/>
    <mergeCell ref="P101:S101"/>
    <mergeCell ref="T101:W101"/>
    <mergeCell ref="T102:W102"/>
    <mergeCell ref="AF111:AK111"/>
    <mergeCell ref="E108:AM108"/>
    <mergeCell ref="AF105:AK105"/>
    <mergeCell ref="AL105:AM105"/>
    <mergeCell ref="AL103:AM103"/>
    <mergeCell ref="AD101:AE101"/>
    <mergeCell ref="P100:S100"/>
    <mergeCell ref="AD100:AE100"/>
    <mergeCell ref="T100:W100"/>
    <mergeCell ref="B106:D106"/>
    <mergeCell ref="AF106:AK106"/>
    <mergeCell ref="N104:AE104"/>
    <mergeCell ref="E107:AM107"/>
    <mergeCell ref="D110:AM110"/>
    <mergeCell ref="AF352:AK352"/>
    <mergeCell ref="AL352:AM352"/>
    <mergeCell ref="AI311:AJ311"/>
    <mergeCell ref="AL311:AM311"/>
    <mergeCell ref="AL326:AM326"/>
    <mergeCell ref="W112:AM112"/>
    <mergeCell ref="B112:V112"/>
    <mergeCell ref="C22:AM22"/>
    <mergeCell ref="C14:AM14"/>
    <mergeCell ref="C16:AM16"/>
    <mergeCell ref="C17:AM17"/>
    <mergeCell ref="C19:AM19"/>
    <mergeCell ref="C20:AM20"/>
    <mergeCell ref="C273:AM273"/>
    <mergeCell ref="K42:L42"/>
    <mergeCell ref="E30:AM30"/>
    <mergeCell ref="C379:AK379"/>
    <mergeCell ref="E366:AK366"/>
    <mergeCell ref="AL366:AM366"/>
    <mergeCell ref="E368:AK368"/>
    <mergeCell ref="AL368:AM368"/>
    <mergeCell ref="E367:L367"/>
    <mergeCell ref="E370:AK370"/>
    <mergeCell ref="C354:AK354"/>
    <mergeCell ref="AL354:AM354"/>
    <mergeCell ref="AL370:AM370"/>
    <mergeCell ref="E372:AM372"/>
    <mergeCell ref="E373:AM373"/>
    <mergeCell ref="E374:AM374"/>
    <mergeCell ref="C377:AK377"/>
    <mergeCell ref="B369:D369"/>
    <mergeCell ref="E369:M369"/>
    <mergeCell ref="AL369:AM369"/>
    <mergeCell ref="B375:D375"/>
    <mergeCell ref="E375:M375"/>
    <mergeCell ref="N375:AE375"/>
    <mergeCell ref="AF375:AK375"/>
    <mergeCell ref="AL375:AM375"/>
    <mergeCell ref="E371:AK371"/>
    <mergeCell ref="AL371:AM371"/>
    <mergeCell ref="D356:AK356"/>
    <mergeCell ref="E357:AM357"/>
    <mergeCell ref="E358:R358"/>
    <mergeCell ref="D355:AK355"/>
    <mergeCell ref="D363:AM363"/>
    <mergeCell ref="B364:D364"/>
    <mergeCell ref="E364:M364"/>
    <mergeCell ref="N364:AE364"/>
    <mergeCell ref="AF364:AK364"/>
    <mergeCell ref="AL364:AM364"/>
    <mergeCell ref="D360:AK360"/>
    <mergeCell ref="AL360:AM360"/>
    <mergeCell ref="D361:K361"/>
    <mergeCell ref="L361:U361"/>
    <mergeCell ref="D362:AM362"/>
    <mergeCell ref="AI359:AK359"/>
    <mergeCell ref="L359:AH359"/>
    <mergeCell ref="N369:AE369"/>
    <mergeCell ref="AF369:AK369"/>
    <mergeCell ref="AL356:AM356"/>
    <mergeCell ref="S358:U358"/>
    <mergeCell ref="AL355:AM355"/>
    <mergeCell ref="E300:AH300"/>
    <mergeCell ref="C346:AK346"/>
    <mergeCell ref="AL346:AM346"/>
    <mergeCell ref="E305:U305"/>
    <mergeCell ref="AL333:AM333"/>
    <mergeCell ref="AI303:AJ303"/>
    <mergeCell ref="AL303:AM303"/>
    <mergeCell ref="F302:AH302"/>
    <mergeCell ref="F303:AH303"/>
    <mergeCell ref="AL329:AM330"/>
    <mergeCell ref="E329:U329"/>
    <mergeCell ref="AL317:AM317"/>
    <mergeCell ref="F331:AH331"/>
    <mergeCell ref="AI331:AJ331"/>
    <mergeCell ref="AL316:AM316"/>
    <mergeCell ref="AI308:AJ308"/>
    <mergeCell ref="AL308:AM308"/>
    <mergeCell ref="AI324:AJ324"/>
    <mergeCell ref="AL324:AM324"/>
    <mergeCell ref="AI325:AJ325"/>
    <mergeCell ref="AL325:AM325"/>
    <mergeCell ref="AI326:AJ326"/>
    <mergeCell ref="E328:AH328"/>
    <mergeCell ref="E330:AH330"/>
    <mergeCell ref="W307:AM307"/>
    <mergeCell ref="F308:AH308"/>
    <mergeCell ref="T32:U32"/>
    <mergeCell ref="T33:U33"/>
    <mergeCell ref="T35:U35"/>
    <mergeCell ref="M32:S32"/>
    <mergeCell ref="K34:L34"/>
    <mergeCell ref="B254:D254"/>
    <mergeCell ref="E254:M254"/>
    <mergeCell ref="N254:AE254"/>
    <mergeCell ref="AF254:AK254"/>
    <mergeCell ref="AL348:AM348"/>
    <mergeCell ref="AL301:AM301"/>
    <mergeCell ref="AL323:AM323"/>
    <mergeCell ref="AI323:AJ323"/>
    <mergeCell ref="AI318:AJ318"/>
    <mergeCell ref="AL318:AM318"/>
    <mergeCell ref="D297:AH297"/>
    <mergeCell ref="AI297:AJ297"/>
    <mergeCell ref="AL294:AM294"/>
    <mergeCell ref="AL300:AM300"/>
    <mergeCell ref="AI300:AJ300"/>
    <mergeCell ref="N219:AE219"/>
    <mergeCell ref="AL254:AM254"/>
    <mergeCell ref="AL343:AM343"/>
    <mergeCell ref="E313:AH313"/>
    <mergeCell ref="E314:AH314"/>
    <mergeCell ref="E316:AH316"/>
    <mergeCell ref="F317:AH317"/>
    <mergeCell ref="F318:AH318"/>
    <mergeCell ref="F319:AH319"/>
    <mergeCell ref="AI319:AJ319"/>
    <mergeCell ref="AL319:AM319"/>
    <mergeCell ref="F301:AG301"/>
    <mergeCell ref="AI337:AJ337"/>
    <mergeCell ref="AL337:AM337"/>
    <mergeCell ref="F338:AH338"/>
    <mergeCell ref="AI338:AJ338"/>
    <mergeCell ref="AL338:AM338"/>
    <mergeCell ref="B3:E3"/>
    <mergeCell ref="E85:AK85"/>
    <mergeCell ref="B76:AK76"/>
    <mergeCell ref="AL76:AM76"/>
    <mergeCell ref="D77:AM77"/>
    <mergeCell ref="D78:AM78"/>
    <mergeCell ref="D79:AM79"/>
    <mergeCell ref="AL63:AM63"/>
    <mergeCell ref="D63:AK63"/>
    <mergeCell ref="D67:AK67"/>
    <mergeCell ref="D68:M68"/>
    <mergeCell ref="N68:O68"/>
    <mergeCell ref="AL68:AM68"/>
    <mergeCell ref="Q68:AK68"/>
    <mergeCell ref="B66:D66"/>
    <mergeCell ref="E66:M66"/>
    <mergeCell ref="N66:AE66"/>
    <mergeCell ref="AF66:AK66"/>
    <mergeCell ref="AL66:AM66"/>
    <mergeCell ref="AL46:AM46"/>
    <mergeCell ref="L46:M46"/>
    <mergeCell ref="AB49:AC49"/>
    <mergeCell ref="AB48:AC48"/>
    <mergeCell ref="F48:G48"/>
    <mergeCell ref="AL52:AM52"/>
    <mergeCell ref="Z49:AA49"/>
    <mergeCell ref="J48:K48"/>
    <mergeCell ref="E294:AK294"/>
    <mergeCell ref="F340:AH340"/>
    <mergeCell ref="B352:D352"/>
    <mergeCell ref="E352:M352"/>
    <mergeCell ref="N352:AE352"/>
    <mergeCell ref="AL295:AM295"/>
    <mergeCell ref="E321:AH321"/>
    <mergeCell ref="AI321:AJ321"/>
    <mergeCell ref="AL321:AM321"/>
    <mergeCell ref="F322:AH322"/>
    <mergeCell ref="F323:AH323"/>
    <mergeCell ref="F324:AH324"/>
    <mergeCell ref="F325:AH325"/>
    <mergeCell ref="D350:M350"/>
    <mergeCell ref="E304:U304"/>
    <mergeCell ref="W304:AM304"/>
    <mergeCell ref="D351:I351"/>
    <mergeCell ref="J351:O351"/>
    <mergeCell ref="P351:Y351"/>
    <mergeCell ref="Z351:AA351"/>
    <mergeCell ref="AL351:AM351"/>
    <mergeCell ref="V329:W329"/>
    <mergeCell ref="G343:AH343"/>
    <mergeCell ref="AI343:AJ343"/>
    <mergeCell ref="F334:AH334"/>
    <mergeCell ref="AI334:AJ334"/>
    <mergeCell ref="AL334:AM334"/>
    <mergeCell ref="G335:AH335"/>
    <mergeCell ref="G336:AH336"/>
    <mergeCell ref="F337:AH337"/>
    <mergeCell ref="E312:AM312"/>
    <mergeCell ref="AL347:AM347"/>
    <mergeCell ref="E283:AM283"/>
    <mergeCell ref="AL258:AM258"/>
    <mergeCell ref="AL261:AM261"/>
    <mergeCell ref="U298:V298"/>
    <mergeCell ref="E295:AK295"/>
    <mergeCell ref="AL380:AM380"/>
    <mergeCell ref="AI302:AJ302"/>
    <mergeCell ref="AL302:AM302"/>
    <mergeCell ref="AI301:AJ301"/>
    <mergeCell ref="E293:AM293"/>
    <mergeCell ref="D298:T298"/>
    <mergeCell ref="AL379:AM379"/>
    <mergeCell ref="B359:D359"/>
    <mergeCell ref="AL359:AM359"/>
    <mergeCell ref="AI322:AJ322"/>
    <mergeCell ref="AL322:AM322"/>
    <mergeCell ref="AI316:AJ316"/>
    <mergeCell ref="AI344:AJ344"/>
    <mergeCell ref="AL344:AM344"/>
    <mergeCell ref="AI341:AJ341"/>
    <mergeCell ref="AL341:AM341"/>
    <mergeCell ref="G344:AH344"/>
    <mergeCell ref="AL331:AM331"/>
    <mergeCell ref="F332:AH332"/>
    <mergeCell ref="AI332:AJ332"/>
    <mergeCell ref="AL332:AM332"/>
    <mergeCell ref="F333:AH333"/>
    <mergeCell ref="AI333:AJ333"/>
    <mergeCell ref="W305:AM305"/>
    <mergeCell ref="E306:U306"/>
    <mergeCell ref="W306:AM306"/>
    <mergeCell ref="E307:U307"/>
    <mergeCell ref="D249:AK249"/>
    <mergeCell ref="D250:AK250"/>
    <mergeCell ref="D252:AK252"/>
    <mergeCell ref="AL252:AM252"/>
    <mergeCell ref="AL253:AM253"/>
    <mergeCell ref="B378:AM378"/>
    <mergeCell ref="E359:K359"/>
    <mergeCell ref="AI309:AJ309"/>
    <mergeCell ref="AL309:AM309"/>
    <mergeCell ref="AI310:AJ310"/>
    <mergeCell ref="AL310:AM310"/>
    <mergeCell ref="AI317:AJ317"/>
    <mergeCell ref="B222:D222"/>
    <mergeCell ref="AL225:AM225"/>
    <mergeCell ref="N228:AE228"/>
    <mergeCell ref="AL259:AM259"/>
    <mergeCell ref="B260:D260"/>
    <mergeCell ref="E260:M260"/>
    <mergeCell ref="N260:AE260"/>
    <mergeCell ref="AF260:AK260"/>
    <mergeCell ref="AL260:AM260"/>
    <mergeCell ref="AF228:AK228"/>
    <mergeCell ref="AL228:AM228"/>
    <mergeCell ref="AL229:AM229"/>
    <mergeCell ref="AL265:AM265"/>
    <mergeCell ref="F326:AH326"/>
    <mergeCell ref="AL297:AM297"/>
    <mergeCell ref="AI298:AJ299"/>
    <mergeCell ref="AL298:AM299"/>
    <mergeCell ref="F309:AH309"/>
    <mergeCell ref="F310:AH310"/>
    <mergeCell ref="F311:AH311"/>
    <mergeCell ref="AL155:AM155"/>
    <mergeCell ref="AH147:AK147"/>
    <mergeCell ref="AH149:AK149"/>
    <mergeCell ref="T138:W138"/>
    <mergeCell ref="X138:Z138"/>
    <mergeCell ref="E284:AM284"/>
    <mergeCell ref="E285:AM285"/>
    <mergeCell ref="E286:AK286"/>
    <mergeCell ref="AL286:AM286"/>
    <mergeCell ref="E287:AM287"/>
    <mergeCell ref="E288:AM288"/>
    <mergeCell ref="E289:AM289"/>
    <mergeCell ref="E290:AK290"/>
    <mergeCell ref="AL290:AM290"/>
    <mergeCell ref="E291:AM291"/>
    <mergeCell ref="E292:AM292"/>
    <mergeCell ref="X256:AM256"/>
    <mergeCell ref="AB215:AK215"/>
    <mergeCell ref="AL243:AM243"/>
    <mergeCell ref="N251:AE251"/>
    <mergeCell ref="AF251:AK251"/>
    <mergeCell ref="AL242:AM242"/>
    <mergeCell ref="AL241:AM241"/>
    <mergeCell ref="AL247:AM247"/>
    <mergeCell ref="AL246:AM246"/>
    <mergeCell ref="D233:P233"/>
    <mergeCell ref="Q233:AM233"/>
    <mergeCell ref="D234:AK234"/>
    <mergeCell ref="D235:K235"/>
    <mergeCell ref="AL244:AM244"/>
    <mergeCell ref="D255:AK255"/>
    <mergeCell ref="B218:D218"/>
    <mergeCell ref="AC131:AE131"/>
    <mergeCell ref="AC132:AE132"/>
    <mergeCell ref="AF127:AG127"/>
    <mergeCell ref="AH129:AJ129"/>
    <mergeCell ref="AK129:AM129"/>
    <mergeCell ref="AK130:AM130"/>
    <mergeCell ref="AC133:AE133"/>
    <mergeCell ref="AA137:AB137"/>
    <mergeCell ref="AC137:AE137"/>
    <mergeCell ref="AC138:AE138"/>
    <mergeCell ref="P138:S138"/>
    <mergeCell ref="AL172:AM172"/>
    <mergeCell ref="B173:D173"/>
    <mergeCell ref="AC141:AE141"/>
    <mergeCell ref="C141:H141"/>
    <mergeCell ref="I141:O141"/>
    <mergeCell ref="P141:S141"/>
    <mergeCell ref="T141:W141"/>
    <mergeCell ref="X141:Z141"/>
    <mergeCell ref="AF141:AG141"/>
    <mergeCell ref="AH141:AJ141"/>
    <mergeCell ref="AK141:AM141"/>
    <mergeCell ref="C142:H142"/>
    <mergeCell ref="I142:O142"/>
    <mergeCell ref="P142:S142"/>
    <mergeCell ref="T142:W142"/>
    <mergeCell ref="X142:Z142"/>
    <mergeCell ref="AA142:AB142"/>
    <mergeCell ref="AF142:AG142"/>
    <mergeCell ref="AH148:AK148"/>
    <mergeCell ref="AB166:AK166"/>
    <mergeCell ref="E167:AM167"/>
    <mergeCell ref="AC134:AE134"/>
    <mergeCell ref="C135:H135"/>
    <mergeCell ref="I135:O135"/>
    <mergeCell ref="P134:S134"/>
    <mergeCell ref="AH134:AJ134"/>
    <mergeCell ref="C137:H137"/>
    <mergeCell ref="C136:H136"/>
    <mergeCell ref="T126:W126"/>
    <mergeCell ref="P131:S131"/>
    <mergeCell ref="T131:W131"/>
    <mergeCell ref="AF128:AG128"/>
    <mergeCell ref="AH128:AJ128"/>
    <mergeCell ref="AK128:AM128"/>
    <mergeCell ref="AC126:AE127"/>
    <mergeCell ref="AF126:AG126"/>
    <mergeCell ref="T127:W127"/>
    <mergeCell ref="X136:Z136"/>
    <mergeCell ref="AH136:AJ136"/>
    <mergeCell ref="AF131:AG131"/>
    <mergeCell ref="AH131:AJ131"/>
    <mergeCell ref="AF136:AG136"/>
    <mergeCell ref="T134:W134"/>
    <mergeCell ref="X135:Z135"/>
    <mergeCell ref="X134:Z134"/>
    <mergeCell ref="AF134:AG134"/>
    <mergeCell ref="AH135:AJ135"/>
    <mergeCell ref="AH133:AJ133"/>
    <mergeCell ref="AK133:AM133"/>
    <mergeCell ref="P132:S132"/>
    <mergeCell ref="T132:W132"/>
    <mergeCell ref="AA132:AB132"/>
    <mergeCell ref="AA133:AB133"/>
    <mergeCell ref="X126:Z126"/>
    <mergeCell ref="AF129:AG129"/>
    <mergeCell ref="I129:O129"/>
    <mergeCell ref="P129:S129"/>
    <mergeCell ref="T129:W129"/>
    <mergeCell ref="X132:Z132"/>
    <mergeCell ref="C129:H129"/>
    <mergeCell ref="AK131:AM131"/>
    <mergeCell ref="B122:AK122"/>
    <mergeCell ref="AL122:AM122"/>
    <mergeCell ref="AA138:AB138"/>
    <mergeCell ref="AL111:AM111"/>
    <mergeCell ref="AL119:AM119"/>
    <mergeCell ref="B124:D124"/>
    <mergeCell ref="E124:M124"/>
    <mergeCell ref="I126:O127"/>
    <mergeCell ref="B125:AM125"/>
    <mergeCell ref="AH126:AJ127"/>
    <mergeCell ref="AK126:AM127"/>
    <mergeCell ref="AA126:AB127"/>
    <mergeCell ref="N124:AE124"/>
    <mergeCell ref="AF124:AK124"/>
    <mergeCell ref="AL124:AM124"/>
    <mergeCell ref="X127:Z127"/>
    <mergeCell ref="B126:H127"/>
    <mergeCell ref="P126:S127"/>
    <mergeCell ref="E116:AK116"/>
    <mergeCell ref="E117:AM117"/>
    <mergeCell ref="E114:AM114"/>
    <mergeCell ref="E119:AK119"/>
    <mergeCell ref="AK138:AM138"/>
    <mergeCell ref="AF137:AG137"/>
    <mergeCell ref="B197:AM197"/>
    <mergeCell ref="I137:O137"/>
    <mergeCell ref="P137:S137"/>
    <mergeCell ref="I136:O136"/>
    <mergeCell ref="P136:S136"/>
    <mergeCell ref="T136:W136"/>
    <mergeCell ref="AH142:AJ142"/>
    <mergeCell ref="AC142:AE142"/>
    <mergeCell ref="Z166:AA166"/>
    <mergeCell ref="C153:AM153"/>
    <mergeCell ref="AA139:AB139"/>
    <mergeCell ref="N163:AE163"/>
    <mergeCell ref="AL146:AM146"/>
    <mergeCell ref="E173:M173"/>
    <mergeCell ref="E181:M181"/>
    <mergeCell ref="AF138:AG138"/>
    <mergeCell ref="AH138:AJ138"/>
    <mergeCell ref="I138:O138"/>
    <mergeCell ref="AA141:AB141"/>
    <mergeCell ref="AH139:AJ139"/>
    <mergeCell ref="AK142:AM142"/>
    <mergeCell ref="B144:AK144"/>
    <mergeCell ref="T137:W137"/>
    <mergeCell ref="X137:Z137"/>
    <mergeCell ref="AA140:AB140"/>
    <mergeCell ref="AC139:AE139"/>
    <mergeCell ref="AC140:AE140"/>
    <mergeCell ref="X139:Z139"/>
    <mergeCell ref="AF139:AG139"/>
    <mergeCell ref="AH137:AJ137"/>
    <mergeCell ref="E168:AM168"/>
    <mergeCell ref="AL144:AM144"/>
    <mergeCell ref="AK139:AM139"/>
    <mergeCell ref="AF199:AK199"/>
    <mergeCell ref="AL201:AM201"/>
    <mergeCell ref="B201:AK201"/>
    <mergeCell ref="B207:AM207"/>
    <mergeCell ref="O209:AK209"/>
    <mergeCell ref="B208:AG208"/>
    <mergeCell ref="B209:L209"/>
    <mergeCell ref="E170:AK170"/>
    <mergeCell ref="E171:AK171"/>
    <mergeCell ref="C139:H139"/>
    <mergeCell ref="I139:O139"/>
    <mergeCell ref="P139:S139"/>
    <mergeCell ref="T139:W139"/>
    <mergeCell ref="D186:AM186"/>
    <mergeCell ref="E169:AM169"/>
    <mergeCell ref="AH146:AK146"/>
    <mergeCell ref="AL159:AM159"/>
    <mergeCell ref="AL179:AM179"/>
    <mergeCell ref="B163:D163"/>
    <mergeCell ref="E163:M163"/>
    <mergeCell ref="AL158:AM158"/>
    <mergeCell ref="AL180:AM180"/>
    <mergeCell ref="B175:AM175"/>
    <mergeCell ref="C140:H140"/>
    <mergeCell ref="B199:D199"/>
    <mergeCell ref="AL171:AM171"/>
    <mergeCell ref="E174:M174"/>
    <mergeCell ref="N174:AE174"/>
    <mergeCell ref="AF174:AK174"/>
    <mergeCell ref="B145:AG145"/>
    <mergeCell ref="AF198:AK198"/>
    <mergeCell ref="AL192:AM192"/>
    <mergeCell ref="B174:D174"/>
    <mergeCell ref="D143:AM143"/>
    <mergeCell ref="C152:AK152"/>
    <mergeCell ref="E199:M199"/>
    <mergeCell ref="N196:AE196"/>
    <mergeCell ref="AF196:AK196"/>
    <mergeCell ref="D159:AK159"/>
    <mergeCell ref="D155:AK155"/>
    <mergeCell ref="E176:AK176"/>
    <mergeCell ref="D156:R156"/>
    <mergeCell ref="D157:AM157"/>
    <mergeCell ref="E166:Y166"/>
    <mergeCell ref="AL166:AM166"/>
    <mergeCell ref="AL165:AM165"/>
    <mergeCell ref="AF158:AK158"/>
    <mergeCell ref="B181:D181"/>
    <mergeCell ref="AL154:AM154"/>
    <mergeCell ref="AL176:AM176"/>
    <mergeCell ref="D164:AK164"/>
    <mergeCell ref="AF191:AK191"/>
    <mergeCell ref="AL191:AM191"/>
    <mergeCell ref="AL199:AM199"/>
    <mergeCell ref="AL198:AM198"/>
    <mergeCell ref="AL177:AM177"/>
    <mergeCell ref="AH150:AK150"/>
    <mergeCell ref="N173:AE173"/>
    <mergeCell ref="AF173:AK173"/>
    <mergeCell ref="AL173:AM173"/>
    <mergeCell ref="AL170:AM170"/>
    <mergeCell ref="N181:AE181"/>
    <mergeCell ref="AF181:AK181"/>
    <mergeCell ref="P140:S140"/>
    <mergeCell ref="T140:W140"/>
    <mergeCell ref="X140:Z140"/>
    <mergeCell ref="AF140:AG140"/>
    <mergeCell ref="AH140:AJ140"/>
    <mergeCell ref="AK140:AM140"/>
    <mergeCell ref="B251:D251"/>
    <mergeCell ref="E251:M251"/>
    <mergeCell ref="AL255:AM255"/>
    <mergeCell ref="B257:D257"/>
    <mergeCell ref="E257:M257"/>
    <mergeCell ref="N257:AE257"/>
    <mergeCell ref="AF257:AK257"/>
    <mergeCell ref="D253:AK253"/>
    <mergeCell ref="E240:K240"/>
    <mergeCell ref="L240:AE240"/>
    <mergeCell ref="AL162:AM162"/>
    <mergeCell ref="D160:AM160"/>
    <mergeCell ref="AL181:AM181"/>
    <mergeCell ref="B224:AM224"/>
    <mergeCell ref="D192:AK192"/>
    <mergeCell ref="AL193:AM193"/>
    <mergeCell ref="D193:AK193"/>
    <mergeCell ref="D194:AK194"/>
    <mergeCell ref="D195:AK195"/>
    <mergeCell ref="AL195:AM195"/>
    <mergeCell ref="N199:AE199"/>
    <mergeCell ref="N218:AE218"/>
    <mergeCell ref="AF218:AK218"/>
    <mergeCell ref="B214:J214"/>
    <mergeCell ref="AB214:AK214"/>
    <mergeCell ref="AL174:AM174"/>
    <mergeCell ref="C277:AM277"/>
    <mergeCell ref="D278:AM278"/>
    <mergeCell ref="D279:T279"/>
    <mergeCell ref="U279:V279"/>
    <mergeCell ref="E280:AK280"/>
    <mergeCell ref="AL280:AM280"/>
    <mergeCell ref="Z281:AA281"/>
    <mergeCell ref="E281:Y281"/>
    <mergeCell ref="AL262:AM262"/>
    <mergeCell ref="B263:D263"/>
    <mergeCell ref="E263:M263"/>
    <mergeCell ref="N263:AE263"/>
    <mergeCell ref="AF263:AK263"/>
    <mergeCell ref="AL263:AM263"/>
    <mergeCell ref="D256:W256"/>
    <mergeCell ref="D261:AK261"/>
    <mergeCell ref="D262:AK262"/>
    <mergeCell ref="B274:AM274"/>
    <mergeCell ref="B265:AK265"/>
    <mergeCell ref="AL257:AM257"/>
    <mergeCell ref="B228:D228"/>
    <mergeCell ref="E228:M228"/>
    <mergeCell ref="B240:D240"/>
    <mergeCell ref="AF240:AK240"/>
    <mergeCell ref="AL240:AM240"/>
    <mergeCell ref="AL236:AM236"/>
    <mergeCell ref="AL238:AM238"/>
    <mergeCell ref="D225:AK225"/>
    <mergeCell ref="B212:J212"/>
    <mergeCell ref="Q213:W213"/>
    <mergeCell ref="AL220:AM220"/>
    <mergeCell ref="D229:AK229"/>
    <mergeCell ref="L230:AM230"/>
    <mergeCell ref="D230:K230"/>
    <mergeCell ref="D217:AK217"/>
    <mergeCell ref="C220:AK220"/>
    <mergeCell ref="B223:AM223"/>
    <mergeCell ref="AL232:AM232"/>
    <mergeCell ref="AL214:AM214"/>
    <mergeCell ref="AL215:AM215"/>
    <mergeCell ref="D232:AK232"/>
    <mergeCell ref="K213:N213"/>
    <mergeCell ref="AL218:AM218"/>
    <mergeCell ref="E219:M219"/>
    <mergeCell ref="B219:D219"/>
    <mergeCell ref="B213:J213"/>
    <mergeCell ref="AB213:AK213"/>
    <mergeCell ref="P212:W212"/>
    <mergeCell ref="AK216:AM216"/>
    <mergeCell ref="AB216:AJ216"/>
    <mergeCell ref="B216:J216"/>
    <mergeCell ref="AF219:AK219"/>
    <mergeCell ref="B248:D248"/>
    <mergeCell ref="E248:M248"/>
    <mergeCell ref="N248:AE248"/>
    <mergeCell ref="AF248:AK248"/>
    <mergeCell ref="AL248:AM248"/>
    <mergeCell ref="BR154:CB154"/>
    <mergeCell ref="B147:AG147"/>
    <mergeCell ref="AL149:AM149"/>
    <mergeCell ref="B148:AG148"/>
    <mergeCell ref="AL187:AM187"/>
    <mergeCell ref="D189:AK189"/>
    <mergeCell ref="AL189:AM189"/>
    <mergeCell ref="B190:D190"/>
    <mergeCell ref="E190:M190"/>
    <mergeCell ref="N190:AE190"/>
    <mergeCell ref="AF190:AK190"/>
    <mergeCell ref="AL190:AM190"/>
    <mergeCell ref="D188:AK188"/>
    <mergeCell ref="AL188:AM188"/>
    <mergeCell ref="B191:D191"/>
    <mergeCell ref="E191:M191"/>
    <mergeCell ref="N191:AE191"/>
    <mergeCell ref="AL183:AM183"/>
    <mergeCell ref="D187:AK187"/>
    <mergeCell ref="D183:AK183"/>
    <mergeCell ref="AL152:AM152"/>
    <mergeCell ref="D154:AK154"/>
    <mergeCell ref="D161:AK161"/>
    <mergeCell ref="D162:AK162"/>
    <mergeCell ref="E172:AK172"/>
    <mergeCell ref="B149:AG149"/>
    <mergeCell ref="AL163:AM163"/>
    <mergeCell ref="C93:H93"/>
    <mergeCell ref="B58:AK58"/>
    <mergeCell ref="AL84:AM84"/>
    <mergeCell ref="X91:Z91"/>
    <mergeCell ref="L53:M53"/>
    <mergeCell ref="N53:O53"/>
    <mergeCell ref="L54:M54"/>
    <mergeCell ref="AH53:AI53"/>
    <mergeCell ref="D62:AK62"/>
    <mergeCell ref="AD92:AE92"/>
    <mergeCell ref="AL64:AM64"/>
    <mergeCell ref="AP154:BQ154"/>
    <mergeCell ref="C138:H138"/>
    <mergeCell ref="E180:AK180"/>
    <mergeCell ref="B202:AM202"/>
    <mergeCell ref="N198:AE198"/>
    <mergeCell ref="B196:D196"/>
    <mergeCell ref="AL161:AM161"/>
    <mergeCell ref="B198:D198"/>
    <mergeCell ref="E198:M198"/>
    <mergeCell ref="B178:D178"/>
    <mergeCell ref="E178:M178"/>
    <mergeCell ref="N178:AE178"/>
    <mergeCell ref="AF178:AK178"/>
    <mergeCell ref="AL178:AM178"/>
    <mergeCell ref="E165:AK165"/>
    <mergeCell ref="E177:AK177"/>
    <mergeCell ref="AL70:AM70"/>
    <mergeCell ref="E196:M196"/>
    <mergeCell ref="E179:AK179"/>
    <mergeCell ref="D182:AK182"/>
    <mergeCell ref="AL182:AM182"/>
    <mergeCell ref="F50:G50"/>
    <mergeCell ref="X50:Y50"/>
    <mergeCell ref="R50:S50"/>
    <mergeCell ref="X53:Y53"/>
    <mergeCell ref="Z48:AA48"/>
    <mergeCell ref="X49:Y49"/>
    <mergeCell ref="V48:W48"/>
    <mergeCell ref="V51:W51"/>
    <mergeCell ref="X51:Y51"/>
    <mergeCell ref="E83:AM83"/>
    <mergeCell ref="H52:I52"/>
    <mergeCell ref="AD53:AE53"/>
    <mergeCell ref="Z53:AA53"/>
    <mergeCell ref="J53:K53"/>
    <mergeCell ref="R53:S53"/>
    <mergeCell ref="H53:I53"/>
    <mergeCell ref="AL54:AM54"/>
    <mergeCell ref="H50:I50"/>
    <mergeCell ref="J50:K50"/>
    <mergeCell ref="AL50:AM50"/>
    <mergeCell ref="T52:U52"/>
    <mergeCell ref="E70:AK70"/>
    <mergeCell ref="D54:E54"/>
    <mergeCell ref="F54:G54"/>
    <mergeCell ref="X54:Y54"/>
    <mergeCell ref="R49:S49"/>
    <mergeCell ref="AL62:AM62"/>
    <mergeCell ref="D48:E48"/>
    <mergeCell ref="AL65:AM65"/>
    <mergeCell ref="AL69:AM69"/>
    <mergeCell ref="N52:O52"/>
    <mergeCell ref="AJ54:AK54"/>
    <mergeCell ref="H54:I54"/>
    <mergeCell ref="J54:K54"/>
    <mergeCell ref="AL57:AM57"/>
    <mergeCell ref="AD52:AE52"/>
    <mergeCell ref="AH54:AI54"/>
    <mergeCell ref="V53:W53"/>
    <mergeCell ref="AD51:AE51"/>
    <mergeCell ref="E81:AM81"/>
    <mergeCell ref="E84:AK84"/>
    <mergeCell ref="B91:H92"/>
    <mergeCell ref="B61:D61"/>
    <mergeCell ref="E88:AK88"/>
    <mergeCell ref="AL51:AM51"/>
    <mergeCell ref="AL56:AM56"/>
    <mergeCell ref="AL61:AM61"/>
    <mergeCell ref="AA91:AC92"/>
    <mergeCell ref="AL53:AM53"/>
    <mergeCell ref="AH52:AI52"/>
    <mergeCell ref="E64:AK64"/>
    <mergeCell ref="E65:AK65"/>
    <mergeCell ref="AF61:AK61"/>
    <mergeCell ref="AD91:AE91"/>
    <mergeCell ref="E69:AK69"/>
    <mergeCell ref="AL58:AM58"/>
    <mergeCell ref="X52:Y52"/>
    <mergeCell ref="P52:Q52"/>
    <mergeCell ref="AF53:AG53"/>
    <mergeCell ref="J52:K52"/>
    <mergeCell ref="AL88:AM88"/>
    <mergeCell ref="AK91:AM92"/>
    <mergeCell ref="I91:O92"/>
    <mergeCell ref="AL85:AM85"/>
    <mergeCell ref="AL82:AM82"/>
    <mergeCell ref="O73:AM73"/>
    <mergeCell ref="AF91:AG91"/>
    <mergeCell ref="AD96:AE96"/>
    <mergeCell ref="C95:H95"/>
    <mergeCell ref="I97:O97"/>
    <mergeCell ref="AK95:AM95"/>
    <mergeCell ref="C72:AK72"/>
    <mergeCell ref="AF95:AG95"/>
    <mergeCell ref="C96:H96"/>
    <mergeCell ref="I94:O94"/>
    <mergeCell ref="AH91:AJ92"/>
    <mergeCell ref="AK93:AM93"/>
    <mergeCell ref="P91:S92"/>
    <mergeCell ref="I93:O93"/>
    <mergeCell ref="X95:Z95"/>
    <mergeCell ref="AA95:AC95"/>
    <mergeCell ref="I96:O96"/>
    <mergeCell ref="C97:H97"/>
    <mergeCell ref="AD94:AE94"/>
    <mergeCell ref="AL90:AM90"/>
    <mergeCell ref="P93:S93"/>
    <mergeCell ref="X93:Z93"/>
    <mergeCell ref="P96:S96"/>
    <mergeCell ref="P97:S97"/>
    <mergeCell ref="AA96:AC96"/>
    <mergeCell ref="T95:W95"/>
    <mergeCell ref="T96:W96"/>
    <mergeCell ref="AD95:AE95"/>
    <mergeCell ref="T93:W93"/>
    <mergeCell ref="C94:H94"/>
    <mergeCell ref="AF97:AG97"/>
    <mergeCell ref="T47:U47"/>
    <mergeCell ref="R44:U44"/>
    <mergeCell ref="AD48:AE48"/>
    <mergeCell ref="AB51:AC51"/>
    <mergeCell ref="R52:S52"/>
    <mergeCell ref="P46:Q46"/>
    <mergeCell ref="AL44:AM45"/>
    <mergeCell ref="P48:Q48"/>
    <mergeCell ref="P51:Q51"/>
    <mergeCell ref="L51:M51"/>
    <mergeCell ref="N51:O51"/>
    <mergeCell ref="Z50:AA50"/>
    <mergeCell ref="AB52:AC52"/>
    <mergeCell ref="Z52:AA52"/>
    <mergeCell ref="AH50:AI50"/>
    <mergeCell ref="AH51:AI51"/>
    <mergeCell ref="AF49:AG49"/>
    <mergeCell ref="AD44:AG44"/>
    <mergeCell ref="AJ50:AK50"/>
    <mergeCell ref="AL48:AM48"/>
    <mergeCell ref="AJ52:AK52"/>
    <mergeCell ref="AF52:AG52"/>
    <mergeCell ref="AD50:AE50"/>
    <mergeCell ref="AF48:AG48"/>
    <mergeCell ref="AJ45:AK45"/>
    <mergeCell ref="AD45:AE45"/>
    <mergeCell ref="N50:O50"/>
    <mergeCell ref="AB47:AC47"/>
    <mergeCell ref="L52:M52"/>
    <mergeCell ref="P50:Q50"/>
    <mergeCell ref="AF51:AG51"/>
    <mergeCell ref="H51:I51"/>
    <mergeCell ref="R51:S51"/>
    <mergeCell ref="V50:W50"/>
    <mergeCell ref="T49:U49"/>
    <mergeCell ref="R48:S48"/>
    <mergeCell ref="T48:U48"/>
    <mergeCell ref="AJ51:AK51"/>
    <mergeCell ref="L50:M50"/>
    <mergeCell ref="J51:K51"/>
    <mergeCell ref="AB50:AC50"/>
    <mergeCell ref="Z51:AA51"/>
    <mergeCell ref="AF47:AG47"/>
    <mergeCell ref="AF50:AG50"/>
    <mergeCell ref="R46:S46"/>
    <mergeCell ref="R45:S45"/>
    <mergeCell ref="T46:U46"/>
    <mergeCell ref="P49:Q49"/>
    <mergeCell ref="N45:O45"/>
    <mergeCell ref="N47:O47"/>
    <mergeCell ref="N48:O48"/>
    <mergeCell ref="P45:Q45"/>
    <mergeCell ref="L45:M45"/>
    <mergeCell ref="AH49:AI49"/>
    <mergeCell ref="J45:K45"/>
    <mergeCell ref="Z47:AA47"/>
    <mergeCell ref="P47:Q47"/>
    <mergeCell ref="V47:W47"/>
    <mergeCell ref="AD47:AE47"/>
    <mergeCell ref="X47:Y47"/>
    <mergeCell ref="L48:M48"/>
    <mergeCell ref="N49:O49"/>
    <mergeCell ref="R47:S47"/>
    <mergeCell ref="D27:AM27"/>
    <mergeCell ref="E28:AM28"/>
    <mergeCell ref="E29:AM29"/>
    <mergeCell ref="AD46:AE46"/>
    <mergeCell ref="C35:J35"/>
    <mergeCell ref="X45:Y45"/>
    <mergeCell ref="F49:G49"/>
    <mergeCell ref="L49:M49"/>
    <mergeCell ref="H49:I49"/>
    <mergeCell ref="Z45:AA45"/>
    <mergeCell ref="T45:U45"/>
    <mergeCell ref="K33:L33"/>
    <mergeCell ref="M33:S33"/>
    <mergeCell ref="AJ49:AK49"/>
    <mergeCell ref="AL49:AM49"/>
    <mergeCell ref="Z46:AA46"/>
    <mergeCell ref="V46:W46"/>
    <mergeCell ref="X46:Y46"/>
    <mergeCell ref="AB46:AC46"/>
    <mergeCell ref="N46:O46"/>
    <mergeCell ref="K32:L32"/>
    <mergeCell ref="D44:E44"/>
    <mergeCell ref="F44:I44"/>
    <mergeCell ref="F45:G45"/>
    <mergeCell ref="H45:I45"/>
    <mergeCell ref="F46:G46"/>
    <mergeCell ref="H48:I48"/>
    <mergeCell ref="D47:E47"/>
    <mergeCell ref="F47:G47"/>
    <mergeCell ref="V44:Y44"/>
    <mergeCell ref="N44:Q44"/>
    <mergeCell ref="J44:M44"/>
    <mergeCell ref="C25:AM25"/>
    <mergeCell ref="T50:U50"/>
    <mergeCell ref="AH45:AI45"/>
    <mergeCell ref="AF45:AG45"/>
    <mergeCell ref="Z44:AC44"/>
    <mergeCell ref="AK4:AM4"/>
    <mergeCell ref="Y4:AJ4"/>
    <mergeCell ref="B409:AM409"/>
    <mergeCell ref="AL72:AM72"/>
    <mergeCell ref="AF163:AK163"/>
    <mergeCell ref="AL196:AM196"/>
    <mergeCell ref="B158:D158"/>
    <mergeCell ref="E158:M158"/>
    <mergeCell ref="N158:AE158"/>
    <mergeCell ref="AL194:AM194"/>
    <mergeCell ref="B146:AG146"/>
    <mergeCell ref="AL150:AM150"/>
    <mergeCell ref="AL148:AM148"/>
    <mergeCell ref="AL147:AM147"/>
    <mergeCell ref="B150:AG150"/>
    <mergeCell ref="AA100:AC100"/>
    <mergeCell ref="AF222:AK222"/>
    <mergeCell ref="AL219:AM219"/>
    <mergeCell ref="AH97:AJ97"/>
    <mergeCell ref="AH95:AJ95"/>
    <mergeCell ref="AH96:AJ96"/>
    <mergeCell ref="D237:N237"/>
    <mergeCell ref="K212:N212"/>
    <mergeCell ref="C24:AK24"/>
    <mergeCell ref="D26:AM26"/>
    <mergeCell ref="J46:K46"/>
    <mergeCell ref="D49:E49"/>
    <mergeCell ref="AK3:AM3"/>
    <mergeCell ref="B44:C54"/>
    <mergeCell ref="D53:E53"/>
    <mergeCell ref="V54:W54"/>
    <mergeCell ref="AL47:AM47"/>
    <mergeCell ref="AF54:AG54"/>
    <mergeCell ref="AD54:AE54"/>
    <mergeCell ref="V52:W52"/>
    <mergeCell ref="AB53:AC53"/>
    <mergeCell ref="AJ53:AK53"/>
    <mergeCell ref="D45:E45"/>
    <mergeCell ref="V45:W45"/>
    <mergeCell ref="B12:AM12"/>
    <mergeCell ref="AL24:AM24"/>
    <mergeCell ref="AJ46:AK46"/>
    <mergeCell ref="AH46:AI46"/>
    <mergeCell ref="AH48:AI48"/>
    <mergeCell ref="AH47:AI47"/>
    <mergeCell ref="AB45:AC45"/>
    <mergeCell ref="AF46:AG46"/>
    <mergeCell ref="AH44:AK44"/>
    <mergeCell ref="H46:I46"/>
    <mergeCell ref="L47:M47"/>
    <mergeCell ref="J47:K47"/>
    <mergeCell ref="H47:I47"/>
    <mergeCell ref="AK8:AM8"/>
    <mergeCell ref="AK9:AM9"/>
    <mergeCell ref="AD49:AE49"/>
    <mergeCell ref="V37:W37"/>
    <mergeCell ref="V38:W38"/>
    <mergeCell ref="AC9:AJ9"/>
    <mergeCell ref="AC8:AJ8"/>
    <mergeCell ref="F53:G53"/>
    <mergeCell ref="E61:M61"/>
    <mergeCell ref="N61:AE61"/>
    <mergeCell ref="X92:Z92"/>
    <mergeCell ref="P94:S94"/>
    <mergeCell ref="P95:S95"/>
    <mergeCell ref="AA94:AC94"/>
    <mergeCell ref="C56:AK56"/>
    <mergeCell ref="D57:AK57"/>
    <mergeCell ref="N103:AE103"/>
    <mergeCell ref="E80:AM80"/>
    <mergeCell ref="X96:Z96"/>
    <mergeCell ref="AF94:AG94"/>
    <mergeCell ref="AH94:AJ94"/>
    <mergeCell ref="AL67:AM67"/>
    <mergeCell ref="K74:AM74"/>
    <mergeCell ref="X98:Z98"/>
    <mergeCell ref="T53:U53"/>
    <mergeCell ref="T94:W94"/>
    <mergeCell ref="AA93:AC93"/>
    <mergeCell ref="B59:AM59"/>
    <mergeCell ref="B60:AK60"/>
    <mergeCell ref="R54:S54"/>
    <mergeCell ref="N54:O54"/>
    <mergeCell ref="X97:Z97"/>
    <mergeCell ref="B73:N73"/>
    <mergeCell ref="B74:J74"/>
    <mergeCell ref="AA97:AC97"/>
    <mergeCell ref="AK102:AM102"/>
    <mergeCell ref="AL60:AM60"/>
    <mergeCell ref="B75:AK75"/>
    <mergeCell ref="AL75:AM75"/>
    <mergeCell ref="AF96:AG96"/>
    <mergeCell ref="AD97:AE97"/>
    <mergeCell ref="C99:H99"/>
    <mergeCell ref="AK96:AM96"/>
    <mergeCell ref="AK97:AM97"/>
    <mergeCell ref="I102:O102"/>
    <mergeCell ref="E103:M103"/>
    <mergeCell ref="B104:D104"/>
    <mergeCell ref="AH100:AJ100"/>
    <mergeCell ref="AH101:AJ101"/>
    <mergeCell ref="AF101:AG101"/>
    <mergeCell ref="AK98:AM98"/>
    <mergeCell ref="AK99:AM99"/>
    <mergeCell ref="AK100:AM100"/>
    <mergeCell ref="AK101:AM101"/>
    <mergeCell ref="C98:H98"/>
    <mergeCell ref="T98:W98"/>
    <mergeCell ref="T99:W99"/>
    <mergeCell ref="T97:W97"/>
    <mergeCell ref="C100:H100"/>
    <mergeCell ref="E104:M104"/>
    <mergeCell ref="AA98:AC98"/>
    <mergeCell ref="AD98:AE98"/>
    <mergeCell ref="AD99:AE99"/>
    <mergeCell ref="AH99:AJ99"/>
    <mergeCell ref="AH98:AJ98"/>
    <mergeCell ref="X99:Z99"/>
    <mergeCell ref="B103:D103"/>
    <mergeCell ref="I98:O98"/>
    <mergeCell ref="AL104:AM104"/>
    <mergeCell ref="P98:S98"/>
    <mergeCell ref="I133:O133"/>
    <mergeCell ref="P133:S133"/>
    <mergeCell ref="T133:W133"/>
    <mergeCell ref="X133:Z133"/>
    <mergeCell ref="AF133:AG133"/>
    <mergeCell ref="E105:M105"/>
    <mergeCell ref="AA99:AC99"/>
    <mergeCell ref="AF104:AK104"/>
    <mergeCell ref="P99:S99"/>
    <mergeCell ref="I99:O99"/>
    <mergeCell ref="AF98:AG98"/>
    <mergeCell ref="AF99:AG99"/>
    <mergeCell ref="I100:O100"/>
    <mergeCell ref="I101:O101"/>
    <mergeCell ref="B105:D105"/>
    <mergeCell ref="C132:H132"/>
    <mergeCell ref="I132:O132"/>
    <mergeCell ref="C131:H131"/>
    <mergeCell ref="I131:O131"/>
    <mergeCell ref="B123:M123"/>
    <mergeCell ref="P128:S128"/>
    <mergeCell ref="AA131:AB131"/>
    <mergeCell ref="T130:W130"/>
    <mergeCell ref="AC128:AE128"/>
    <mergeCell ref="AC129:AE129"/>
    <mergeCell ref="AA128:AB128"/>
    <mergeCell ref="AA129:AB129"/>
    <mergeCell ref="AF132:AG132"/>
    <mergeCell ref="AH132:AJ132"/>
    <mergeCell ref="AC130:AE130"/>
    <mergeCell ref="AA130:AB130"/>
    <mergeCell ref="N123:AM123"/>
    <mergeCell ref="K215:N215"/>
    <mergeCell ref="K216:N216"/>
    <mergeCell ref="AL221:AM221"/>
    <mergeCell ref="K227:AM227"/>
    <mergeCell ref="D226:R226"/>
    <mergeCell ref="E222:M222"/>
    <mergeCell ref="N222:AE222"/>
    <mergeCell ref="K214:N214"/>
    <mergeCell ref="AA135:AB135"/>
    <mergeCell ref="X130:Z130"/>
    <mergeCell ref="AF130:AG130"/>
    <mergeCell ref="AH130:AJ130"/>
    <mergeCell ref="AK136:AM136"/>
    <mergeCell ref="AC136:AE136"/>
    <mergeCell ref="AA136:AB136"/>
    <mergeCell ref="AK132:AM132"/>
    <mergeCell ref="AK134:AM134"/>
    <mergeCell ref="AF135:AG135"/>
    <mergeCell ref="P135:S135"/>
    <mergeCell ref="T135:W135"/>
    <mergeCell ref="C203:AK203"/>
    <mergeCell ref="AL209:AM209"/>
    <mergeCell ref="AL208:AM208"/>
    <mergeCell ref="M209:N209"/>
    <mergeCell ref="AH208:AK208"/>
    <mergeCell ref="AB210:AK210"/>
    <mergeCell ref="AL210:AM210"/>
    <mergeCell ref="D184:R184"/>
    <mergeCell ref="D185:AM185"/>
    <mergeCell ref="C205:AM205"/>
    <mergeCell ref="I140:O140"/>
    <mergeCell ref="C133:H133"/>
    <mergeCell ref="Z31:AA31"/>
    <mergeCell ref="C32:J32"/>
    <mergeCell ref="C33:J33"/>
    <mergeCell ref="O210:O216"/>
    <mergeCell ref="P210:Z211"/>
    <mergeCell ref="V31:W31"/>
    <mergeCell ref="V32:W32"/>
    <mergeCell ref="V33:W33"/>
    <mergeCell ref="V34:W34"/>
    <mergeCell ref="V35:W35"/>
    <mergeCell ref="V36:W36"/>
    <mergeCell ref="T31:U31"/>
    <mergeCell ref="V39:W39"/>
    <mergeCell ref="V40:W40"/>
    <mergeCell ref="V41:W41"/>
    <mergeCell ref="T128:W128"/>
    <mergeCell ref="X128:Z128"/>
    <mergeCell ref="X129:Z129"/>
    <mergeCell ref="E86:AM86"/>
    <mergeCell ref="AK135:AM135"/>
    <mergeCell ref="AC135:AE135"/>
    <mergeCell ref="C128:H128"/>
    <mergeCell ref="AL145:AM145"/>
    <mergeCell ref="AH145:AK145"/>
    <mergeCell ref="X131:Z131"/>
    <mergeCell ref="AA134:AB134"/>
    <mergeCell ref="I128:O128"/>
    <mergeCell ref="C130:H130"/>
    <mergeCell ref="I130:O130"/>
    <mergeCell ref="P130:S130"/>
    <mergeCell ref="C134:H134"/>
    <mergeCell ref="I134:O134"/>
    <mergeCell ref="AI340:AJ340"/>
    <mergeCell ref="AL340:AM340"/>
    <mergeCell ref="F341:AH341"/>
    <mergeCell ref="G342:AH342"/>
    <mergeCell ref="AI342:AJ342"/>
    <mergeCell ref="AL342:AM342"/>
    <mergeCell ref="AD31:AE31"/>
    <mergeCell ref="Z32:AA32"/>
    <mergeCell ref="Z33:AA33"/>
    <mergeCell ref="Z34:AA34"/>
    <mergeCell ref="Z35:AA35"/>
    <mergeCell ref="Z36:AA36"/>
    <mergeCell ref="Z37:AA37"/>
    <mergeCell ref="Z38:AA38"/>
    <mergeCell ref="Z39:AA39"/>
    <mergeCell ref="Z40:AA40"/>
    <mergeCell ref="Z41:AA41"/>
    <mergeCell ref="AB31:AC31"/>
    <mergeCell ref="AI329:AJ330"/>
    <mergeCell ref="D236:AK236"/>
    <mergeCell ref="AL251:AM251"/>
    <mergeCell ref="D243:AK243"/>
    <mergeCell ref="B244:D244"/>
    <mergeCell ref="X31:Y31"/>
    <mergeCell ref="X32:Y32"/>
    <mergeCell ref="X33:Y33"/>
    <mergeCell ref="X34:Y34"/>
    <mergeCell ref="X35:Y35"/>
    <mergeCell ref="X36:Y36"/>
    <mergeCell ref="X37:Y37"/>
    <mergeCell ref="X38:Y38"/>
    <mergeCell ref="X39:Y39"/>
    <mergeCell ref="C38:J38"/>
    <mergeCell ref="C39:J39"/>
    <mergeCell ref="C40:J40"/>
    <mergeCell ref="C41:J41"/>
    <mergeCell ref="C34:J34"/>
    <mergeCell ref="P215:U215"/>
    <mergeCell ref="P216:W216"/>
    <mergeCell ref="C241:AK241"/>
    <mergeCell ref="D242:AK242"/>
    <mergeCell ref="AL211:AM211"/>
    <mergeCell ref="AL212:AM212"/>
    <mergeCell ref="AL213:AM213"/>
    <mergeCell ref="AB211:AK211"/>
    <mergeCell ref="AB212:AK212"/>
    <mergeCell ref="AL222:AM222"/>
    <mergeCell ref="B211:N211"/>
    <mergeCell ref="X216:Z216"/>
    <mergeCell ref="P214:Z214"/>
    <mergeCell ref="X40:Y40"/>
    <mergeCell ref="X41:Y41"/>
    <mergeCell ref="AL203:AM203"/>
    <mergeCell ref="C221:AK221"/>
    <mergeCell ref="AF92:AG92"/>
    <mergeCell ref="E82:AK82"/>
    <mergeCell ref="L231:AM231"/>
    <mergeCell ref="D231:K231"/>
    <mergeCell ref="B215:J215"/>
    <mergeCell ref="B227:J227"/>
    <mergeCell ref="D204:AM204"/>
    <mergeCell ref="AH93:AJ93"/>
    <mergeCell ref="AD93:AE93"/>
    <mergeCell ref="V215:Z215"/>
    <mergeCell ref="Y5:AJ5"/>
    <mergeCell ref="Y6:AJ6"/>
    <mergeCell ref="Y3:AJ3"/>
    <mergeCell ref="U7:AJ7"/>
    <mergeCell ref="AK7:AM7"/>
    <mergeCell ref="F339:AH339"/>
    <mergeCell ref="AI339:AJ339"/>
    <mergeCell ref="AL339:AM339"/>
    <mergeCell ref="AK5:AM5"/>
    <mergeCell ref="AK6:AM6"/>
    <mergeCell ref="D238:AK238"/>
    <mergeCell ref="L239:AM239"/>
    <mergeCell ref="D239:K239"/>
    <mergeCell ref="D206:AM206"/>
    <mergeCell ref="AL234:AM234"/>
    <mergeCell ref="E218:M218"/>
    <mergeCell ref="L235:AM235"/>
    <mergeCell ref="AL217:AM217"/>
    <mergeCell ref="B210:J210"/>
    <mergeCell ref="K210:N210"/>
    <mergeCell ref="X212:Z212"/>
    <mergeCell ref="X213:Z213"/>
    <mergeCell ref="E244:K244"/>
    <mergeCell ref="L244:AE244"/>
    <mergeCell ref="AF244:AK244"/>
    <mergeCell ref="D246:AK246"/>
    <mergeCell ref="C245:AM245"/>
    <mergeCell ref="D247:AK247"/>
    <mergeCell ref="AL249:AM249"/>
    <mergeCell ref="O237:AM237"/>
    <mergeCell ref="M42:S42"/>
    <mergeCell ref="T42:U42"/>
    <mergeCell ref="D349:AM349"/>
    <mergeCell ref="AD32:AE32"/>
    <mergeCell ref="AD33:AE33"/>
    <mergeCell ref="AD34:AE34"/>
    <mergeCell ref="AD35:AE35"/>
    <mergeCell ref="AD36:AE36"/>
    <mergeCell ref="AD37:AE37"/>
    <mergeCell ref="AD38:AE38"/>
    <mergeCell ref="AD39:AE39"/>
    <mergeCell ref="AD40:AE40"/>
    <mergeCell ref="AD41:AE41"/>
    <mergeCell ref="AL250:AM250"/>
    <mergeCell ref="E282:AK282"/>
    <mergeCell ref="AL282:AM282"/>
    <mergeCell ref="C276:AK276"/>
    <mergeCell ref="AL276:AM276"/>
    <mergeCell ref="D258:AK258"/>
    <mergeCell ref="D259:AK259"/>
    <mergeCell ref="AB32:AC32"/>
    <mergeCell ref="AB33:AC33"/>
    <mergeCell ref="AB34:AC34"/>
    <mergeCell ref="AB35:AC35"/>
    <mergeCell ref="AB36:AC36"/>
    <mergeCell ref="AB37:AC37"/>
    <mergeCell ref="AB38:AC38"/>
    <mergeCell ref="AB39:AC39"/>
    <mergeCell ref="AB40:AC40"/>
    <mergeCell ref="AB41:AC41"/>
    <mergeCell ref="Z42:AC42"/>
    <mergeCell ref="AD42:AE42"/>
    <mergeCell ref="C42:J42"/>
    <mergeCell ref="J43:AA43"/>
    <mergeCell ref="C400:AI400"/>
    <mergeCell ref="C402:AI402"/>
    <mergeCell ref="AJ402:AM402"/>
    <mergeCell ref="AK10:AM10"/>
    <mergeCell ref="AE10:AJ10"/>
    <mergeCell ref="C397:AM397"/>
    <mergeCell ref="C398:N398"/>
    <mergeCell ref="P398:AI398"/>
    <mergeCell ref="AJ398:AM398"/>
    <mergeCell ref="C399:AI399"/>
    <mergeCell ref="AJ399:AM399"/>
    <mergeCell ref="B2:E2"/>
    <mergeCell ref="F2:H2"/>
    <mergeCell ref="C404:AK404"/>
    <mergeCell ref="C405:AK405"/>
    <mergeCell ref="AL405:AM405"/>
    <mergeCell ref="D380:AK380"/>
    <mergeCell ref="C388:AM388"/>
    <mergeCell ref="D389:AM389"/>
    <mergeCell ref="D390:AM390"/>
    <mergeCell ref="AJ392:AM392"/>
    <mergeCell ref="D391:AK391"/>
    <mergeCell ref="AL391:AM391"/>
    <mergeCell ref="D392:AI392"/>
    <mergeCell ref="D393:AI393"/>
    <mergeCell ref="AJ393:AM393"/>
    <mergeCell ref="D394:AI394"/>
    <mergeCell ref="AJ394:AM394"/>
    <mergeCell ref="D395:AI395"/>
    <mergeCell ref="AJ395:AM395"/>
    <mergeCell ref="D347:AJ347"/>
    <mergeCell ref="D348:AK348"/>
  </mergeCells>
  <phoneticPr fontId="91" type="noConversion"/>
  <conditionalFormatting sqref="AL145:AM150">
    <cfRule type="expression" dxfId="208" priority="346">
      <formula>AL145&lt;0</formula>
    </cfRule>
  </conditionalFormatting>
  <conditionalFormatting sqref="AA93:AC93 AC128 AC140:AC142 AA140:AA142">
    <cfRule type="expression" dxfId="207" priority="327">
      <formula>$AH$93="FALSE"</formula>
    </cfRule>
  </conditionalFormatting>
  <conditionalFormatting sqref="AD93:AJ105 AF106:AJ106 AF128:AJ142">
    <cfRule type="cellIs" dxfId="206" priority="323" operator="equal">
      <formula>FALSE</formula>
    </cfRule>
    <cfRule type="cellIs" dxfId="205" priority="324" operator="equal">
      <formula>TRUE</formula>
    </cfRule>
  </conditionalFormatting>
  <conditionalFormatting sqref="X93:Z93 X99:Z105">
    <cfRule type="cellIs" dxfId="204" priority="322" operator="equal">
      <formula>TRUE</formula>
    </cfRule>
  </conditionalFormatting>
  <conditionalFormatting sqref="X93:Z93 X99:Z105">
    <cfRule type="expression" dxfId="203" priority="311">
      <formula>X93=""</formula>
    </cfRule>
    <cfRule type="expression" dxfId="202" priority="313">
      <formula>(X93=FALSE)</formula>
    </cfRule>
  </conditionalFormatting>
  <conditionalFormatting sqref="AK93:AM93">
    <cfRule type="expression" dxfId="201" priority="310">
      <formula>$AH$93="FALSE"</formula>
    </cfRule>
  </conditionalFormatting>
  <conditionalFormatting sqref="X128:Z128">
    <cfRule type="cellIs" dxfId="200" priority="306" operator="equal">
      <formula>TRUE</formula>
    </cfRule>
  </conditionalFormatting>
  <conditionalFormatting sqref="X128:Z128">
    <cfRule type="expression" dxfId="199" priority="303">
      <formula>X128=""</formula>
    </cfRule>
    <cfRule type="expression" dxfId="198" priority="304">
      <formula>(X128=FALSE)</formula>
    </cfRule>
  </conditionalFormatting>
  <conditionalFormatting sqref="AK128:AM128">
    <cfRule type="expression" dxfId="197" priority="302">
      <formula>$AH$93="FALSE"</formula>
    </cfRule>
  </conditionalFormatting>
  <conditionalFormatting sqref="X140:Z142">
    <cfRule type="cellIs" dxfId="196" priority="296" operator="equal">
      <formula>TRUE</formula>
    </cfRule>
  </conditionalFormatting>
  <conditionalFormatting sqref="X140:Z142">
    <cfRule type="expression" dxfId="195" priority="294">
      <formula>X140=""</formula>
    </cfRule>
    <cfRule type="expression" dxfId="194" priority="295">
      <formula>(X140=FALSE)</formula>
    </cfRule>
  </conditionalFormatting>
  <conditionalFormatting sqref="X139:Z139">
    <cfRule type="cellIs" dxfId="193" priority="242" operator="equal">
      <formula>TRUE</formula>
    </cfRule>
  </conditionalFormatting>
  <conditionalFormatting sqref="X139:Z139">
    <cfRule type="expression" dxfId="192" priority="240">
      <formula>X139=""</formula>
    </cfRule>
    <cfRule type="expression" dxfId="191" priority="241">
      <formula>(X139=FALSE)</formula>
    </cfRule>
  </conditionalFormatting>
  <conditionalFormatting sqref="AA128">
    <cfRule type="expression" dxfId="190" priority="270">
      <formula>$AH$93="FALSE"</formula>
    </cfRule>
  </conditionalFormatting>
  <conditionalFormatting sqref="AA139">
    <cfRule type="expression" dxfId="189" priority="239">
      <formula>$AH$93="FALSE"</formula>
    </cfRule>
  </conditionalFormatting>
  <conditionalFormatting sqref="AC139">
    <cfRule type="expression" dxfId="188" priority="243">
      <formula>$AH$93="FALSE"</formula>
    </cfRule>
  </conditionalFormatting>
  <conditionalFormatting sqref="AD111:AJ111">
    <cfRule type="cellIs" dxfId="187" priority="237" operator="equal">
      <formula>FALSE</formula>
    </cfRule>
    <cfRule type="cellIs" dxfId="186" priority="238" operator="equal">
      <formula>TRUE</formula>
    </cfRule>
  </conditionalFormatting>
  <conditionalFormatting sqref="X111:Z111">
    <cfRule type="cellIs" dxfId="185" priority="236" operator="equal">
      <formula>TRUE</formula>
    </cfRule>
  </conditionalFormatting>
  <conditionalFormatting sqref="X111:Z111">
    <cfRule type="expression" dxfId="184" priority="234">
      <formula>X111=""</formula>
    </cfRule>
    <cfRule type="expression" dxfId="183" priority="235">
      <formula>(X111=FALSE)</formula>
    </cfRule>
  </conditionalFormatting>
  <conditionalFormatting sqref="AD106:AE106">
    <cfRule type="cellIs" dxfId="182" priority="220" operator="equal">
      <formula>FALSE</formula>
    </cfRule>
    <cfRule type="cellIs" dxfId="181" priority="221" operator="equal">
      <formula>TRUE</formula>
    </cfRule>
  </conditionalFormatting>
  <conditionalFormatting sqref="X106:Z106">
    <cfRule type="cellIs" dxfId="180" priority="219" operator="equal">
      <formula>TRUE</formula>
    </cfRule>
  </conditionalFormatting>
  <conditionalFormatting sqref="X106:Z106">
    <cfRule type="expression" dxfId="179" priority="217">
      <formula>X106=""</formula>
    </cfRule>
    <cfRule type="expression" dxfId="178" priority="218">
      <formula>(X106=FALSE)</formula>
    </cfRule>
  </conditionalFormatting>
  <conditionalFormatting sqref="AD124:AJ124">
    <cfRule type="cellIs" dxfId="177" priority="214" operator="equal">
      <formula>FALSE</formula>
    </cfRule>
    <cfRule type="cellIs" dxfId="176" priority="215" operator="equal">
      <formula>TRUE</formula>
    </cfRule>
  </conditionalFormatting>
  <conditionalFormatting sqref="X124:Z124">
    <cfRule type="cellIs" dxfId="175" priority="213" operator="equal">
      <formula>TRUE</formula>
    </cfRule>
  </conditionalFormatting>
  <conditionalFormatting sqref="X124:Z124">
    <cfRule type="expression" dxfId="174" priority="211">
      <formula>X124=""</formula>
    </cfRule>
    <cfRule type="expression" dxfId="173" priority="212">
      <formula>(X124=FALSE)</formula>
    </cfRule>
  </conditionalFormatting>
  <conditionalFormatting sqref="AL124 AL163 AL181 AL196 AL158">
    <cfRule type="cellIs" dxfId="172" priority="210" operator="equal">
      <formula>"Yes"</formula>
    </cfRule>
  </conditionalFormatting>
  <conditionalFormatting sqref="AL124 AL163 AL181 AL196 AL158">
    <cfRule type="cellIs" dxfId="171" priority="209" operator="equal">
      <formula>"No"</formula>
    </cfRule>
  </conditionalFormatting>
  <conditionalFormatting sqref="AA98:AC98">
    <cfRule type="expression" dxfId="170" priority="188">
      <formula>$AH$93="FALSE"</formula>
    </cfRule>
  </conditionalFormatting>
  <conditionalFormatting sqref="X98:Z98">
    <cfRule type="cellIs" dxfId="169" priority="187" operator="equal">
      <formula>TRUE</formula>
    </cfRule>
  </conditionalFormatting>
  <conditionalFormatting sqref="X98:Z98">
    <cfRule type="expression" dxfId="168" priority="185">
      <formula>X98=""</formula>
    </cfRule>
    <cfRule type="expression" dxfId="167" priority="186">
      <formula>(X98=FALSE)</formula>
    </cfRule>
  </conditionalFormatting>
  <conditionalFormatting sqref="AL209">
    <cfRule type="cellIs" dxfId="166" priority="184" operator="equal">
      <formula>"No"</formula>
    </cfRule>
  </conditionalFormatting>
  <conditionalFormatting sqref="V215">
    <cfRule type="cellIs" dxfId="165" priority="182" operator="equal">
      <formula>0</formula>
    </cfRule>
  </conditionalFormatting>
  <conditionalFormatting sqref="AL209:AM209">
    <cfRule type="cellIs" dxfId="164" priority="181" operator="equal">
      <formula>"Yes"</formula>
    </cfRule>
  </conditionalFormatting>
  <conditionalFormatting sqref="AL103:AL106">
    <cfRule type="cellIs" dxfId="163" priority="169" operator="equal">
      <formula>"No"</formula>
    </cfRule>
  </conditionalFormatting>
  <conditionalFormatting sqref="AL111">
    <cfRule type="cellIs" dxfId="162" priority="172" operator="equal">
      <formula>"Yes"</formula>
    </cfRule>
  </conditionalFormatting>
  <conditionalFormatting sqref="AL111">
    <cfRule type="cellIs" dxfId="161" priority="171" operator="equal">
      <formula>"No"</formula>
    </cfRule>
  </conditionalFormatting>
  <conditionalFormatting sqref="AL103:AL106">
    <cfRule type="cellIs" dxfId="160" priority="170" operator="equal">
      <formula>"Yes"</formula>
    </cfRule>
  </conditionalFormatting>
  <conditionalFormatting sqref="AL198:AL199">
    <cfRule type="cellIs" dxfId="159" priority="161" operator="equal">
      <formula>"Yes"</formula>
    </cfRule>
  </conditionalFormatting>
  <conditionalFormatting sqref="AL198:AL199">
    <cfRule type="cellIs" dxfId="158" priority="160" operator="equal">
      <formula>"No"</formula>
    </cfRule>
  </conditionalFormatting>
  <conditionalFormatting sqref="AL218:AL219">
    <cfRule type="cellIs" dxfId="157" priority="159" operator="equal">
      <formula>"Yes"</formula>
    </cfRule>
  </conditionalFormatting>
  <conditionalFormatting sqref="AL218:AL219">
    <cfRule type="cellIs" dxfId="156" priority="158" operator="equal">
      <formula>"No"</formula>
    </cfRule>
  </conditionalFormatting>
  <conditionalFormatting sqref="AL257">
    <cfRule type="cellIs" dxfId="155" priority="153" operator="equal">
      <formula>"Yes"</formula>
    </cfRule>
  </conditionalFormatting>
  <conditionalFormatting sqref="AL257">
    <cfRule type="cellIs" dxfId="154" priority="152" operator="equal">
      <formula>"No"</formula>
    </cfRule>
  </conditionalFormatting>
  <conditionalFormatting sqref="AL260">
    <cfRule type="cellIs" dxfId="153" priority="151" operator="equal">
      <formula>"Yes"</formula>
    </cfRule>
  </conditionalFormatting>
  <conditionalFormatting sqref="AL260">
    <cfRule type="cellIs" dxfId="152" priority="150" operator="equal">
      <formula>"No"</formula>
    </cfRule>
  </conditionalFormatting>
  <conditionalFormatting sqref="AL228">
    <cfRule type="cellIs" dxfId="151" priority="149" operator="equal">
      <formula>"Yes"</formula>
    </cfRule>
  </conditionalFormatting>
  <conditionalFormatting sqref="AL228">
    <cfRule type="cellIs" dxfId="150" priority="148" operator="equal">
      <formula>"No"</formula>
    </cfRule>
  </conditionalFormatting>
  <conditionalFormatting sqref="AL240">
    <cfRule type="cellIs" dxfId="149" priority="147" operator="equal">
      <formula>"Yes"</formula>
    </cfRule>
  </conditionalFormatting>
  <conditionalFormatting sqref="AL240">
    <cfRule type="cellIs" dxfId="148" priority="146" operator="equal">
      <formula>"No"</formula>
    </cfRule>
  </conditionalFormatting>
  <conditionalFormatting sqref="AL248">
    <cfRule type="cellIs" dxfId="147" priority="145" operator="equal">
      <formula>"Yes"</formula>
    </cfRule>
  </conditionalFormatting>
  <conditionalFormatting sqref="AL248">
    <cfRule type="cellIs" dxfId="146" priority="144" operator="equal">
      <formula>"No"</formula>
    </cfRule>
  </conditionalFormatting>
  <conditionalFormatting sqref="AL251">
    <cfRule type="cellIs" dxfId="145" priority="143" operator="equal">
      <formula>"Yes"</formula>
    </cfRule>
  </conditionalFormatting>
  <conditionalFormatting sqref="AL251">
    <cfRule type="cellIs" dxfId="144" priority="142" operator="equal">
      <formula>"No"</formula>
    </cfRule>
  </conditionalFormatting>
  <conditionalFormatting sqref="AL263">
    <cfRule type="cellIs" dxfId="143" priority="141" operator="equal">
      <formula>"Yes"</formula>
    </cfRule>
  </conditionalFormatting>
  <conditionalFormatting sqref="AL263">
    <cfRule type="cellIs" dxfId="142" priority="140" operator="equal">
      <formula>"No"</formula>
    </cfRule>
  </conditionalFormatting>
  <conditionalFormatting sqref="AJ46:AK54 H46:I54 L46:M54 P46:Q54 T46:U54 X46:Y54 AB46:AC54 AF46:AG54">
    <cfRule type="cellIs" dxfId="141" priority="138" operator="between">
      <formula>1</formula>
      <formula>30</formula>
    </cfRule>
  </conditionalFormatting>
  <conditionalFormatting sqref="AL359">
    <cfRule type="cellIs" dxfId="140" priority="137" operator="equal">
      <formula>"Yes"</formula>
    </cfRule>
  </conditionalFormatting>
  <conditionalFormatting sqref="AL359">
    <cfRule type="cellIs" dxfId="139" priority="136" operator="equal">
      <formula>"No"</formula>
    </cfRule>
  </conditionalFormatting>
  <conditionalFormatting sqref="AL82">
    <cfRule type="cellIs" dxfId="138" priority="132" operator="equal">
      <formula>"No"</formula>
    </cfRule>
  </conditionalFormatting>
  <conditionalFormatting sqref="AL82">
    <cfRule type="cellIs" dxfId="137" priority="133" operator="equal">
      <formula>"Yes"</formula>
    </cfRule>
  </conditionalFormatting>
  <conditionalFormatting sqref="AL58">
    <cfRule type="cellIs" dxfId="136" priority="130" operator="equal">
      <formula>"No"</formula>
    </cfRule>
  </conditionalFormatting>
  <conditionalFormatting sqref="AL58">
    <cfRule type="cellIs" dxfId="135" priority="131" operator="equal">
      <formula>"Yes"</formula>
    </cfRule>
  </conditionalFormatting>
  <conditionalFormatting sqref="AL61">
    <cfRule type="cellIs" dxfId="134" priority="129" operator="equal">
      <formula>"No"</formula>
    </cfRule>
  </conditionalFormatting>
  <conditionalFormatting sqref="AL66">
    <cfRule type="cellIs" dxfId="133" priority="128" operator="equal">
      <formula>"No"</formula>
    </cfRule>
  </conditionalFormatting>
  <conditionalFormatting sqref="AL76">
    <cfRule type="cellIs" dxfId="132" priority="127" operator="equal">
      <formula>"No"</formula>
    </cfRule>
  </conditionalFormatting>
  <conditionalFormatting sqref="AA94:AC94">
    <cfRule type="expression" dxfId="131" priority="126">
      <formula>$AH$93="FALSE"</formula>
    </cfRule>
  </conditionalFormatting>
  <conditionalFormatting sqref="X94:Z94">
    <cfRule type="cellIs" dxfId="130" priority="125" operator="equal">
      <formula>TRUE</formula>
    </cfRule>
  </conditionalFormatting>
  <conditionalFormatting sqref="X94:Z94">
    <cfRule type="expression" dxfId="129" priority="123">
      <formula>X94=""</formula>
    </cfRule>
    <cfRule type="expression" dxfId="128" priority="124">
      <formula>(X94=FALSE)</formula>
    </cfRule>
  </conditionalFormatting>
  <conditionalFormatting sqref="AA95:AC95">
    <cfRule type="expression" dxfId="127" priority="122">
      <formula>$AH$93="FALSE"</formula>
    </cfRule>
  </conditionalFormatting>
  <conditionalFormatting sqref="X95:Z95">
    <cfRule type="cellIs" dxfId="126" priority="121" operator="equal">
      <formula>TRUE</formula>
    </cfRule>
  </conditionalFormatting>
  <conditionalFormatting sqref="X95:Z95">
    <cfRule type="expression" dxfId="125" priority="119">
      <formula>X95=""</formula>
    </cfRule>
    <cfRule type="expression" dxfId="124" priority="120">
      <formula>(X95=FALSE)</formula>
    </cfRule>
  </conditionalFormatting>
  <conditionalFormatting sqref="AA96:AC96">
    <cfRule type="expression" dxfId="123" priority="118">
      <formula>$AH$93="FALSE"</formula>
    </cfRule>
  </conditionalFormatting>
  <conditionalFormatting sqref="X96:Z96">
    <cfRule type="cellIs" dxfId="122" priority="117" operator="equal">
      <formula>TRUE</formula>
    </cfRule>
  </conditionalFormatting>
  <conditionalFormatting sqref="X96:Z96">
    <cfRule type="expression" dxfId="121" priority="115">
      <formula>X96=""</formula>
    </cfRule>
    <cfRule type="expression" dxfId="120" priority="116">
      <formula>(X96=FALSE)</formula>
    </cfRule>
  </conditionalFormatting>
  <conditionalFormatting sqref="AA97:AC97">
    <cfRule type="expression" dxfId="119" priority="114">
      <formula>$AH$93="FALSE"</formula>
    </cfRule>
  </conditionalFormatting>
  <conditionalFormatting sqref="X97:Z97">
    <cfRule type="cellIs" dxfId="118" priority="113" operator="equal">
      <formula>TRUE</formula>
    </cfRule>
  </conditionalFormatting>
  <conditionalFormatting sqref="X97:Z97">
    <cfRule type="expression" dxfId="117" priority="111">
      <formula>X97=""</formula>
    </cfRule>
    <cfRule type="expression" dxfId="116" priority="112">
      <formula>(X97=FALSE)</formula>
    </cfRule>
  </conditionalFormatting>
  <conditionalFormatting sqref="AC129">
    <cfRule type="expression" dxfId="115" priority="110">
      <formula>$AH$93="FALSE"</formula>
    </cfRule>
  </conditionalFormatting>
  <conditionalFormatting sqref="X129:Z129">
    <cfRule type="cellIs" dxfId="114" priority="109" operator="equal">
      <formula>TRUE</formula>
    </cfRule>
  </conditionalFormatting>
  <conditionalFormatting sqref="X129:Z129">
    <cfRule type="expression" dxfId="113" priority="107">
      <formula>X129=""</formula>
    </cfRule>
    <cfRule type="expression" dxfId="112" priority="108">
      <formula>(X129=FALSE)</formula>
    </cfRule>
  </conditionalFormatting>
  <conditionalFormatting sqref="AA129">
    <cfRule type="expression" dxfId="111" priority="106">
      <formula>$AH$93="FALSE"</formula>
    </cfRule>
  </conditionalFormatting>
  <conditionalFormatting sqref="AC130">
    <cfRule type="expression" dxfId="110" priority="105">
      <formula>$AH$93="FALSE"</formula>
    </cfRule>
  </conditionalFormatting>
  <conditionalFormatting sqref="X130:Z130">
    <cfRule type="cellIs" dxfId="109" priority="104" operator="equal">
      <formula>TRUE</formula>
    </cfRule>
  </conditionalFormatting>
  <conditionalFormatting sqref="X130:Z130">
    <cfRule type="expression" dxfId="108" priority="102">
      <formula>X130=""</formula>
    </cfRule>
    <cfRule type="expression" dxfId="107" priority="103">
      <formula>(X130=FALSE)</formula>
    </cfRule>
  </conditionalFormatting>
  <conditionalFormatting sqref="AA130">
    <cfRule type="expression" dxfId="106" priority="101">
      <formula>$AH$93="FALSE"</formula>
    </cfRule>
  </conditionalFormatting>
  <conditionalFormatting sqref="AC131">
    <cfRule type="expression" dxfId="105" priority="100">
      <formula>$AH$93="FALSE"</formula>
    </cfRule>
  </conditionalFormatting>
  <conditionalFormatting sqref="X131:Z131">
    <cfRule type="cellIs" dxfId="104" priority="99" operator="equal">
      <formula>TRUE</formula>
    </cfRule>
  </conditionalFormatting>
  <conditionalFormatting sqref="X131:Z131">
    <cfRule type="expression" dxfId="103" priority="97">
      <formula>X131=""</formula>
    </cfRule>
    <cfRule type="expression" dxfId="102" priority="98">
      <formula>(X131=FALSE)</formula>
    </cfRule>
  </conditionalFormatting>
  <conditionalFormatting sqref="AA131">
    <cfRule type="expression" dxfId="101" priority="96">
      <formula>$AH$93="FALSE"</formula>
    </cfRule>
  </conditionalFormatting>
  <conditionalFormatting sqref="AC132">
    <cfRule type="expression" dxfId="100" priority="95">
      <formula>$AH$93="FALSE"</formula>
    </cfRule>
  </conditionalFormatting>
  <conditionalFormatting sqref="X132:Z132">
    <cfRule type="cellIs" dxfId="99" priority="94" operator="equal">
      <formula>TRUE</formula>
    </cfRule>
  </conditionalFormatting>
  <conditionalFormatting sqref="X132:Z132">
    <cfRule type="expression" dxfId="98" priority="92">
      <formula>X132=""</formula>
    </cfRule>
    <cfRule type="expression" dxfId="97" priority="93">
      <formula>(X132=FALSE)</formula>
    </cfRule>
  </conditionalFormatting>
  <conditionalFormatting sqref="AA132">
    <cfRule type="expression" dxfId="96" priority="91">
      <formula>$AH$93="FALSE"</formula>
    </cfRule>
  </conditionalFormatting>
  <conditionalFormatting sqref="AC133">
    <cfRule type="expression" dxfId="95" priority="90">
      <formula>$AH$93="FALSE"</formula>
    </cfRule>
  </conditionalFormatting>
  <conditionalFormatting sqref="X133:Z133">
    <cfRule type="cellIs" dxfId="94" priority="89" operator="equal">
      <formula>TRUE</formula>
    </cfRule>
  </conditionalFormatting>
  <conditionalFormatting sqref="X133:Z133">
    <cfRule type="expression" dxfId="93" priority="87">
      <formula>X133=""</formula>
    </cfRule>
    <cfRule type="expression" dxfId="92" priority="88">
      <formula>(X133=FALSE)</formula>
    </cfRule>
  </conditionalFormatting>
  <conditionalFormatting sqref="AA133">
    <cfRule type="expression" dxfId="91" priority="86">
      <formula>$AH$93="FALSE"</formula>
    </cfRule>
  </conditionalFormatting>
  <conditionalFormatting sqref="AC134">
    <cfRule type="expression" dxfId="90" priority="85">
      <formula>$AH$93="FALSE"</formula>
    </cfRule>
  </conditionalFormatting>
  <conditionalFormatting sqref="X134:Z134">
    <cfRule type="cellIs" dxfId="89" priority="84" operator="equal">
      <formula>TRUE</formula>
    </cfRule>
  </conditionalFormatting>
  <conditionalFormatting sqref="X134:Z134">
    <cfRule type="expression" dxfId="88" priority="82">
      <formula>X134=""</formula>
    </cfRule>
    <cfRule type="expression" dxfId="87" priority="83">
      <formula>(X134=FALSE)</formula>
    </cfRule>
  </conditionalFormatting>
  <conditionalFormatting sqref="AA134">
    <cfRule type="expression" dxfId="86" priority="81">
      <formula>$AH$93="FALSE"</formula>
    </cfRule>
  </conditionalFormatting>
  <conditionalFormatting sqref="AC135">
    <cfRule type="expression" dxfId="85" priority="80">
      <formula>$AH$93="FALSE"</formula>
    </cfRule>
  </conditionalFormatting>
  <conditionalFormatting sqref="X135:Z135">
    <cfRule type="cellIs" dxfId="84" priority="79" operator="equal">
      <formula>TRUE</formula>
    </cfRule>
  </conditionalFormatting>
  <conditionalFormatting sqref="X135:Z135">
    <cfRule type="expression" dxfId="83" priority="77">
      <formula>X135=""</formula>
    </cfRule>
    <cfRule type="expression" dxfId="82" priority="78">
      <formula>(X135=FALSE)</formula>
    </cfRule>
  </conditionalFormatting>
  <conditionalFormatting sqref="AA135">
    <cfRule type="expression" dxfId="81" priority="76">
      <formula>$AH$93="FALSE"</formula>
    </cfRule>
  </conditionalFormatting>
  <conditionalFormatting sqref="AC136">
    <cfRule type="expression" dxfId="80" priority="75">
      <formula>$AH$93="FALSE"</formula>
    </cfRule>
  </conditionalFormatting>
  <conditionalFormatting sqref="X136:Z136">
    <cfRule type="cellIs" dxfId="79" priority="74" operator="equal">
      <formula>TRUE</formula>
    </cfRule>
  </conditionalFormatting>
  <conditionalFormatting sqref="X136:Z136">
    <cfRule type="expression" dxfId="78" priority="72">
      <formula>X136=""</formula>
    </cfRule>
    <cfRule type="expression" dxfId="77" priority="73">
      <formula>(X136=FALSE)</formula>
    </cfRule>
  </conditionalFormatting>
  <conditionalFormatting sqref="AA136">
    <cfRule type="expression" dxfId="76" priority="71">
      <formula>$AH$93="FALSE"</formula>
    </cfRule>
  </conditionalFormatting>
  <conditionalFormatting sqref="AC137">
    <cfRule type="expression" dxfId="75" priority="70">
      <formula>$AH$93="FALSE"</formula>
    </cfRule>
  </conditionalFormatting>
  <conditionalFormatting sqref="X137:Z137">
    <cfRule type="cellIs" dxfId="74" priority="69" operator="equal">
      <formula>TRUE</formula>
    </cfRule>
  </conditionalFormatting>
  <conditionalFormatting sqref="X137:Z137">
    <cfRule type="expression" dxfId="73" priority="67">
      <formula>X137=""</formula>
    </cfRule>
    <cfRule type="expression" dxfId="72" priority="68">
      <formula>(X137=FALSE)</formula>
    </cfRule>
  </conditionalFormatting>
  <conditionalFormatting sqref="AA137">
    <cfRule type="expression" dxfId="71" priority="66">
      <formula>$AH$93="FALSE"</formula>
    </cfRule>
  </conditionalFormatting>
  <conditionalFormatting sqref="AC138">
    <cfRule type="expression" dxfId="70" priority="65">
      <formula>$AH$93="FALSE"</formula>
    </cfRule>
  </conditionalFormatting>
  <conditionalFormatting sqref="X138:Z138">
    <cfRule type="cellIs" dxfId="69" priority="64" operator="equal">
      <formula>TRUE</formula>
    </cfRule>
  </conditionalFormatting>
  <conditionalFormatting sqref="X138:Z138">
    <cfRule type="expression" dxfId="68" priority="62">
      <formula>X138=""</formula>
    </cfRule>
    <cfRule type="expression" dxfId="67" priority="63">
      <formula>(X138=FALSE)</formula>
    </cfRule>
  </conditionalFormatting>
  <conditionalFormatting sqref="AA138">
    <cfRule type="expression" dxfId="66" priority="61">
      <formula>$AH$93="FALSE"</formula>
    </cfRule>
  </conditionalFormatting>
  <conditionalFormatting sqref="AD190:AJ190">
    <cfRule type="cellIs" dxfId="65" priority="59" operator="equal">
      <formula>FALSE</formula>
    </cfRule>
    <cfRule type="cellIs" dxfId="64" priority="60" operator="equal">
      <formula>TRUE</formula>
    </cfRule>
  </conditionalFormatting>
  <conditionalFormatting sqref="X190:Z190">
    <cfRule type="cellIs" dxfId="63" priority="58" operator="equal">
      <formula>TRUE</formula>
    </cfRule>
  </conditionalFormatting>
  <conditionalFormatting sqref="X190:Z190">
    <cfRule type="expression" dxfId="62" priority="56">
      <formula>X190=""</formula>
    </cfRule>
    <cfRule type="expression" dxfId="61" priority="57">
      <formula>(X190=FALSE)</formula>
    </cfRule>
  </conditionalFormatting>
  <conditionalFormatting sqref="AL190">
    <cfRule type="cellIs" dxfId="60" priority="55" operator="equal">
      <formula>"Yes"</formula>
    </cfRule>
  </conditionalFormatting>
  <conditionalFormatting sqref="AL190">
    <cfRule type="cellIs" dxfId="59" priority="54" operator="equal">
      <formula>"No"</formula>
    </cfRule>
  </conditionalFormatting>
  <conditionalFormatting sqref="AD191:AJ191">
    <cfRule type="cellIs" dxfId="58" priority="52" operator="equal">
      <formula>FALSE</formula>
    </cfRule>
    <cfRule type="cellIs" dxfId="57" priority="53" operator="equal">
      <formula>TRUE</formula>
    </cfRule>
  </conditionalFormatting>
  <conditionalFormatting sqref="X191:Z191">
    <cfRule type="cellIs" dxfId="56" priority="51" operator="equal">
      <formula>TRUE</formula>
    </cfRule>
  </conditionalFormatting>
  <conditionalFormatting sqref="X191:Z191">
    <cfRule type="expression" dxfId="55" priority="49">
      <formula>X191=""</formula>
    </cfRule>
    <cfRule type="expression" dxfId="54" priority="50">
      <formula>(X191=FALSE)</formula>
    </cfRule>
  </conditionalFormatting>
  <conditionalFormatting sqref="AL191">
    <cfRule type="cellIs" dxfId="53" priority="48" operator="equal">
      <formula>"Yes"</formula>
    </cfRule>
  </conditionalFormatting>
  <conditionalFormatting sqref="AL191">
    <cfRule type="cellIs" dxfId="52" priority="47" operator="equal">
      <formula>"No"</formula>
    </cfRule>
  </conditionalFormatting>
  <conditionalFormatting sqref="AD173:AJ173">
    <cfRule type="cellIs" dxfId="51" priority="45" operator="equal">
      <formula>FALSE</formula>
    </cfRule>
    <cfRule type="cellIs" dxfId="50" priority="46" operator="equal">
      <formula>TRUE</formula>
    </cfRule>
  </conditionalFormatting>
  <conditionalFormatting sqref="X173:Z173">
    <cfRule type="cellIs" dxfId="49" priority="44" operator="equal">
      <formula>TRUE</formula>
    </cfRule>
  </conditionalFormatting>
  <conditionalFormatting sqref="X173:Z173">
    <cfRule type="expression" dxfId="48" priority="42">
      <formula>X173=""</formula>
    </cfRule>
    <cfRule type="expression" dxfId="47" priority="43">
      <formula>(X173=FALSE)</formula>
    </cfRule>
  </conditionalFormatting>
  <conditionalFormatting sqref="AL173">
    <cfRule type="cellIs" dxfId="46" priority="41" operator="equal">
      <formula>"Yes"</formula>
    </cfRule>
  </conditionalFormatting>
  <conditionalFormatting sqref="AL173">
    <cfRule type="cellIs" dxfId="45" priority="40" operator="equal">
      <formula>"No"</formula>
    </cfRule>
  </conditionalFormatting>
  <conditionalFormatting sqref="AD174:AJ174">
    <cfRule type="cellIs" dxfId="44" priority="38" operator="equal">
      <formula>FALSE</formula>
    </cfRule>
    <cfRule type="cellIs" dxfId="43" priority="39" operator="equal">
      <formula>TRUE</formula>
    </cfRule>
  </conditionalFormatting>
  <conditionalFormatting sqref="X174:Z174">
    <cfRule type="cellIs" dxfId="42" priority="37" operator="equal">
      <formula>TRUE</formula>
    </cfRule>
  </conditionalFormatting>
  <conditionalFormatting sqref="X174:Z174">
    <cfRule type="expression" dxfId="41" priority="35">
      <formula>X174=""</formula>
    </cfRule>
    <cfRule type="expression" dxfId="40" priority="36">
      <formula>(X174=FALSE)</formula>
    </cfRule>
  </conditionalFormatting>
  <conditionalFormatting sqref="AL174">
    <cfRule type="cellIs" dxfId="39" priority="34" operator="equal">
      <formula>"Yes"</formula>
    </cfRule>
  </conditionalFormatting>
  <conditionalFormatting sqref="AL174">
    <cfRule type="cellIs" dxfId="38" priority="33" operator="equal">
      <formula>"No"</formula>
    </cfRule>
  </conditionalFormatting>
  <conditionalFormatting sqref="AD178:AJ178">
    <cfRule type="cellIs" dxfId="37" priority="31" operator="equal">
      <formula>FALSE</formula>
    </cfRule>
    <cfRule type="cellIs" dxfId="36" priority="32" operator="equal">
      <formula>TRUE</formula>
    </cfRule>
  </conditionalFormatting>
  <conditionalFormatting sqref="X178:Z178">
    <cfRule type="cellIs" dxfId="35" priority="30" operator="equal">
      <formula>TRUE</formula>
    </cfRule>
  </conditionalFormatting>
  <conditionalFormatting sqref="X178:Z178">
    <cfRule type="expression" dxfId="34" priority="28">
      <formula>X178=""</formula>
    </cfRule>
    <cfRule type="expression" dxfId="33" priority="29">
      <formula>(X178=FALSE)</formula>
    </cfRule>
  </conditionalFormatting>
  <conditionalFormatting sqref="AL178">
    <cfRule type="cellIs" dxfId="32" priority="27" operator="equal">
      <formula>"Yes"</formula>
    </cfRule>
  </conditionalFormatting>
  <conditionalFormatting sqref="AL178">
    <cfRule type="cellIs" dxfId="31" priority="26" operator="equal">
      <formula>"No"</formula>
    </cfRule>
  </conditionalFormatting>
  <conditionalFormatting sqref="AL244">
    <cfRule type="cellIs" dxfId="30" priority="25" operator="equal">
      <formula>"Yes"</formula>
    </cfRule>
  </conditionalFormatting>
  <conditionalFormatting sqref="AL244">
    <cfRule type="cellIs" dxfId="29" priority="24" operator="equal">
      <formula>"No"</formula>
    </cfRule>
  </conditionalFormatting>
  <conditionalFormatting sqref="AL254">
    <cfRule type="cellIs" dxfId="28" priority="23" operator="equal">
      <formula>"Yes"</formula>
    </cfRule>
  </conditionalFormatting>
  <conditionalFormatting sqref="AL254">
    <cfRule type="cellIs" dxfId="27" priority="22" operator="equal">
      <formula>"No"</formula>
    </cfRule>
  </conditionalFormatting>
  <conditionalFormatting sqref="AL352">
    <cfRule type="cellIs" dxfId="26" priority="21" operator="equal">
      <formula>"Yes"</formula>
    </cfRule>
  </conditionalFormatting>
  <conditionalFormatting sqref="AL352">
    <cfRule type="cellIs" dxfId="25" priority="20" operator="equal">
      <formula>"No"</formula>
    </cfRule>
  </conditionalFormatting>
  <conditionalFormatting sqref="AL364">
    <cfRule type="cellIs" dxfId="24" priority="18" operator="equal">
      <formula>"Yes"</formula>
    </cfRule>
  </conditionalFormatting>
  <conditionalFormatting sqref="AL364">
    <cfRule type="cellIs" dxfId="23" priority="17" operator="equal">
      <formula>"No"</formula>
    </cfRule>
  </conditionalFormatting>
  <conditionalFormatting sqref="AL369">
    <cfRule type="cellIs" dxfId="22" priority="16" operator="equal">
      <formula>"Yes"</formula>
    </cfRule>
  </conditionalFormatting>
  <conditionalFormatting sqref="AL369">
    <cfRule type="cellIs" dxfId="21" priority="15" operator="equal">
      <formula>"No"</formula>
    </cfRule>
  </conditionalFormatting>
  <conditionalFormatting sqref="AL375">
    <cfRule type="cellIs" dxfId="20" priority="14" operator="equal">
      <formula>"Yes"</formula>
    </cfRule>
  </conditionalFormatting>
  <conditionalFormatting sqref="AL375">
    <cfRule type="cellIs" dxfId="19" priority="13" operator="equal">
      <formula>"No"</formula>
    </cfRule>
  </conditionalFormatting>
  <conditionalFormatting sqref="AL405">
    <cfRule type="cellIs" dxfId="18" priority="12" operator="equal">
      <formula>"Yes"</formula>
    </cfRule>
  </conditionalFormatting>
  <conditionalFormatting sqref="AL405">
    <cfRule type="cellIs" dxfId="17" priority="11" operator="equal">
      <formula>"No"</formula>
    </cfRule>
  </conditionalFormatting>
  <conditionalFormatting sqref="AL391">
    <cfRule type="cellIs" dxfId="16" priority="10" operator="equal">
      <formula>"Yes"</formula>
    </cfRule>
  </conditionalFormatting>
  <conditionalFormatting sqref="AL391">
    <cfRule type="cellIs" dxfId="15" priority="9" operator="equal">
      <formula>"No"</formula>
    </cfRule>
  </conditionalFormatting>
  <conditionalFormatting sqref="T32:U41">
    <cfRule type="cellIs" dxfId="14" priority="8" operator="greaterThan">
      <formula>0</formula>
    </cfRule>
  </conditionalFormatting>
  <conditionalFormatting sqref="T32:W41">
    <cfRule type="cellIs" dxfId="13" priority="6" operator="equal">
      <formula>0</formula>
    </cfRule>
  </conditionalFormatting>
  <conditionalFormatting sqref="AD32:AE42">
    <cfRule type="cellIs" dxfId="12" priority="5" operator="equal">
      <formula>TRUE</formula>
    </cfRule>
  </conditionalFormatting>
  <conditionalFormatting sqref="K32:L41">
    <cfRule type="cellIs" dxfId="11" priority="4" operator="equal">
      <formula>0</formula>
    </cfRule>
  </conditionalFormatting>
  <conditionalFormatting sqref="X32:AC41">
    <cfRule type="cellIs" dxfId="10" priority="3" operator="equal">
      <formula>0</formula>
    </cfRule>
  </conditionalFormatting>
  <dataValidations count="23">
    <dataValidation type="list" allowBlank="1" showInputMessage="1" showErrorMessage="1" sqref="AL122:AM122 AJ71:AK71 AL195:AM195 AL60:AM60 AL63:AM63 AL187:AM189 AL170:AM172 AL177:AM177 AL180:AM180 AL161:AM162 AL193:AM193 AL69:AM70 AL405:AM405 AL368:AM368 AL58:AM58 AL166:AM166" xr:uid="{00000000-0002-0000-0E00-000000000000}">
      <formula1>"Yes,No"</formula1>
    </dataValidation>
    <dataValidation type="list" allowBlank="1" showInputMessage="1" showErrorMessage="1" sqref="AL238 AL359:AM359 AL75:AM75 AL198:AM199 AJ222 AL111:AM111 AL124:AM124 AL391:AM391 AL200 AL217 AL234 AL240:AM240 AL244:AM244 AL257:AM257 AL259 AL260:AM260 AL228:AM228 AL250 AL262 AL263:AM263 AL218:AM219 AL103:AM106 AL82:AM82 AL155:AM155 AL158:AM158 AL190:AM191 Z166:AA166 AL183:AM183 AL163:AM163 AL178:AM178 AL181:AM181 AL173:AM174 AL375:AM375 AL196:AM196 AL221:AL222 AL242:AL243 AL247 AL248:AM248 AL251:AM251 AL253 AL254:AM254 AL295 AL352:AM352 AL364:AM364 AL371 AL369:AM369" xr:uid="{00000000-0002-0000-0E00-000001000000}">
      <formula1>"Yes,No,N/A"</formula1>
    </dataValidation>
    <dataValidation type="list" allowBlank="1" showInputMessage="1" showErrorMessage="1" sqref="AH145:AK150" xr:uid="{00000000-0002-0000-0E00-000008000000}">
      <formula1>$AO$144:$AO$148</formula1>
    </dataValidation>
    <dataValidation type="list" allowBlank="1" showInputMessage="1" showErrorMessage="1" sqref="P93:P102 R103:T105 T99:T102 P128:P142" xr:uid="{D65D9DF0-B7D5-4F8C-AEAC-049E655FAAA9}">
      <formula1>"Special Needs, Other"</formula1>
    </dataValidation>
    <dataValidation type="list" allowBlank="1" showInputMessage="1" showErrorMessage="1" sqref="U103:W105 V99:W102 T99:T102" xr:uid="{C6D7237E-2D77-468B-83BA-E0832BC14652}">
      <formula1>"HCD - Regulated,4%,9%,N/A"</formula1>
    </dataValidation>
    <dataValidation type="list" allowBlank="1" showInputMessage="1" showErrorMessage="1" sqref="T93:W98 T128:W142" xr:uid="{8CFA52B2-54BF-49A8-A041-951A68EB97DA}">
      <formula1>"HCD - Regulated,4% TCAC,9% TCAC,N/A"</formula1>
    </dataValidation>
    <dataValidation type="date" operator="greaterThanOrEqual" allowBlank="1" showInputMessage="1" showErrorMessage="1" errorTitle="Try again" error="The property management Experience with a project shall not pre-date the project’s Construction completion date." sqref="AC128:AE142" xr:uid="{D28FF912-219B-4FFF-94D2-863773436F74}">
      <formula1>AA128</formula1>
    </dataValidation>
    <dataValidation type="list" allowBlank="1" showInputMessage="1" showErrorMessage="1" sqref="X213" xr:uid="{A11B748F-FBC0-4767-A454-4497FEF0B065}">
      <formula1>"0,1,2,3,4"</formula1>
    </dataValidation>
    <dataValidation type="list" allowBlank="1" showInputMessage="1" showErrorMessage="1" sqref="AL208" xr:uid="{47309A9C-B4BF-4FEF-BAF1-FEF4A2B184E8}">
      <formula1>"10,15,20,30"</formula1>
    </dataValidation>
    <dataValidation type="list" allowBlank="1" showInputMessage="1" showErrorMessage="1" sqref="L231" xr:uid="{A58B3405-5D4C-4680-AB50-856A707D55A4}">
      <formula1>$AO$229:$AO$233</formula1>
    </dataValidation>
    <dataValidation type="list" allowBlank="1" showInputMessage="1" showErrorMessage="1" sqref="L235" xr:uid="{5E9AB2A9-CBA1-430B-A56F-5540508044F4}">
      <formula1>$AO$234:$AO$238</formula1>
    </dataValidation>
    <dataValidation type="list" allowBlank="1" showInputMessage="1" showErrorMessage="1" sqref="K227:K228 K375 K369 K364" xr:uid="{2F41E149-1BE8-425D-A315-E6C2015D4C9D}">
      <formula1>$AO$225:$AO$228</formula1>
    </dataValidation>
    <dataValidation type="whole" allowBlank="1" showInputMessage="1" showErrorMessage="1" sqref="AI301:AJ301 AI311:AJ311 AL311:AM311 AL325:AM325 AI325:AJ325 AL301:AM301 AL332:AM332 AI332:AJ332 AL342:AM342 AI342:AJ342" xr:uid="{D2B8FD5B-05B9-43EF-97E8-70CF42897467}">
      <formula1>0</formula1>
      <formula2>2</formula2>
    </dataValidation>
    <dataValidation type="whole" allowBlank="1" showInputMessage="1" showErrorMessage="1" sqref="AL302:AM302 AI302:AJ302" xr:uid="{AB3EFA79-1118-45FE-AE5A-B6D50C061A81}">
      <formula1>0</formula1>
      <formula2>3</formula2>
    </dataValidation>
    <dataValidation type="whole" allowBlank="1" showInputMessage="1" showErrorMessage="1" sqref="AL326:AM326 AI326:AJ326 AL308:AM310 AI308:AJ310 AL319:AM319 AI319:AJ319 AL322:AM324 AI322:AJ324 AL333:AM334 AI333:AJ334 AL340:AM340 AI340:AJ340 AL343:AM344 AI343:AJ344" xr:uid="{963C7763-CB44-4DE4-93D5-01E338DB2E24}">
      <formula1>0</formula1>
      <formula2>1</formula2>
    </dataValidation>
    <dataValidation type="whole" allowBlank="1" showInputMessage="1" showErrorMessage="1" sqref="AI303:AJ303 AL303:AM303" xr:uid="{335E786E-C536-4B71-B6F0-5042818CC9EA}">
      <formula1>0</formula1>
      <formula2>4</formula2>
    </dataValidation>
    <dataValidation type="list" allowBlank="1" showInputMessage="1" showErrorMessage="1" sqref="AL61:AM61 AL66:AM66 AL76:AM76" xr:uid="{44868658-1164-4065-8B9F-E30929962C34}">
      <formula1>"Yes, No,N/A"</formula1>
    </dataValidation>
    <dataValidation type="list" allowBlank="1" showInputMessage="1" showErrorMessage="1" sqref="K74:AM74" xr:uid="{D18E56F0-C0E4-4758-8561-77EF908099AD}">
      <formula1>$AO$71:$AO$76</formula1>
    </dataValidation>
    <dataValidation type="list" allowBlank="1" showInputMessage="1" showErrorMessage="1" sqref="C205" xr:uid="{00000000-0002-0000-0E00-00000A000000}">
      <formula1>$AO$204:$AO$206</formula1>
    </dataValidation>
    <dataValidation type="list" allowBlank="1" showInputMessage="1" showErrorMessage="1" sqref="L239" xr:uid="{62D43117-7575-4413-A931-7851C5A09F06}">
      <formula1>$AO$239:$AO$243</formula1>
    </dataValidation>
    <dataValidation type="list" allowBlank="1" showInputMessage="1" showErrorMessage="1" sqref="AL317:AM318 AI317:AJ318 AL338:AM339 AI338:AJ339" xr:uid="{00FA2073-9B61-48A6-9189-DBDFD6F6B574}">
      <formula1>"0,0.50"</formula1>
    </dataValidation>
    <dataValidation type="list" allowBlank="1" showInputMessage="1" showErrorMessage="1" sqref="AL359:AM359 AL163:AM163 AL405:AM405 AL375:AM375 AL369:AM369 AL364:AM364 AL254:AM254 AL251:AM251 AL248:AM248 AL244:AM244 AL196:AM196 AL391:AM391 K173:M174 AL181:AM181 AL178:AM178 K178:M178 AL158:AM158 AL173:AM174 AL190:AM191 K190:M191 AL82:AM82 K111:M111 K103:AE105 AL124:AM124 AL58:AM58 AL111:AM111 K124:M124 AL198:AM199 AL218:AM219 AL257:AM257 AL260:AM260 AL228:AM228 AL240:AM240 AL263:AM263 AL103:AM106 AL75:AM75 AL352:AM352" xr:uid="{00000000-0002-0000-0E00-00000B000000}">
      <formula1>$AQ$72:$AQ$75</formula1>
    </dataValidation>
    <dataValidation type="list" allowBlank="1" showInputMessage="1" showErrorMessage="1" sqref="D362:AM362" xr:uid="{42D8F637-89F3-4536-8416-CA754C9123AA}">
      <formula1>$AO$359:$AO$361</formula1>
    </dataValidation>
  </dataValidations>
  <hyperlinks>
    <hyperlink ref="D226" r:id="rId1" location="walkability. " xr:uid="{A36276B3-7A7C-40DA-9DAE-3846FED70A9B}"/>
    <hyperlink ref="AH208:AI208" r:id="rId2" display="Here" xr:uid="{3C87E057-CDA8-4AE7-8130-425425542945}"/>
    <hyperlink ref="D350:M350" r:id="rId3" display="https://www.nass.usda.gov/AgCensus/" xr:uid="{68F21C34-07D6-41C9-B559-F89AAB4AA7B9}"/>
    <hyperlink ref="E367" r:id="rId4" display="https://www.hcd.ca.gov/community-development/prohousing/index.shtml" xr:uid="{054714FF-A3C2-4288-9B41-8D1E48436FE0}"/>
  </hyperlinks>
  <printOptions horizontalCentered="1"/>
  <pageMargins left="0" right="0.25" top="0" bottom="0" header="0.25" footer="0.25"/>
  <pageSetup scale="65" orientation="portrait" r:id="rId5"/>
  <headerFooter>
    <oddFooter>&amp;L&amp;F&amp;C&amp;P of &amp;N&amp;R &amp;A</oddFooter>
  </headerFooter>
  <ignoredErrors>
    <ignoredError sqref="AL68" unlockedFormula="1"/>
    <ignoredError sqref="AL148" formula="1"/>
    <ignoredError sqref="C57 C26:C27 C62 C67 C77 C110 C143 C154 C192 C194 B203 B220 B241 B245 C278 C297 C347 C349 C355 C360 C365 B379 B388 C159 C164 C182 B397" numberStoredAsText="1"/>
  </ignoredErrors>
  <legacyDrawing r:id="rId6"/>
  <extLst>
    <ext xmlns:x14="http://schemas.microsoft.com/office/spreadsheetml/2009/9/main" uri="{CCE6A557-97BC-4b89-ADB6-D9C93CAAB3DF}">
      <x14:dataValidations xmlns:xm="http://schemas.microsoft.com/office/excel/2006/main" count="4">
        <x14:dataValidation type="list" allowBlank="1" showInputMessage="1" showErrorMessage="1" xr:uid="{8BD7DFE5-1C08-4D23-87CE-7D732176DA2E}">
          <x14:formula1>
            <xm:f>Lists!$B$19:$B$21</xm:f>
          </x14:formula1>
          <xm:sqref>X103:Z105</xm:sqref>
        </x14:dataValidation>
        <x14:dataValidation type="list" allowBlank="1" showInputMessage="1" showErrorMessage="1" xr:uid="{54CBAC48-16C0-48D3-AA77-FC35786F2BB5}">
          <x14:formula1>
            <xm:f>Lists!$B$20:$B$21</xm:f>
          </x14:formula1>
          <xm:sqref>X93:Z102 X128:Z142</xm:sqref>
        </x14:dataValidation>
        <x14:dataValidation type="list" allowBlank="1" showInputMessage="1" showErrorMessage="1" xr:uid="{6B5D5145-3FC6-46F7-AB49-0644B90325E0}">
          <x14:formula1>
            <xm:f>Dropdowns!$A$12:$A$17</xm:f>
          </x14:formula1>
          <xm:sqref>X256:AM256</xm:sqref>
        </x14:dataValidation>
        <x14:dataValidation type="list" allowBlank="1" showInputMessage="1" showErrorMessage="1" xr:uid="{2FFADA65-7F1E-4349-908C-A31E5EC0F9B6}">
          <x14:formula1>
            <xm:f>Dropdowns!$X$1:$X$16</xm:f>
          </x14:formula1>
          <xm:sqref>E372:AM374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5">
    <tabColor rgb="FFFF0000"/>
  </sheetPr>
  <dimension ref="B2:AQ36"/>
  <sheetViews>
    <sheetView showGridLines="0" zoomScaleNormal="100" zoomScaleSheetLayoutView="100" workbookViewId="0">
      <selection activeCell="B4" sqref="B4:AM4"/>
    </sheetView>
  </sheetViews>
  <sheetFormatPr defaultColWidth="9.109375" defaultRowHeight="18" customHeight="1"/>
  <cols>
    <col min="1" max="39" width="4.109375" style="18" customWidth="1"/>
    <col min="40" max="40" width="24.44140625" style="17" hidden="1" customWidth="1"/>
    <col min="41" max="41" width="30.33203125" style="17" hidden="1" customWidth="1"/>
    <col min="42" max="42" width="32.6640625" style="17" hidden="1" customWidth="1"/>
    <col min="43" max="43" width="10.6640625" style="17" hidden="1" customWidth="1"/>
    <col min="44" max="44" width="9.109375" style="18" customWidth="1"/>
    <col min="45" max="16384" width="9.109375" style="18"/>
  </cols>
  <sheetData>
    <row r="2" spans="2:43" ht="17.399999999999999">
      <c r="B2" s="4324" t="s">
        <v>4081</v>
      </c>
      <c r="C2" s="4324"/>
      <c r="D2" s="4324"/>
      <c r="E2" s="4324"/>
      <c r="F2" s="4324"/>
      <c r="G2" s="4324"/>
      <c r="H2" s="4324"/>
      <c r="I2" s="4324"/>
      <c r="J2" s="4324"/>
      <c r="K2" s="4324"/>
      <c r="L2" s="4324"/>
      <c r="M2" s="4324"/>
      <c r="N2" s="4324"/>
      <c r="O2" s="4324"/>
      <c r="P2" s="4324"/>
      <c r="Q2" s="4324"/>
      <c r="R2" s="4324"/>
      <c r="S2" s="4324"/>
      <c r="T2" s="4324"/>
      <c r="U2" s="4324"/>
      <c r="V2" s="4324"/>
      <c r="W2" s="4324"/>
      <c r="X2" s="4324"/>
      <c r="Y2" s="4324"/>
      <c r="Z2" s="4324"/>
      <c r="AA2" s="4324"/>
      <c r="AB2" s="4324"/>
      <c r="AC2" s="4324"/>
      <c r="AD2" s="4324"/>
      <c r="AE2" s="4324"/>
      <c r="AF2" s="4324"/>
      <c r="AG2" s="4324"/>
      <c r="AH2" s="4324"/>
      <c r="AI2" s="4324"/>
      <c r="AJ2" s="4324"/>
      <c r="AK2" s="4324"/>
      <c r="AL2" s="4324"/>
      <c r="AM2" s="4324"/>
    </row>
    <row r="3" spans="2:43" ht="9" customHeight="1">
      <c r="B3" s="436"/>
      <c r="C3" s="436"/>
      <c r="D3" s="436"/>
      <c r="E3" s="436"/>
      <c r="F3" s="436"/>
      <c r="G3" s="436"/>
      <c r="H3" s="436"/>
      <c r="I3" s="436"/>
      <c r="J3" s="436"/>
      <c r="K3" s="436"/>
      <c r="L3" s="436"/>
      <c r="M3" s="436"/>
      <c r="N3" s="436"/>
      <c r="O3" s="436"/>
      <c r="P3" s="436"/>
      <c r="Q3" s="436"/>
      <c r="R3" s="436"/>
      <c r="S3" s="436"/>
      <c r="T3" s="436"/>
      <c r="U3" s="436"/>
      <c r="V3" s="436"/>
      <c r="W3" s="436"/>
      <c r="X3" s="436"/>
      <c r="Y3" s="436"/>
      <c r="Z3" s="436"/>
      <c r="AA3" s="436"/>
      <c r="AB3" s="436"/>
      <c r="AC3" s="436"/>
      <c r="AD3" s="436"/>
      <c r="AE3" s="436"/>
      <c r="AF3" s="436"/>
      <c r="AG3" s="436"/>
      <c r="AH3" s="436"/>
      <c r="AI3" s="436"/>
      <c r="AJ3" s="436"/>
      <c r="AK3" s="436"/>
      <c r="AL3" s="436"/>
      <c r="AM3" s="436"/>
    </row>
    <row r="4" spans="2:43" ht="36" customHeight="1">
      <c r="B4" s="4336" t="s">
        <v>4082</v>
      </c>
      <c r="C4" s="4336"/>
      <c r="D4" s="4336"/>
      <c r="E4" s="4336"/>
      <c r="F4" s="4336"/>
      <c r="G4" s="4336"/>
      <c r="H4" s="4336"/>
      <c r="I4" s="4336"/>
      <c r="J4" s="4336"/>
      <c r="K4" s="4336"/>
      <c r="L4" s="4336"/>
      <c r="M4" s="4336"/>
      <c r="N4" s="4336"/>
      <c r="O4" s="4336"/>
      <c r="P4" s="4336"/>
      <c r="Q4" s="4336"/>
      <c r="R4" s="4336"/>
      <c r="S4" s="4336"/>
      <c r="T4" s="4336"/>
      <c r="U4" s="4336"/>
      <c r="V4" s="4336"/>
      <c r="W4" s="4336"/>
      <c r="X4" s="4336"/>
      <c r="Y4" s="4336"/>
      <c r="Z4" s="4336"/>
      <c r="AA4" s="4336"/>
      <c r="AB4" s="4336"/>
      <c r="AC4" s="4336"/>
      <c r="AD4" s="4336"/>
      <c r="AE4" s="4336"/>
      <c r="AF4" s="4336"/>
      <c r="AG4" s="4336"/>
      <c r="AH4" s="4336"/>
      <c r="AI4" s="4336"/>
      <c r="AJ4" s="4336"/>
      <c r="AK4" s="4336"/>
      <c r="AL4" s="4336"/>
      <c r="AM4" s="4336"/>
    </row>
    <row r="5" spans="2:43" ht="9" customHeight="1">
      <c r="B5" s="1586"/>
      <c r="C5" s="1586"/>
      <c r="D5" s="1586"/>
      <c r="E5" s="1586"/>
      <c r="F5" s="1586"/>
      <c r="G5" s="1586"/>
      <c r="H5" s="1586"/>
      <c r="I5" s="1586"/>
      <c r="J5" s="1586"/>
      <c r="K5" s="1586"/>
      <c r="L5" s="1586"/>
      <c r="M5" s="1586"/>
      <c r="N5" s="1586"/>
      <c r="O5" s="1586"/>
      <c r="P5" s="1586"/>
      <c r="Q5" s="1586"/>
      <c r="R5" s="1586"/>
      <c r="S5" s="1586"/>
      <c r="T5" s="1586"/>
      <c r="U5" s="1586"/>
      <c r="V5" s="1586"/>
      <c r="W5" s="1586"/>
      <c r="X5" s="1586"/>
      <c r="Y5" s="1586"/>
      <c r="Z5" s="1586"/>
      <c r="AA5" s="1586"/>
      <c r="AB5" s="1586"/>
      <c r="AC5" s="1586"/>
      <c r="AD5" s="1586"/>
      <c r="AE5" s="1586"/>
      <c r="AF5" s="1586"/>
      <c r="AG5" s="1586"/>
      <c r="AH5" s="1586"/>
      <c r="AI5" s="1586"/>
      <c r="AJ5" s="1586"/>
      <c r="AK5" s="1586"/>
      <c r="AL5" s="1586"/>
      <c r="AM5" s="1586"/>
    </row>
    <row r="6" spans="2:43" ht="36" customHeight="1">
      <c r="B6" s="4337" t="s">
        <v>4083</v>
      </c>
      <c r="C6" s="4337"/>
      <c r="D6" s="4337"/>
      <c r="E6" s="4338"/>
      <c r="F6" s="4338"/>
      <c r="G6" s="4338"/>
      <c r="H6" s="4338"/>
      <c r="I6" s="4338"/>
      <c r="J6" s="4338"/>
      <c r="K6" s="4338"/>
      <c r="L6" s="4338"/>
      <c r="M6" s="4338"/>
      <c r="N6" s="4338"/>
      <c r="O6" s="4338"/>
      <c r="P6" s="4338"/>
      <c r="Q6" s="4338"/>
      <c r="R6" s="4338"/>
      <c r="S6" s="4338"/>
      <c r="T6" s="4338"/>
      <c r="U6" s="4338"/>
      <c r="V6" s="4338"/>
      <c r="W6" s="4338"/>
      <c r="X6" s="4339" t="s">
        <v>4084</v>
      </c>
      <c r="Y6" s="4339"/>
      <c r="Z6" s="4339"/>
      <c r="AA6" s="4339"/>
      <c r="AB6" s="4340"/>
      <c r="AC6" s="4340"/>
      <c r="AD6" s="4340"/>
      <c r="AE6" s="4340"/>
      <c r="AF6" s="4341" t="s">
        <v>4085</v>
      </c>
      <c r="AG6" s="4341"/>
      <c r="AH6" s="4341"/>
      <c r="AI6" s="4341"/>
      <c r="AJ6" s="4340"/>
      <c r="AK6" s="4340"/>
      <c r="AL6" s="4340"/>
      <c r="AM6" s="4340"/>
    </row>
    <row r="7" spans="2:43" ht="18" customHeight="1">
      <c r="B7" s="4331" t="s">
        <v>4086</v>
      </c>
      <c r="C7" s="4331"/>
      <c r="D7" s="4331"/>
      <c r="E7" s="4331"/>
      <c r="F7" s="4332"/>
      <c r="G7" s="4332"/>
      <c r="H7" s="4332"/>
      <c r="I7" s="4332"/>
      <c r="J7" s="4332"/>
      <c r="K7" s="4332"/>
      <c r="L7" s="4332"/>
      <c r="M7" s="4332"/>
      <c r="N7" s="4332"/>
      <c r="O7" s="4332"/>
      <c r="P7" s="4332"/>
      <c r="Q7" s="4333" t="s">
        <v>4087</v>
      </c>
      <c r="R7" s="4333"/>
      <c r="S7" s="4334"/>
      <c r="T7" s="4334"/>
      <c r="U7" s="4334"/>
      <c r="V7" s="4334"/>
      <c r="W7" s="4334"/>
      <c r="X7" s="4334"/>
      <c r="Y7" s="4334"/>
      <c r="Z7" s="4334"/>
      <c r="AA7" s="4334"/>
      <c r="AB7" s="4334"/>
      <c r="AC7" s="4334"/>
      <c r="AD7" s="4333" t="s">
        <v>4088</v>
      </c>
      <c r="AE7" s="4333"/>
      <c r="AF7" s="4333"/>
      <c r="AG7" s="4333"/>
      <c r="AH7" s="4335"/>
      <c r="AI7" s="4335"/>
      <c r="AJ7" s="4335"/>
      <c r="AK7" s="4335"/>
      <c r="AL7" s="4335"/>
      <c r="AM7" s="4335"/>
    </row>
    <row r="8" spans="2:43" ht="54" customHeight="1">
      <c r="B8" s="4325" t="s">
        <v>4089</v>
      </c>
      <c r="C8" s="4326"/>
      <c r="D8" s="4326"/>
      <c r="E8" s="4326"/>
      <c r="F8" s="4326"/>
      <c r="G8" s="4326"/>
      <c r="H8" s="4326"/>
      <c r="I8" s="4326"/>
      <c r="J8" s="4326"/>
      <c r="K8" s="4326"/>
      <c r="L8" s="4326"/>
      <c r="M8" s="4326"/>
      <c r="N8" s="4326"/>
      <c r="O8" s="4326"/>
      <c r="P8" s="4326"/>
      <c r="Q8" s="4326"/>
      <c r="R8" s="4326"/>
      <c r="S8" s="4326"/>
      <c r="T8" s="4326"/>
      <c r="U8" s="4326"/>
      <c r="V8" s="4326"/>
      <c r="W8" s="4326"/>
      <c r="X8" s="4326"/>
      <c r="Y8" s="4326"/>
      <c r="Z8" s="4326"/>
      <c r="AA8" s="4326"/>
      <c r="AB8" s="4326"/>
      <c r="AC8" s="4326"/>
      <c r="AD8" s="4326"/>
      <c r="AE8" s="4326"/>
      <c r="AF8" s="4326"/>
      <c r="AG8" s="4326"/>
      <c r="AH8" s="4326"/>
      <c r="AI8" s="4326"/>
      <c r="AJ8" s="4326"/>
      <c r="AK8" s="4326"/>
      <c r="AL8" s="4326"/>
      <c r="AM8" s="4326"/>
    </row>
    <row r="9" spans="2:43" ht="54" customHeight="1">
      <c r="B9" s="4327" t="s">
        <v>4090</v>
      </c>
      <c r="C9" s="4327"/>
      <c r="D9" s="4328" t="s">
        <v>4091</v>
      </c>
      <c r="E9" s="4329"/>
      <c r="F9" s="4329"/>
      <c r="G9" s="4329"/>
      <c r="H9" s="4329"/>
      <c r="I9" s="4329"/>
      <c r="J9" s="4330"/>
      <c r="K9" s="4328" t="s">
        <v>4092</v>
      </c>
      <c r="L9" s="4329"/>
      <c r="M9" s="4329"/>
      <c r="N9" s="4329"/>
      <c r="O9" s="4329"/>
      <c r="P9" s="4330"/>
      <c r="Q9" s="4327" t="s">
        <v>4093</v>
      </c>
      <c r="R9" s="4327"/>
      <c r="S9" s="4327" t="s">
        <v>4094</v>
      </c>
      <c r="T9" s="4327"/>
      <c r="U9" s="4327"/>
      <c r="V9" s="4327"/>
      <c r="W9" s="4327"/>
      <c r="X9" s="4327"/>
      <c r="Y9" s="4327"/>
      <c r="Z9" s="4327"/>
      <c r="AA9" s="4327"/>
      <c r="AB9" s="4327"/>
      <c r="AC9" s="4327"/>
      <c r="AD9" s="4327"/>
      <c r="AE9" s="4327" t="s">
        <v>4095</v>
      </c>
      <c r="AF9" s="4327"/>
      <c r="AG9" s="4327"/>
      <c r="AH9" s="4327" t="s">
        <v>4096</v>
      </c>
      <c r="AI9" s="4327"/>
      <c r="AJ9" s="4327"/>
      <c r="AK9" s="4327" t="s">
        <v>4097</v>
      </c>
      <c r="AL9" s="4327"/>
      <c r="AM9" s="4327"/>
      <c r="AN9" s="1424" t="s">
        <v>4098</v>
      </c>
      <c r="AO9" s="19" t="s">
        <v>2239</v>
      </c>
      <c r="AP9" s="19" t="s">
        <v>4099</v>
      </c>
      <c r="AQ9" s="20" t="s">
        <v>4100</v>
      </c>
    </row>
    <row r="10" spans="2:43" ht="36" customHeight="1">
      <c r="B10" s="4317">
        <v>1</v>
      </c>
      <c r="C10" s="4317"/>
      <c r="D10" s="4320"/>
      <c r="E10" s="4321"/>
      <c r="F10" s="4321"/>
      <c r="G10" s="4321"/>
      <c r="H10" s="4321"/>
      <c r="I10" s="4321"/>
      <c r="J10" s="4322"/>
      <c r="K10" s="4318"/>
      <c r="L10" s="4318"/>
      <c r="M10" s="4318"/>
      <c r="N10" s="4318"/>
      <c r="O10" s="4318"/>
      <c r="P10" s="4318"/>
      <c r="Q10" s="4318"/>
      <c r="R10" s="4318"/>
      <c r="S10" s="4319"/>
      <c r="T10" s="4319"/>
      <c r="U10" s="4319"/>
      <c r="V10" s="4319"/>
      <c r="W10" s="4319"/>
      <c r="X10" s="4319"/>
      <c r="Y10" s="4319"/>
      <c r="Z10" s="4319"/>
      <c r="AA10" s="4319"/>
      <c r="AB10" s="4319"/>
      <c r="AC10" s="4319"/>
      <c r="AD10" s="4319"/>
      <c r="AE10" s="4314"/>
      <c r="AF10" s="4314"/>
      <c r="AG10" s="4314"/>
      <c r="AH10" s="4315"/>
      <c r="AI10" s="4315"/>
      <c r="AJ10" s="4315"/>
      <c r="AK10" s="4316"/>
      <c r="AL10" s="4316"/>
      <c r="AM10" s="4316"/>
      <c r="AN10" s="1425" t="str">
        <f>IF(D10="","",$E$6)</f>
        <v/>
      </c>
      <c r="AO10" s="1585" t="str">
        <f>IF(D10="","",$S$7)</f>
        <v/>
      </c>
      <c r="AP10" s="1585" t="str">
        <f>IF(D10="","",$AH$7)</f>
        <v/>
      </c>
      <c r="AQ10" s="21" t="str">
        <f>IF(D10="","",$AJ$6)</f>
        <v/>
      </c>
    </row>
    <row r="11" spans="2:43" ht="36" customHeight="1">
      <c r="B11" s="4323">
        <v>2</v>
      </c>
      <c r="C11" s="4323"/>
      <c r="D11" s="4320"/>
      <c r="E11" s="4321"/>
      <c r="F11" s="4321"/>
      <c r="G11" s="4321"/>
      <c r="H11" s="4321"/>
      <c r="I11" s="4321"/>
      <c r="J11" s="4322"/>
      <c r="K11" s="4318"/>
      <c r="L11" s="4318"/>
      <c r="M11" s="4318"/>
      <c r="N11" s="4318"/>
      <c r="O11" s="4318"/>
      <c r="P11" s="4318"/>
      <c r="Q11" s="4318"/>
      <c r="R11" s="4318"/>
      <c r="S11" s="4319"/>
      <c r="T11" s="4319"/>
      <c r="U11" s="4319"/>
      <c r="V11" s="4319"/>
      <c r="W11" s="4319"/>
      <c r="X11" s="4319"/>
      <c r="Y11" s="4319"/>
      <c r="Z11" s="4319"/>
      <c r="AA11" s="4319"/>
      <c r="AB11" s="4319"/>
      <c r="AC11" s="4319"/>
      <c r="AD11" s="4319"/>
      <c r="AE11" s="4314"/>
      <c r="AF11" s="4314"/>
      <c r="AG11" s="4314"/>
      <c r="AH11" s="4315"/>
      <c r="AI11" s="4315"/>
      <c r="AJ11" s="4315"/>
      <c r="AK11" s="4316"/>
      <c r="AL11" s="4316"/>
      <c r="AM11" s="4316"/>
      <c r="AN11" s="1425" t="str">
        <f t="shared" ref="AN11:AN12" si="0">IF(D11="","",$E$6)</f>
        <v/>
      </c>
      <c r="AO11" s="1585" t="str">
        <f t="shared" ref="AO11:AO12" si="1">IF(D11="","",$S$7)</f>
        <v/>
      </c>
      <c r="AP11" s="1585" t="str">
        <f t="shared" ref="AP11:AP12" si="2">IF(D11="","",$AH$7)</f>
        <v/>
      </c>
      <c r="AQ11" s="21" t="str">
        <f t="shared" ref="AQ11:AQ12" si="3">IF(D11="","",$AJ$6)</f>
        <v/>
      </c>
    </row>
    <row r="12" spans="2:43" ht="36" customHeight="1">
      <c r="B12" s="4317">
        <v>3</v>
      </c>
      <c r="C12" s="4317"/>
      <c r="D12" s="4320"/>
      <c r="E12" s="4321"/>
      <c r="F12" s="4321"/>
      <c r="G12" s="4321"/>
      <c r="H12" s="4321"/>
      <c r="I12" s="4321"/>
      <c r="J12" s="4322"/>
      <c r="K12" s="4318"/>
      <c r="L12" s="4318"/>
      <c r="M12" s="4318"/>
      <c r="N12" s="4318"/>
      <c r="O12" s="4318"/>
      <c r="P12" s="4318"/>
      <c r="Q12" s="4318"/>
      <c r="R12" s="4318"/>
      <c r="S12" s="4319"/>
      <c r="T12" s="4319"/>
      <c r="U12" s="4319"/>
      <c r="V12" s="4319"/>
      <c r="W12" s="4319"/>
      <c r="X12" s="4319"/>
      <c r="Y12" s="4319"/>
      <c r="Z12" s="4319"/>
      <c r="AA12" s="4319"/>
      <c r="AB12" s="4319"/>
      <c r="AC12" s="4319"/>
      <c r="AD12" s="4319"/>
      <c r="AE12" s="4314"/>
      <c r="AF12" s="4314"/>
      <c r="AG12" s="4314"/>
      <c r="AH12" s="4315"/>
      <c r="AI12" s="4315"/>
      <c r="AJ12" s="4315"/>
      <c r="AK12" s="4316"/>
      <c r="AL12" s="4316"/>
      <c r="AM12" s="4316"/>
      <c r="AN12" s="1425" t="str">
        <f t="shared" si="0"/>
        <v/>
      </c>
      <c r="AO12" s="1585" t="str">
        <f t="shared" si="1"/>
        <v/>
      </c>
      <c r="AP12" s="1585" t="str">
        <f t="shared" si="2"/>
        <v/>
      </c>
      <c r="AQ12" s="21" t="str">
        <f t="shared" si="3"/>
        <v/>
      </c>
    </row>
    <row r="13" spans="2:43" ht="36" customHeight="1">
      <c r="B13" s="4323">
        <v>4</v>
      </c>
      <c r="C13" s="4323"/>
      <c r="D13" s="4320"/>
      <c r="E13" s="4321"/>
      <c r="F13" s="4321"/>
      <c r="G13" s="4321"/>
      <c r="H13" s="4321"/>
      <c r="I13" s="4321"/>
      <c r="J13" s="4322"/>
      <c r="K13" s="4318"/>
      <c r="L13" s="4318"/>
      <c r="M13" s="4318"/>
      <c r="N13" s="4318"/>
      <c r="O13" s="4318"/>
      <c r="P13" s="4318"/>
      <c r="Q13" s="4318"/>
      <c r="R13" s="4318"/>
      <c r="S13" s="4319"/>
      <c r="T13" s="4319"/>
      <c r="U13" s="4319"/>
      <c r="V13" s="4319"/>
      <c r="W13" s="4319"/>
      <c r="X13" s="4319"/>
      <c r="Y13" s="4319"/>
      <c r="Z13" s="4319"/>
      <c r="AA13" s="4319"/>
      <c r="AB13" s="4319"/>
      <c r="AC13" s="4319"/>
      <c r="AD13" s="4319"/>
      <c r="AE13" s="4314"/>
      <c r="AF13" s="4314"/>
      <c r="AG13" s="4314"/>
      <c r="AH13" s="4315"/>
      <c r="AI13" s="4315"/>
      <c r="AJ13" s="4315"/>
      <c r="AK13" s="4316"/>
      <c r="AL13" s="4316"/>
      <c r="AM13" s="4316"/>
      <c r="AN13" s="1425" t="str">
        <f t="shared" ref="AN13:AN34" si="4">IF(D13="","",$E$6)</f>
        <v/>
      </c>
      <c r="AO13" s="1585" t="str">
        <f t="shared" ref="AO13:AO34" si="5">IF(D13="","",$S$7)</f>
        <v/>
      </c>
      <c r="AP13" s="1585" t="str">
        <f>IF(D13="","",$AH$7)</f>
        <v/>
      </c>
      <c r="AQ13" s="21" t="str">
        <f>IF(D13="","",$AJ$6)</f>
        <v/>
      </c>
    </row>
    <row r="14" spans="2:43" ht="36" customHeight="1">
      <c r="B14" s="4317">
        <v>5</v>
      </c>
      <c r="C14" s="4317"/>
      <c r="D14" s="4320"/>
      <c r="E14" s="4321"/>
      <c r="F14" s="4321"/>
      <c r="G14" s="4321"/>
      <c r="H14" s="4321"/>
      <c r="I14" s="4321"/>
      <c r="J14" s="4322"/>
      <c r="K14" s="4318"/>
      <c r="L14" s="4318"/>
      <c r="M14" s="4318"/>
      <c r="N14" s="4318"/>
      <c r="O14" s="4318"/>
      <c r="P14" s="4318"/>
      <c r="Q14" s="4318"/>
      <c r="R14" s="4318"/>
      <c r="S14" s="4319"/>
      <c r="T14" s="4319"/>
      <c r="U14" s="4319"/>
      <c r="V14" s="4319"/>
      <c r="W14" s="4319"/>
      <c r="X14" s="4319"/>
      <c r="Y14" s="4319"/>
      <c r="Z14" s="4319"/>
      <c r="AA14" s="4319"/>
      <c r="AB14" s="4319"/>
      <c r="AC14" s="4319"/>
      <c r="AD14" s="4319"/>
      <c r="AE14" s="4314"/>
      <c r="AF14" s="4314"/>
      <c r="AG14" s="4314"/>
      <c r="AH14" s="4315"/>
      <c r="AI14" s="4315"/>
      <c r="AJ14" s="4315"/>
      <c r="AK14" s="4316"/>
      <c r="AL14" s="4316"/>
      <c r="AM14" s="4316"/>
      <c r="AN14" s="1425" t="str">
        <f t="shared" si="4"/>
        <v/>
      </c>
      <c r="AO14" s="1585" t="str">
        <f t="shared" si="5"/>
        <v/>
      </c>
      <c r="AP14" s="1585" t="str">
        <f t="shared" ref="AP14:AP34" si="6">IF(D14="","",$AH$7)</f>
        <v/>
      </c>
      <c r="AQ14" s="21" t="str">
        <f t="shared" ref="AQ14:AQ34" si="7">IF(D14="","",$AJ$6)</f>
        <v/>
      </c>
    </row>
    <row r="15" spans="2:43" ht="36" customHeight="1">
      <c r="B15" s="4323">
        <v>6</v>
      </c>
      <c r="C15" s="4323"/>
      <c r="D15" s="4320"/>
      <c r="E15" s="4321"/>
      <c r="F15" s="4321"/>
      <c r="G15" s="4321"/>
      <c r="H15" s="4321"/>
      <c r="I15" s="4321"/>
      <c r="J15" s="4322"/>
      <c r="K15" s="4318"/>
      <c r="L15" s="4318"/>
      <c r="M15" s="4318"/>
      <c r="N15" s="4318"/>
      <c r="O15" s="4318"/>
      <c r="P15" s="4318"/>
      <c r="Q15" s="4318"/>
      <c r="R15" s="4318"/>
      <c r="S15" s="4319"/>
      <c r="T15" s="4319"/>
      <c r="U15" s="4319"/>
      <c r="V15" s="4319"/>
      <c r="W15" s="4319"/>
      <c r="X15" s="4319"/>
      <c r="Y15" s="4319"/>
      <c r="Z15" s="4319"/>
      <c r="AA15" s="4319"/>
      <c r="AB15" s="4319"/>
      <c r="AC15" s="4319"/>
      <c r="AD15" s="4319"/>
      <c r="AE15" s="4314"/>
      <c r="AF15" s="4314"/>
      <c r="AG15" s="4314"/>
      <c r="AH15" s="4315"/>
      <c r="AI15" s="4315"/>
      <c r="AJ15" s="4315"/>
      <c r="AK15" s="4316"/>
      <c r="AL15" s="4316"/>
      <c r="AM15" s="4316"/>
      <c r="AN15" s="1425" t="str">
        <f t="shared" si="4"/>
        <v/>
      </c>
      <c r="AO15" s="1585" t="str">
        <f t="shared" si="5"/>
        <v/>
      </c>
      <c r="AP15" s="1585" t="str">
        <f t="shared" si="6"/>
        <v/>
      </c>
      <c r="AQ15" s="21" t="str">
        <f t="shared" si="7"/>
        <v/>
      </c>
    </row>
    <row r="16" spans="2:43" ht="36" customHeight="1">
      <c r="B16" s="4317">
        <v>7</v>
      </c>
      <c r="C16" s="4317"/>
      <c r="D16" s="4320"/>
      <c r="E16" s="4321"/>
      <c r="F16" s="4321"/>
      <c r="G16" s="4321"/>
      <c r="H16" s="4321"/>
      <c r="I16" s="4321"/>
      <c r="J16" s="4322"/>
      <c r="K16" s="4318"/>
      <c r="L16" s="4318"/>
      <c r="M16" s="4318"/>
      <c r="N16" s="4318"/>
      <c r="O16" s="4318"/>
      <c r="P16" s="4318"/>
      <c r="Q16" s="4318"/>
      <c r="R16" s="4318"/>
      <c r="S16" s="4319"/>
      <c r="T16" s="4319"/>
      <c r="U16" s="4319"/>
      <c r="V16" s="4319"/>
      <c r="W16" s="4319"/>
      <c r="X16" s="4319"/>
      <c r="Y16" s="4319"/>
      <c r="Z16" s="4319"/>
      <c r="AA16" s="4319"/>
      <c r="AB16" s="4319"/>
      <c r="AC16" s="4319"/>
      <c r="AD16" s="4319"/>
      <c r="AE16" s="4314"/>
      <c r="AF16" s="4314"/>
      <c r="AG16" s="4314"/>
      <c r="AH16" s="4315"/>
      <c r="AI16" s="4315"/>
      <c r="AJ16" s="4315"/>
      <c r="AK16" s="4316"/>
      <c r="AL16" s="4316"/>
      <c r="AM16" s="4316"/>
      <c r="AN16" s="1425" t="str">
        <f t="shared" si="4"/>
        <v/>
      </c>
      <c r="AO16" s="1585" t="str">
        <f t="shared" si="5"/>
        <v/>
      </c>
      <c r="AP16" s="1585" t="str">
        <f t="shared" si="6"/>
        <v/>
      </c>
      <c r="AQ16" s="21" t="str">
        <f t="shared" si="7"/>
        <v/>
      </c>
    </row>
    <row r="17" spans="2:43" ht="36" customHeight="1">
      <c r="B17" s="4323">
        <v>8</v>
      </c>
      <c r="C17" s="4323"/>
      <c r="D17" s="4320"/>
      <c r="E17" s="4321"/>
      <c r="F17" s="4321"/>
      <c r="G17" s="4321"/>
      <c r="H17" s="4321"/>
      <c r="I17" s="4321"/>
      <c r="J17" s="4322"/>
      <c r="K17" s="4318"/>
      <c r="L17" s="4318"/>
      <c r="M17" s="4318"/>
      <c r="N17" s="4318"/>
      <c r="O17" s="4318"/>
      <c r="P17" s="4318"/>
      <c r="Q17" s="4318"/>
      <c r="R17" s="4318"/>
      <c r="S17" s="4319"/>
      <c r="T17" s="4319"/>
      <c r="U17" s="4319"/>
      <c r="V17" s="4319"/>
      <c r="W17" s="4319"/>
      <c r="X17" s="4319"/>
      <c r="Y17" s="4319"/>
      <c r="Z17" s="4319"/>
      <c r="AA17" s="4319"/>
      <c r="AB17" s="4319"/>
      <c r="AC17" s="4319"/>
      <c r="AD17" s="4319"/>
      <c r="AE17" s="4314"/>
      <c r="AF17" s="4314"/>
      <c r="AG17" s="4314"/>
      <c r="AH17" s="4315"/>
      <c r="AI17" s="4315"/>
      <c r="AJ17" s="4315"/>
      <c r="AK17" s="4316"/>
      <c r="AL17" s="4316"/>
      <c r="AM17" s="4316"/>
      <c r="AN17" s="1425" t="str">
        <f t="shared" si="4"/>
        <v/>
      </c>
      <c r="AO17" s="1585" t="str">
        <f t="shared" si="5"/>
        <v/>
      </c>
      <c r="AP17" s="1585" t="str">
        <f t="shared" si="6"/>
        <v/>
      </c>
      <c r="AQ17" s="21" t="str">
        <f t="shared" si="7"/>
        <v/>
      </c>
    </row>
    <row r="18" spans="2:43" ht="36" customHeight="1">
      <c r="B18" s="4317">
        <v>9</v>
      </c>
      <c r="C18" s="4317"/>
      <c r="D18" s="4320"/>
      <c r="E18" s="4321"/>
      <c r="F18" s="4321"/>
      <c r="G18" s="4321"/>
      <c r="H18" s="4321"/>
      <c r="I18" s="4321"/>
      <c r="J18" s="4322"/>
      <c r="K18" s="4318"/>
      <c r="L18" s="4318"/>
      <c r="M18" s="4318"/>
      <c r="N18" s="4318"/>
      <c r="O18" s="4318"/>
      <c r="P18" s="4318"/>
      <c r="Q18" s="4318"/>
      <c r="R18" s="4318"/>
      <c r="S18" s="4319"/>
      <c r="T18" s="4319"/>
      <c r="U18" s="4319"/>
      <c r="V18" s="4319"/>
      <c r="W18" s="4319"/>
      <c r="X18" s="4319"/>
      <c r="Y18" s="4319"/>
      <c r="Z18" s="4319"/>
      <c r="AA18" s="4319"/>
      <c r="AB18" s="4319"/>
      <c r="AC18" s="4319"/>
      <c r="AD18" s="4319"/>
      <c r="AE18" s="4314"/>
      <c r="AF18" s="4314"/>
      <c r="AG18" s="4314"/>
      <c r="AH18" s="4315"/>
      <c r="AI18" s="4315"/>
      <c r="AJ18" s="4315"/>
      <c r="AK18" s="4316"/>
      <c r="AL18" s="4316"/>
      <c r="AM18" s="4316"/>
      <c r="AN18" s="1425" t="str">
        <f t="shared" si="4"/>
        <v/>
      </c>
      <c r="AO18" s="1585" t="str">
        <f t="shared" si="5"/>
        <v/>
      </c>
      <c r="AP18" s="1585" t="str">
        <f t="shared" si="6"/>
        <v/>
      </c>
      <c r="AQ18" s="21" t="str">
        <f t="shared" si="7"/>
        <v/>
      </c>
    </row>
    <row r="19" spans="2:43" ht="36" customHeight="1">
      <c r="B19" s="4323">
        <v>10</v>
      </c>
      <c r="C19" s="4323"/>
      <c r="D19" s="4320"/>
      <c r="E19" s="4321"/>
      <c r="F19" s="4321"/>
      <c r="G19" s="4321"/>
      <c r="H19" s="4321"/>
      <c r="I19" s="4321"/>
      <c r="J19" s="4322"/>
      <c r="K19" s="4318"/>
      <c r="L19" s="4318"/>
      <c r="M19" s="4318"/>
      <c r="N19" s="4318"/>
      <c r="O19" s="4318"/>
      <c r="P19" s="4318"/>
      <c r="Q19" s="4318"/>
      <c r="R19" s="4318"/>
      <c r="S19" s="4319"/>
      <c r="T19" s="4319"/>
      <c r="U19" s="4319"/>
      <c r="V19" s="4319"/>
      <c r="W19" s="4319"/>
      <c r="X19" s="4319"/>
      <c r="Y19" s="4319"/>
      <c r="Z19" s="4319"/>
      <c r="AA19" s="4319"/>
      <c r="AB19" s="4319"/>
      <c r="AC19" s="4319"/>
      <c r="AD19" s="4319"/>
      <c r="AE19" s="4314"/>
      <c r="AF19" s="4314"/>
      <c r="AG19" s="4314"/>
      <c r="AH19" s="4315"/>
      <c r="AI19" s="4315"/>
      <c r="AJ19" s="4315"/>
      <c r="AK19" s="4316"/>
      <c r="AL19" s="4316"/>
      <c r="AM19" s="4316"/>
      <c r="AN19" s="1425" t="str">
        <f t="shared" si="4"/>
        <v/>
      </c>
      <c r="AO19" s="1585" t="str">
        <f t="shared" si="5"/>
        <v/>
      </c>
      <c r="AP19" s="1585" t="str">
        <f t="shared" si="6"/>
        <v/>
      </c>
      <c r="AQ19" s="21" t="str">
        <f t="shared" si="7"/>
        <v/>
      </c>
    </row>
    <row r="20" spans="2:43" ht="36" customHeight="1">
      <c r="B20" s="4317">
        <v>11</v>
      </c>
      <c r="C20" s="4317"/>
      <c r="D20" s="4320"/>
      <c r="E20" s="4321"/>
      <c r="F20" s="4321"/>
      <c r="G20" s="4321"/>
      <c r="H20" s="4321"/>
      <c r="I20" s="4321"/>
      <c r="J20" s="4322"/>
      <c r="K20" s="4318"/>
      <c r="L20" s="4318"/>
      <c r="M20" s="4318"/>
      <c r="N20" s="4318"/>
      <c r="O20" s="4318"/>
      <c r="P20" s="4318"/>
      <c r="Q20" s="4318"/>
      <c r="R20" s="4318"/>
      <c r="S20" s="4319"/>
      <c r="T20" s="4319"/>
      <c r="U20" s="4319"/>
      <c r="V20" s="4319"/>
      <c r="W20" s="4319"/>
      <c r="X20" s="4319"/>
      <c r="Y20" s="4319"/>
      <c r="Z20" s="4319"/>
      <c r="AA20" s="4319"/>
      <c r="AB20" s="4319"/>
      <c r="AC20" s="4319"/>
      <c r="AD20" s="4319"/>
      <c r="AE20" s="4314"/>
      <c r="AF20" s="4314"/>
      <c r="AG20" s="4314"/>
      <c r="AH20" s="4315"/>
      <c r="AI20" s="4315"/>
      <c r="AJ20" s="4315"/>
      <c r="AK20" s="4316"/>
      <c r="AL20" s="4316"/>
      <c r="AM20" s="4316"/>
      <c r="AN20" s="1425" t="str">
        <f t="shared" si="4"/>
        <v/>
      </c>
      <c r="AO20" s="1585" t="str">
        <f t="shared" si="5"/>
        <v/>
      </c>
      <c r="AP20" s="1585" t="str">
        <f t="shared" si="6"/>
        <v/>
      </c>
      <c r="AQ20" s="21" t="str">
        <f t="shared" si="7"/>
        <v/>
      </c>
    </row>
    <row r="21" spans="2:43" ht="36" customHeight="1">
      <c r="B21" s="4323">
        <v>12</v>
      </c>
      <c r="C21" s="4323"/>
      <c r="D21" s="4320"/>
      <c r="E21" s="4321"/>
      <c r="F21" s="4321"/>
      <c r="G21" s="4321"/>
      <c r="H21" s="4321"/>
      <c r="I21" s="4321"/>
      <c r="J21" s="4322"/>
      <c r="K21" s="4318"/>
      <c r="L21" s="4318"/>
      <c r="M21" s="4318"/>
      <c r="N21" s="4318"/>
      <c r="O21" s="4318"/>
      <c r="P21" s="4318"/>
      <c r="Q21" s="4318"/>
      <c r="R21" s="4318"/>
      <c r="S21" s="4319"/>
      <c r="T21" s="4319"/>
      <c r="U21" s="4319"/>
      <c r="V21" s="4319"/>
      <c r="W21" s="4319"/>
      <c r="X21" s="4319"/>
      <c r="Y21" s="4319"/>
      <c r="Z21" s="4319"/>
      <c r="AA21" s="4319"/>
      <c r="AB21" s="4319"/>
      <c r="AC21" s="4319"/>
      <c r="AD21" s="4319"/>
      <c r="AE21" s="4314"/>
      <c r="AF21" s="4314"/>
      <c r="AG21" s="4314"/>
      <c r="AH21" s="4315"/>
      <c r="AI21" s="4315"/>
      <c r="AJ21" s="4315"/>
      <c r="AK21" s="4316"/>
      <c r="AL21" s="4316"/>
      <c r="AM21" s="4316"/>
      <c r="AN21" s="1425" t="str">
        <f t="shared" si="4"/>
        <v/>
      </c>
      <c r="AO21" s="1585" t="str">
        <f t="shared" si="5"/>
        <v/>
      </c>
      <c r="AP21" s="1585" t="str">
        <f t="shared" si="6"/>
        <v/>
      </c>
      <c r="AQ21" s="21" t="str">
        <f t="shared" si="7"/>
        <v/>
      </c>
    </row>
    <row r="22" spans="2:43" ht="36" customHeight="1">
      <c r="B22" s="4317">
        <v>13</v>
      </c>
      <c r="C22" s="4317"/>
      <c r="D22" s="4320"/>
      <c r="E22" s="4321"/>
      <c r="F22" s="4321"/>
      <c r="G22" s="4321"/>
      <c r="H22" s="4321"/>
      <c r="I22" s="4321"/>
      <c r="J22" s="4322"/>
      <c r="K22" s="4318"/>
      <c r="L22" s="4318"/>
      <c r="M22" s="4318"/>
      <c r="N22" s="4318"/>
      <c r="O22" s="4318"/>
      <c r="P22" s="4318"/>
      <c r="Q22" s="4318"/>
      <c r="R22" s="4318"/>
      <c r="S22" s="4319"/>
      <c r="T22" s="4319"/>
      <c r="U22" s="4319"/>
      <c r="V22" s="4319"/>
      <c r="W22" s="4319"/>
      <c r="X22" s="4319"/>
      <c r="Y22" s="4319"/>
      <c r="Z22" s="4319"/>
      <c r="AA22" s="4319"/>
      <c r="AB22" s="4319"/>
      <c r="AC22" s="4319"/>
      <c r="AD22" s="4319"/>
      <c r="AE22" s="4314"/>
      <c r="AF22" s="4314"/>
      <c r="AG22" s="4314"/>
      <c r="AH22" s="4315"/>
      <c r="AI22" s="4315"/>
      <c r="AJ22" s="4315"/>
      <c r="AK22" s="4316"/>
      <c r="AL22" s="4316"/>
      <c r="AM22" s="4316"/>
      <c r="AN22" s="1425" t="str">
        <f t="shared" si="4"/>
        <v/>
      </c>
      <c r="AO22" s="1585" t="str">
        <f t="shared" si="5"/>
        <v/>
      </c>
      <c r="AP22" s="1585" t="str">
        <f t="shared" si="6"/>
        <v/>
      </c>
      <c r="AQ22" s="21" t="str">
        <f t="shared" si="7"/>
        <v/>
      </c>
    </row>
    <row r="23" spans="2:43" ht="36" customHeight="1">
      <c r="B23" s="4323">
        <v>14</v>
      </c>
      <c r="C23" s="4323"/>
      <c r="D23" s="4320"/>
      <c r="E23" s="4321"/>
      <c r="F23" s="4321"/>
      <c r="G23" s="4321"/>
      <c r="H23" s="4321"/>
      <c r="I23" s="4321"/>
      <c r="J23" s="4322"/>
      <c r="K23" s="4318"/>
      <c r="L23" s="4318"/>
      <c r="M23" s="4318"/>
      <c r="N23" s="4318"/>
      <c r="O23" s="4318"/>
      <c r="P23" s="4318"/>
      <c r="Q23" s="4318"/>
      <c r="R23" s="4318"/>
      <c r="S23" s="4319"/>
      <c r="T23" s="4319"/>
      <c r="U23" s="4319"/>
      <c r="V23" s="4319"/>
      <c r="W23" s="4319"/>
      <c r="X23" s="4319"/>
      <c r="Y23" s="4319"/>
      <c r="Z23" s="4319"/>
      <c r="AA23" s="4319"/>
      <c r="AB23" s="4319"/>
      <c r="AC23" s="4319"/>
      <c r="AD23" s="4319"/>
      <c r="AE23" s="4314"/>
      <c r="AF23" s="4314"/>
      <c r="AG23" s="4314"/>
      <c r="AH23" s="4315"/>
      <c r="AI23" s="4315"/>
      <c r="AJ23" s="4315"/>
      <c r="AK23" s="4316"/>
      <c r="AL23" s="4316"/>
      <c r="AM23" s="4316"/>
      <c r="AN23" s="1425" t="str">
        <f t="shared" si="4"/>
        <v/>
      </c>
      <c r="AO23" s="1585" t="str">
        <f t="shared" si="5"/>
        <v/>
      </c>
      <c r="AP23" s="1585" t="str">
        <f t="shared" si="6"/>
        <v/>
      </c>
      <c r="AQ23" s="21" t="str">
        <f t="shared" si="7"/>
        <v/>
      </c>
    </row>
    <row r="24" spans="2:43" ht="36" customHeight="1">
      <c r="B24" s="4317">
        <v>15</v>
      </c>
      <c r="C24" s="4317"/>
      <c r="D24" s="4320"/>
      <c r="E24" s="4321"/>
      <c r="F24" s="4321"/>
      <c r="G24" s="4321"/>
      <c r="H24" s="4321"/>
      <c r="I24" s="4321"/>
      <c r="J24" s="4322"/>
      <c r="K24" s="4318"/>
      <c r="L24" s="4318"/>
      <c r="M24" s="4318"/>
      <c r="N24" s="4318"/>
      <c r="O24" s="4318"/>
      <c r="P24" s="4318"/>
      <c r="Q24" s="4318"/>
      <c r="R24" s="4318"/>
      <c r="S24" s="4319"/>
      <c r="T24" s="4319"/>
      <c r="U24" s="4319"/>
      <c r="V24" s="4319"/>
      <c r="W24" s="4319"/>
      <c r="X24" s="4319"/>
      <c r="Y24" s="4319"/>
      <c r="Z24" s="4319"/>
      <c r="AA24" s="4319"/>
      <c r="AB24" s="4319"/>
      <c r="AC24" s="4319"/>
      <c r="AD24" s="4319"/>
      <c r="AE24" s="4314"/>
      <c r="AF24" s="4314"/>
      <c r="AG24" s="4314"/>
      <c r="AH24" s="4315"/>
      <c r="AI24" s="4315"/>
      <c r="AJ24" s="4315"/>
      <c r="AK24" s="4316"/>
      <c r="AL24" s="4316"/>
      <c r="AM24" s="4316"/>
      <c r="AN24" s="1425" t="str">
        <f t="shared" si="4"/>
        <v/>
      </c>
      <c r="AO24" s="1585" t="str">
        <f t="shared" si="5"/>
        <v/>
      </c>
      <c r="AP24" s="1585" t="str">
        <f t="shared" si="6"/>
        <v/>
      </c>
      <c r="AQ24" s="21" t="str">
        <f t="shared" si="7"/>
        <v/>
      </c>
    </row>
    <row r="25" spans="2:43" ht="36" customHeight="1">
      <c r="B25" s="4323">
        <v>16</v>
      </c>
      <c r="C25" s="4323"/>
      <c r="D25" s="4320"/>
      <c r="E25" s="4321"/>
      <c r="F25" s="4321"/>
      <c r="G25" s="4321"/>
      <c r="H25" s="4321"/>
      <c r="I25" s="4321"/>
      <c r="J25" s="4322"/>
      <c r="K25" s="4318"/>
      <c r="L25" s="4318"/>
      <c r="M25" s="4318"/>
      <c r="N25" s="4318"/>
      <c r="O25" s="4318"/>
      <c r="P25" s="4318"/>
      <c r="Q25" s="4318"/>
      <c r="R25" s="4318"/>
      <c r="S25" s="4319"/>
      <c r="T25" s="4319"/>
      <c r="U25" s="4319"/>
      <c r="V25" s="4319"/>
      <c r="W25" s="4319"/>
      <c r="X25" s="4319"/>
      <c r="Y25" s="4319"/>
      <c r="Z25" s="4319"/>
      <c r="AA25" s="4319"/>
      <c r="AB25" s="4319"/>
      <c r="AC25" s="4319"/>
      <c r="AD25" s="4319"/>
      <c r="AE25" s="4314"/>
      <c r="AF25" s="4314"/>
      <c r="AG25" s="4314"/>
      <c r="AH25" s="4315"/>
      <c r="AI25" s="4315"/>
      <c r="AJ25" s="4315"/>
      <c r="AK25" s="4316"/>
      <c r="AL25" s="4316"/>
      <c r="AM25" s="4316"/>
      <c r="AN25" s="1425" t="str">
        <f t="shared" si="4"/>
        <v/>
      </c>
      <c r="AO25" s="1585" t="str">
        <f t="shared" si="5"/>
        <v/>
      </c>
      <c r="AP25" s="1585" t="str">
        <f t="shared" si="6"/>
        <v/>
      </c>
      <c r="AQ25" s="21" t="str">
        <f t="shared" si="7"/>
        <v/>
      </c>
    </row>
    <row r="26" spans="2:43" ht="36" customHeight="1">
      <c r="B26" s="4317">
        <v>17</v>
      </c>
      <c r="C26" s="4317"/>
      <c r="D26" s="4320"/>
      <c r="E26" s="4321"/>
      <c r="F26" s="4321"/>
      <c r="G26" s="4321"/>
      <c r="H26" s="4321"/>
      <c r="I26" s="4321"/>
      <c r="J26" s="4322"/>
      <c r="K26" s="4318"/>
      <c r="L26" s="4318"/>
      <c r="M26" s="4318"/>
      <c r="N26" s="4318"/>
      <c r="O26" s="4318"/>
      <c r="P26" s="4318"/>
      <c r="Q26" s="4318"/>
      <c r="R26" s="4318"/>
      <c r="S26" s="4319"/>
      <c r="T26" s="4319"/>
      <c r="U26" s="4319"/>
      <c r="V26" s="4319"/>
      <c r="W26" s="4319"/>
      <c r="X26" s="4319"/>
      <c r="Y26" s="4319"/>
      <c r="Z26" s="4319"/>
      <c r="AA26" s="4319"/>
      <c r="AB26" s="4319"/>
      <c r="AC26" s="4319"/>
      <c r="AD26" s="4319"/>
      <c r="AE26" s="4314"/>
      <c r="AF26" s="4314"/>
      <c r="AG26" s="4314"/>
      <c r="AH26" s="4315"/>
      <c r="AI26" s="4315"/>
      <c r="AJ26" s="4315"/>
      <c r="AK26" s="4316"/>
      <c r="AL26" s="4316"/>
      <c r="AM26" s="4316"/>
      <c r="AN26" s="1425" t="str">
        <f t="shared" si="4"/>
        <v/>
      </c>
      <c r="AO26" s="1585" t="str">
        <f t="shared" si="5"/>
        <v/>
      </c>
      <c r="AP26" s="1585" t="str">
        <f t="shared" si="6"/>
        <v/>
      </c>
      <c r="AQ26" s="21" t="str">
        <f t="shared" si="7"/>
        <v/>
      </c>
    </row>
    <row r="27" spans="2:43" ht="36" customHeight="1">
      <c r="B27" s="4323">
        <v>18</v>
      </c>
      <c r="C27" s="4323"/>
      <c r="D27" s="4320"/>
      <c r="E27" s="4321"/>
      <c r="F27" s="4321"/>
      <c r="G27" s="4321"/>
      <c r="H27" s="4321"/>
      <c r="I27" s="4321"/>
      <c r="J27" s="4322"/>
      <c r="K27" s="4318"/>
      <c r="L27" s="4318"/>
      <c r="M27" s="4318"/>
      <c r="N27" s="4318"/>
      <c r="O27" s="4318"/>
      <c r="P27" s="4318"/>
      <c r="Q27" s="4318"/>
      <c r="R27" s="4318"/>
      <c r="S27" s="4319"/>
      <c r="T27" s="4319"/>
      <c r="U27" s="4319"/>
      <c r="V27" s="4319"/>
      <c r="W27" s="4319"/>
      <c r="X27" s="4319"/>
      <c r="Y27" s="4319"/>
      <c r="Z27" s="4319"/>
      <c r="AA27" s="4319"/>
      <c r="AB27" s="4319"/>
      <c r="AC27" s="4319"/>
      <c r="AD27" s="4319"/>
      <c r="AE27" s="4314"/>
      <c r="AF27" s="4314"/>
      <c r="AG27" s="4314"/>
      <c r="AH27" s="4315"/>
      <c r="AI27" s="4315"/>
      <c r="AJ27" s="4315"/>
      <c r="AK27" s="4316"/>
      <c r="AL27" s="4316"/>
      <c r="AM27" s="4316"/>
      <c r="AN27" s="1425" t="str">
        <f t="shared" si="4"/>
        <v/>
      </c>
      <c r="AO27" s="1585" t="str">
        <f t="shared" si="5"/>
        <v/>
      </c>
      <c r="AP27" s="1585" t="str">
        <f t="shared" si="6"/>
        <v/>
      </c>
      <c r="AQ27" s="21" t="str">
        <f t="shared" si="7"/>
        <v/>
      </c>
    </row>
    <row r="28" spans="2:43" ht="36" customHeight="1">
      <c r="B28" s="4317">
        <v>19</v>
      </c>
      <c r="C28" s="4317"/>
      <c r="D28" s="4320"/>
      <c r="E28" s="4321"/>
      <c r="F28" s="4321"/>
      <c r="G28" s="4321"/>
      <c r="H28" s="4321"/>
      <c r="I28" s="4321"/>
      <c r="J28" s="4322"/>
      <c r="K28" s="4318"/>
      <c r="L28" s="4318"/>
      <c r="M28" s="4318"/>
      <c r="N28" s="4318"/>
      <c r="O28" s="4318"/>
      <c r="P28" s="4318"/>
      <c r="Q28" s="4318"/>
      <c r="R28" s="4318"/>
      <c r="S28" s="4319"/>
      <c r="T28" s="4319"/>
      <c r="U28" s="4319"/>
      <c r="V28" s="4319"/>
      <c r="W28" s="4319"/>
      <c r="X28" s="4319"/>
      <c r="Y28" s="4319"/>
      <c r="Z28" s="4319"/>
      <c r="AA28" s="4319"/>
      <c r="AB28" s="4319"/>
      <c r="AC28" s="4319"/>
      <c r="AD28" s="4319"/>
      <c r="AE28" s="4314"/>
      <c r="AF28" s="4314"/>
      <c r="AG28" s="4314"/>
      <c r="AH28" s="4315"/>
      <c r="AI28" s="4315"/>
      <c r="AJ28" s="4315"/>
      <c r="AK28" s="4316"/>
      <c r="AL28" s="4316"/>
      <c r="AM28" s="4316"/>
      <c r="AN28" s="1425" t="str">
        <f t="shared" si="4"/>
        <v/>
      </c>
      <c r="AO28" s="1585" t="str">
        <f t="shared" si="5"/>
        <v/>
      </c>
      <c r="AP28" s="1585" t="str">
        <f t="shared" si="6"/>
        <v/>
      </c>
      <c r="AQ28" s="21" t="str">
        <f t="shared" si="7"/>
        <v/>
      </c>
    </row>
    <row r="29" spans="2:43" ht="36" customHeight="1">
      <c r="B29" s="4323">
        <v>20</v>
      </c>
      <c r="C29" s="4323"/>
      <c r="D29" s="4320"/>
      <c r="E29" s="4321"/>
      <c r="F29" s="4321"/>
      <c r="G29" s="4321"/>
      <c r="H29" s="4321"/>
      <c r="I29" s="4321"/>
      <c r="J29" s="4322"/>
      <c r="K29" s="4318"/>
      <c r="L29" s="4318"/>
      <c r="M29" s="4318"/>
      <c r="N29" s="4318"/>
      <c r="O29" s="4318"/>
      <c r="P29" s="4318"/>
      <c r="Q29" s="4318"/>
      <c r="R29" s="4318"/>
      <c r="S29" s="4319"/>
      <c r="T29" s="4319"/>
      <c r="U29" s="4319"/>
      <c r="V29" s="4319"/>
      <c r="W29" s="4319"/>
      <c r="X29" s="4319"/>
      <c r="Y29" s="4319"/>
      <c r="Z29" s="4319"/>
      <c r="AA29" s="4319"/>
      <c r="AB29" s="4319"/>
      <c r="AC29" s="4319"/>
      <c r="AD29" s="4319"/>
      <c r="AE29" s="4314"/>
      <c r="AF29" s="4314"/>
      <c r="AG29" s="4314"/>
      <c r="AH29" s="4315"/>
      <c r="AI29" s="4315"/>
      <c r="AJ29" s="4315"/>
      <c r="AK29" s="4316"/>
      <c r="AL29" s="4316"/>
      <c r="AM29" s="4316"/>
      <c r="AN29" s="1425" t="str">
        <f t="shared" si="4"/>
        <v/>
      </c>
      <c r="AO29" s="1585" t="str">
        <f t="shared" si="5"/>
        <v/>
      </c>
      <c r="AP29" s="1585" t="str">
        <f t="shared" si="6"/>
        <v/>
      </c>
      <c r="AQ29" s="21" t="str">
        <f t="shared" si="7"/>
        <v/>
      </c>
    </row>
    <row r="30" spans="2:43" ht="36" customHeight="1">
      <c r="B30" s="4317">
        <v>21</v>
      </c>
      <c r="C30" s="4317"/>
      <c r="D30" s="4320"/>
      <c r="E30" s="4321"/>
      <c r="F30" s="4321"/>
      <c r="G30" s="4321"/>
      <c r="H30" s="4321"/>
      <c r="I30" s="4321"/>
      <c r="J30" s="4322"/>
      <c r="K30" s="4318"/>
      <c r="L30" s="4318"/>
      <c r="M30" s="4318"/>
      <c r="N30" s="4318"/>
      <c r="O30" s="4318"/>
      <c r="P30" s="4318"/>
      <c r="Q30" s="4318"/>
      <c r="R30" s="4318"/>
      <c r="S30" s="4319"/>
      <c r="T30" s="4319"/>
      <c r="U30" s="4319"/>
      <c r="V30" s="4319"/>
      <c r="W30" s="4319"/>
      <c r="X30" s="4319"/>
      <c r="Y30" s="4319"/>
      <c r="Z30" s="4319"/>
      <c r="AA30" s="4319"/>
      <c r="AB30" s="4319"/>
      <c r="AC30" s="4319"/>
      <c r="AD30" s="4319"/>
      <c r="AE30" s="4314"/>
      <c r="AF30" s="4314"/>
      <c r="AG30" s="4314"/>
      <c r="AH30" s="4315"/>
      <c r="AI30" s="4315"/>
      <c r="AJ30" s="4315"/>
      <c r="AK30" s="4316"/>
      <c r="AL30" s="4316"/>
      <c r="AM30" s="4316"/>
      <c r="AN30" s="1425" t="str">
        <f t="shared" si="4"/>
        <v/>
      </c>
      <c r="AO30" s="1585" t="str">
        <f t="shared" si="5"/>
        <v/>
      </c>
      <c r="AP30" s="1585" t="str">
        <f t="shared" si="6"/>
        <v/>
      </c>
      <c r="AQ30" s="21" t="str">
        <f t="shared" si="7"/>
        <v/>
      </c>
    </row>
    <row r="31" spans="2:43" ht="36" customHeight="1">
      <c r="B31" s="4323">
        <v>22</v>
      </c>
      <c r="C31" s="4323"/>
      <c r="D31" s="4320"/>
      <c r="E31" s="4321"/>
      <c r="F31" s="4321"/>
      <c r="G31" s="4321"/>
      <c r="H31" s="4321"/>
      <c r="I31" s="4321"/>
      <c r="J31" s="4322"/>
      <c r="K31" s="4318"/>
      <c r="L31" s="4318"/>
      <c r="M31" s="4318"/>
      <c r="N31" s="4318"/>
      <c r="O31" s="4318"/>
      <c r="P31" s="4318"/>
      <c r="Q31" s="4318"/>
      <c r="R31" s="4318"/>
      <c r="S31" s="4319"/>
      <c r="T31" s="4319"/>
      <c r="U31" s="4319"/>
      <c r="V31" s="4319"/>
      <c r="W31" s="4319"/>
      <c r="X31" s="4319"/>
      <c r="Y31" s="4319"/>
      <c r="Z31" s="4319"/>
      <c r="AA31" s="4319"/>
      <c r="AB31" s="4319"/>
      <c r="AC31" s="4319"/>
      <c r="AD31" s="4319"/>
      <c r="AE31" s="4314"/>
      <c r="AF31" s="4314"/>
      <c r="AG31" s="4314"/>
      <c r="AH31" s="4315"/>
      <c r="AI31" s="4315"/>
      <c r="AJ31" s="4315"/>
      <c r="AK31" s="4316"/>
      <c r="AL31" s="4316"/>
      <c r="AM31" s="4316"/>
      <c r="AN31" s="1425" t="str">
        <f t="shared" si="4"/>
        <v/>
      </c>
      <c r="AO31" s="1585" t="str">
        <f t="shared" si="5"/>
        <v/>
      </c>
      <c r="AP31" s="1585" t="str">
        <f t="shared" si="6"/>
        <v/>
      </c>
      <c r="AQ31" s="21" t="str">
        <f t="shared" si="7"/>
        <v/>
      </c>
    </row>
    <row r="32" spans="2:43" ht="36" customHeight="1">
      <c r="B32" s="4317">
        <v>23</v>
      </c>
      <c r="C32" s="4317"/>
      <c r="D32" s="4320"/>
      <c r="E32" s="4321"/>
      <c r="F32" s="4321"/>
      <c r="G32" s="4321"/>
      <c r="H32" s="4321"/>
      <c r="I32" s="4321"/>
      <c r="J32" s="4322"/>
      <c r="K32" s="4318"/>
      <c r="L32" s="4318"/>
      <c r="M32" s="4318"/>
      <c r="N32" s="4318"/>
      <c r="O32" s="4318"/>
      <c r="P32" s="4318"/>
      <c r="Q32" s="4318"/>
      <c r="R32" s="4318"/>
      <c r="S32" s="4319"/>
      <c r="T32" s="4319"/>
      <c r="U32" s="4319"/>
      <c r="V32" s="4319"/>
      <c r="W32" s="4319"/>
      <c r="X32" s="4319"/>
      <c r="Y32" s="4319"/>
      <c r="Z32" s="4319"/>
      <c r="AA32" s="4319"/>
      <c r="AB32" s="4319"/>
      <c r="AC32" s="4319"/>
      <c r="AD32" s="4319"/>
      <c r="AE32" s="4314"/>
      <c r="AF32" s="4314"/>
      <c r="AG32" s="4314"/>
      <c r="AH32" s="4315"/>
      <c r="AI32" s="4315"/>
      <c r="AJ32" s="4315"/>
      <c r="AK32" s="4316"/>
      <c r="AL32" s="4316"/>
      <c r="AM32" s="4316"/>
      <c r="AN32" s="1425" t="str">
        <f t="shared" si="4"/>
        <v/>
      </c>
      <c r="AO32" s="1585" t="str">
        <f t="shared" si="5"/>
        <v/>
      </c>
      <c r="AP32" s="1585" t="str">
        <f t="shared" si="6"/>
        <v/>
      </c>
      <c r="AQ32" s="21" t="str">
        <f t="shared" si="7"/>
        <v/>
      </c>
    </row>
    <row r="33" spans="2:43" ht="36" customHeight="1">
      <c r="B33" s="4323">
        <v>24</v>
      </c>
      <c r="C33" s="4323"/>
      <c r="D33" s="4320"/>
      <c r="E33" s="4321"/>
      <c r="F33" s="4321"/>
      <c r="G33" s="4321"/>
      <c r="H33" s="4321"/>
      <c r="I33" s="4321"/>
      <c r="J33" s="4322"/>
      <c r="K33" s="4318"/>
      <c r="L33" s="4318"/>
      <c r="M33" s="4318"/>
      <c r="N33" s="4318"/>
      <c r="O33" s="4318"/>
      <c r="P33" s="4318"/>
      <c r="Q33" s="4318"/>
      <c r="R33" s="4318"/>
      <c r="S33" s="4319"/>
      <c r="T33" s="4319"/>
      <c r="U33" s="4319"/>
      <c r="V33" s="4319"/>
      <c r="W33" s="4319"/>
      <c r="X33" s="4319"/>
      <c r="Y33" s="4319"/>
      <c r="Z33" s="4319"/>
      <c r="AA33" s="4319"/>
      <c r="AB33" s="4319"/>
      <c r="AC33" s="4319"/>
      <c r="AD33" s="4319"/>
      <c r="AE33" s="4314"/>
      <c r="AF33" s="4314"/>
      <c r="AG33" s="4314"/>
      <c r="AH33" s="4315"/>
      <c r="AI33" s="4315"/>
      <c r="AJ33" s="4315"/>
      <c r="AK33" s="4316"/>
      <c r="AL33" s="4316"/>
      <c r="AM33" s="4316"/>
      <c r="AN33" s="1425" t="str">
        <f t="shared" si="4"/>
        <v/>
      </c>
      <c r="AO33" s="1585" t="str">
        <f t="shared" si="5"/>
        <v/>
      </c>
      <c r="AP33" s="1585" t="str">
        <f t="shared" si="6"/>
        <v/>
      </c>
      <c r="AQ33" s="21" t="str">
        <f t="shared" si="7"/>
        <v/>
      </c>
    </row>
    <row r="34" spans="2:43" ht="36" customHeight="1">
      <c r="B34" s="4317">
        <v>25</v>
      </c>
      <c r="C34" s="4317"/>
      <c r="D34" s="4320"/>
      <c r="E34" s="4321"/>
      <c r="F34" s="4321"/>
      <c r="G34" s="4321"/>
      <c r="H34" s="4321"/>
      <c r="I34" s="4321"/>
      <c r="J34" s="4322"/>
      <c r="K34" s="4318"/>
      <c r="L34" s="4318"/>
      <c r="M34" s="4318"/>
      <c r="N34" s="4318"/>
      <c r="O34" s="4318"/>
      <c r="P34" s="4318"/>
      <c r="Q34" s="4318"/>
      <c r="R34" s="4318"/>
      <c r="S34" s="4319"/>
      <c r="T34" s="4319"/>
      <c r="U34" s="4319"/>
      <c r="V34" s="4319"/>
      <c r="W34" s="4319"/>
      <c r="X34" s="4319"/>
      <c r="Y34" s="4319"/>
      <c r="Z34" s="4319"/>
      <c r="AA34" s="4319"/>
      <c r="AB34" s="4319"/>
      <c r="AC34" s="4319"/>
      <c r="AD34" s="4319"/>
      <c r="AE34" s="4314"/>
      <c r="AF34" s="4314"/>
      <c r="AG34" s="4314"/>
      <c r="AH34" s="4315"/>
      <c r="AI34" s="4315"/>
      <c r="AJ34" s="4315"/>
      <c r="AK34" s="4316"/>
      <c r="AL34" s="4316"/>
      <c r="AM34" s="4316"/>
      <c r="AN34" s="1425" t="str">
        <f t="shared" si="4"/>
        <v/>
      </c>
      <c r="AO34" s="1585" t="str">
        <f t="shared" si="5"/>
        <v/>
      </c>
      <c r="AP34" s="1585" t="str">
        <f t="shared" si="6"/>
        <v/>
      </c>
      <c r="AQ34" s="21" t="str">
        <f t="shared" si="7"/>
        <v/>
      </c>
    </row>
    <row r="36" spans="2:43" ht="18" customHeight="1">
      <c r="B36" s="2489" t="s">
        <v>639</v>
      </c>
      <c r="C36" s="2489"/>
      <c r="D36" s="2489"/>
      <c r="E36" s="2489"/>
      <c r="F36" s="2489"/>
      <c r="G36" s="2489"/>
      <c r="H36" s="2489"/>
      <c r="I36" s="2489"/>
      <c r="J36" s="2489"/>
      <c r="K36" s="2489"/>
      <c r="L36" s="2489"/>
      <c r="M36" s="2489"/>
      <c r="N36" s="2489"/>
      <c r="O36" s="2489"/>
      <c r="P36" s="2489"/>
      <c r="Q36" s="2489"/>
      <c r="R36" s="2489"/>
      <c r="S36" s="2489"/>
      <c r="T36" s="2489"/>
      <c r="U36" s="2489"/>
      <c r="V36" s="2489"/>
      <c r="W36" s="2489"/>
      <c r="X36" s="2489"/>
      <c r="Y36" s="2489"/>
      <c r="Z36" s="2489"/>
      <c r="AA36" s="2489"/>
      <c r="AB36" s="2489"/>
      <c r="AC36" s="2489"/>
      <c r="AD36" s="2489"/>
      <c r="AE36" s="2489"/>
      <c r="AF36" s="2489"/>
      <c r="AG36" s="2489"/>
      <c r="AH36" s="2489"/>
      <c r="AI36" s="2489"/>
      <c r="AJ36" s="2489"/>
      <c r="AK36" s="2489"/>
      <c r="AL36" s="2489"/>
      <c r="AM36" s="2489"/>
    </row>
  </sheetData>
  <mergeCells count="224">
    <mergeCell ref="B2:AM2"/>
    <mergeCell ref="B8:AM8"/>
    <mergeCell ref="B9:C9"/>
    <mergeCell ref="K9:P9"/>
    <mergeCell ref="Q9:R9"/>
    <mergeCell ref="S9:AD9"/>
    <mergeCell ref="AE9:AG9"/>
    <mergeCell ref="AH9:AJ9"/>
    <mergeCell ref="AK9:AM9"/>
    <mergeCell ref="D9:J9"/>
    <mergeCell ref="B7:E7"/>
    <mergeCell ref="F7:P7"/>
    <mergeCell ref="Q7:R7"/>
    <mergeCell ref="S7:AC7"/>
    <mergeCell ref="AD7:AG7"/>
    <mergeCell ref="AH7:AM7"/>
    <mergeCell ref="B4:AM4"/>
    <mergeCell ref="B6:D6"/>
    <mergeCell ref="E6:W6"/>
    <mergeCell ref="X6:AA6"/>
    <mergeCell ref="AB6:AE6"/>
    <mergeCell ref="AF6:AI6"/>
    <mergeCell ref="AJ6:AM6"/>
    <mergeCell ref="AE10:AG10"/>
    <mergeCell ref="AH10:AJ10"/>
    <mergeCell ref="AK10:AM10"/>
    <mergeCell ref="B11:C11"/>
    <mergeCell ref="K11:P11"/>
    <mergeCell ref="Q11:R11"/>
    <mergeCell ref="S11:AD11"/>
    <mergeCell ref="AE11:AG11"/>
    <mergeCell ref="B10:C10"/>
    <mergeCell ref="K10:P10"/>
    <mergeCell ref="Q10:R10"/>
    <mergeCell ref="S10:AD10"/>
    <mergeCell ref="AH11:AJ11"/>
    <mergeCell ref="AK11:AM11"/>
    <mergeCell ref="D10:J10"/>
    <mergeCell ref="D11:J11"/>
    <mergeCell ref="B12:C12"/>
    <mergeCell ref="K12:P12"/>
    <mergeCell ref="Q12:R12"/>
    <mergeCell ref="S12:AD12"/>
    <mergeCell ref="AE12:AG12"/>
    <mergeCell ref="AH12:AJ12"/>
    <mergeCell ref="AK12:AM12"/>
    <mergeCell ref="D12:J12"/>
    <mergeCell ref="B13:C13"/>
    <mergeCell ref="K13:P13"/>
    <mergeCell ref="Q13:R13"/>
    <mergeCell ref="S13:AD13"/>
    <mergeCell ref="AE13:AG13"/>
    <mergeCell ref="AH13:AJ13"/>
    <mergeCell ref="AK13:AM13"/>
    <mergeCell ref="D13:J13"/>
    <mergeCell ref="AE14:AG14"/>
    <mergeCell ref="AH14:AJ14"/>
    <mergeCell ref="AK14:AM14"/>
    <mergeCell ref="B15:C15"/>
    <mergeCell ref="K15:P15"/>
    <mergeCell ref="Q15:R15"/>
    <mergeCell ref="S15:AD15"/>
    <mergeCell ref="AE15:AG15"/>
    <mergeCell ref="B14:C14"/>
    <mergeCell ref="K14:P14"/>
    <mergeCell ref="Q14:R14"/>
    <mergeCell ref="S14:AD14"/>
    <mergeCell ref="AH15:AJ15"/>
    <mergeCell ref="AK15:AM15"/>
    <mergeCell ref="D14:J14"/>
    <mergeCell ref="D15:J15"/>
    <mergeCell ref="B16:C16"/>
    <mergeCell ref="K16:P16"/>
    <mergeCell ref="Q16:R16"/>
    <mergeCell ref="S16:AD16"/>
    <mergeCell ref="AE16:AG16"/>
    <mergeCell ref="AH16:AJ16"/>
    <mergeCell ref="AK16:AM16"/>
    <mergeCell ref="D16:J16"/>
    <mergeCell ref="B17:C17"/>
    <mergeCell ref="K17:P17"/>
    <mergeCell ref="Q17:R17"/>
    <mergeCell ref="S17:AD17"/>
    <mergeCell ref="AE17:AG17"/>
    <mergeCell ref="AH17:AJ17"/>
    <mergeCell ref="AK17:AM17"/>
    <mergeCell ref="D17:J17"/>
    <mergeCell ref="AE18:AG18"/>
    <mergeCell ref="AH18:AJ18"/>
    <mergeCell ref="AK18:AM18"/>
    <mergeCell ref="B19:C19"/>
    <mergeCell ref="K19:P19"/>
    <mergeCell ref="Q19:R19"/>
    <mergeCell ref="S19:AD19"/>
    <mergeCell ref="AE19:AG19"/>
    <mergeCell ref="B18:C18"/>
    <mergeCell ref="K18:P18"/>
    <mergeCell ref="Q18:R18"/>
    <mergeCell ref="S18:AD18"/>
    <mergeCell ref="AH19:AJ19"/>
    <mergeCell ref="AK19:AM19"/>
    <mergeCell ref="D18:J18"/>
    <mergeCell ref="D19:J19"/>
    <mergeCell ref="B20:C20"/>
    <mergeCell ref="K20:P20"/>
    <mergeCell ref="Q20:R20"/>
    <mergeCell ref="S20:AD20"/>
    <mergeCell ref="AE20:AG20"/>
    <mergeCell ref="AH20:AJ20"/>
    <mergeCell ref="AK20:AM20"/>
    <mergeCell ref="D20:J20"/>
    <mergeCell ref="B21:C21"/>
    <mergeCell ref="K21:P21"/>
    <mergeCell ref="Q21:R21"/>
    <mergeCell ref="S21:AD21"/>
    <mergeCell ref="AE21:AG21"/>
    <mergeCell ref="AH21:AJ21"/>
    <mergeCell ref="AK21:AM21"/>
    <mergeCell ref="D21:J21"/>
    <mergeCell ref="AE22:AG22"/>
    <mergeCell ref="AH22:AJ22"/>
    <mergeCell ref="AK22:AM22"/>
    <mergeCell ref="B23:C23"/>
    <mergeCell ref="K23:P23"/>
    <mergeCell ref="Q23:R23"/>
    <mergeCell ref="S23:AD23"/>
    <mergeCell ref="AE23:AG23"/>
    <mergeCell ref="B22:C22"/>
    <mergeCell ref="K22:P22"/>
    <mergeCell ref="Q22:R22"/>
    <mergeCell ref="S22:AD22"/>
    <mergeCell ref="AH23:AJ23"/>
    <mergeCell ref="AK23:AM23"/>
    <mergeCell ref="D22:J22"/>
    <mergeCell ref="D23:J23"/>
    <mergeCell ref="B24:C24"/>
    <mergeCell ref="K24:P24"/>
    <mergeCell ref="Q24:R24"/>
    <mergeCell ref="S24:AD24"/>
    <mergeCell ref="AE24:AG24"/>
    <mergeCell ref="AH24:AJ24"/>
    <mergeCell ref="AK24:AM24"/>
    <mergeCell ref="D24:J24"/>
    <mergeCell ref="B25:C25"/>
    <mergeCell ref="K25:P25"/>
    <mergeCell ref="Q25:R25"/>
    <mergeCell ref="S25:AD25"/>
    <mergeCell ref="AE25:AG25"/>
    <mergeCell ref="AH25:AJ25"/>
    <mergeCell ref="AK25:AM25"/>
    <mergeCell ref="D25:J25"/>
    <mergeCell ref="AE26:AG26"/>
    <mergeCell ref="AH26:AJ26"/>
    <mergeCell ref="AK26:AM26"/>
    <mergeCell ref="B27:C27"/>
    <mergeCell ref="K27:P27"/>
    <mergeCell ref="Q27:R27"/>
    <mergeCell ref="S27:AD27"/>
    <mergeCell ref="AE27:AG27"/>
    <mergeCell ref="B26:C26"/>
    <mergeCell ref="K26:P26"/>
    <mergeCell ref="Q26:R26"/>
    <mergeCell ref="S26:AD26"/>
    <mergeCell ref="AH27:AJ27"/>
    <mergeCell ref="AK27:AM27"/>
    <mergeCell ref="D26:J26"/>
    <mergeCell ref="D27:J27"/>
    <mergeCell ref="B28:C28"/>
    <mergeCell ref="K28:P28"/>
    <mergeCell ref="Q28:R28"/>
    <mergeCell ref="S28:AD28"/>
    <mergeCell ref="AE28:AG28"/>
    <mergeCell ref="AH28:AJ28"/>
    <mergeCell ref="AK28:AM28"/>
    <mergeCell ref="D28:J28"/>
    <mergeCell ref="B29:C29"/>
    <mergeCell ref="K29:P29"/>
    <mergeCell ref="Q29:R29"/>
    <mergeCell ref="S29:AD29"/>
    <mergeCell ref="AE29:AG29"/>
    <mergeCell ref="AH29:AJ29"/>
    <mergeCell ref="AK29:AM29"/>
    <mergeCell ref="D29:J29"/>
    <mergeCell ref="AE30:AG30"/>
    <mergeCell ref="AH30:AJ30"/>
    <mergeCell ref="AK30:AM30"/>
    <mergeCell ref="B31:C31"/>
    <mergeCell ref="K31:P31"/>
    <mergeCell ref="Q31:R31"/>
    <mergeCell ref="S31:AD31"/>
    <mergeCell ref="AE31:AG31"/>
    <mergeCell ref="B30:C30"/>
    <mergeCell ref="K30:P30"/>
    <mergeCell ref="Q30:R30"/>
    <mergeCell ref="S30:AD30"/>
    <mergeCell ref="AH31:AJ31"/>
    <mergeCell ref="AK31:AM31"/>
    <mergeCell ref="D30:J30"/>
    <mergeCell ref="D31:J31"/>
    <mergeCell ref="B32:C32"/>
    <mergeCell ref="K32:P32"/>
    <mergeCell ref="Q32:R32"/>
    <mergeCell ref="S32:AD32"/>
    <mergeCell ref="AE32:AG32"/>
    <mergeCell ref="AH32:AJ32"/>
    <mergeCell ref="AK32:AM32"/>
    <mergeCell ref="D32:J32"/>
    <mergeCell ref="B33:C33"/>
    <mergeCell ref="K33:P33"/>
    <mergeCell ref="Q33:R33"/>
    <mergeCell ref="S33:AD33"/>
    <mergeCell ref="AE33:AG33"/>
    <mergeCell ref="AH33:AJ33"/>
    <mergeCell ref="AK33:AM33"/>
    <mergeCell ref="D33:J33"/>
    <mergeCell ref="B36:AM36"/>
    <mergeCell ref="AE34:AG34"/>
    <mergeCell ref="AH34:AJ34"/>
    <mergeCell ref="AK34:AM34"/>
    <mergeCell ref="B34:C34"/>
    <mergeCell ref="K34:P34"/>
    <mergeCell ref="Q34:R34"/>
    <mergeCell ref="S34:AD34"/>
    <mergeCell ref="D34:J34"/>
  </mergeCells>
  <conditionalFormatting sqref="AH10:AH34 AE10:AE34 AK10:AK34">
    <cfRule type="cellIs" dxfId="9" priority="4" operator="equal">
      <formula>"High"</formula>
    </cfRule>
    <cfRule type="cellIs" dxfId="8" priority="5" operator="equal">
      <formula>"Medium"</formula>
    </cfRule>
    <cfRule type="cellIs" dxfId="7" priority="6" operator="equal">
      <formula>"Low"</formula>
    </cfRule>
  </conditionalFormatting>
  <conditionalFormatting sqref="AH10:AH34 AK10:AK34">
    <cfRule type="cellIs" dxfId="6" priority="1" operator="equal">
      <formula>"Research"</formula>
    </cfRule>
    <cfRule type="cellIs" dxfId="5" priority="2" operator="equal">
      <formula>"In Process"</formula>
    </cfRule>
    <cfRule type="cellIs" dxfId="4" priority="3" operator="equal">
      <formula>"Resolved"</formula>
    </cfRule>
  </conditionalFormatting>
  <dataValidations count="2">
    <dataValidation type="list" allowBlank="1" showInputMessage="1" showErrorMessage="1" sqref="AE10:AG34" xr:uid="{00000000-0002-0000-2300-000000000000}">
      <formula1>"High, Medium, Low, General Comment, Suggestion"</formula1>
    </dataValidation>
    <dataValidation type="list" allowBlank="1" showInputMessage="1" showErrorMessage="1" sqref="AH10:AH34" xr:uid="{00000000-0002-0000-2300-000001000000}">
      <formula1>"Resolved, In Process, Research"</formula1>
    </dataValidation>
  </dataValidations>
  <printOptions horizontalCentered="1"/>
  <pageMargins left="0" right="0.25" top="0" bottom="0" header="0.25" footer="0.25"/>
  <pageSetup scale="65" orientation="portrait" r:id="rId1"/>
  <headerFooter>
    <oddFooter>&amp;L&amp;F&amp;C&amp;P of &amp;N&amp;R &amp;A</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DateandTime xmlns="5073e3ac-dff4-4626-afae-68131d62e919">2021-12-18T13:16:39+00:00</DateandTim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2DF5A3F8558264DAD4D6CD17097A8D0" ma:contentTypeVersion="14" ma:contentTypeDescription="Create a new document." ma:contentTypeScope="" ma:versionID="5a2ab73f96a969fd5c5b65546fce985b">
  <xsd:schema xmlns:xsd="http://www.w3.org/2001/XMLSchema" xmlns:xs="http://www.w3.org/2001/XMLSchema" xmlns:p="http://schemas.microsoft.com/office/2006/metadata/properties" xmlns:ns1="http://schemas.microsoft.com/sharepoint/v3" xmlns:ns2="467e8a32-a4c8-4d53-8185-0fcd20875a8e" xmlns:ns3="5073e3ac-dff4-4626-afae-68131d62e919" targetNamespace="http://schemas.microsoft.com/office/2006/metadata/properties" ma:root="true" ma:fieldsID="33da13bbd3fdea9c007a9864a197e1df" ns1:_="" ns2:_="" ns3:_="">
    <xsd:import namespace="http://schemas.microsoft.com/sharepoint/v3"/>
    <xsd:import namespace="467e8a32-a4c8-4d53-8185-0fcd20875a8e"/>
    <xsd:import namespace="5073e3ac-dff4-4626-afae-68131d62e919"/>
    <xsd:element name="properties">
      <xsd:complexType>
        <xsd:sequence>
          <xsd:element name="documentManagement">
            <xsd:complexType>
              <xsd:all>
                <xsd:element ref="ns2:SharedWithUsers" minOccurs="0"/>
                <xsd:element ref="ns2:SharedWithDetails" minOccurs="0"/>
                <xsd:element ref="ns1:_ip_UnifiedCompliancePolicyProperties" minOccurs="0"/>
                <xsd:element ref="ns1:_ip_UnifiedCompliancePolicyUIAction" minOccurs="0"/>
                <xsd:element ref="ns3:MediaServiceMetadata" minOccurs="0"/>
                <xsd:element ref="ns3:MediaServiceFastMetadata" minOccurs="0"/>
                <xsd:element ref="ns3:MediaServiceDateTaken" minOccurs="0"/>
                <xsd:element ref="ns3:MediaLengthInSeconds" minOccurs="0"/>
                <xsd:element ref="ns3:MediaServiceAutoTags" minOccurs="0"/>
                <xsd:element ref="ns3:MediaServiceGenerationTime" minOccurs="0"/>
                <xsd:element ref="ns3:MediaServiceEventHashCode" minOccurs="0"/>
                <xsd:element ref="ns3:MediaServiceOCR" minOccurs="0"/>
                <xsd:element ref="ns3:DateandTim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0" nillable="true" ma:displayName="Unified Compliance Policy Properties" ma:hidden="true" ma:internalName="_ip_UnifiedCompliancePolicyProperties">
      <xsd:simpleType>
        <xsd:restriction base="dms:Note"/>
      </xsd:simpleType>
    </xsd:element>
    <xsd:element name="_ip_UnifiedCompliancePolicyUIAction" ma:index="1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073e3ac-dff4-4626-afae-68131d62e919" elementFormDefault="qualified">
    <xsd:import namespace="http://schemas.microsoft.com/office/2006/documentManagement/types"/>
    <xsd:import namespace="http://schemas.microsoft.com/office/infopath/2007/PartnerControls"/>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DateandTime" ma:index="20" nillable="true" ma:displayName="Date and Time" ma:default="[today]" ma:description="Date and Time" ma:format="DateTime" ma:internalName="DateandTime">
      <xsd:simpleType>
        <xsd:restriction base="dms:DateTime"/>
      </xsd:simpleType>
    </xsd:element>
    <xsd:element name="MediaServiceLocation" ma:index="21"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3CA3AE-7425-4F0B-8832-320DAD06796B}">
  <ds:schemaRefs>
    <ds:schemaRef ds:uri="http://schemas.microsoft.com/sharepoint/v3/contenttype/forms"/>
  </ds:schemaRefs>
</ds:datastoreItem>
</file>

<file path=customXml/itemProps2.xml><?xml version="1.0" encoding="utf-8"?>
<ds:datastoreItem xmlns:ds="http://schemas.openxmlformats.org/officeDocument/2006/customXml" ds:itemID="{F77FC714-17CF-45D9-B9F1-EA90DBB6A0C9}">
  <ds:schemaRefs>
    <ds:schemaRef ds:uri="http://purl.org/dc/terms/"/>
    <ds:schemaRef ds:uri="http://schemas.microsoft.com/office/infopath/2007/PartnerControls"/>
    <ds:schemaRef ds:uri="http://purl.org/dc/elements/1.1/"/>
    <ds:schemaRef ds:uri="http://schemas.openxmlformats.org/package/2006/metadata/core-properties"/>
    <ds:schemaRef ds:uri="http://schemas.microsoft.com/sharepoint/v3"/>
    <ds:schemaRef ds:uri="5073e3ac-dff4-4626-afae-68131d62e919"/>
    <ds:schemaRef ds:uri="http://schemas.microsoft.com/office/2006/documentManagement/types"/>
    <ds:schemaRef ds:uri="http://schemas.microsoft.com/office/2006/metadata/properties"/>
    <ds:schemaRef ds:uri="http://purl.org/dc/dcmitype/"/>
    <ds:schemaRef ds:uri="467e8a32-a4c8-4d53-8185-0fcd20875a8e"/>
    <ds:schemaRef ds:uri="http://www.w3.org/XML/1998/namespace"/>
  </ds:schemaRefs>
</ds:datastoreItem>
</file>

<file path=customXml/itemProps3.xml><?xml version="1.0" encoding="utf-8"?>
<ds:datastoreItem xmlns:ds="http://schemas.openxmlformats.org/officeDocument/2006/customXml" ds:itemID="{0ACAF950-89F0-45B7-9280-B1A085DFE5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67e8a32-a4c8-4d53-8185-0fcd20875a8e"/>
    <ds:schemaRef ds:uri="5073e3ac-dff4-4626-afae-68131d62e9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110</vt:i4>
      </vt:variant>
    </vt:vector>
  </HeadingPairs>
  <TitlesOfParts>
    <vt:vector size="141" baseType="lpstr">
      <vt:lpstr>Mapping</vt:lpstr>
      <vt:lpstr>Visibility</vt:lpstr>
      <vt:lpstr>Cover Page</vt:lpstr>
      <vt:lpstr>Instructions</vt:lpstr>
      <vt:lpstr>Project Overview</vt:lpstr>
      <vt:lpstr>Document Checklist</vt:lpstr>
      <vt:lpstr>Contact List</vt:lpstr>
      <vt:lpstr>Dropdowns</vt:lpstr>
      <vt:lpstr>Lists</vt:lpstr>
      <vt:lpstr>Operating Budget</vt:lpstr>
      <vt:lpstr>Dev Sources</vt:lpstr>
      <vt:lpstr>Dev Budget SU</vt:lpstr>
      <vt:lpstr>Reserves Calculator</vt:lpstr>
      <vt:lpstr>Unit Mix</vt:lpstr>
      <vt:lpstr>Max Loan and Grant Amounts</vt:lpstr>
      <vt:lpstr>CashFlow</vt:lpstr>
      <vt:lpstr>High-Cost Verification</vt:lpstr>
      <vt:lpstr>Developer Fee</vt:lpstr>
      <vt:lpstr>At High Risk Req</vt:lpstr>
      <vt:lpstr>S1 - Supportive Services Plan</vt:lpstr>
      <vt:lpstr>S2 - Supportive Services Costs</vt:lpstr>
      <vt:lpstr>S3 - Supportive Housig Exp</vt:lpstr>
      <vt:lpstr>S4 - Special Needs Exp</vt:lpstr>
      <vt:lpstr>S5 - Supportive Services Verif</vt:lpstr>
      <vt:lpstr>Local Enviro Verification</vt:lpstr>
      <vt:lpstr>Sponsor Certification</vt:lpstr>
      <vt:lpstr>Entity Org Docs</vt:lpstr>
      <vt:lpstr>MHP Threshold Requirements</vt:lpstr>
      <vt:lpstr>IIG Threshold Requirements</vt:lpstr>
      <vt:lpstr>Scoring</vt:lpstr>
      <vt:lpstr>Application Support</vt:lpstr>
      <vt:lpstr>County</vt:lpstr>
      <vt:lpstr>CountyNumber</vt:lpstr>
      <vt:lpstr>HRArea</vt:lpstr>
      <vt:lpstr>HRCategory</vt:lpstr>
      <vt:lpstr>IsAtHighRisk</vt:lpstr>
      <vt:lpstr>IsCIP</vt:lpstr>
      <vt:lpstr>IsFarmworker</vt:lpstr>
      <vt:lpstr>IsHHC</vt:lpstr>
      <vt:lpstr>IsIig</vt:lpstr>
      <vt:lpstr>IsLargeFamily</vt:lpstr>
      <vt:lpstr>IsLF</vt:lpstr>
      <vt:lpstr>IsMhp</vt:lpstr>
      <vt:lpstr>IsPrograms</vt:lpstr>
      <vt:lpstr>IsQualifiedJv</vt:lpstr>
      <vt:lpstr>IsSenior</vt:lpstr>
      <vt:lpstr>IsSerna</vt:lpstr>
      <vt:lpstr>IsSH</vt:lpstr>
      <vt:lpstr>IsSpecialNeeds</vt:lpstr>
      <vt:lpstr>IsTH</vt:lpstr>
      <vt:lpstr>IsTod</vt:lpstr>
      <vt:lpstr>IsVhhp</vt:lpstr>
      <vt:lpstr>Jointventure</vt:lpstr>
      <vt:lpstr>Lists!ListCounties</vt:lpstr>
      <vt:lpstr>Lists!ListObligationTypes</vt:lpstr>
      <vt:lpstr>Lists!ListOpportunityAreas</vt:lpstr>
      <vt:lpstr>Lists!ListSiteControlMethods</vt:lpstr>
      <vt:lpstr>Lists!ListSourceTypes</vt:lpstr>
      <vt:lpstr>ManagerUnits</vt:lpstr>
      <vt:lpstr>OtherHCDfunds</vt:lpstr>
      <vt:lpstr>'Application Support'!Print_Area</vt:lpstr>
      <vt:lpstr>'At High Risk Req'!Print_Area</vt:lpstr>
      <vt:lpstr>CashFlow!Print_Area</vt:lpstr>
      <vt:lpstr>'Contact List'!Print_Area</vt:lpstr>
      <vt:lpstr>'Cover Page'!Print_Area</vt:lpstr>
      <vt:lpstr>'Dev Budget SU'!Print_Area</vt:lpstr>
      <vt:lpstr>'Dev Sources'!Print_Area</vt:lpstr>
      <vt:lpstr>'Document Checklist'!Print_Area</vt:lpstr>
      <vt:lpstr>'Entity Org Docs'!Print_Area</vt:lpstr>
      <vt:lpstr>'High-Cost Verification'!Print_Area</vt:lpstr>
      <vt:lpstr>Instructions!Print_Area</vt:lpstr>
      <vt:lpstr>'Local Enviro Verification'!Print_Area</vt:lpstr>
      <vt:lpstr>'Operating Budget'!Print_Area</vt:lpstr>
      <vt:lpstr>'Project Overview'!Print_Area</vt:lpstr>
      <vt:lpstr>'Reserves Calculator'!Print_Area</vt:lpstr>
      <vt:lpstr>'S1 - Supportive Services Plan'!Print_Area</vt:lpstr>
      <vt:lpstr>'S2 - Supportive Services Costs'!Print_Area</vt:lpstr>
      <vt:lpstr>'S3 - Supportive Housig Exp'!Print_Area</vt:lpstr>
      <vt:lpstr>'S4 - Special Needs Exp'!Print_Area</vt:lpstr>
      <vt:lpstr>'S5 - Supportive Services Verif'!Print_Area</vt:lpstr>
      <vt:lpstr>Scoring!Print_Area</vt:lpstr>
      <vt:lpstr>'Sponsor Certification'!Print_Area</vt:lpstr>
      <vt:lpstr>'Dev Budget SU'!Print_Titles</vt:lpstr>
      <vt:lpstr>'Dev Sources'!Print_Titles</vt:lpstr>
      <vt:lpstr>'Document Checklist'!Print_Titles</vt:lpstr>
      <vt:lpstr>Taxcredit</vt:lpstr>
      <vt:lpstr>vmAICP</vt:lpstr>
      <vt:lpstr>vmAtHighRisk</vt:lpstr>
      <vt:lpstr>vmBonaFide</vt:lpstr>
      <vt:lpstr>vmBroadbandA</vt:lpstr>
      <vt:lpstr>vmCApplication</vt:lpstr>
      <vt:lpstr>vmCBD</vt:lpstr>
      <vt:lpstr>vmCES</vt:lpstr>
      <vt:lpstr>vmCF</vt:lpstr>
      <vt:lpstr>vmCIP</vt:lpstr>
      <vt:lpstr>vmDA</vt:lpstr>
      <vt:lpstr>vmDF</vt:lpstr>
      <vt:lpstr>vmED</vt:lpstr>
      <vt:lpstr>vmElectricDesign</vt:lpstr>
      <vt:lpstr>vmElectricPowered</vt:lpstr>
      <vt:lpstr>vmEmergencyR</vt:lpstr>
      <vt:lpstr>vmExcessSurplus</vt:lpstr>
      <vt:lpstr>vmFarmworker</vt:lpstr>
      <vt:lpstr>vmGreenBuilding</vt:lpstr>
      <vt:lpstr>vmGroundLease</vt:lpstr>
      <vt:lpstr>vmIndianCountry</vt:lpstr>
      <vt:lpstr>vmIsHHC</vt:lpstr>
      <vt:lpstr>vmIsIig</vt:lpstr>
      <vt:lpstr>vmIsMhp</vt:lpstr>
      <vt:lpstr>vmIsSerna</vt:lpstr>
      <vt:lpstr>vmIsTod</vt:lpstr>
      <vt:lpstr>vmIsVhhp</vt:lpstr>
      <vt:lpstr>vmLargeFamily</vt:lpstr>
      <vt:lpstr>vmLUA</vt:lpstr>
      <vt:lpstr>vmNC</vt:lpstr>
      <vt:lpstr>vmNCBD</vt:lpstr>
      <vt:lpstr>vmNER</vt:lpstr>
      <vt:lpstr>vmOCL</vt:lpstr>
      <vt:lpstr>vmOCL2</vt:lpstr>
      <vt:lpstr>vmOOA</vt:lpstr>
      <vt:lpstr>vmProhousing</vt:lpstr>
      <vt:lpstr>vmRegionalPlan</vt:lpstr>
      <vt:lpstr>vmRelocation</vt:lpstr>
      <vt:lpstr>vmRural</vt:lpstr>
      <vt:lpstr>vmScatteredSite</vt:lpstr>
      <vt:lpstr>vmSenior</vt:lpstr>
      <vt:lpstr>vmSernagr</vt:lpstr>
      <vt:lpstr>vmSernasd</vt:lpstr>
      <vt:lpstr>vmSH</vt:lpstr>
      <vt:lpstr>vmshtc</vt:lpstr>
      <vt:lpstr>vmSpecialNeeds</vt:lpstr>
      <vt:lpstr>vmSponDev</vt:lpstr>
      <vt:lpstr>vmSustainableCS</vt:lpstr>
      <vt:lpstr>vmTAL</vt:lpstr>
      <vt:lpstr>vmTaxResev</vt:lpstr>
      <vt:lpstr>vmTH</vt:lpstr>
      <vt:lpstr>vmTPA</vt:lpstr>
      <vt:lpstr>vmTribalEntity</vt:lpstr>
      <vt:lpstr>vmUrban</vt:lpstr>
      <vt:lpstr>vmWCL</vt:lpstr>
      <vt:lpstr>vmWCL2</vt:lpstr>
    </vt:vector>
  </TitlesOfParts>
  <Manager/>
  <Company>State of California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hcd</dc:creator>
  <cp:keywords/>
  <dc:description/>
  <cp:lastModifiedBy>PRATISHTHA BHALLA</cp:lastModifiedBy>
  <cp:revision/>
  <dcterms:created xsi:type="dcterms:W3CDTF">2000-09-22T20:02:10Z</dcterms:created>
  <dcterms:modified xsi:type="dcterms:W3CDTF">2021-12-31T09:36:10Z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0x01010052DF5A3F8558264DAD4D6CD17097A8D0</vt:lpwstr>
  </property>
  <property fmtid="{D5CDD505-2E9C-101B-9397-08002B2CF9AE}" pid="3" name="Order">
    <vt:r8>100</vt:r8>
  </property>
</Properties>
</file>