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9752aed5b7a120/文档/GTA5/"/>
    </mc:Choice>
  </mc:AlternateContent>
  <xr:revisionPtr revIDLastSave="12" documentId="8_{CBEB783E-0233-4F7A-A714-4DE3BABEDDE7}" xr6:coauthVersionLast="45" xr6:coauthVersionMax="45" xr10:uidLastSave="{FBC0953C-D250-42C8-992D-1D3EDA45235F}"/>
  <bookViews>
    <workbookView xWindow="-120" yWindow="-120" windowWidth="51840" windowHeight="21840" activeTab="3" xr2:uid="{5D5CBAAC-F3E5-415A-8D69-B46AA8D77264}"/>
  </bookViews>
  <sheets>
    <sheet name="用前必看" sheetId="6" r:id="rId1"/>
    <sheet name="侦查目标" sheetId="1" r:id="rId2"/>
    <sheet name="出入场条件（未 完成）" sheetId="5" r:id="rId3"/>
    <sheet name="分红计算器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4" l="1"/>
  <c r="Q11" i="4"/>
  <c r="P11" i="4"/>
  <c r="N11" i="4"/>
  <c r="R23" i="4" l="1"/>
  <c r="O18" i="4" s="1"/>
  <c r="O23" i="4" s="1"/>
  <c r="D15" i="1"/>
  <c r="D11" i="1"/>
  <c r="D12" i="1"/>
  <c r="D13" i="1"/>
  <c r="D14" i="1"/>
  <c r="D10" i="1"/>
  <c r="G21" i="4" l="1"/>
  <c r="G23" i="4" s="1"/>
  <c r="I15" i="4"/>
  <c r="L15" i="4" s="1"/>
  <c r="G8" i="4"/>
  <c r="O7" i="4" s="1"/>
  <c r="J8" i="4"/>
  <c r="K15" i="4"/>
  <c r="K14" i="4"/>
  <c r="I14" i="4"/>
  <c r="L14" i="4" s="1"/>
  <c r="H12" i="1"/>
  <c r="H13" i="1"/>
  <c r="H10" i="1"/>
  <c r="H14" i="1"/>
  <c r="H11" i="1"/>
  <c r="I13" i="4"/>
  <c r="L13" i="4" s="1"/>
  <c r="K13" i="4"/>
  <c r="N7" i="4" l="1"/>
  <c r="I12" i="4" l="1"/>
  <c r="L12" i="4" s="1"/>
  <c r="P7" i="4" s="1"/>
  <c r="K12" i="4"/>
  <c r="Q7" i="4" l="1"/>
  <c r="R7" i="4" s="1"/>
  <c r="O11" i="4" l="1"/>
</calcChain>
</file>

<file path=xl/sharedStrings.xml><?xml version="1.0" encoding="utf-8"?>
<sst xmlns="http://schemas.openxmlformats.org/spreadsheetml/2006/main" count="126" uniqueCount="109">
  <si>
    <t>名称</t>
    <phoneticPr fontId="1" type="noConversion"/>
  </si>
  <si>
    <t>分类</t>
    <phoneticPr fontId="1" type="noConversion"/>
  </si>
  <si>
    <t>重量</t>
    <phoneticPr fontId="1" type="noConversion"/>
  </si>
  <si>
    <t>主要目标</t>
    <phoneticPr fontId="1" type="noConversion"/>
  </si>
  <si>
    <t>不记名债券</t>
    <phoneticPr fontId="1" type="noConversion"/>
  </si>
  <si>
    <t>粉钻</t>
    <phoneticPr fontId="1" type="noConversion"/>
  </si>
  <si>
    <t>玛德拉索文件</t>
    <phoneticPr fontId="1" type="noConversion"/>
  </si>
  <si>
    <t>红宝石项链</t>
    <phoneticPr fontId="1" type="noConversion"/>
  </si>
  <si>
    <t>次要目标</t>
    <phoneticPr fontId="1" type="noConversion"/>
  </si>
  <si>
    <t>现金</t>
    <phoneticPr fontId="1" type="noConversion"/>
  </si>
  <si>
    <t>名画</t>
    <phoneticPr fontId="1" type="noConversion"/>
  </si>
  <si>
    <t>大麻</t>
    <phoneticPr fontId="1" type="noConversion"/>
  </si>
  <si>
    <t>可卡因</t>
    <phoneticPr fontId="1" type="noConversion"/>
  </si>
  <si>
    <t>黄金</t>
    <phoneticPr fontId="1" type="noConversion"/>
  </si>
  <si>
    <t>猎豹雕像</t>
    <phoneticPr fontId="1" type="noConversion"/>
  </si>
  <si>
    <t>西西米托龙舌兰</t>
    <phoneticPr fontId="1" type="noConversion"/>
  </si>
  <si>
    <t>装满背包</t>
    <phoneticPr fontId="1" type="noConversion"/>
  </si>
  <si>
    <t>支援花费</t>
    <phoneticPr fontId="1" type="noConversion"/>
  </si>
  <si>
    <t>保险箱</t>
    <phoneticPr fontId="1" type="noConversion"/>
  </si>
  <si>
    <t>双人</t>
    <phoneticPr fontId="1" type="noConversion"/>
  </si>
  <si>
    <t>备注</t>
    <phoneticPr fontId="1" type="noConversion"/>
  </si>
  <si>
    <t>剧情道具</t>
    <phoneticPr fontId="1" type="noConversion"/>
  </si>
  <si>
    <t>需要密码</t>
    <phoneticPr fontId="1" type="noConversion"/>
  </si>
  <si>
    <t>需要切割机</t>
    <phoneticPr fontId="1" type="noConversion"/>
  </si>
  <si>
    <t>精英</t>
    <phoneticPr fontId="1" type="noConversion"/>
  </si>
  <si>
    <t>虎鲸移动价格</t>
    <phoneticPr fontId="1" type="noConversion"/>
  </si>
  <si>
    <t>分红</t>
    <phoneticPr fontId="1" type="noConversion"/>
  </si>
  <si>
    <t>控制选项</t>
    <phoneticPr fontId="1" type="noConversion"/>
  </si>
  <si>
    <t>困难</t>
    <phoneticPr fontId="1" type="noConversion"/>
  </si>
  <si>
    <t>队员甲</t>
    <phoneticPr fontId="1" type="noConversion"/>
  </si>
  <si>
    <t>队员已</t>
    <phoneticPr fontId="1" type="noConversion"/>
  </si>
  <si>
    <t>队员丙</t>
    <phoneticPr fontId="1" type="noConversion"/>
  </si>
  <si>
    <t>次要目标收入</t>
    <phoneticPr fontId="1" type="noConversion"/>
  </si>
  <si>
    <t>首要目标</t>
    <phoneticPr fontId="1" type="noConversion"/>
  </si>
  <si>
    <t>前置花费</t>
    <phoneticPr fontId="1" type="noConversion"/>
  </si>
  <si>
    <t>虎鲸移动次数</t>
    <phoneticPr fontId="1" type="noConversion"/>
  </si>
  <si>
    <t>洗钱折扣</t>
    <phoneticPr fontId="1" type="noConversion"/>
  </si>
  <si>
    <t>支援折扣</t>
    <phoneticPr fontId="1" type="noConversion"/>
  </si>
  <si>
    <t>房主</t>
    <phoneticPr fontId="1" type="noConversion"/>
  </si>
  <si>
    <t>首要目标收入</t>
    <phoneticPr fontId="1" type="noConversion"/>
  </si>
  <si>
    <t>最终收入</t>
    <phoneticPr fontId="1" type="noConversion"/>
  </si>
  <si>
    <t>否</t>
  </si>
  <si>
    <t>虎鲸移动折扣</t>
    <phoneticPr fontId="1" type="noConversion"/>
  </si>
  <si>
    <t>是</t>
  </si>
  <si>
    <t>任务开启折扣</t>
    <phoneticPr fontId="1" type="noConversion"/>
  </si>
  <si>
    <t>前置总花费</t>
    <phoneticPr fontId="1" type="noConversion"/>
  </si>
  <si>
    <t>保险箱收入</t>
    <phoneticPr fontId="1" type="noConversion"/>
  </si>
  <si>
    <t>购买消音器</t>
    <phoneticPr fontId="1" type="noConversion"/>
  </si>
  <si>
    <t>成员</t>
    <phoneticPr fontId="1" type="noConversion"/>
  </si>
  <si>
    <t>名画</t>
  </si>
  <si>
    <t>现金</t>
  </si>
  <si>
    <t>份数</t>
    <phoneticPr fontId="1" type="noConversion"/>
  </si>
  <si>
    <t>背包容量</t>
    <phoneticPr fontId="1" type="noConversion"/>
  </si>
  <si>
    <t>价值</t>
    <phoneticPr fontId="1" type="noConversion"/>
  </si>
  <si>
    <t>办公室</t>
    <phoneticPr fontId="1" type="noConversion"/>
  </si>
  <si>
    <t>机场、码头</t>
    <phoneticPr fontId="1" type="noConversion"/>
  </si>
  <si>
    <t>必拿目标</t>
    <phoneticPr fontId="1" type="noConversion"/>
  </si>
  <si>
    <t>总价值</t>
    <phoneticPr fontId="1" type="noConversion"/>
  </si>
  <si>
    <t>必拿目标价值</t>
    <phoneticPr fontId="1" type="noConversion"/>
  </si>
  <si>
    <t>帕维尔折扣</t>
    <phoneticPr fontId="1" type="noConversion"/>
  </si>
  <si>
    <t>受损比例</t>
    <phoneticPr fontId="1" type="noConversion"/>
  </si>
  <si>
    <t>渠道及损耗</t>
    <phoneticPr fontId="1" type="noConversion"/>
  </si>
  <si>
    <t>前置准备花费</t>
    <phoneticPr fontId="1" type="noConversion"/>
  </si>
  <si>
    <t>分红使用</t>
    <phoneticPr fontId="1" type="noConversion"/>
  </si>
  <si>
    <t>可选目标</t>
    <phoneticPr fontId="1" type="noConversion"/>
  </si>
  <si>
    <t>武器匿藏品</t>
    <phoneticPr fontId="1" type="noConversion"/>
  </si>
  <si>
    <t>无人侦察机</t>
    <phoneticPr fontId="1" type="noConversion"/>
  </si>
  <si>
    <t>直升机支援</t>
    <phoneticPr fontId="1" type="noConversion"/>
  </si>
  <si>
    <t>狙击手</t>
    <phoneticPr fontId="1" type="noConversion"/>
  </si>
  <si>
    <t>补给投放</t>
    <phoneticPr fontId="1" type="noConversion"/>
  </si>
  <si>
    <t>空袭</t>
    <phoneticPr fontId="1" type="noConversion"/>
  </si>
  <si>
    <t>支援选择</t>
    <phoneticPr fontId="1" type="noConversion"/>
  </si>
  <si>
    <t>开启任务次数</t>
    <phoneticPr fontId="1" type="noConversion"/>
  </si>
  <si>
    <t>其他花费</t>
    <phoneticPr fontId="1" type="noConversion"/>
  </si>
  <si>
    <t>收支明细</t>
    <phoneticPr fontId="1" type="noConversion"/>
  </si>
  <si>
    <t>房主(账面)</t>
    <phoneticPr fontId="1" type="noConversion"/>
  </si>
  <si>
    <t>房主(实际)</t>
    <phoneticPr fontId="1" type="noConversion"/>
  </si>
  <si>
    <t>卡约·佩里科岛豪劫收入计算器 Ver 1.0</t>
    <phoneticPr fontId="1" type="noConversion"/>
  </si>
  <si>
    <t>分红结算</t>
    <phoneticPr fontId="1" type="noConversion"/>
  </si>
  <si>
    <t>西西米托龙舌兰</t>
  </si>
  <si>
    <t>优先物品</t>
    <phoneticPr fontId="1" type="noConversion"/>
  </si>
  <si>
    <t>武器</t>
    <phoneticPr fontId="1" type="noConversion"/>
  </si>
  <si>
    <t>CD时长</t>
    <phoneticPr fontId="1" type="noConversion"/>
  </si>
  <si>
    <t>指纹复制器</t>
    <phoneticPr fontId="1" type="noConversion"/>
  </si>
  <si>
    <t>干扰</t>
    <phoneticPr fontId="1" type="noConversion"/>
  </si>
  <si>
    <t>其他耗时</t>
    <phoneticPr fontId="1" type="noConversion"/>
  </si>
  <si>
    <t>前置任务</t>
    <phoneticPr fontId="1" type="noConversion"/>
  </si>
  <si>
    <t>侦查任务</t>
    <phoneticPr fontId="1" type="noConversion"/>
  </si>
  <si>
    <t>任务准备</t>
    <phoneticPr fontId="1" type="noConversion"/>
  </si>
  <si>
    <t>重复侦查次数</t>
    <phoneticPr fontId="1" type="noConversion"/>
  </si>
  <si>
    <t>入场载具</t>
    <phoneticPr fontId="1" type="noConversion"/>
  </si>
  <si>
    <t>开锁获取</t>
    <phoneticPr fontId="1" type="noConversion"/>
  </si>
  <si>
    <t>障碍破坏</t>
    <phoneticPr fontId="1" type="noConversion"/>
  </si>
  <si>
    <t>典型价格</t>
    <phoneticPr fontId="1" type="noConversion"/>
  </si>
  <si>
    <t>最低价格</t>
    <phoneticPr fontId="1" type="noConversion"/>
  </si>
  <si>
    <t>最高价格</t>
    <phoneticPr fontId="1" type="noConversion"/>
  </si>
  <si>
    <t>侦查目标价格</t>
    <phoneticPr fontId="1" type="noConversion"/>
  </si>
  <si>
    <t>空桑</t>
    <phoneticPr fontId="1" type="noConversion"/>
  </si>
  <si>
    <t>唯一指定更新链接</t>
    <phoneticPr fontId="1" type="noConversion"/>
  </si>
  <si>
    <t>https://github.com/hqshi/OpenDataFoundation</t>
    <phoneticPr fontId="1" type="noConversion"/>
  </si>
  <si>
    <t>作者</t>
    <phoneticPr fontId="1" type="noConversion"/>
  </si>
  <si>
    <t>参考资料</t>
    <phoneticPr fontId="1" type="noConversion"/>
  </si>
  <si>
    <t>Twitter@Tez2、百度贴吧@nice女武神、GTAForums@Gaffa</t>
    <phoneticPr fontId="1" type="noConversion"/>
  </si>
  <si>
    <t>几率</t>
    <phoneticPr fontId="1" type="noConversion"/>
  </si>
  <si>
    <t>前置耗时</t>
    <phoneticPr fontId="1" type="noConversion"/>
  </si>
  <si>
    <t>抢劫周期</t>
    <phoneticPr fontId="1" type="noConversion"/>
  </si>
  <si>
    <t>抢劫任务耗时(分钟)</t>
    <phoneticPr fontId="1" type="noConversion"/>
  </si>
  <si>
    <t>前置任务耗时(分钟)</t>
    <phoneticPr fontId="1" type="noConversion"/>
  </si>
  <si>
    <t>完成分红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</si>
</sst>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\$* #,##0_ ;_-\$* \-#,##0\ ;_-\$* &quot;-&quot;_ ;_-@_ "/>
    <numFmt numFmtId="177" formatCode="\$#,##0;\-\$#,##0"/>
    <numFmt numFmtId="178" formatCode="0.000%"/>
    <numFmt numFmtId="179" formatCode="0_);[Red]\(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4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auto="1"/>
      </bottom>
      <diagonal/>
    </border>
    <border>
      <left style="thick">
        <color theme="1"/>
      </left>
      <right style="thin">
        <color theme="0" tint="-0.24994659260841701"/>
      </right>
      <top style="thick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/>
      </right>
      <top style="thick">
        <color theme="1"/>
      </top>
      <bottom style="thin">
        <color theme="0" tint="-0.24994659260841701"/>
      </bottom>
      <diagonal/>
    </border>
    <border>
      <left style="thick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1"/>
      </left>
      <right style="thin">
        <color theme="0" tint="-0.24994659260841701"/>
      </right>
      <top style="thin">
        <color theme="0" tint="-0.24994659260841701"/>
      </top>
      <bottom style="thick">
        <color theme="1"/>
      </bottom>
      <diagonal/>
    </border>
    <border>
      <left style="thin">
        <color theme="0" tint="-0.24994659260841701"/>
      </left>
      <right style="thick">
        <color theme="1"/>
      </right>
      <top style="thin">
        <color theme="0" tint="-0.24994659260841701"/>
      </top>
      <bottom style="thick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theme="0" tint="-0.24994659260841701"/>
      </bottom>
      <diagonal/>
    </border>
    <border>
      <left/>
      <right/>
      <top style="thick">
        <color theme="1"/>
      </top>
      <bottom style="thin">
        <color theme="0" tint="-0.24994659260841701"/>
      </bottom>
      <diagonal/>
    </border>
    <border>
      <left/>
      <right style="thick">
        <color theme="1"/>
      </right>
      <top style="thick">
        <color theme="1"/>
      </top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thick">
        <color auto="1"/>
      </right>
      <top/>
      <bottom style="thin">
        <color theme="0"/>
      </bottom>
      <diagonal/>
    </border>
    <border>
      <left style="thick">
        <color auto="1"/>
      </left>
      <right/>
      <top/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/>
      <top style="thick">
        <color auto="1"/>
      </top>
      <bottom style="thin">
        <color theme="0" tint="-0.14996795556505021"/>
      </bottom>
      <diagonal/>
    </border>
    <border>
      <left/>
      <right style="thick">
        <color auto="1"/>
      </right>
      <top style="thick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1"/>
      </left>
      <right style="thin">
        <color theme="0" tint="-0.14996795556505021"/>
      </right>
      <top style="thin">
        <color theme="0" tint="-0.14996795556505021"/>
      </top>
      <bottom style="thick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theme="1"/>
      </bottom>
      <diagonal/>
    </border>
    <border>
      <left style="thin">
        <color theme="0" tint="-0.14996795556505021"/>
      </left>
      <right style="thick">
        <color theme="1"/>
      </right>
      <top style="thin">
        <color theme="0" tint="-0.1499679555650502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n">
        <color theme="0" tint="-0.14996795556505021"/>
      </bottom>
      <diagonal/>
    </border>
    <border>
      <left/>
      <right/>
      <top style="thick">
        <color theme="1"/>
      </top>
      <bottom style="thin">
        <color theme="0" tint="-0.14996795556505021"/>
      </bottom>
      <diagonal/>
    </border>
    <border>
      <left/>
      <right style="thick">
        <color theme="1"/>
      </right>
      <top style="thick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ck">
        <color theme="1"/>
      </left>
      <right style="thin">
        <color theme="0" tint="-0.14996795556505021"/>
      </right>
      <top/>
      <bottom/>
      <diagonal/>
    </border>
    <border>
      <left style="thick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177" fontId="3" fillId="0" borderId="6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177" fontId="3" fillId="0" borderId="8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177" fontId="3" fillId="0" borderId="16" xfId="0" applyNumberFormat="1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177" fontId="3" fillId="0" borderId="18" xfId="0" applyNumberFormat="1" applyFont="1" applyBorder="1">
      <alignment vertical="center"/>
    </xf>
    <xf numFmtId="0" fontId="3" fillId="0" borderId="19" xfId="0" applyFont="1" applyBorder="1">
      <alignment vertical="center"/>
    </xf>
    <xf numFmtId="178" fontId="3" fillId="0" borderId="19" xfId="0" applyNumberFormat="1" applyFont="1" applyBorder="1">
      <alignment vertical="center"/>
    </xf>
    <xf numFmtId="0" fontId="3" fillId="0" borderId="20" xfId="0" applyFont="1" applyBorder="1">
      <alignment vertical="center"/>
    </xf>
    <xf numFmtId="177" fontId="3" fillId="0" borderId="20" xfId="0" applyNumberFormat="1" applyFont="1" applyBorder="1">
      <alignment vertical="center"/>
    </xf>
    <xf numFmtId="9" fontId="3" fillId="0" borderId="20" xfId="0" applyNumberFormat="1" applyFont="1" applyBorder="1">
      <alignment vertical="center"/>
    </xf>
    <xf numFmtId="0" fontId="3" fillId="0" borderId="21" xfId="0" applyFont="1" applyBorder="1">
      <alignment vertical="center"/>
    </xf>
    <xf numFmtId="177" fontId="3" fillId="0" borderId="21" xfId="0" applyNumberFormat="1" applyFont="1" applyBorder="1">
      <alignment vertical="center"/>
    </xf>
    <xf numFmtId="177" fontId="3" fillId="0" borderId="19" xfId="0" applyNumberFormat="1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9" fontId="3" fillId="0" borderId="25" xfId="0" applyNumberFormat="1" applyFont="1" applyBorder="1">
      <alignment vertical="center"/>
    </xf>
    <xf numFmtId="0" fontId="3" fillId="0" borderId="26" xfId="0" applyFont="1" applyBorder="1">
      <alignment vertical="center"/>
    </xf>
    <xf numFmtId="178" fontId="3" fillId="0" borderId="27" xfId="0" applyNumberFormat="1" applyFont="1" applyBorder="1">
      <alignment vertical="center"/>
    </xf>
    <xf numFmtId="177" fontId="3" fillId="0" borderId="25" xfId="0" applyNumberFormat="1" applyFont="1" applyBorder="1">
      <alignment vertical="center"/>
    </xf>
    <xf numFmtId="177" fontId="3" fillId="0" borderId="27" xfId="0" applyNumberFormat="1" applyFont="1" applyBorder="1">
      <alignment vertical="center"/>
    </xf>
    <xf numFmtId="177" fontId="3" fillId="0" borderId="24" xfId="0" applyNumberFormat="1" applyFont="1" applyBorder="1">
      <alignment vertical="center"/>
    </xf>
    <xf numFmtId="9" fontId="3" fillId="0" borderId="24" xfId="0" applyNumberFormat="1" applyFont="1" applyBorder="1">
      <alignment vertical="center"/>
    </xf>
    <xf numFmtId="9" fontId="3" fillId="0" borderId="6" xfId="0" applyNumberFormat="1" applyFont="1" applyBorder="1">
      <alignment vertical="center"/>
    </xf>
    <xf numFmtId="177" fontId="3" fillId="0" borderId="26" xfId="0" applyNumberFormat="1" applyFont="1" applyBorder="1">
      <alignment vertical="center"/>
    </xf>
    <xf numFmtId="9" fontId="3" fillId="0" borderId="29" xfId="0" applyNumberFormat="1" applyFont="1" applyBorder="1">
      <alignment vertical="center"/>
    </xf>
    <xf numFmtId="0" fontId="3" fillId="0" borderId="29" xfId="0" applyFont="1" applyBorder="1">
      <alignment vertical="center"/>
    </xf>
    <xf numFmtId="0" fontId="3" fillId="0" borderId="27" xfId="0" applyFont="1" applyBorder="1">
      <alignment vertical="center"/>
    </xf>
    <xf numFmtId="177" fontId="3" fillId="0" borderId="29" xfId="0" applyNumberFormat="1" applyFont="1" applyBorder="1">
      <alignment vertical="center"/>
    </xf>
    <xf numFmtId="179" fontId="3" fillId="0" borderId="41" xfId="0" applyNumberFormat="1" applyFont="1" applyBorder="1">
      <alignment vertical="center"/>
    </xf>
    <xf numFmtId="179" fontId="3" fillId="0" borderId="42" xfId="0" applyNumberFormat="1" applyFont="1" applyBorder="1">
      <alignment vertical="center"/>
    </xf>
    <xf numFmtId="179" fontId="3" fillId="0" borderId="43" xfId="0" applyNumberFormat="1" applyFont="1" applyBorder="1">
      <alignment vertical="center"/>
    </xf>
    <xf numFmtId="179" fontId="3" fillId="0" borderId="44" xfId="0" applyNumberFormat="1" applyFont="1" applyBorder="1">
      <alignment vertical="center"/>
    </xf>
    <xf numFmtId="179" fontId="3" fillId="0" borderId="4" xfId="0" applyNumberFormat="1" applyFont="1" applyBorder="1">
      <alignment vertical="center"/>
    </xf>
    <xf numFmtId="179" fontId="3" fillId="0" borderId="5" xfId="0" applyNumberFormat="1" applyFont="1" applyBorder="1">
      <alignment vertical="center"/>
    </xf>
    <xf numFmtId="0" fontId="3" fillId="0" borderId="45" xfId="0" applyFont="1" applyBorder="1">
      <alignment vertical="center"/>
    </xf>
    <xf numFmtId="0" fontId="2" fillId="0" borderId="8" xfId="0" applyFont="1" applyBorder="1">
      <alignment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49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>
      <alignment vertical="center"/>
    </xf>
    <xf numFmtId="49" fontId="2" fillId="0" borderId="1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6" xfId="0" applyFont="1" applyBorder="1">
      <alignment vertical="center"/>
    </xf>
    <xf numFmtId="49" fontId="2" fillId="0" borderId="36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6" fontId="2" fillId="0" borderId="36" xfId="0" applyNumberFormat="1" applyFont="1" applyBorder="1">
      <alignment vertical="center"/>
    </xf>
    <xf numFmtId="49" fontId="2" fillId="0" borderId="47" xfId="0" applyNumberFormat="1" applyFont="1" applyBorder="1" applyAlignment="1">
      <alignment horizontal="center" vertical="center"/>
    </xf>
    <xf numFmtId="12" fontId="2" fillId="0" borderId="36" xfId="0" applyNumberFormat="1" applyFont="1" applyBorder="1" applyAlignment="1">
      <alignment horizontal="center" vertical="center"/>
    </xf>
    <xf numFmtId="177" fontId="2" fillId="0" borderId="36" xfId="0" applyNumberFormat="1" applyFont="1" applyBorder="1">
      <alignment vertical="center"/>
    </xf>
    <xf numFmtId="0" fontId="2" fillId="0" borderId="48" xfId="0" applyFont="1" applyBorder="1">
      <alignment vertical="center"/>
    </xf>
    <xf numFmtId="0" fontId="2" fillId="0" borderId="49" xfId="0" applyFont="1" applyBorder="1">
      <alignment vertical="center"/>
    </xf>
    <xf numFmtId="176" fontId="2" fillId="0" borderId="49" xfId="0" applyNumberFormat="1" applyFont="1" applyBorder="1">
      <alignment vertical="center"/>
    </xf>
    <xf numFmtId="49" fontId="2" fillId="0" borderId="49" xfId="0" applyNumberFormat="1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9" fontId="2" fillId="0" borderId="38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9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1" applyFont="1">
      <alignment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177" fontId="2" fillId="0" borderId="54" xfId="0" applyNumberFormat="1" applyFont="1" applyBorder="1" applyAlignment="1">
      <alignment horizontal="center" vertical="center"/>
    </xf>
    <xf numFmtId="177" fontId="2" fillId="0" borderId="55" xfId="0" applyNumberFormat="1" applyFont="1" applyBorder="1" applyAlignment="1">
      <alignment horizontal="center" vertical="center"/>
    </xf>
    <xf numFmtId="177" fontId="2" fillId="0" borderId="56" xfId="0" applyNumberFormat="1" applyFont="1" applyBorder="1" applyAlignment="1">
      <alignment horizontal="center" vertical="center"/>
    </xf>
    <xf numFmtId="9" fontId="2" fillId="0" borderId="54" xfId="0" applyNumberFormat="1" applyFont="1" applyBorder="1" applyAlignment="1">
      <alignment horizontal="center" vertical="center"/>
    </xf>
    <xf numFmtId="9" fontId="2" fillId="0" borderId="55" xfId="0" applyNumberFormat="1" applyFont="1" applyBorder="1" applyAlignment="1">
      <alignment horizontal="center" vertical="center"/>
    </xf>
    <xf numFmtId="9" fontId="2" fillId="0" borderId="67" xfId="0" applyNumberFormat="1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49" fontId="2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49" fontId="2" fillId="0" borderId="59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0" xfId="0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center"/>
    </xf>
    <xf numFmtId="49" fontId="2" fillId="0" borderId="63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77" fontId="4" fillId="0" borderId="30" xfId="0" applyNumberFormat="1" applyFont="1" applyBorder="1" applyAlignment="1">
      <alignment horizontal="center" vertical="center"/>
    </xf>
    <xf numFmtId="177" fontId="4" fillId="0" borderId="32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39" xfId="0" applyNumberFormat="1" applyFont="1" applyBorder="1" applyAlignment="1">
      <alignment horizontal="center" vertical="center"/>
    </xf>
    <xf numFmtId="179" fontId="4" fillId="0" borderId="40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8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witter@Tez2&#12289;&#30334;&#24230;&#36148;&#21543;@nice&#22899;&#27494;&#31070;&#12289;GTAForums@Gaffa" TargetMode="External"/><Relationship Id="rId1" Type="http://schemas.openxmlformats.org/officeDocument/2006/relationships/hyperlink" Target="https://github.com/hqshi/OpenDataFound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BBF0-1DA6-495B-BFF5-8C7DA729734D}">
  <dimension ref="B2:C4"/>
  <sheetViews>
    <sheetView workbookViewId="0">
      <selection activeCell="C4" sqref="C4"/>
    </sheetView>
  </sheetViews>
  <sheetFormatPr defaultRowHeight="18" x14ac:dyDescent="0.2"/>
  <cols>
    <col min="1" max="1" width="9" style="78"/>
    <col min="2" max="2" width="21.875" style="78" bestFit="1" customWidth="1"/>
    <col min="3" max="3" width="69" style="78" bestFit="1" customWidth="1"/>
    <col min="4" max="16384" width="9" style="78"/>
  </cols>
  <sheetData>
    <row r="2" spans="2:3" x14ac:dyDescent="0.2">
      <c r="B2" s="78" t="s">
        <v>98</v>
      </c>
      <c r="C2" s="79" t="s">
        <v>99</v>
      </c>
    </row>
    <row r="3" spans="2:3" x14ac:dyDescent="0.2">
      <c r="B3" s="78" t="s">
        <v>100</v>
      </c>
      <c r="C3" s="78" t="s">
        <v>97</v>
      </c>
    </row>
    <row r="4" spans="2:3" x14ac:dyDescent="0.2">
      <c r="B4" s="78" t="s">
        <v>101</v>
      </c>
      <c r="C4" s="79" t="s">
        <v>102</v>
      </c>
    </row>
  </sheetData>
  <sheetProtection algorithmName="SHA-512" hashValue="MH4E9dFI+MACGNJXcAuYPZlm0QqxvniBmtiTUK5W2OL0AV60tCPzYssSwixKpIdKf7weaQpitjGftghSlq+U3g==" saltValue="5Lyl2nLQQH3nZ36YuXI6+w==" spinCount="100000" sheet="1" objects="1" scenarios="1"/>
  <phoneticPr fontId="1" type="noConversion"/>
  <hyperlinks>
    <hyperlink ref="C2" r:id="rId1" xr:uid="{92A6B209-1D83-4412-9C0A-FDD26F983CFA}"/>
    <hyperlink ref="C4" r:id="rId2" xr:uid="{5AA41954-DC4F-405A-9E59-2FF4910DBA76}"/>
  </hyperlinks>
  <pageMargins left="0.7" right="0.7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E241-65E9-4AFF-ACC3-C577476C0A04}">
  <dimension ref="A1:K16"/>
  <sheetViews>
    <sheetView workbookViewId="0">
      <selection activeCell="J15" sqref="J15"/>
    </sheetView>
  </sheetViews>
  <sheetFormatPr defaultRowHeight="18" x14ac:dyDescent="0.2"/>
  <cols>
    <col min="1" max="1" width="9" style="50"/>
    <col min="2" max="2" width="11.375" style="50" bestFit="1" customWidth="1"/>
    <col min="3" max="3" width="19.25" style="50" bestFit="1" customWidth="1"/>
    <col min="4" max="4" width="15.125" style="50" bestFit="1" customWidth="1"/>
    <col min="5" max="5" width="6.5" style="51" bestFit="1" customWidth="1"/>
    <col min="6" max="7" width="13.625" style="51" bestFit="1" customWidth="1"/>
    <col min="8" max="8" width="11.375" style="50" bestFit="1" customWidth="1"/>
    <col min="9" max="9" width="11.375" style="50" customWidth="1"/>
    <col min="10" max="10" width="14" style="52" bestFit="1" customWidth="1"/>
    <col min="11" max="11" width="9" style="50"/>
    <col min="12" max="12" width="16.625" style="50" bestFit="1" customWidth="1"/>
    <col min="13" max="14" width="9" style="50"/>
    <col min="15" max="15" width="11.375" style="50" bestFit="1" customWidth="1"/>
    <col min="16" max="17" width="16.625" style="50" bestFit="1" customWidth="1"/>
    <col min="18" max="19" width="11.375" style="50" bestFit="1" customWidth="1"/>
    <col min="20" max="20" width="8.875" style="50" bestFit="1" customWidth="1"/>
    <col min="21" max="21" width="11.375" style="50" bestFit="1" customWidth="1"/>
    <col min="22" max="22" width="6.5" style="50" bestFit="1" customWidth="1"/>
    <col min="23" max="16384" width="9" style="50"/>
  </cols>
  <sheetData>
    <row r="1" spans="1:11" ht="18.75" thickBot="1" x14ac:dyDescent="0.25">
      <c r="B1" s="55"/>
      <c r="C1" s="55"/>
      <c r="D1" s="55"/>
      <c r="E1" s="56"/>
      <c r="F1" s="56"/>
      <c r="G1" s="56"/>
      <c r="H1" s="55"/>
      <c r="I1" s="55"/>
      <c r="J1" s="57"/>
    </row>
    <row r="2" spans="1:11" ht="28.5" thickTop="1" x14ac:dyDescent="0.2">
      <c r="A2" s="53"/>
      <c r="B2" s="80" t="s">
        <v>96</v>
      </c>
      <c r="C2" s="81"/>
      <c r="D2" s="81"/>
      <c r="E2" s="81"/>
      <c r="F2" s="81"/>
      <c r="G2" s="81"/>
      <c r="H2" s="81"/>
      <c r="I2" s="81"/>
      <c r="J2" s="82"/>
      <c r="K2" s="54"/>
    </row>
    <row r="3" spans="1:11" x14ac:dyDescent="0.2">
      <c r="A3" s="53"/>
      <c r="B3" s="73" t="s">
        <v>1</v>
      </c>
      <c r="C3" s="75" t="s">
        <v>0</v>
      </c>
      <c r="D3" s="75" t="s">
        <v>93</v>
      </c>
      <c r="E3" s="62" t="s">
        <v>2</v>
      </c>
      <c r="F3" s="62" t="s">
        <v>94</v>
      </c>
      <c r="G3" s="62" t="s">
        <v>95</v>
      </c>
      <c r="H3" s="75" t="s">
        <v>16</v>
      </c>
      <c r="I3" s="76" t="s">
        <v>103</v>
      </c>
      <c r="J3" s="63" t="s">
        <v>20</v>
      </c>
      <c r="K3" s="54"/>
    </row>
    <row r="4" spans="1:11" x14ac:dyDescent="0.2">
      <c r="A4" s="53"/>
      <c r="B4" s="91" t="s">
        <v>3</v>
      </c>
      <c r="C4" s="61" t="s">
        <v>6</v>
      </c>
      <c r="D4" s="64">
        <v>1100000</v>
      </c>
      <c r="E4" s="94"/>
      <c r="F4" s="95"/>
      <c r="G4" s="95"/>
      <c r="H4" s="96"/>
      <c r="I4" s="74"/>
      <c r="J4" s="65" t="s">
        <v>21</v>
      </c>
      <c r="K4" s="54"/>
    </row>
    <row r="5" spans="1:11" x14ac:dyDescent="0.2">
      <c r="A5" s="53"/>
      <c r="B5" s="92"/>
      <c r="C5" s="61" t="s">
        <v>4</v>
      </c>
      <c r="D5" s="64">
        <v>1100000</v>
      </c>
      <c r="E5" s="97"/>
      <c r="F5" s="98"/>
      <c r="G5" s="98"/>
      <c r="H5" s="99"/>
      <c r="I5" s="86">
        <v>0.27</v>
      </c>
      <c r="J5" s="65" t="s">
        <v>22</v>
      </c>
      <c r="K5" s="54"/>
    </row>
    <row r="6" spans="1:11" x14ac:dyDescent="0.2">
      <c r="A6" s="53"/>
      <c r="B6" s="92"/>
      <c r="C6" s="61" t="s">
        <v>15</v>
      </c>
      <c r="D6" s="64">
        <v>900000</v>
      </c>
      <c r="E6" s="97"/>
      <c r="F6" s="98"/>
      <c r="G6" s="98"/>
      <c r="H6" s="99"/>
      <c r="I6" s="87"/>
      <c r="J6" s="89" t="s">
        <v>23</v>
      </c>
      <c r="K6" s="54"/>
    </row>
    <row r="7" spans="1:11" x14ac:dyDescent="0.2">
      <c r="A7" s="53"/>
      <c r="B7" s="92"/>
      <c r="C7" s="61" t="s">
        <v>7</v>
      </c>
      <c r="D7" s="64">
        <v>1000000</v>
      </c>
      <c r="E7" s="97"/>
      <c r="F7" s="98"/>
      <c r="G7" s="98"/>
      <c r="H7" s="99"/>
      <c r="I7" s="88"/>
      <c r="J7" s="89"/>
      <c r="K7" s="54"/>
    </row>
    <row r="8" spans="1:11" x14ac:dyDescent="0.2">
      <c r="A8" s="53"/>
      <c r="B8" s="92"/>
      <c r="C8" s="61" t="s">
        <v>5</v>
      </c>
      <c r="D8" s="64">
        <v>1300000</v>
      </c>
      <c r="E8" s="97"/>
      <c r="F8" s="98"/>
      <c r="G8" s="98"/>
      <c r="H8" s="99"/>
      <c r="I8" s="74">
        <v>0.16</v>
      </c>
      <c r="J8" s="89"/>
      <c r="K8" s="54"/>
    </row>
    <row r="9" spans="1:11" x14ac:dyDescent="0.2">
      <c r="A9" s="53"/>
      <c r="B9" s="93"/>
      <c r="C9" s="61" t="s">
        <v>14</v>
      </c>
      <c r="D9" s="64">
        <v>1900000</v>
      </c>
      <c r="E9" s="100"/>
      <c r="F9" s="101"/>
      <c r="G9" s="101"/>
      <c r="H9" s="102"/>
      <c r="I9" s="74"/>
      <c r="J9" s="89"/>
      <c r="K9" s="54"/>
    </row>
    <row r="10" spans="1:11" x14ac:dyDescent="0.2">
      <c r="A10" s="53"/>
      <c r="B10" s="90" t="s">
        <v>8</v>
      </c>
      <c r="C10" s="61" t="s">
        <v>10</v>
      </c>
      <c r="D10" s="64">
        <f>(F10+G10)/2</f>
        <v>187500</v>
      </c>
      <c r="E10" s="66">
        <v>0.5</v>
      </c>
      <c r="F10" s="64">
        <v>175000</v>
      </c>
      <c r="G10" s="64">
        <v>200000</v>
      </c>
      <c r="H10" s="67">
        <f>D10*1/E10</f>
        <v>375000</v>
      </c>
      <c r="I10" s="83"/>
      <c r="J10" s="63" t="s">
        <v>54</v>
      </c>
      <c r="K10" s="54"/>
    </row>
    <row r="11" spans="1:11" x14ac:dyDescent="0.2">
      <c r="A11" s="53"/>
      <c r="B11" s="90"/>
      <c r="C11" s="61" t="s">
        <v>13</v>
      </c>
      <c r="D11" s="64">
        <f t="shared" ref="D11:D14" si="0">(F11+G11)/2</f>
        <v>330833</v>
      </c>
      <c r="E11" s="66">
        <v>0.66666666666666663</v>
      </c>
      <c r="F11" s="64">
        <v>328333</v>
      </c>
      <c r="G11" s="64">
        <v>333333</v>
      </c>
      <c r="H11" s="67">
        <f>D11*1/E11</f>
        <v>496249.5</v>
      </c>
      <c r="I11" s="84"/>
      <c r="J11" s="63" t="s">
        <v>19</v>
      </c>
      <c r="K11" s="54"/>
    </row>
    <row r="12" spans="1:11" x14ac:dyDescent="0.2">
      <c r="A12" s="53"/>
      <c r="B12" s="90"/>
      <c r="C12" s="61" t="s">
        <v>12</v>
      </c>
      <c r="D12" s="64">
        <f t="shared" si="0"/>
        <v>222500</v>
      </c>
      <c r="E12" s="66">
        <v>0.5</v>
      </c>
      <c r="F12" s="64">
        <v>220000</v>
      </c>
      <c r="G12" s="64">
        <v>225000</v>
      </c>
      <c r="H12" s="67">
        <f t="shared" ref="H12:H14" si="1">D12*1/E12</f>
        <v>445000</v>
      </c>
      <c r="I12" s="84"/>
      <c r="J12" s="103" t="s">
        <v>55</v>
      </c>
      <c r="K12" s="54"/>
    </row>
    <row r="13" spans="1:11" x14ac:dyDescent="0.2">
      <c r="A13" s="53"/>
      <c r="B13" s="90"/>
      <c r="C13" s="61" t="s">
        <v>11</v>
      </c>
      <c r="D13" s="64">
        <f t="shared" si="0"/>
        <v>147500</v>
      </c>
      <c r="E13" s="66">
        <v>0.33333333333333331</v>
      </c>
      <c r="F13" s="64">
        <v>145000</v>
      </c>
      <c r="G13" s="64">
        <v>150000</v>
      </c>
      <c r="H13" s="67">
        <f t="shared" si="1"/>
        <v>442500</v>
      </c>
      <c r="I13" s="84"/>
      <c r="J13" s="103"/>
      <c r="K13" s="54"/>
    </row>
    <row r="14" spans="1:11" x14ac:dyDescent="0.2">
      <c r="A14" s="53"/>
      <c r="B14" s="90"/>
      <c r="C14" s="61" t="s">
        <v>9</v>
      </c>
      <c r="D14" s="64">
        <f t="shared" si="0"/>
        <v>90000</v>
      </c>
      <c r="E14" s="66">
        <v>0.25</v>
      </c>
      <c r="F14" s="64">
        <v>87500</v>
      </c>
      <c r="G14" s="64">
        <v>92500</v>
      </c>
      <c r="H14" s="67">
        <f t="shared" si="1"/>
        <v>360000</v>
      </c>
      <c r="I14" s="84"/>
      <c r="J14" s="103"/>
      <c r="K14" s="54"/>
    </row>
    <row r="15" spans="1:11" ht="18.75" thickBot="1" x14ac:dyDescent="0.25">
      <c r="A15" s="53"/>
      <c r="B15" s="68" t="s">
        <v>18</v>
      </c>
      <c r="C15" s="69" t="s">
        <v>9</v>
      </c>
      <c r="D15" s="70">
        <f>(F15+G15)/2</f>
        <v>74500</v>
      </c>
      <c r="E15" s="77">
        <v>0</v>
      </c>
      <c r="F15" s="70">
        <v>50000</v>
      </c>
      <c r="G15" s="70">
        <v>99000</v>
      </c>
      <c r="H15" s="71"/>
      <c r="I15" s="85"/>
      <c r="J15" s="72" t="s">
        <v>54</v>
      </c>
      <c r="K15" s="54"/>
    </row>
    <row r="16" spans="1:11" ht="18.75" thickTop="1" x14ac:dyDescent="0.2">
      <c r="B16" s="58"/>
      <c r="C16" s="58"/>
      <c r="D16" s="58"/>
      <c r="E16" s="59"/>
      <c r="F16" s="59"/>
      <c r="G16" s="59"/>
      <c r="H16" s="58"/>
      <c r="I16" s="58"/>
      <c r="J16" s="60"/>
    </row>
  </sheetData>
  <sheetProtection algorithmName="SHA-512" hashValue="DlyEPSlxvZTDv4hohXHU+DGsiyl2aCZDsdeJrLouOZDc2aYzNimAfGa9up4O37jUSCpvgCZuV57tEGWcfoFnzQ==" saltValue="IBqnXUD7FWZSAqPpPR7dtw==" spinCount="100000" sheet="1" objects="1" scenarios="1"/>
  <mergeCells count="8">
    <mergeCell ref="B2:J2"/>
    <mergeCell ref="I10:I15"/>
    <mergeCell ref="I5:I7"/>
    <mergeCell ref="J6:J9"/>
    <mergeCell ref="B10:B14"/>
    <mergeCell ref="B4:B9"/>
    <mergeCell ref="E4:H9"/>
    <mergeCell ref="J12:J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F1E0-EFCD-4CB8-A48D-49301AE0A509}">
  <dimension ref="A1"/>
  <sheetViews>
    <sheetView workbookViewId="0">
      <selection activeCell="G37" sqref="G37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4760-B6B8-45CB-BD80-BF1C295E6849}">
  <dimension ref="B1:S25"/>
  <sheetViews>
    <sheetView tabSelected="1" workbookViewId="0">
      <selection activeCell="R12" sqref="R12"/>
    </sheetView>
  </sheetViews>
  <sheetFormatPr defaultRowHeight="18" x14ac:dyDescent="0.2"/>
  <cols>
    <col min="1" max="2" width="9" style="1"/>
    <col min="3" max="3" width="16.625" style="1" bestFit="1" customWidth="1"/>
    <col min="4" max="4" width="8.5" style="1" bestFit="1" customWidth="1"/>
    <col min="5" max="5" width="9" style="1"/>
    <col min="6" max="6" width="16.625" style="1" bestFit="1" customWidth="1"/>
    <col min="7" max="7" width="19.25" style="1" bestFit="1" customWidth="1"/>
    <col min="8" max="8" width="6.5" style="1" bestFit="1" customWidth="1"/>
    <col min="9" max="9" width="14" style="2" bestFit="1" customWidth="1"/>
    <col min="10" max="11" width="11.375" style="1" bestFit="1" customWidth="1"/>
    <col min="12" max="12" width="11.125" style="1" bestFit="1" customWidth="1"/>
    <col min="13" max="13" width="11.375" style="1" bestFit="1" customWidth="1"/>
    <col min="14" max="14" width="19.25" style="1" bestFit="1" customWidth="1"/>
    <col min="15" max="16" width="16.625" style="1" bestFit="1" customWidth="1"/>
    <col min="17" max="17" width="14" style="1" bestFit="1" customWidth="1"/>
    <col min="18" max="18" width="13" style="1" bestFit="1" customWidth="1"/>
    <col min="19" max="16384" width="9" style="1"/>
  </cols>
  <sheetData>
    <row r="1" spans="2:19" ht="18.75" thickBot="1" x14ac:dyDescent="0.25"/>
    <row r="2" spans="2:19" ht="18.75" thickTop="1" x14ac:dyDescent="0.2">
      <c r="B2" s="109" t="s">
        <v>77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1"/>
    </row>
    <row r="3" spans="2:19" x14ac:dyDescent="0.2">
      <c r="B3" s="112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</row>
    <row r="4" spans="2:19" ht="18.75" thickBot="1" x14ac:dyDescent="0.25">
      <c r="B4" s="5"/>
      <c r="C4" s="18"/>
      <c r="D4" s="18"/>
      <c r="E4" s="7"/>
      <c r="F4" s="18"/>
      <c r="G4" s="18"/>
      <c r="H4" s="7"/>
      <c r="I4" s="19"/>
      <c r="J4" s="18"/>
      <c r="K4" s="18"/>
      <c r="L4" s="18"/>
      <c r="M4" s="7"/>
      <c r="N4" s="18"/>
      <c r="O4" s="18"/>
      <c r="P4" s="18"/>
      <c r="Q4" s="18"/>
      <c r="R4" s="18"/>
      <c r="S4" s="6"/>
    </row>
    <row r="5" spans="2:19" ht="18.75" thickTop="1" x14ac:dyDescent="0.2">
      <c r="B5" s="12"/>
      <c r="C5" s="104" t="s">
        <v>27</v>
      </c>
      <c r="D5" s="105"/>
      <c r="E5" s="14"/>
      <c r="F5" s="104" t="s">
        <v>56</v>
      </c>
      <c r="G5" s="105"/>
      <c r="H5" s="14"/>
      <c r="I5" s="122" t="s">
        <v>26</v>
      </c>
      <c r="J5" s="123"/>
      <c r="K5" s="123"/>
      <c r="L5" s="124"/>
      <c r="M5" s="14"/>
      <c r="N5" s="104" t="s">
        <v>74</v>
      </c>
      <c r="O5" s="121"/>
      <c r="P5" s="121"/>
      <c r="Q5" s="121"/>
      <c r="R5" s="105"/>
      <c r="S5" s="17"/>
    </row>
    <row r="6" spans="2:19" x14ac:dyDescent="0.2">
      <c r="B6" s="12"/>
      <c r="C6" s="28" t="s">
        <v>24</v>
      </c>
      <c r="D6" s="29" t="s">
        <v>41</v>
      </c>
      <c r="E6" s="14"/>
      <c r="F6" s="28" t="s">
        <v>33</v>
      </c>
      <c r="G6" s="29" t="s">
        <v>79</v>
      </c>
      <c r="H6" s="14"/>
      <c r="I6" s="35" t="s">
        <v>38</v>
      </c>
      <c r="J6" s="3" t="s">
        <v>29</v>
      </c>
      <c r="K6" s="3" t="s">
        <v>30</v>
      </c>
      <c r="L6" s="29" t="s">
        <v>31</v>
      </c>
      <c r="M6" s="14"/>
      <c r="N6" s="28" t="s">
        <v>62</v>
      </c>
      <c r="O6" s="3" t="s">
        <v>39</v>
      </c>
      <c r="P6" s="3" t="s">
        <v>32</v>
      </c>
      <c r="Q6" s="3" t="s">
        <v>61</v>
      </c>
      <c r="R6" s="29" t="s">
        <v>40</v>
      </c>
      <c r="S6" s="17"/>
    </row>
    <row r="7" spans="2:19" ht="18.75" thickBot="1" x14ac:dyDescent="0.25">
      <c r="B7" s="12"/>
      <c r="C7" s="28" t="s">
        <v>28</v>
      </c>
      <c r="D7" s="29" t="s">
        <v>41</v>
      </c>
      <c r="E7" s="14"/>
      <c r="F7" s="28" t="s">
        <v>46</v>
      </c>
      <c r="G7" s="33">
        <v>75000</v>
      </c>
      <c r="H7" s="14"/>
      <c r="I7" s="36">
        <v>1</v>
      </c>
      <c r="J7" s="37"/>
      <c r="K7" s="37"/>
      <c r="L7" s="30"/>
      <c r="M7" s="14"/>
      <c r="N7" s="38">
        <f>G23</f>
        <v>36000</v>
      </c>
      <c r="O7" s="42">
        <f>G8</f>
        <v>900000</v>
      </c>
      <c r="P7" s="42">
        <f>L12+IF(J7&lt;&gt;0,L13,0)+IF(K7&lt;&gt;0,L14,0)+IF(L7&lt;&gt;0,L15,0)+G7</f>
        <v>442500</v>
      </c>
      <c r="Q7" s="42">
        <f>INT((O7+P7)*(10%*D11+2%*D13+D14))</f>
        <v>161100</v>
      </c>
      <c r="R7" s="34">
        <f>O7+P7-Q7</f>
        <v>1181400</v>
      </c>
      <c r="S7" s="17"/>
    </row>
    <row r="8" spans="2:19" ht="19.5" thickTop="1" thickBot="1" x14ac:dyDescent="0.25">
      <c r="B8" s="12"/>
      <c r="C8" s="28" t="s">
        <v>25</v>
      </c>
      <c r="D8" s="29">
        <v>2000</v>
      </c>
      <c r="E8" s="14"/>
      <c r="F8" s="31" t="s">
        <v>58</v>
      </c>
      <c r="G8" s="34">
        <f>IF(AND(D7="是",ISNA(VLOOKUP(G6,侦查目标!C6:C9,1,FALSE))=FALSE ),1.1,1)*VLOOKUP(G6,侦查目标!C4:D9,2,FALSE)</f>
        <v>900000</v>
      </c>
      <c r="H8" s="14"/>
      <c r="I8" s="38" t="s">
        <v>63</v>
      </c>
      <c r="J8" s="39">
        <f>SUM(I7:L7)</f>
        <v>1</v>
      </c>
      <c r="K8" s="40"/>
      <c r="L8" s="41"/>
      <c r="M8" s="15"/>
      <c r="N8" s="27"/>
      <c r="O8" s="27"/>
      <c r="P8" s="27"/>
      <c r="Q8" s="27"/>
      <c r="R8" s="27"/>
      <c r="S8" s="6"/>
    </row>
    <row r="9" spans="2:19" ht="19.5" thickTop="1" thickBot="1" x14ac:dyDescent="0.25">
      <c r="B9" s="12"/>
      <c r="C9" s="28" t="s">
        <v>42</v>
      </c>
      <c r="D9" s="30">
        <v>1</v>
      </c>
      <c r="E9" s="15"/>
      <c r="F9" s="22"/>
      <c r="G9" s="23"/>
      <c r="H9" s="18"/>
      <c r="I9" s="23"/>
      <c r="J9" s="24"/>
      <c r="K9" s="22"/>
      <c r="L9" s="22"/>
      <c r="M9" s="7"/>
      <c r="N9" s="106" t="s">
        <v>78</v>
      </c>
      <c r="O9" s="107"/>
      <c r="P9" s="107"/>
      <c r="Q9" s="107"/>
      <c r="R9" s="108"/>
      <c r="S9" s="6"/>
    </row>
    <row r="10" spans="2:19" ht="18.75" thickTop="1" x14ac:dyDescent="0.2">
      <c r="B10" s="12"/>
      <c r="C10" s="28" t="s">
        <v>44</v>
      </c>
      <c r="D10" s="30">
        <v>1</v>
      </c>
      <c r="E10" s="14"/>
      <c r="F10" s="104" t="s">
        <v>64</v>
      </c>
      <c r="G10" s="121"/>
      <c r="H10" s="121"/>
      <c r="I10" s="121"/>
      <c r="J10" s="121"/>
      <c r="K10" s="121"/>
      <c r="L10" s="105"/>
      <c r="M10" s="14"/>
      <c r="N10" s="28" t="s">
        <v>75</v>
      </c>
      <c r="O10" s="3" t="s">
        <v>76</v>
      </c>
      <c r="P10" s="3" t="s">
        <v>29</v>
      </c>
      <c r="Q10" s="3" t="s">
        <v>30</v>
      </c>
      <c r="R10" s="29" t="s">
        <v>31</v>
      </c>
      <c r="S10" s="17"/>
    </row>
    <row r="11" spans="2:19" ht="18.75" thickBot="1" x14ac:dyDescent="0.25">
      <c r="B11" s="12"/>
      <c r="C11" s="28" t="s">
        <v>36</v>
      </c>
      <c r="D11" s="30">
        <v>1</v>
      </c>
      <c r="E11" s="14"/>
      <c r="F11" s="28" t="s">
        <v>48</v>
      </c>
      <c r="G11" s="3" t="s">
        <v>80</v>
      </c>
      <c r="H11" s="3" t="s">
        <v>51</v>
      </c>
      <c r="I11" s="4" t="s">
        <v>53</v>
      </c>
      <c r="J11" s="3" t="s">
        <v>16</v>
      </c>
      <c r="K11" s="3" t="s">
        <v>52</v>
      </c>
      <c r="L11" s="29" t="s">
        <v>57</v>
      </c>
      <c r="M11" s="14"/>
      <c r="N11" s="38">
        <f>ROUND((R7*I7/COUNTIF(I7:L7,"&lt;&gt;")+IF(D6="是",IF(D7="是",100000,50000),0))/10,0)*10</f>
        <v>1181400</v>
      </c>
      <c r="O11" s="42">
        <f>N11-N7</f>
        <v>1145400</v>
      </c>
      <c r="P11" s="42" t="str">
        <f>IF(J7=0,"",ROUND((J7*R7/COUNTIF(I7:L7,"&lt;&gt;")+IF(D6="是",IF(D7="是",100000,50000),0))/10,0)*10)</f>
        <v/>
      </c>
      <c r="Q11" s="42" t="str">
        <f>IF(K7=0,"",ROUND((K7*R7/COUNTIF(I7:L7,"&lt;&gt;")+IF(D6="是",IF(D7="是",100000,50000),0))/10,0)*10)</f>
        <v/>
      </c>
      <c r="R11" s="34" t="str">
        <f>IF(L7=0,"",ROUND((L7*R7/COUNTIF(I7:L7,"&lt;&gt;")+IF(D6="是",IF(D7="是",100000,50000),0))/10,0)*10)</f>
        <v/>
      </c>
      <c r="S11" s="17"/>
    </row>
    <row r="12" spans="2:19" ht="18.75" thickTop="1" x14ac:dyDescent="0.2">
      <c r="B12" s="12"/>
      <c r="C12" s="28" t="s">
        <v>37</v>
      </c>
      <c r="D12" s="30">
        <v>1</v>
      </c>
      <c r="E12" s="14"/>
      <c r="F12" s="28" t="s">
        <v>38</v>
      </c>
      <c r="G12" s="3" t="s">
        <v>49</v>
      </c>
      <c r="H12" s="3">
        <v>1</v>
      </c>
      <c r="I12" s="4">
        <f>IF(AND(G12&lt;&gt;0,H12&lt;&gt;0),H12*VLOOKUP(G12,侦查目标!C10:E14,2,FALSE),0)</f>
        <v>187500</v>
      </c>
      <c r="J12" s="3" t="s">
        <v>50</v>
      </c>
      <c r="K12" s="3" t="str">
        <f>IF(OR(J12&lt;&gt;0,IF(AND(H12&lt;&gt;0,G12&lt;&gt;0),H12*VLOOKUP(G12,侦查目标!C10:E14,3,FALSE)&gt;=1,0)),"已满","还有空间")</f>
        <v>已满</v>
      </c>
      <c r="L12" s="33">
        <f>I12+IF(J12&lt;&gt;0,IF(I12=0,1/VLOOKUP(J12,侦查目标!C10:E14,3,FALSE)*VLOOKUP(J12,侦查目标!C10:E14,2,FALSE),(1-H12*VLOOKUP(G12,侦查目标!C10:E14,3,FALSE))/VLOOKUP(J12,侦查目标!C10:E14,3,FALSE)*VLOOKUP(J12,侦查目标!C10:E14,2,FALSE)),0)</f>
        <v>367500</v>
      </c>
      <c r="M12" s="14"/>
      <c r="N12" s="49"/>
      <c r="O12" s="49"/>
      <c r="P12" s="49"/>
      <c r="Q12" s="49"/>
      <c r="R12" s="49"/>
      <c r="S12" s="17"/>
    </row>
    <row r="13" spans="2:19" ht="18.75" thickBot="1" x14ac:dyDescent="0.25">
      <c r="B13" s="12"/>
      <c r="C13" s="28" t="s">
        <v>59</v>
      </c>
      <c r="D13" s="30">
        <v>1</v>
      </c>
      <c r="E13" s="14"/>
      <c r="F13" s="28" t="s">
        <v>29</v>
      </c>
      <c r="G13" s="3"/>
      <c r="H13" s="3"/>
      <c r="I13" s="4">
        <f>IF(AND(G13&lt;&gt;0,H13&lt;&gt;0),H13*VLOOKUP(G13,侦查目标!C10:E14,2,FALSE),0)</f>
        <v>0</v>
      </c>
      <c r="J13" s="3"/>
      <c r="K13" s="3" t="str">
        <f>IF(OR(J13&lt;&gt;0,IF(AND(H13&lt;&gt;0,G13&lt;&gt;0),H13*VLOOKUP(G13,侦查目标!C10:E14,3,FALSE)&gt;=1,0)),"已满","还有空间")</f>
        <v>还有空间</v>
      </c>
      <c r="L13" s="33">
        <f>I13+IF(J13&lt;&gt;0,IF(I13=0,1/VLOOKUP(J13,侦查目标!C10:E14,3,FALSE)*VLOOKUP(J13,侦查目标!C10:E14,2,FALSE),(1-H13*VLOOKUP(G13,侦查目标!C10:E14,3,FALSE))/VLOOKUP(J13,侦查目标!C10:E14,3,FALSE)*VLOOKUP(J13,侦查目标!C10:E14,2,FALSE)),0)</f>
        <v>0</v>
      </c>
      <c r="M13" s="15"/>
      <c r="N13" s="22"/>
      <c r="O13" s="22"/>
      <c r="P13" s="22"/>
      <c r="Q13" s="23"/>
      <c r="R13" s="22"/>
      <c r="S13" s="6"/>
    </row>
    <row r="14" spans="2:19" ht="19.5" thickTop="1" thickBot="1" x14ac:dyDescent="0.25">
      <c r="B14" s="12"/>
      <c r="C14" s="31" t="s">
        <v>60</v>
      </c>
      <c r="D14" s="32">
        <v>0</v>
      </c>
      <c r="E14" s="14"/>
      <c r="F14" s="28" t="s">
        <v>30</v>
      </c>
      <c r="G14" s="3"/>
      <c r="H14" s="3"/>
      <c r="I14" s="4">
        <f>IF(AND(G14&lt;&gt;0,H14&lt;&gt;0),H14*VLOOKUP(G14,侦查目标!C10:E14,2,FALSE),0)</f>
        <v>0</v>
      </c>
      <c r="J14" s="3"/>
      <c r="K14" s="3" t="str">
        <f>IF(OR(J14&lt;&gt;0,IF(AND(H14&lt;&gt;0,G14&lt;&gt;0),H14*VLOOKUP(G14,侦查目标!C10:E14,3,FALSE)&gt;=1,0)),"已满","还有空间")</f>
        <v>还有空间</v>
      </c>
      <c r="L14" s="33">
        <f>I14+IF(J14&lt;&gt;0,IF(I14=0,1/VLOOKUP(J14,侦查目标!C10:E14,3,FALSE)*VLOOKUP(J14,侦查目标!C10:E14,2,FALSE),(1-H14*VLOOKUP(G14,侦查目标!C10:E14,3,FALSE))/VLOOKUP(J14,侦查目标!C10:E14,3,FALSE)*VLOOKUP(J14,侦查目标!C10:E14,2,FALSE)),0)</f>
        <v>0</v>
      </c>
      <c r="M14" s="14"/>
      <c r="N14" s="119" t="s">
        <v>106</v>
      </c>
      <c r="O14" s="120"/>
      <c r="P14" s="14"/>
      <c r="Q14" s="117" t="s">
        <v>107</v>
      </c>
      <c r="R14" s="118"/>
      <c r="S14" s="17"/>
    </row>
    <row r="15" spans="2:19" ht="19.5" thickTop="1" thickBot="1" x14ac:dyDescent="0.25">
      <c r="B15" s="5"/>
      <c r="C15" s="20"/>
      <c r="D15" s="21"/>
      <c r="E15" s="13"/>
      <c r="F15" s="31" t="s">
        <v>31</v>
      </c>
      <c r="G15" s="40"/>
      <c r="H15" s="40"/>
      <c r="I15" s="42">
        <f>IF(AND(G15&lt;&gt;0,H15&lt;&gt;0),H15*VLOOKUP(G15,侦查目标!C10:E14,2,FALSE),0)</f>
        <v>0</v>
      </c>
      <c r="J15" s="40"/>
      <c r="K15" s="40" t="str">
        <f>IF(OR(J15&lt;&gt;0,IF(AND(H15&lt;&gt;0,G15&lt;&gt;0),H15*VLOOKUP(G15,侦查目标!C10:E14,3,FALSE)&gt;=1,0)),"已满","还有空间")</f>
        <v>还有空间</v>
      </c>
      <c r="L15" s="34">
        <f>I15+IF(J15&lt;&gt;0,IF(I15=0,1/VLOOKUP(J15,侦查目标!C10:E14,3,FALSE)*VLOOKUP(J15,侦查目标!C10:E14,2,FALSE),(1-H15*VLOOKUP(G15,侦查目标!C10:E14,3,FALSE))/VLOOKUP(J15,侦查目标!C10:E14,3,FALSE)*VLOOKUP(J15,侦查目标!C10:E14,2,FALSE)),0)</f>
        <v>0</v>
      </c>
      <c r="M15" s="14"/>
      <c r="N15" s="43" t="s">
        <v>88</v>
      </c>
      <c r="O15" s="44">
        <v>0</v>
      </c>
      <c r="P15" s="14"/>
      <c r="Q15" s="43" t="s">
        <v>90</v>
      </c>
      <c r="R15" s="47">
        <v>5</v>
      </c>
      <c r="S15" s="17"/>
    </row>
    <row r="16" spans="2:19" ht="19.5" thickTop="1" thickBot="1" x14ac:dyDescent="0.25">
      <c r="B16" s="5"/>
      <c r="C16" s="7"/>
      <c r="D16" s="7"/>
      <c r="E16" s="7"/>
      <c r="F16" s="22"/>
      <c r="G16" s="22"/>
      <c r="H16" s="20"/>
      <c r="I16" s="23"/>
      <c r="J16" s="22"/>
      <c r="K16" s="20"/>
      <c r="L16" s="20"/>
      <c r="M16" s="13"/>
      <c r="N16" s="43" t="s">
        <v>87</v>
      </c>
      <c r="O16" s="44">
        <v>10</v>
      </c>
      <c r="P16" s="14"/>
      <c r="Q16" s="43" t="s">
        <v>91</v>
      </c>
      <c r="R16" s="47">
        <v>5</v>
      </c>
      <c r="S16" s="17"/>
    </row>
    <row r="17" spans="2:19" ht="18.75" thickTop="1" x14ac:dyDescent="0.2">
      <c r="B17" s="5"/>
      <c r="C17" s="7"/>
      <c r="D17" s="7"/>
      <c r="E17" s="13"/>
      <c r="F17" s="104" t="s">
        <v>34</v>
      </c>
      <c r="G17" s="105"/>
      <c r="H17" s="14"/>
      <c r="I17" s="115" t="s">
        <v>71</v>
      </c>
      <c r="J17" s="116"/>
      <c r="K17" s="16"/>
      <c r="L17" s="8"/>
      <c r="M17" s="13"/>
      <c r="N17" s="43" t="s">
        <v>89</v>
      </c>
      <c r="O17" s="44">
        <v>1</v>
      </c>
      <c r="P17" s="14"/>
      <c r="Q17" s="43" t="s">
        <v>92</v>
      </c>
      <c r="R17" s="47">
        <v>5</v>
      </c>
      <c r="S17" s="17"/>
    </row>
    <row r="18" spans="2:19" x14ac:dyDescent="0.2">
      <c r="B18" s="5"/>
      <c r="C18" s="7"/>
      <c r="D18" s="7"/>
      <c r="E18" s="13"/>
      <c r="F18" s="28" t="s">
        <v>72</v>
      </c>
      <c r="G18" s="29">
        <v>1</v>
      </c>
      <c r="H18" s="14"/>
      <c r="I18" s="35" t="s">
        <v>70</v>
      </c>
      <c r="J18" s="29" t="s">
        <v>41</v>
      </c>
      <c r="K18" s="15"/>
      <c r="L18" s="7"/>
      <c r="M18" s="13"/>
      <c r="N18" s="43" t="s">
        <v>86</v>
      </c>
      <c r="O18" s="44">
        <f>R23</f>
        <v>25</v>
      </c>
      <c r="P18" s="14"/>
      <c r="Q18" s="43" t="s">
        <v>83</v>
      </c>
      <c r="R18" s="47">
        <v>5</v>
      </c>
      <c r="S18" s="17"/>
    </row>
    <row r="19" spans="2:19" x14ac:dyDescent="0.2">
      <c r="B19" s="5"/>
      <c r="C19" s="7"/>
      <c r="D19" s="7"/>
      <c r="E19" s="13"/>
      <c r="F19" s="28" t="s">
        <v>35</v>
      </c>
      <c r="G19" s="29">
        <v>3</v>
      </c>
      <c r="H19" s="14"/>
      <c r="I19" s="35" t="s">
        <v>69</v>
      </c>
      <c r="J19" s="29" t="s">
        <v>41</v>
      </c>
      <c r="K19" s="15"/>
      <c r="L19" s="7"/>
      <c r="M19" s="13"/>
      <c r="N19" s="43" t="s">
        <v>108</v>
      </c>
      <c r="O19" s="44">
        <v>10</v>
      </c>
      <c r="P19" s="14"/>
      <c r="Q19" s="43" t="s">
        <v>81</v>
      </c>
      <c r="R19" s="47">
        <v>5</v>
      </c>
      <c r="S19" s="17"/>
    </row>
    <row r="20" spans="2:19" x14ac:dyDescent="0.2">
      <c r="B20" s="5"/>
      <c r="C20" s="7"/>
      <c r="D20" s="7"/>
      <c r="E20" s="13"/>
      <c r="F20" s="28" t="s">
        <v>47</v>
      </c>
      <c r="G20" s="29" t="s">
        <v>43</v>
      </c>
      <c r="H20" s="14"/>
      <c r="I20" s="35" t="s">
        <v>68</v>
      </c>
      <c r="J20" s="29" t="s">
        <v>41</v>
      </c>
      <c r="K20" s="15"/>
      <c r="L20" s="7"/>
      <c r="M20" s="13"/>
      <c r="N20" s="43" t="s">
        <v>82</v>
      </c>
      <c r="O20" s="44">
        <v>15</v>
      </c>
      <c r="P20" s="14"/>
      <c r="Q20" s="43" t="s">
        <v>84</v>
      </c>
      <c r="R20" s="47">
        <v>0</v>
      </c>
      <c r="S20" s="17"/>
    </row>
    <row r="21" spans="2:19" x14ac:dyDescent="0.2">
      <c r="B21" s="5"/>
      <c r="C21" s="7"/>
      <c r="D21" s="7"/>
      <c r="E21" s="13"/>
      <c r="F21" s="28" t="s">
        <v>17</v>
      </c>
      <c r="G21" s="33">
        <f>(IF(J18="否",0,12000)+IF(J19="否",0,15000)+IF(J20="否",0,25000)+IF(J21="否",0,30000)+IF(J22="否",0,25000)+IF(J23="否",0,10000))*D12</f>
        <v>0</v>
      </c>
      <c r="H21" s="14"/>
      <c r="I21" s="35" t="s">
        <v>67</v>
      </c>
      <c r="J21" s="29" t="s">
        <v>41</v>
      </c>
      <c r="K21" s="15"/>
      <c r="L21" s="7"/>
      <c r="M21" s="13"/>
      <c r="N21" s="43"/>
      <c r="O21" s="44"/>
      <c r="P21" s="14"/>
      <c r="Q21" s="43" t="s">
        <v>85</v>
      </c>
      <c r="R21" s="47">
        <v>0</v>
      </c>
      <c r="S21" s="17"/>
    </row>
    <row r="22" spans="2:19" x14ac:dyDescent="0.2">
      <c r="B22" s="5"/>
      <c r="C22" s="7"/>
      <c r="D22" s="7"/>
      <c r="E22" s="13"/>
      <c r="F22" s="28" t="s">
        <v>73</v>
      </c>
      <c r="G22" s="33">
        <v>0</v>
      </c>
      <c r="H22" s="14"/>
      <c r="I22" s="35" t="s">
        <v>66</v>
      </c>
      <c r="J22" s="29" t="s">
        <v>41</v>
      </c>
      <c r="K22" s="15"/>
      <c r="L22" s="7"/>
      <c r="M22" s="13"/>
      <c r="N22" s="43"/>
      <c r="O22" s="44"/>
      <c r="P22" s="14"/>
      <c r="Q22" s="43"/>
      <c r="R22" s="47"/>
      <c r="S22" s="17"/>
    </row>
    <row r="23" spans="2:19" ht="18.75" thickBot="1" x14ac:dyDescent="0.25">
      <c r="B23" s="5"/>
      <c r="C23" s="7"/>
      <c r="D23" s="7"/>
      <c r="E23" s="13"/>
      <c r="F23" s="31" t="s">
        <v>45</v>
      </c>
      <c r="G23" s="34">
        <f>G18*25000*D10+G19*D8*D9+IF(G20="是",5000,0)+G21+G22</f>
        <v>36000</v>
      </c>
      <c r="H23" s="14"/>
      <c r="I23" s="38" t="s">
        <v>65</v>
      </c>
      <c r="J23" s="41" t="s">
        <v>41</v>
      </c>
      <c r="K23" s="15"/>
      <c r="L23" s="7"/>
      <c r="M23" s="13"/>
      <c r="N23" s="45" t="s">
        <v>105</v>
      </c>
      <c r="O23" s="46">
        <f>+O15+O16*O17+O18+O19+O20+O21+O22</f>
        <v>60</v>
      </c>
      <c r="P23" s="14"/>
      <c r="Q23" s="45" t="s">
        <v>104</v>
      </c>
      <c r="R23" s="48">
        <f>SUM(R15:R22)</f>
        <v>25</v>
      </c>
      <c r="S23" s="17"/>
    </row>
    <row r="24" spans="2:19" ht="19.5" thickTop="1" thickBot="1" x14ac:dyDescent="0.25">
      <c r="B24" s="9"/>
      <c r="C24" s="10"/>
      <c r="D24" s="10"/>
      <c r="E24" s="10"/>
      <c r="F24" s="25"/>
      <c r="G24" s="25"/>
      <c r="H24" s="10"/>
      <c r="I24" s="26"/>
      <c r="J24" s="25"/>
      <c r="K24" s="10"/>
      <c r="L24" s="10"/>
      <c r="M24" s="10"/>
      <c r="N24" s="25"/>
      <c r="O24" s="25"/>
      <c r="P24" s="25"/>
      <c r="Q24" s="25"/>
      <c r="R24" s="25"/>
      <c r="S24" s="11"/>
    </row>
    <row r="25" spans="2:19" ht="18.75" thickTop="1" x14ac:dyDescent="0.2"/>
  </sheetData>
  <dataConsolidate/>
  <mergeCells count="11">
    <mergeCell ref="F17:G17"/>
    <mergeCell ref="N9:R9"/>
    <mergeCell ref="B2:S3"/>
    <mergeCell ref="I17:J17"/>
    <mergeCell ref="Q14:R14"/>
    <mergeCell ref="N14:O14"/>
    <mergeCell ref="N5:R5"/>
    <mergeCell ref="C5:D5"/>
    <mergeCell ref="F5:G5"/>
    <mergeCell ref="I5:L5"/>
    <mergeCell ref="F10:L10"/>
  </mergeCells>
  <phoneticPr fontId="1" type="noConversion"/>
  <dataValidations count="11">
    <dataValidation type="list" allowBlank="1" showInputMessage="1" showErrorMessage="1" sqref="D6:D7" xr:uid="{A2D8E112-8C2E-4775-8A3A-846FACE0C5F6}">
      <formula1>"是, 否"</formula1>
    </dataValidation>
    <dataValidation type="custom" allowBlank="1" showInputMessage="1" showErrorMessage="1" sqref="I7" xr:uid="{E1C37F37-6324-46D4-84DE-D8208A8F13C6}">
      <formula1>AND(ROUND(I7-5%*INT(I7/5%),3)=0,IF(SUM(J7:L7)=0,AND(15%&lt;=I7,I7&lt;=100%),AND(SUM(I7:L7)&lt;=1,AND(15%&lt;=I7,I7&lt;=85%))))</formula1>
    </dataValidation>
    <dataValidation type="custom" allowBlank="1" showInputMessage="1" showErrorMessage="1" sqref="J7" xr:uid="{D62B15AD-6215-40AB-88C8-C07576EABAAD}">
      <formula1>AND(ROUND(J7-5%*INT(J7/5%),3)=0,IF(J7=0,1,AND(SUM(I7:L7)&lt;=1,AND(15%&lt;=J7,J7&lt;=85%))))</formula1>
    </dataValidation>
    <dataValidation type="custom" allowBlank="1" showInputMessage="1" showErrorMessage="1" sqref="K7" xr:uid="{03D8C829-E493-46E3-B4F0-FAE902630A52}">
      <formula1>AND(ROUND(K7-5%*INT(K7/5%),3)=0,IF(K7=0,1,AND(SUM(I7:L7)&lt;=1,AND(15%&lt;=K7,K7&lt;=85%))))</formula1>
    </dataValidation>
    <dataValidation type="custom" allowBlank="1" showInputMessage="1" showErrorMessage="1" sqref="L7" xr:uid="{7DB1C56E-0750-42DA-9AB4-6ABF3220C984}">
      <formula1>AND(ROUND(L7-5%*INT(L7/5%),3)=0,IF(L7=0,1,AND(SUM(I7:L7)&lt;=1,AND(15%&lt;=L7,L7&lt;=85%))))</formula1>
    </dataValidation>
    <dataValidation type="list" allowBlank="1" showInputMessage="1" showErrorMessage="1" sqref="G19" xr:uid="{1110E1A7-7216-4891-85B4-5F0F5E7209AF}">
      <formula1>"0,1,2,3,4,5,6,7,8,9,10"</formula1>
    </dataValidation>
    <dataValidation type="list" allowBlank="1" showInputMessage="1" showErrorMessage="1" sqref="G20 J18:J23" xr:uid="{E9147D78-92A3-4171-B533-304D1E56BE22}">
      <formula1>"是,否"</formula1>
    </dataValidation>
    <dataValidation type="list" allowBlank="1" showInputMessage="1" showErrorMessage="1" sqref="D8" xr:uid="{0D628E52-48A1-4239-97D4-77F878EAB7B9}">
      <formula1>"10000,2000"</formula1>
    </dataValidation>
    <dataValidation type="list" allowBlank="1" showInputMessage="1" showErrorMessage="1" sqref="G18" xr:uid="{600BCD07-3A41-48C9-A4D8-7E3C69C06E49}">
      <formula1>"1,2,3,4,5"</formula1>
    </dataValidation>
    <dataValidation type="list" allowBlank="1" showInputMessage="1" showErrorMessage="1" sqref="O17" xr:uid="{5C643560-65EF-49B8-88BC-3EC15D8275AC}">
      <formula1>"1,2,3,4,5,6,7,8,9"</formula1>
    </dataValidation>
    <dataValidation type="decimal" allowBlank="1" showInputMessage="1" showErrorMessage="1" sqref="R15:R21 O20 O19 O16 O15" xr:uid="{0BE71529-344B-4738-B157-7766A04348CB}">
      <formula1>0</formula1>
      <formula2>60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0C1AA6-1969-493A-8696-E28F8FC553C4}">
          <x14:formula1>
            <xm:f>侦查目标!$C$11:$C$14</xm:f>
          </x14:formula1>
          <xm:sqref>J12:J15</xm:sqref>
        </x14:dataValidation>
        <x14:dataValidation type="list" allowBlank="1" showInputMessage="1" showErrorMessage="1" xr:uid="{3DDC003C-19C5-4D1D-B583-2B96000BB66A}">
          <x14:formula1>
            <xm:f>侦查目标!$C$10:$C$14</xm:f>
          </x14:formula1>
          <xm:sqref>G12:G15</xm:sqref>
        </x14:dataValidation>
        <x14:dataValidation type="list" allowBlank="1" showInputMessage="1" showErrorMessage="1" xr:uid="{FC9761FD-E662-479E-9325-4CCBD8E901A2}">
          <x14:formula1>
            <xm:f>侦查目标!$C$4:$C$9</xm:f>
          </x14:formula1>
          <xm:sqref>G6</xm:sqref>
        </x14:dataValidation>
        <x14:dataValidation type="custom" allowBlank="1" showInputMessage="1" showErrorMessage="1" xr:uid="{1C7E1C42-1851-4818-A4ED-97EEBB9AF6ED}">
          <x14:formula1>
            <xm:f>IF(OR(ISBLANK(H12), ISBLANK(G12)),FALSE,AND(H12*VLOOKUP(G12,侦查目标!D13:H17,3,FALSE)&lt;=1,H12&gt;0))</xm:f>
          </x14:formula1>
          <xm:sqref>H12</xm:sqref>
        </x14:dataValidation>
        <x14:dataValidation type="custom" allowBlank="1" showInputMessage="1" showErrorMessage="1" xr:uid="{3A12268C-6808-4B89-81C5-A88E3C9F2D38}">
          <x14:formula1>
            <xm:f>IF(OR(ISBLANK(H13), ISBLANK(G13)),FALSE,AND(H13*VLOOKUP(G13,侦查目标!D13:H17,3,FALSE)&lt;=1,H13&gt;0))</xm:f>
          </x14:formula1>
          <xm:sqref>H13</xm:sqref>
        </x14:dataValidation>
        <x14:dataValidation type="custom" allowBlank="1" showInputMessage="1" showErrorMessage="1" xr:uid="{8BF574DC-52DC-4F58-8576-68931F576542}">
          <x14:formula1>
            <xm:f>IF(OR(ISBLANK(H14), ISBLANK(G14)),FALSE,AND(H14*VLOOKUP(G14,侦查目标!D13:H17,3,FALSE)&lt;=1,H14&gt;0))</xm:f>
          </x14:formula1>
          <xm:sqref>H14</xm:sqref>
        </x14:dataValidation>
        <x14:dataValidation type="custom" allowBlank="1" showInputMessage="1" showErrorMessage="1" xr:uid="{076BC6BB-50BF-4ACE-889E-5F324B194ACD}">
          <x14:formula1>
            <xm:f>IF(OR(ISBLANK(H15), ISBLANK(G15)),FALSE,AND(H15*VLOOKUP(G15,侦查目标!D13:H17,3,FALSE)&lt;=1,H15&gt;0))</xm:f>
          </x14:formula1>
          <xm:sqref>H15</xm:sqref>
        </x14:dataValidation>
        <x14:dataValidation type="custom" allowBlank="1" showInputMessage="1" showErrorMessage="1" xr:uid="{13CC414C-4231-499A-9481-D825C6D4DD0D}">
          <x14:formula1>
            <xm:f>IF(OR(ISBLANK(H12), ISBLANK(G12)),FALSE,H12*VLOOKUP(G12,侦查目标!D8:H11,3,FALSE)&lt;=1)</xm:f>
          </x14:formula1>
          <xm:sqref>I12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用前必看</vt:lpstr>
      <vt:lpstr>侦查目标</vt:lpstr>
      <vt:lpstr>出入场条件（未 完成）</vt:lpstr>
      <vt:lpstr>分红计算器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Heinrich</dc:creator>
  <cp:lastModifiedBy>Heinrich Friedrich</cp:lastModifiedBy>
  <dcterms:created xsi:type="dcterms:W3CDTF">2020-12-18T05:11:20Z</dcterms:created>
  <dcterms:modified xsi:type="dcterms:W3CDTF">2021-01-05T05:07:43Z</dcterms:modified>
</cp:coreProperties>
</file>