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dofile\figs_tables\"/>
    </mc:Choice>
  </mc:AlternateContent>
  <bookViews>
    <workbookView xWindow="120" yWindow="135" windowWidth="18930" windowHeight="8280" activeTab="2"/>
  </bookViews>
  <sheets>
    <sheet name="All Kids" sheetId="1" r:id="rId1"/>
    <sheet name="INFANT_TABLE" sheetId="5" r:id="rId2"/>
    <sheet name="YOUNG KID TABLE" sheetId="6" r:id="rId3"/>
    <sheet name="Sheet3" sheetId="4" r:id="rId4"/>
    <sheet name="Sheet4" sheetId="8" r:id="rId5"/>
    <sheet name="Sheet5" sheetId="2" r:id="rId6"/>
    <sheet name="Sheet6" sheetId="3" r:id="rId7"/>
  </sheets>
  <calcPr calcId="162913"/>
</workbook>
</file>

<file path=xl/calcChain.xml><?xml version="1.0" encoding="utf-8"?>
<calcChain xmlns="http://schemas.openxmlformats.org/spreadsheetml/2006/main">
  <c r="G14" i="1" l="1"/>
  <c r="R5" i="6" l="1"/>
  <c r="R6" i="6"/>
  <c r="R7" i="6"/>
  <c r="R8" i="6"/>
  <c r="R9" i="6"/>
  <c r="R10" i="6"/>
  <c r="R11" i="6"/>
  <c r="R12" i="6"/>
  <c r="R13" i="6"/>
  <c r="R14" i="6"/>
  <c r="R15" i="6"/>
  <c r="R16" i="6"/>
  <c r="R4" i="6"/>
  <c r="R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3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4" i="5"/>
  <c r="C26" i="1" l="1"/>
  <c r="C22" i="1"/>
  <c r="I20" i="5"/>
  <c r="I3" i="5"/>
  <c r="I3" i="6"/>
  <c r="I20" i="6"/>
  <c r="I3" i="1"/>
  <c r="J21" i="1"/>
  <c r="Q3" i="1" l="1"/>
  <c r="F4" i="5"/>
  <c r="E5" i="5"/>
  <c r="F5" i="5" s="1"/>
  <c r="R18" i="6"/>
  <c r="P18" i="6"/>
  <c r="R17" i="6"/>
  <c r="P17" i="6"/>
  <c r="S16" i="6"/>
  <c r="Q16" i="6"/>
  <c r="T16" i="6" s="1"/>
  <c r="U16" i="6" s="1"/>
  <c r="F17" i="6"/>
  <c r="S15" i="6"/>
  <c r="Q15" i="6"/>
  <c r="T15" i="6" s="1"/>
  <c r="U15" i="6" s="1"/>
  <c r="S14" i="6"/>
  <c r="Q14" i="6"/>
  <c r="T14" i="6" s="1"/>
  <c r="U14" i="6" s="1"/>
  <c r="S13" i="6"/>
  <c r="Q13" i="6"/>
  <c r="T13" i="6" s="1"/>
  <c r="U13" i="6" s="1"/>
  <c r="S12" i="6"/>
  <c r="Q12" i="6"/>
  <c r="T12" i="6" s="1"/>
  <c r="U12" i="6" s="1"/>
  <c r="S11" i="6"/>
  <c r="Q11" i="6"/>
  <c r="T11" i="6" s="1"/>
  <c r="U11" i="6" s="1"/>
  <c r="S10" i="6"/>
  <c r="Q10" i="6"/>
  <c r="T10" i="6" s="1"/>
  <c r="U10" i="6" s="1"/>
  <c r="S9" i="6"/>
  <c r="Q9" i="6"/>
  <c r="T9" i="6" s="1"/>
  <c r="U9" i="6" s="1"/>
  <c r="S8" i="6"/>
  <c r="Q8" i="6"/>
  <c r="T8" i="6" s="1"/>
  <c r="U8" i="6" s="1"/>
  <c r="S7" i="6"/>
  <c r="Q7" i="6"/>
  <c r="T7" i="6" s="1"/>
  <c r="U7" i="6" s="1"/>
  <c r="S6" i="6"/>
  <c r="Q6" i="6"/>
  <c r="T6" i="6" s="1"/>
  <c r="U6" i="6" s="1"/>
  <c r="S5" i="6"/>
  <c r="Q5" i="6"/>
  <c r="T5" i="6" s="1"/>
  <c r="U5" i="6" s="1"/>
  <c r="S4" i="6"/>
  <c r="Q4" i="6"/>
  <c r="T4" i="6" s="1"/>
  <c r="U4" i="6" s="1"/>
  <c r="E5" i="6"/>
  <c r="E6" i="6" s="1"/>
  <c r="S3" i="6"/>
  <c r="Q3" i="6"/>
  <c r="F4" i="6"/>
  <c r="R18" i="5"/>
  <c r="P18" i="5"/>
  <c r="R17" i="5"/>
  <c r="P17" i="5"/>
  <c r="S16" i="5"/>
  <c r="Q16" i="5"/>
  <c r="T16" i="5" s="1"/>
  <c r="U16" i="5" s="1"/>
  <c r="F17" i="5"/>
  <c r="S15" i="5"/>
  <c r="Q15" i="5"/>
  <c r="T15" i="5" s="1"/>
  <c r="U15" i="5" s="1"/>
  <c r="S14" i="5"/>
  <c r="Q14" i="5"/>
  <c r="T14" i="5" s="1"/>
  <c r="U14" i="5" s="1"/>
  <c r="S13" i="5"/>
  <c r="Q13" i="5"/>
  <c r="T13" i="5" s="1"/>
  <c r="U13" i="5" s="1"/>
  <c r="S12" i="5"/>
  <c r="Q12" i="5"/>
  <c r="T12" i="5" s="1"/>
  <c r="U12" i="5" s="1"/>
  <c r="S11" i="5"/>
  <c r="Q11" i="5"/>
  <c r="T11" i="5" s="1"/>
  <c r="U11" i="5" s="1"/>
  <c r="S10" i="5"/>
  <c r="Q10" i="5"/>
  <c r="T10" i="5" s="1"/>
  <c r="U10" i="5" s="1"/>
  <c r="S9" i="5"/>
  <c r="Q9" i="5"/>
  <c r="T9" i="5" s="1"/>
  <c r="U9" i="5" s="1"/>
  <c r="S8" i="5"/>
  <c r="Q8" i="5"/>
  <c r="T8" i="5" s="1"/>
  <c r="U8" i="5" s="1"/>
  <c r="S7" i="5"/>
  <c r="Q7" i="5"/>
  <c r="T7" i="5" s="1"/>
  <c r="U7" i="5" s="1"/>
  <c r="S6" i="5"/>
  <c r="Q6" i="5"/>
  <c r="T6" i="5" s="1"/>
  <c r="U6" i="5" s="1"/>
  <c r="S5" i="5"/>
  <c r="Q5" i="5"/>
  <c r="T5" i="5" s="1"/>
  <c r="U5" i="5" s="1"/>
  <c r="S4" i="5"/>
  <c r="Q4" i="5"/>
  <c r="T4" i="5" s="1"/>
  <c r="U4" i="5" s="1"/>
  <c r="S3" i="5"/>
  <c r="Q3" i="5"/>
  <c r="T3" i="5" s="1"/>
  <c r="R17" i="1"/>
  <c r="P18" i="1"/>
  <c r="R18" i="1"/>
  <c r="Q4" i="1"/>
  <c r="T4" i="1" s="1"/>
  <c r="U4" i="1" s="1"/>
  <c r="Q5" i="1"/>
  <c r="Q6" i="1"/>
  <c r="Q7" i="1"/>
  <c r="Q8" i="1"/>
  <c r="Q9" i="1"/>
  <c r="Q10" i="1"/>
  <c r="Q11" i="1"/>
  <c r="Q12" i="1"/>
  <c r="T12" i="1" s="1"/>
  <c r="U12" i="1" s="1"/>
  <c r="Q13" i="1"/>
  <c r="Q14" i="1"/>
  <c r="T14" i="1" s="1"/>
  <c r="U14" i="1" s="1"/>
  <c r="Q15" i="1"/>
  <c r="Q16" i="1"/>
  <c r="T3" i="1"/>
  <c r="U3" i="1" s="1"/>
  <c r="P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G4" i="5" l="1"/>
  <c r="I4" i="5" s="1"/>
  <c r="K4" i="5" s="1"/>
  <c r="G17" i="5"/>
  <c r="I17" i="5" s="1"/>
  <c r="I21" i="5" s="1"/>
  <c r="I22" i="5" s="1"/>
  <c r="E6" i="5"/>
  <c r="F6" i="5" s="1"/>
  <c r="Q17" i="6"/>
  <c r="S18" i="6"/>
  <c r="M4" i="6"/>
  <c r="T3" i="6"/>
  <c r="U3" i="6" s="1"/>
  <c r="U17" i="6" s="1"/>
  <c r="M17" i="6"/>
  <c r="M4" i="5"/>
  <c r="Q17" i="5"/>
  <c r="S18" i="5"/>
  <c r="S17" i="5"/>
  <c r="M17" i="5"/>
  <c r="G5" i="5"/>
  <c r="E7" i="6"/>
  <c r="F6" i="6"/>
  <c r="G4" i="6"/>
  <c r="I4" i="6" s="1"/>
  <c r="S17" i="6"/>
  <c r="G17" i="6"/>
  <c r="I17" i="6" s="1"/>
  <c r="I21" i="6" s="1"/>
  <c r="I22" i="6" s="1"/>
  <c r="Q18" i="6"/>
  <c r="F5" i="6"/>
  <c r="T17" i="5"/>
  <c r="E7" i="5"/>
  <c r="U3" i="5"/>
  <c r="U17" i="5" s="1"/>
  <c r="Q18" i="5"/>
  <c r="T9" i="1"/>
  <c r="U9" i="1" s="1"/>
  <c r="T16" i="1"/>
  <c r="U16" i="1" s="1"/>
  <c r="T8" i="1"/>
  <c r="U8" i="1" s="1"/>
  <c r="T13" i="1"/>
  <c r="U13" i="1" s="1"/>
  <c r="T5" i="1"/>
  <c r="U5" i="1" s="1"/>
  <c r="S18" i="1"/>
  <c r="S17" i="1"/>
  <c r="T10" i="1"/>
  <c r="U10" i="1" s="1"/>
  <c r="Q18" i="1"/>
  <c r="T6" i="1"/>
  <c r="U6" i="1" s="1"/>
  <c r="Q17" i="1"/>
  <c r="T15" i="1"/>
  <c r="U15" i="1" s="1"/>
  <c r="T11" i="1"/>
  <c r="U11" i="1" s="1"/>
  <c r="T7" i="1"/>
  <c r="U7" i="1" s="1"/>
  <c r="F17" i="1"/>
  <c r="F4" i="1"/>
  <c r="G4" i="1" s="1"/>
  <c r="E5" i="1"/>
  <c r="F5" i="1" s="1"/>
  <c r="J4" i="5" l="1"/>
  <c r="L4" i="6"/>
  <c r="L17" i="5"/>
  <c r="L4" i="5"/>
  <c r="J17" i="5"/>
  <c r="K17" i="5"/>
  <c r="T17" i="6"/>
  <c r="L17" i="6"/>
  <c r="M5" i="5"/>
  <c r="L5" i="5"/>
  <c r="I5" i="5"/>
  <c r="G6" i="6"/>
  <c r="I6" i="6" s="1"/>
  <c r="E8" i="6"/>
  <c r="F7" i="6"/>
  <c r="J4" i="6"/>
  <c r="K4" i="6"/>
  <c r="G5" i="6"/>
  <c r="J17" i="6"/>
  <c r="K17" i="6"/>
  <c r="G6" i="5"/>
  <c r="F7" i="5"/>
  <c r="E8" i="5"/>
  <c r="T17" i="1"/>
  <c r="U17" i="1"/>
  <c r="H5" i="1"/>
  <c r="G5" i="1"/>
  <c r="E6" i="1"/>
  <c r="G17" i="1"/>
  <c r="H17" i="1"/>
  <c r="H4" i="1"/>
  <c r="I5" i="6" l="1"/>
  <c r="J5" i="6" s="1"/>
  <c r="M5" i="1"/>
  <c r="I5" i="1"/>
  <c r="J5" i="1" s="1"/>
  <c r="M17" i="1"/>
  <c r="I17" i="1"/>
  <c r="J22" i="1" s="1"/>
  <c r="J23" i="1" s="1"/>
  <c r="L4" i="1"/>
  <c r="M4" i="1"/>
  <c r="I4" i="1"/>
  <c r="J4" i="1" s="1"/>
  <c r="L6" i="6"/>
  <c r="M6" i="6"/>
  <c r="L5" i="6"/>
  <c r="M5" i="6"/>
  <c r="M6" i="5"/>
  <c r="L6" i="5"/>
  <c r="J5" i="5"/>
  <c r="K5" i="5"/>
  <c r="F8" i="6"/>
  <c r="E9" i="6"/>
  <c r="G7" i="6"/>
  <c r="J6" i="6"/>
  <c r="K6" i="6"/>
  <c r="E9" i="5"/>
  <c r="F8" i="5"/>
  <c r="G7" i="5"/>
  <c r="I6" i="5"/>
  <c r="L17" i="1"/>
  <c r="F6" i="1"/>
  <c r="E7" i="1"/>
  <c r="L5" i="1"/>
  <c r="K5" i="6" l="1"/>
  <c r="J17" i="1"/>
  <c r="I7" i="6"/>
  <c r="L7" i="6"/>
  <c r="M7" i="6"/>
  <c r="L7" i="5"/>
  <c r="M7" i="5"/>
  <c r="E10" i="6"/>
  <c r="F9" i="6"/>
  <c r="G8" i="6"/>
  <c r="I8" i="6" s="1"/>
  <c r="J7" i="6"/>
  <c r="K7" i="6"/>
  <c r="K6" i="5"/>
  <c r="J6" i="5"/>
  <c r="I7" i="5"/>
  <c r="G8" i="5"/>
  <c r="F9" i="5"/>
  <c r="E10" i="5"/>
  <c r="K4" i="1"/>
  <c r="K5" i="1"/>
  <c r="K17" i="1"/>
  <c r="E8" i="1"/>
  <c r="F7" i="1"/>
  <c r="G6" i="1"/>
  <c r="H6" i="1"/>
  <c r="M6" i="1" l="1"/>
  <c r="I6" i="1"/>
  <c r="J6" i="1" s="1"/>
  <c r="L8" i="6"/>
  <c r="M8" i="6"/>
  <c r="M8" i="5"/>
  <c r="L8" i="5"/>
  <c r="J8" i="6"/>
  <c r="K8" i="6"/>
  <c r="G9" i="6"/>
  <c r="E11" i="6"/>
  <c r="F10" i="6"/>
  <c r="G9" i="5"/>
  <c r="I8" i="5"/>
  <c r="J7" i="5"/>
  <c r="K7" i="5"/>
  <c r="E11" i="5"/>
  <c r="F10" i="5"/>
  <c r="L6" i="1"/>
  <c r="H7" i="1"/>
  <c r="G7" i="1"/>
  <c r="E9" i="1"/>
  <c r="F8" i="1"/>
  <c r="I9" i="6" l="1"/>
  <c r="J9" i="6" s="1"/>
  <c r="M7" i="1"/>
  <c r="I7" i="1"/>
  <c r="J7" i="1" s="1"/>
  <c r="L9" i="6"/>
  <c r="M9" i="6"/>
  <c r="M9" i="5"/>
  <c r="L9" i="5"/>
  <c r="G10" i="6"/>
  <c r="I10" i="6" s="1"/>
  <c r="E12" i="6"/>
  <c r="F11" i="6"/>
  <c r="E12" i="5"/>
  <c r="F11" i="5"/>
  <c r="K8" i="5"/>
  <c r="J8" i="5"/>
  <c r="I9" i="5"/>
  <c r="G10" i="5"/>
  <c r="E10" i="1"/>
  <c r="F9" i="1"/>
  <c r="L7" i="1"/>
  <c r="K6" i="1"/>
  <c r="H8" i="1"/>
  <c r="G8" i="1"/>
  <c r="K9" i="6" l="1"/>
  <c r="M8" i="1"/>
  <c r="I8" i="1"/>
  <c r="J8" i="1" s="1"/>
  <c r="L10" i="6"/>
  <c r="M10" i="6"/>
  <c r="L10" i="5"/>
  <c r="M10" i="5"/>
  <c r="J10" i="6"/>
  <c r="K10" i="6"/>
  <c r="G11" i="6"/>
  <c r="E13" i="6"/>
  <c r="F12" i="6"/>
  <c r="K9" i="5"/>
  <c r="J9" i="5"/>
  <c r="G11" i="5"/>
  <c r="E13" i="5"/>
  <c r="F12" i="5"/>
  <c r="I10" i="5"/>
  <c r="K7" i="1"/>
  <c r="E11" i="1"/>
  <c r="F10" i="1"/>
  <c r="L8" i="1"/>
  <c r="G9" i="1"/>
  <c r="H9" i="1"/>
  <c r="I11" i="6" l="1"/>
  <c r="K11" i="6" s="1"/>
  <c r="M9" i="1"/>
  <c r="I9" i="1"/>
  <c r="J9" i="1" s="1"/>
  <c r="L11" i="6"/>
  <c r="M11" i="6"/>
  <c r="L11" i="5"/>
  <c r="M11" i="5"/>
  <c r="G12" i="6"/>
  <c r="I12" i="6" s="1"/>
  <c r="E14" i="6"/>
  <c r="F13" i="6"/>
  <c r="G12" i="5"/>
  <c r="E14" i="5"/>
  <c r="F13" i="5"/>
  <c r="I11" i="5"/>
  <c r="K10" i="5"/>
  <c r="J10" i="5"/>
  <c r="L9" i="1"/>
  <c r="G10" i="1"/>
  <c r="H10" i="1"/>
  <c r="E12" i="1"/>
  <c r="F11" i="1"/>
  <c r="K8" i="1"/>
  <c r="J11" i="6" l="1"/>
  <c r="M10" i="1"/>
  <c r="I10" i="1"/>
  <c r="J10" i="1" s="1"/>
  <c r="L12" i="6"/>
  <c r="M12" i="6"/>
  <c r="M12" i="5"/>
  <c r="L12" i="5"/>
  <c r="I12" i="5"/>
  <c r="K12" i="5" s="1"/>
  <c r="F14" i="6"/>
  <c r="E15" i="6"/>
  <c r="J12" i="6"/>
  <c r="K12" i="6"/>
  <c r="G13" i="6"/>
  <c r="K11" i="5"/>
  <c r="J11" i="5"/>
  <c r="G13" i="5"/>
  <c r="E15" i="5"/>
  <c r="F14" i="5"/>
  <c r="K9" i="1"/>
  <c r="H11" i="1"/>
  <c r="G11" i="1"/>
  <c r="E13" i="1"/>
  <c r="E14" i="1" s="1"/>
  <c r="E15" i="1" s="1"/>
  <c r="F12" i="1"/>
  <c r="L10" i="1"/>
  <c r="I13" i="6" l="1"/>
  <c r="K13" i="6" s="1"/>
  <c r="I13" i="5"/>
  <c r="K13" i="5" s="1"/>
  <c r="M11" i="1"/>
  <c r="I11" i="1"/>
  <c r="J11" i="1" s="1"/>
  <c r="L13" i="6"/>
  <c r="M13" i="6"/>
  <c r="J12" i="5"/>
  <c r="M13" i="5"/>
  <c r="L13" i="5"/>
  <c r="E16" i="6"/>
  <c r="F16" i="6" s="1"/>
  <c r="F15" i="6"/>
  <c r="G14" i="6"/>
  <c r="G14" i="5"/>
  <c r="E16" i="5"/>
  <c r="F16" i="5" s="1"/>
  <c r="F15" i="5"/>
  <c r="J13" i="5"/>
  <c r="F13" i="1"/>
  <c r="L11" i="1"/>
  <c r="K10" i="1"/>
  <c r="H12" i="1"/>
  <c r="G12" i="1"/>
  <c r="J13" i="6" l="1"/>
  <c r="I14" i="6"/>
  <c r="K11" i="1"/>
  <c r="M12" i="1"/>
  <c r="I12" i="1"/>
  <c r="J12" i="1" s="1"/>
  <c r="L14" i="6"/>
  <c r="M14" i="6"/>
  <c r="M14" i="5"/>
  <c r="L14" i="5"/>
  <c r="J14" i="6"/>
  <c r="K14" i="6"/>
  <c r="G15" i="6"/>
  <c r="G16" i="6"/>
  <c r="G15" i="5"/>
  <c r="I15" i="5" s="1"/>
  <c r="G16" i="5"/>
  <c r="I14" i="5"/>
  <c r="L12" i="1"/>
  <c r="H13" i="1"/>
  <c r="G13" i="1"/>
  <c r="F14" i="1"/>
  <c r="I15" i="6" l="1"/>
  <c r="K15" i="6" s="1"/>
  <c r="M13" i="1"/>
  <c r="I13" i="1"/>
  <c r="J13" i="1" s="1"/>
  <c r="L16" i="6"/>
  <c r="M16" i="6"/>
  <c r="L15" i="6"/>
  <c r="M15" i="6"/>
  <c r="L15" i="5"/>
  <c r="M15" i="5"/>
  <c r="I16" i="5"/>
  <c r="J16" i="5" s="1"/>
  <c r="M16" i="5"/>
  <c r="L16" i="5"/>
  <c r="I16" i="6"/>
  <c r="K14" i="5"/>
  <c r="J14" i="5"/>
  <c r="K15" i="5"/>
  <c r="J15" i="5"/>
  <c r="E16" i="1"/>
  <c r="F16" i="1" s="1"/>
  <c r="F15" i="1"/>
  <c r="L13" i="1"/>
  <c r="K12" i="1"/>
  <c r="H14" i="1"/>
  <c r="G20" i="1" s="1"/>
  <c r="J15" i="6" l="1"/>
  <c r="M14" i="1"/>
  <c r="I14" i="1"/>
  <c r="M18" i="6"/>
  <c r="K16" i="5"/>
  <c r="M18" i="5"/>
  <c r="J16" i="6"/>
  <c r="K16" i="6"/>
  <c r="K13" i="1"/>
  <c r="L14" i="1"/>
  <c r="H15" i="1"/>
  <c r="G15" i="1"/>
  <c r="H16" i="1"/>
  <c r="G16" i="1"/>
  <c r="J14" i="1" l="1"/>
  <c r="K14" i="1"/>
  <c r="M16" i="1"/>
  <c r="I16" i="1"/>
  <c r="J16" i="1" s="1"/>
  <c r="M15" i="1"/>
  <c r="I15" i="1"/>
  <c r="J15" i="1" s="1"/>
  <c r="L15" i="1"/>
  <c r="L16" i="1"/>
  <c r="M18" i="1" l="1"/>
  <c r="K15" i="1"/>
  <c r="K16" i="1"/>
</calcChain>
</file>

<file path=xl/sharedStrings.xml><?xml version="1.0" encoding="utf-8"?>
<sst xmlns="http://schemas.openxmlformats.org/spreadsheetml/2006/main" count="72" uniqueCount="32">
  <si>
    <t>Lives Saved</t>
  </si>
  <si>
    <t>Year</t>
  </si>
  <si>
    <t>Population (millions)</t>
  </si>
  <si>
    <t>Share on Medicaid</t>
  </si>
  <si>
    <t>Mortality Rate</t>
  </si>
  <si>
    <t xml:space="preserve">Poor/ Overall Mortality </t>
  </si>
  <si>
    <t>Mortality Among Treated (4)*(5)</t>
  </si>
  <si>
    <t>Real Child Medicaid Expenditures (billions)</t>
  </si>
  <si>
    <t>Total</t>
  </si>
  <si>
    <t>Average per Year</t>
  </si>
  <si>
    <t>Mortality Among the Untreated: [(4) - (2)*(6)]/[1-(2)]</t>
  </si>
  <si>
    <t>Counterfactual Mortality Among Treated: (6)/[1-0.2]</t>
  </si>
  <si>
    <t>Counterfactual Mortality Rate: (4) + 0.2*(8)*(2)</t>
  </si>
  <si>
    <t>Real Child Medicaid Expenditures, Ages 0-14 (billions): (1)*0.78</t>
  </si>
  <si>
    <t>Life Years Gained: (3)*65.5</t>
  </si>
  <si>
    <t>Cost per life saved (millions): 1,000*(2)/(3)</t>
  </si>
  <si>
    <r>
      <t>Cost per Discounted  Life Year Gained: 10</t>
    </r>
    <r>
      <rPr>
        <vertAlign val="superscript"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*(5)/[(1-0.97</t>
    </r>
    <r>
      <rPr>
        <vertAlign val="superscript"/>
        <sz val="10"/>
        <color theme="1"/>
        <rFont val="Times New Roman"/>
        <family val="1"/>
      </rPr>
      <t>65</t>
    </r>
    <r>
      <rPr>
        <sz val="10"/>
        <color theme="1"/>
        <rFont val="Times New Roman"/>
        <family val="1"/>
      </rPr>
      <t>)/(1-0.97)]</t>
    </r>
  </si>
  <si>
    <t>Real Child Medicaid Expenditures, Ages 0-14 (billions): (1)*0.06</t>
  </si>
  <si>
    <t>Real Child Medicaid Expenditures, Ages 0-14 (billions): (1)*0.21</t>
  </si>
  <si>
    <t>Lives Saved: [(9)-(4)]*(3)*10</t>
  </si>
  <si>
    <t>Proportional Effect on Aggregate Mortality: [(4)-(9)]/(9)</t>
  </si>
  <si>
    <t>Proportional Effect on Poverty Gap Mortality:  -0.2*(8)/[(8)-(7)]</t>
  </si>
  <si>
    <t>Proportional Effect on Poverty Gap Mortality:  -0.3*(8)/[(8)-(7)]</t>
  </si>
  <si>
    <t>Number Needed to Treat: 1/[0.3*(8)]</t>
  </si>
  <si>
    <t>Poor/ Overall Mort.</t>
  </si>
  <si>
    <t>Mort. Rate</t>
  </si>
  <si>
    <t>Pop. (millions)</t>
  </si>
  <si>
    <t>real change</t>
  </si>
  <si>
    <t>counterfactual change</t>
  </si>
  <si>
    <t>real</t>
  </si>
  <si>
    <t>counter</t>
  </si>
  <si>
    <t>Counterfactual Mortality Among Treated: (6)/[1-0.31]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</si>
</sst>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(&quot;#&quot;)&quot;"/>
    <numFmt numFmtId="166" formatCode="0.0%"/>
    <numFmt numFmtId="167" formatCode="&quot;$&quot;#.00"/>
    <numFmt numFmtId="168" formatCode="&quot;$&quot;0.00"/>
    <numFmt numFmtId="169" formatCode="&quot;$&quot;#,###"/>
    <numFmt numFmtId="170" formatCode="0.000"/>
    <numFmt numFmtId="171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3" fillId="0" borderId="0" xfId="0" applyFont="1"/>
    <xf numFmtId="43" fontId="2" fillId="0" borderId="0" xfId="0" applyNumberFormat="1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2" fontId="4" fillId="0" borderId="0" xfId="0" applyNumberFormat="1" applyFont="1"/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9" fontId="4" fillId="0" borderId="1" xfId="2" applyFont="1" applyBorder="1" applyAlignment="1">
      <alignment horizontal="center"/>
    </xf>
    <xf numFmtId="166" fontId="4" fillId="0" borderId="0" xfId="2" applyNumberFormat="1" applyFont="1" applyAlignment="1">
      <alignment horizontal="center"/>
    </xf>
    <xf numFmtId="166" fontId="4" fillId="0" borderId="0" xfId="2" applyNumberFormat="1" applyFont="1" applyBorder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4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2" fontId="8" fillId="0" borderId="1" xfId="0" applyNumberFormat="1" applyFont="1" applyBorder="1"/>
    <xf numFmtId="167" fontId="4" fillId="0" borderId="0" xfId="1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 vertical="center"/>
    </xf>
    <xf numFmtId="167" fontId="6" fillId="0" borderId="1" xfId="1" applyNumberFormat="1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3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5" fillId="0" borderId="1" xfId="0" applyFont="1" applyBorder="1"/>
    <xf numFmtId="167" fontId="5" fillId="0" borderId="1" xfId="1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wrapText="1"/>
    </xf>
    <xf numFmtId="43" fontId="4" fillId="0" borderId="0" xfId="0" applyNumberFormat="1" applyFont="1"/>
    <xf numFmtId="168" fontId="4" fillId="0" borderId="0" xfId="1" applyNumberFormat="1" applyFont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3" fontId="5" fillId="0" borderId="0" xfId="0" applyNumberFormat="1" applyFont="1"/>
    <xf numFmtId="1" fontId="4" fillId="0" borderId="1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2" fillId="0" borderId="0" xfId="0" applyNumberFormat="1" applyFont="1"/>
    <xf numFmtId="170" fontId="2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/>
    <xf numFmtId="171" fontId="4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115" zoomScaleNormal="115" workbookViewId="0">
      <selection activeCell="T17" sqref="T17"/>
    </sheetView>
  </sheetViews>
  <sheetFormatPr defaultRowHeight="12.75" x14ac:dyDescent="0.2"/>
  <cols>
    <col min="1" max="1" width="6" style="19" customWidth="1"/>
    <col min="2" max="2" width="7.140625" style="12" customWidth="1"/>
    <col min="3" max="3" width="6.5703125" style="20" customWidth="1"/>
    <col min="4" max="4" width="7.140625" style="20" customWidth="1"/>
    <col min="5" max="5" width="6.5703125" style="20" customWidth="1"/>
    <col min="6" max="6" width="9.85546875" style="19" customWidth="1"/>
    <col min="7" max="7" width="9.85546875" style="26" customWidth="1"/>
    <col min="8" max="8" width="10.85546875" style="12" customWidth="1"/>
    <col min="9" max="9" width="10.5703125" style="12" customWidth="1"/>
    <col min="10" max="10" width="14" style="12" bestFit="1" customWidth="1"/>
    <col min="11" max="11" width="10.5703125" style="19" bestFit="1" customWidth="1"/>
    <col min="12" max="14" width="9.140625" style="19"/>
    <col min="15" max="15" width="18" style="19" bestFit="1" customWidth="1"/>
    <col min="16" max="21" width="12" style="19" customWidth="1"/>
    <col min="22" max="16384" width="9.140625" style="19"/>
  </cols>
  <sheetData>
    <row r="1" spans="1:21" x14ac:dyDescent="0.2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24">
        <v>8</v>
      </c>
      <c r="I1" s="11">
        <v>9</v>
      </c>
      <c r="J1" s="11">
        <v>10</v>
      </c>
      <c r="K1" s="11">
        <v>11</v>
      </c>
      <c r="L1" s="11">
        <v>12</v>
      </c>
      <c r="M1" s="71">
        <v>13</v>
      </c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</row>
    <row r="2" spans="1:21" s="63" customFormat="1" ht="95.25" x14ac:dyDescent="0.2">
      <c r="A2" s="41" t="s">
        <v>1</v>
      </c>
      <c r="B2" s="41" t="s">
        <v>3</v>
      </c>
      <c r="C2" s="42" t="s">
        <v>26</v>
      </c>
      <c r="D2" s="42" t="s">
        <v>25</v>
      </c>
      <c r="E2" s="42" t="s">
        <v>24</v>
      </c>
      <c r="F2" s="41" t="s">
        <v>6</v>
      </c>
      <c r="G2" s="42" t="s">
        <v>10</v>
      </c>
      <c r="H2" s="43" t="s">
        <v>11</v>
      </c>
      <c r="I2" s="41" t="s">
        <v>12</v>
      </c>
      <c r="J2" s="41" t="s">
        <v>19</v>
      </c>
      <c r="K2" s="41" t="s">
        <v>20</v>
      </c>
      <c r="L2" s="41" t="s">
        <v>21</v>
      </c>
      <c r="M2" s="40" t="s">
        <v>23</v>
      </c>
      <c r="O2" s="40" t="s">
        <v>1</v>
      </c>
      <c r="P2" s="40" t="s">
        <v>7</v>
      </c>
      <c r="Q2" s="40" t="s">
        <v>13</v>
      </c>
      <c r="R2" s="40" t="s">
        <v>0</v>
      </c>
      <c r="S2" s="40" t="s">
        <v>14</v>
      </c>
      <c r="T2" s="40" t="s">
        <v>15</v>
      </c>
      <c r="U2" s="40" t="s">
        <v>16</v>
      </c>
    </row>
    <row r="3" spans="1:21" x14ac:dyDescent="0.2">
      <c r="A3" s="78">
        <v>1965</v>
      </c>
      <c r="B3" s="78"/>
      <c r="C3" s="79"/>
      <c r="D3" s="14">
        <v>425.53680000000003</v>
      </c>
      <c r="E3" s="38"/>
      <c r="F3" s="14"/>
      <c r="G3" s="14"/>
      <c r="H3" s="80"/>
      <c r="I3" s="82">
        <f>D3</f>
        <v>425.53680000000003</v>
      </c>
      <c r="J3" s="78"/>
      <c r="K3" s="78"/>
      <c r="L3" s="78"/>
      <c r="M3" s="81"/>
      <c r="O3" s="12">
        <v>1966</v>
      </c>
      <c r="P3" s="48">
        <v>1.3038014</v>
      </c>
      <c r="Q3" s="48">
        <f>0.78*P3</f>
        <v>1.016965092</v>
      </c>
      <c r="R3" s="21">
        <v>1163.740858008397</v>
      </c>
      <c r="S3" s="21">
        <f>R3*65.5</f>
        <v>76225.026199550004</v>
      </c>
      <c r="T3" s="49">
        <f>Q3/R3*1000</f>
        <v>0.87387590201173637</v>
      </c>
      <c r="U3" s="50">
        <f>T3*1000000/((1-0.97^65)/(1-0.97))</f>
        <v>30416.495775325784</v>
      </c>
    </row>
    <row r="4" spans="1:21" x14ac:dyDescent="0.2">
      <c r="A4" s="12">
        <v>1966</v>
      </c>
      <c r="B4" s="13">
        <v>7.8054002999999997E-2</v>
      </c>
      <c r="C4" s="13">
        <v>8.1765550000000005</v>
      </c>
      <c r="D4" s="14">
        <v>405.20819999999998</v>
      </c>
      <c r="E4" s="38">
        <v>1.8</v>
      </c>
      <c r="F4" s="14">
        <f>D4*E4</f>
        <v>729.37475999999992</v>
      </c>
      <c r="G4" s="14">
        <f>(D4-B4*F4)/(1-B4)</f>
        <v>377.76353650661355</v>
      </c>
      <c r="H4" s="25">
        <f>F4/(1-0.2)</f>
        <v>911.71844999999985</v>
      </c>
      <c r="I4" s="14">
        <f>D4+B4*0.2*H4</f>
        <v>419.44085492629102</v>
      </c>
      <c r="J4" s="29">
        <f>(I4-D4)*C4*10</f>
        <v>1163.740858008397</v>
      </c>
      <c r="K4" s="34">
        <f t="shared" ref="K4:K17" si="0">(D4-I4)/I4</f>
        <v>-3.3932447826981883E-2</v>
      </c>
      <c r="L4" s="32">
        <f t="shared" ref="L4:L17" si="1">-0.2*H4/(H4-G4)</f>
        <v>-0.3414964173791773</v>
      </c>
      <c r="M4" s="21">
        <f t="shared" ref="M4:M17" si="2">1/(0.2*H4/100000)</f>
        <v>548.41491910139587</v>
      </c>
      <c r="O4" s="12">
        <v>1967</v>
      </c>
      <c r="P4" s="48">
        <v>2.5767267999999999</v>
      </c>
      <c r="Q4" s="48">
        <f t="shared" ref="Q4:Q16" si="3">0.78*P4</f>
        <v>2.0098469039999998</v>
      </c>
      <c r="R4" s="21">
        <v>2514.5619299132372</v>
      </c>
      <c r="S4" s="21">
        <f t="shared" ref="S4:S16" si="4">R4*65.5</f>
        <v>164703.80640931704</v>
      </c>
      <c r="T4" s="49">
        <f t="shared" ref="T4:T16" si="5">Q4/R4*1000</f>
        <v>0.79928311969208399</v>
      </c>
      <c r="U4" s="50">
        <f t="shared" ref="U4:U16" si="6">T4*1000000/((1-0.97^65)/(1-0.97))</f>
        <v>27820.18771479635</v>
      </c>
    </row>
    <row r="5" spans="1:21" x14ac:dyDescent="0.2">
      <c r="A5" s="12">
        <v>1967</v>
      </c>
      <c r="B5" s="13">
        <v>0.18444639600000001</v>
      </c>
      <c r="C5" s="13">
        <v>8.2952759999999994</v>
      </c>
      <c r="D5" s="14">
        <v>373.1893</v>
      </c>
      <c r="E5" s="13">
        <f t="shared" ref="E5:E16" si="7">E4+(E$17-E$4)/13</f>
        <v>1.7615384615384615</v>
      </c>
      <c r="F5" s="14">
        <f t="shared" ref="F5:F17" si="8">D5*E5</f>
        <v>657.38730538461539</v>
      </c>
      <c r="G5" s="14">
        <f t="shared" ref="G5:G17" si="9">(D5-B5*F5)/(1-B5)</f>
        <v>308.91480279162164</v>
      </c>
      <c r="H5" s="25">
        <f t="shared" ref="H5:H17" si="10">F5/(1-0.2)</f>
        <v>821.73413173076915</v>
      </c>
      <c r="I5" s="14">
        <f>D5+B5*0.2*H5</f>
        <v>403.50247981358592</v>
      </c>
      <c r="J5" s="29">
        <f t="shared" ref="J5:J17" si="11">(I5-D5)*C5*10</f>
        <v>2514.5619299132372</v>
      </c>
      <c r="K5" s="34">
        <f t="shared" si="0"/>
        <v>-7.5125138828366814E-2</v>
      </c>
      <c r="L5" s="32">
        <f t="shared" si="1"/>
        <v>-0.32047705121827746</v>
      </c>
      <c r="M5" s="21">
        <f t="shared" si="2"/>
        <v>608.46930983246375</v>
      </c>
      <c r="O5" s="12">
        <v>1968</v>
      </c>
      <c r="P5" s="48">
        <v>3.0066315000000001</v>
      </c>
      <c r="Q5" s="48">
        <f t="shared" si="3"/>
        <v>2.3451725700000003</v>
      </c>
      <c r="R5" s="21">
        <v>2323.6147906413216</v>
      </c>
      <c r="S5" s="21">
        <f t="shared" si="4"/>
        <v>152196.76878700656</v>
      </c>
      <c r="T5" s="49">
        <f t="shared" si="5"/>
        <v>1.0092776907108294</v>
      </c>
      <c r="U5" s="50">
        <f t="shared" si="6"/>
        <v>35129.347937121871</v>
      </c>
    </row>
    <row r="6" spans="1:21" x14ac:dyDescent="0.2">
      <c r="A6" s="12">
        <v>1968</v>
      </c>
      <c r="B6" s="13">
        <v>0.17605536299999999</v>
      </c>
      <c r="C6" s="13">
        <v>8.4141390000000005</v>
      </c>
      <c r="D6" s="14">
        <v>364.13339999999999</v>
      </c>
      <c r="E6" s="13">
        <f t="shared" si="7"/>
        <v>1.723076923076923</v>
      </c>
      <c r="F6" s="14">
        <f t="shared" si="8"/>
        <v>627.4298584615384</v>
      </c>
      <c r="G6" s="14">
        <f t="shared" si="9"/>
        <v>307.87385113050414</v>
      </c>
      <c r="H6" s="25">
        <f t="shared" si="10"/>
        <v>784.28732307692292</v>
      </c>
      <c r="I6" s="14">
        <f t="shared" ref="I6:I17" si="12">D6+B6*0.2*H6</f>
        <v>391.74899787212121</v>
      </c>
      <c r="J6" s="29">
        <f t="shared" si="11"/>
        <v>2323.6147906413216</v>
      </c>
      <c r="K6" s="34">
        <f t="shared" si="0"/>
        <v>-7.049309129601343E-2</v>
      </c>
      <c r="L6" s="32">
        <f t="shared" si="1"/>
        <v>-0.32924649249428872</v>
      </c>
      <c r="M6" s="21">
        <f t="shared" si="2"/>
        <v>637.5214609339796</v>
      </c>
      <c r="O6" s="12">
        <v>1969</v>
      </c>
      <c r="P6" s="48">
        <v>3.8518675999999998</v>
      </c>
      <c r="Q6" s="48">
        <f t="shared" si="3"/>
        <v>3.0044567280000001</v>
      </c>
      <c r="R6" s="21">
        <v>3121.2131291383575</v>
      </c>
      <c r="S6" s="21">
        <f t="shared" si="4"/>
        <v>204439.45995856242</v>
      </c>
      <c r="T6" s="49">
        <f t="shared" si="5"/>
        <v>0.96259262142390467</v>
      </c>
      <c r="U6" s="50">
        <f t="shared" si="6"/>
        <v>33504.407588649527</v>
      </c>
    </row>
    <row r="7" spans="1:21" x14ac:dyDescent="0.2">
      <c r="A7" s="12">
        <v>1969</v>
      </c>
      <c r="B7" s="13">
        <v>0.241579665</v>
      </c>
      <c r="C7" s="13">
        <v>8.5340399999999992</v>
      </c>
      <c r="D7" s="14">
        <v>359.47410000000002</v>
      </c>
      <c r="E7" s="13">
        <f t="shared" si="7"/>
        <v>1.6846153846153844</v>
      </c>
      <c r="F7" s="14">
        <f t="shared" si="8"/>
        <v>605.57559923076917</v>
      </c>
      <c r="G7" s="14">
        <f t="shared" si="9"/>
        <v>281.08337786810068</v>
      </c>
      <c r="H7" s="25">
        <f t="shared" si="10"/>
        <v>756.96949903846144</v>
      </c>
      <c r="I7" s="14">
        <f t="shared" si="12"/>
        <v>396.0477875985859</v>
      </c>
      <c r="J7" s="29">
        <f t="shared" si="11"/>
        <v>3121.2131291383575</v>
      </c>
      <c r="K7" s="34">
        <f t="shared" si="0"/>
        <v>-9.2346652964149692E-2</v>
      </c>
      <c r="L7" s="32">
        <f t="shared" si="1"/>
        <v>-0.31813052130069441</v>
      </c>
      <c r="M7" s="21">
        <f t="shared" si="2"/>
        <v>660.52859545215983</v>
      </c>
      <c r="O7" s="12">
        <v>1970</v>
      </c>
      <c r="P7" s="48">
        <v>4.4654457000000001</v>
      </c>
      <c r="Q7" s="48">
        <f t="shared" si="3"/>
        <v>3.4830476460000002</v>
      </c>
      <c r="R7" s="21">
        <v>2959.7429050105075</v>
      </c>
      <c r="S7" s="21">
        <f t="shared" si="4"/>
        <v>193863.16027818824</v>
      </c>
      <c r="T7" s="49">
        <f t="shared" si="5"/>
        <v>1.1768074990917614</v>
      </c>
      <c r="U7" s="50">
        <f t="shared" si="6"/>
        <v>40960.461596543188</v>
      </c>
    </row>
    <row r="8" spans="1:21" x14ac:dyDescent="0.2">
      <c r="A8" s="12">
        <v>1970</v>
      </c>
      <c r="B8" s="13">
        <v>0.24047247600000002</v>
      </c>
      <c r="C8" s="13">
        <v>8.5913850000000007</v>
      </c>
      <c r="D8" s="14">
        <v>348.10879999999997</v>
      </c>
      <c r="E8" s="13">
        <f t="shared" si="7"/>
        <v>1.6461538461538459</v>
      </c>
      <c r="F8" s="14">
        <f t="shared" si="8"/>
        <v>573.04063999999983</v>
      </c>
      <c r="G8" s="14">
        <f t="shared" si="9"/>
        <v>276.89358424168887</v>
      </c>
      <c r="H8" s="25">
        <f t="shared" si="10"/>
        <v>716.30079999999975</v>
      </c>
      <c r="I8" s="14">
        <f t="shared" si="12"/>
        <v>382.55892538735611</v>
      </c>
      <c r="J8" s="29">
        <f t="shared" si="11"/>
        <v>2959.7429050105075</v>
      </c>
      <c r="K8" s="34">
        <f t="shared" si="0"/>
        <v>-9.0051814507984662E-2</v>
      </c>
      <c r="L8" s="32">
        <f t="shared" si="1"/>
        <v>-0.32603051306922093</v>
      </c>
      <c r="M8" s="21">
        <f t="shared" si="2"/>
        <v>698.03077143010341</v>
      </c>
      <c r="O8" s="12">
        <v>1971</v>
      </c>
      <c r="P8" s="48">
        <v>6.0592711000000001</v>
      </c>
      <c r="Q8" s="48">
        <f t="shared" si="3"/>
        <v>4.726231458</v>
      </c>
      <c r="R8" s="21">
        <v>2950.5550338483176</v>
      </c>
      <c r="S8" s="21">
        <f t="shared" si="4"/>
        <v>193261.35471706479</v>
      </c>
      <c r="T8" s="49">
        <f t="shared" si="5"/>
        <v>1.6018109826054396</v>
      </c>
      <c r="U8" s="50">
        <f t="shared" si="6"/>
        <v>55753.313340175453</v>
      </c>
    </row>
    <row r="9" spans="1:21" x14ac:dyDescent="0.2">
      <c r="A9" s="12">
        <v>1971</v>
      </c>
      <c r="B9" s="13">
        <v>0.27440469900000003</v>
      </c>
      <c r="C9" s="13">
        <v>8.6491140000000009</v>
      </c>
      <c r="D9" s="14">
        <v>309.31259999999997</v>
      </c>
      <c r="E9" s="13">
        <f t="shared" si="7"/>
        <v>1.6076923076923073</v>
      </c>
      <c r="F9" s="14">
        <f t="shared" si="8"/>
        <v>497.27948769230755</v>
      </c>
      <c r="G9" s="14">
        <f t="shared" si="9"/>
        <v>238.22752383138447</v>
      </c>
      <c r="H9" s="25">
        <f t="shared" si="10"/>
        <v>621.5993596153844</v>
      </c>
      <c r="I9" s="14">
        <f t="shared" si="12"/>
        <v>343.42655703477044</v>
      </c>
      <c r="J9" s="29">
        <f t="shared" si="11"/>
        <v>2950.5550338483176</v>
      </c>
      <c r="K9" s="34">
        <f t="shared" si="0"/>
        <v>-9.9334068190063046E-2</v>
      </c>
      <c r="L9" s="32">
        <f t="shared" si="1"/>
        <v>-0.32428013828621832</v>
      </c>
      <c r="M9" s="21">
        <f t="shared" si="2"/>
        <v>804.37663306052264</v>
      </c>
      <c r="O9" s="12">
        <v>1972</v>
      </c>
      <c r="P9" s="48">
        <v>5.7335577000000004</v>
      </c>
      <c r="Q9" s="48">
        <f t="shared" si="3"/>
        <v>4.4721750060000005</v>
      </c>
      <c r="R9" s="21">
        <v>2553.5337153862802</v>
      </c>
      <c r="S9" s="21">
        <f t="shared" si="4"/>
        <v>167256.45835780134</v>
      </c>
      <c r="T9" s="49">
        <f t="shared" si="5"/>
        <v>1.7513671266813415</v>
      </c>
      <c r="U9" s="50">
        <f t="shared" si="6"/>
        <v>60958.828006487412</v>
      </c>
    </row>
    <row r="10" spans="1:21" x14ac:dyDescent="0.2">
      <c r="A10" s="12">
        <v>1972</v>
      </c>
      <c r="B10" s="13">
        <v>0.25415375400000001</v>
      </c>
      <c r="C10" s="13">
        <v>8.656288</v>
      </c>
      <c r="D10" s="14">
        <v>295.86020000000002</v>
      </c>
      <c r="E10" s="13">
        <f t="shared" si="7"/>
        <v>1.5692307692307688</v>
      </c>
      <c r="F10" s="14">
        <f t="shared" si="8"/>
        <v>464.27292923076914</v>
      </c>
      <c r="G10" s="14">
        <f t="shared" si="9"/>
        <v>238.47206191532368</v>
      </c>
      <c r="H10" s="25">
        <f t="shared" si="10"/>
        <v>580.34116153846139</v>
      </c>
      <c r="I10" s="14">
        <f t="shared" si="12"/>
        <v>325.35937696114411</v>
      </c>
      <c r="J10" s="29">
        <f t="shared" si="11"/>
        <v>2553.5337153862802</v>
      </c>
      <c r="K10" s="34">
        <f t="shared" si="0"/>
        <v>-9.0666441633452638E-2</v>
      </c>
      <c r="L10" s="32">
        <f t="shared" si="1"/>
        <v>-0.33951074383628438</v>
      </c>
      <c r="M10" s="21">
        <f t="shared" si="2"/>
        <v>861.56218641207499</v>
      </c>
      <c r="O10" s="12">
        <v>1973</v>
      </c>
      <c r="P10" s="48">
        <v>5.1338708999999998</v>
      </c>
      <c r="Q10" s="48">
        <f t="shared" si="3"/>
        <v>4.0044193019999996</v>
      </c>
      <c r="R10" s="21">
        <v>2563.1302234922732</v>
      </c>
      <c r="S10" s="21">
        <f t="shared" si="4"/>
        <v>167885.0296387439</v>
      </c>
      <c r="T10" s="49">
        <f t="shared" si="5"/>
        <v>1.5623159780559122</v>
      </c>
      <c r="U10" s="50">
        <f t="shared" si="6"/>
        <v>54378.633438530742</v>
      </c>
    </row>
    <row r="11" spans="1:21" x14ac:dyDescent="0.2">
      <c r="A11" s="12">
        <v>1973</v>
      </c>
      <c r="B11" s="13">
        <v>0.27116737200000002</v>
      </c>
      <c r="C11" s="13">
        <v>8.6462450000000004</v>
      </c>
      <c r="D11" s="14">
        <v>285.66430000000003</v>
      </c>
      <c r="E11" s="13">
        <f t="shared" si="7"/>
        <v>1.5307692307692302</v>
      </c>
      <c r="F11" s="14">
        <f t="shared" si="8"/>
        <v>437.28612076923065</v>
      </c>
      <c r="G11" s="14">
        <f t="shared" si="9"/>
        <v>229.25232131475477</v>
      </c>
      <c r="H11" s="25">
        <f t="shared" si="10"/>
        <v>546.6076509615383</v>
      </c>
      <c r="I11" s="14">
        <f t="shared" si="12"/>
        <v>315.30873204526677</v>
      </c>
      <c r="J11" s="29">
        <f t="shared" si="11"/>
        <v>2563.1302234922732</v>
      </c>
      <c r="K11" s="34">
        <f t="shared" si="0"/>
        <v>-9.4017161697288132E-2</v>
      </c>
      <c r="L11" s="32">
        <f t="shared" si="1"/>
        <v>-0.34447674256481697</v>
      </c>
      <c r="M11" s="21">
        <f t="shared" si="2"/>
        <v>914.73289684191082</v>
      </c>
      <c r="O11" s="12">
        <v>1974</v>
      </c>
      <c r="P11" s="48">
        <v>6.0781934</v>
      </c>
      <c r="Q11" s="48">
        <f t="shared" si="3"/>
        <v>4.7409908520000004</v>
      </c>
      <c r="R11" s="21">
        <v>2604.5559861934971</v>
      </c>
      <c r="S11" s="21">
        <f t="shared" si="4"/>
        <v>170598.41709567406</v>
      </c>
      <c r="T11" s="49">
        <f t="shared" si="5"/>
        <v>1.8202683594177054</v>
      </c>
      <c r="U11" s="50">
        <f t="shared" si="6"/>
        <v>63357.033575053596</v>
      </c>
    </row>
    <row r="12" spans="1:21" x14ac:dyDescent="0.2">
      <c r="A12" s="12">
        <v>1974</v>
      </c>
      <c r="B12" s="13">
        <v>0.29947268700000002</v>
      </c>
      <c r="C12" s="13">
        <v>8.6176750000000002</v>
      </c>
      <c r="D12" s="14">
        <v>270.5129</v>
      </c>
      <c r="E12" s="13">
        <f t="shared" si="7"/>
        <v>1.4923076923076917</v>
      </c>
      <c r="F12" s="14">
        <f t="shared" si="8"/>
        <v>403.68848153846136</v>
      </c>
      <c r="G12" s="14">
        <f t="shared" si="9"/>
        <v>213.58085965554221</v>
      </c>
      <c r="H12" s="25">
        <f t="shared" si="10"/>
        <v>504.61060192307667</v>
      </c>
      <c r="I12" s="14">
        <f t="shared" si="12"/>
        <v>300.73631856931826</v>
      </c>
      <c r="J12" s="29">
        <f t="shared" si="11"/>
        <v>2604.5559861934971</v>
      </c>
      <c r="K12" s="34">
        <f t="shared" si="0"/>
        <v>-0.10049806658902724</v>
      </c>
      <c r="L12" s="32">
        <f t="shared" si="1"/>
        <v>-0.34677596728873444</v>
      </c>
      <c r="M12" s="21">
        <f t="shared" si="2"/>
        <v>990.86304983386083</v>
      </c>
      <c r="O12" s="12">
        <v>1975</v>
      </c>
      <c r="P12" s="48">
        <v>6.6565167000000001</v>
      </c>
      <c r="Q12" s="48">
        <f t="shared" si="3"/>
        <v>5.1920830260000006</v>
      </c>
      <c r="R12" s="21">
        <v>2705.5850947267718</v>
      </c>
      <c r="S12" s="21">
        <f t="shared" si="4"/>
        <v>177215.82370460356</v>
      </c>
      <c r="T12" s="49">
        <f t="shared" si="5"/>
        <v>1.9190241090991567</v>
      </c>
      <c r="U12" s="50">
        <f t="shared" si="6"/>
        <v>66794.368139446538</v>
      </c>
    </row>
    <row r="13" spans="1:21" x14ac:dyDescent="0.2">
      <c r="A13" s="12">
        <v>1975</v>
      </c>
      <c r="B13" s="13">
        <v>0.33141282299999997</v>
      </c>
      <c r="C13" s="13">
        <v>8.6323519999999991</v>
      </c>
      <c r="D13" s="14">
        <v>260.19819999999999</v>
      </c>
      <c r="E13" s="13">
        <f t="shared" si="7"/>
        <v>1.4538461538461531</v>
      </c>
      <c r="F13" s="14">
        <f t="shared" si="8"/>
        <v>378.28815230769209</v>
      </c>
      <c r="G13" s="14">
        <f t="shared" si="9"/>
        <v>201.66204225040616</v>
      </c>
      <c r="H13" s="25">
        <f t="shared" si="10"/>
        <v>472.86019038461507</v>
      </c>
      <c r="I13" s="14">
        <f t="shared" si="12"/>
        <v>291.54058611593655</v>
      </c>
      <c r="J13" s="29">
        <f t="shared" si="11"/>
        <v>2705.5850947267718</v>
      </c>
      <c r="K13" s="34">
        <f t="shared" si="0"/>
        <v>-0.10750608185809395</v>
      </c>
      <c r="L13" s="32">
        <f t="shared" si="1"/>
        <v>-0.34871933576080977</v>
      </c>
      <c r="M13" s="21">
        <f t="shared" si="2"/>
        <v>1057.3949978603821</v>
      </c>
      <c r="O13" s="12">
        <v>1976</v>
      </c>
      <c r="P13" s="48">
        <v>6.9411978999999997</v>
      </c>
      <c r="Q13" s="48">
        <f t="shared" si="3"/>
        <v>5.4141343619999995</v>
      </c>
      <c r="R13" s="21">
        <v>2686.2441425972793</v>
      </c>
      <c r="S13" s="21">
        <f t="shared" si="4"/>
        <v>175948.99134012178</v>
      </c>
      <c r="T13" s="49">
        <f t="shared" si="5"/>
        <v>2.0155034593263643</v>
      </c>
      <c r="U13" s="50">
        <f t="shared" si="6"/>
        <v>70152.469377661735</v>
      </c>
    </row>
    <row r="14" spans="1:21" x14ac:dyDescent="0.2">
      <c r="A14" s="12">
        <v>1976</v>
      </c>
      <c r="B14" s="13">
        <v>0.34889246100000004</v>
      </c>
      <c r="C14" s="13">
        <v>8.6092999999999993</v>
      </c>
      <c r="D14" s="14">
        <v>252.73859999999999</v>
      </c>
      <c r="E14" s="13">
        <f t="shared" si="7"/>
        <v>1.4153846153846146</v>
      </c>
      <c r="F14" s="14">
        <f t="shared" si="8"/>
        <v>357.72232615384593</v>
      </c>
      <c r="G14" s="14">
        <f>(D14-B14*F14)/(1-B14)</f>
        <v>196.48363689663867</v>
      </c>
      <c r="H14" s="25">
        <f t="shared" si="10"/>
        <v>447.15290769230739</v>
      </c>
      <c r="I14" s="14">
        <f t="shared" si="12"/>
        <v>283.94025568161499</v>
      </c>
      <c r="J14" s="29">
        <f t="shared" si="11"/>
        <v>2686.2441425972793</v>
      </c>
      <c r="K14" s="34">
        <f>(D14-I14)/I14</f>
        <v>-0.1098881016596735</v>
      </c>
      <c r="L14" s="32">
        <f t="shared" si="1"/>
        <v>-0.35676723060067539</v>
      </c>
      <c r="M14" s="21">
        <f t="shared" si="2"/>
        <v>1118.1857288604672</v>
      </c>
      <c r="O14" s="12">
        <v>1977</v>
      </c>
      <c r="P14" s="51">
        <v>9.2542244999999994</v>
      </c>
      <c r="Q14" s="48">
        <f t="shared" si="3"/>
        <v>7.2182951099999997</v>
      </c>
      <c r="R14" s="21">
        <v>2443.2066050067256</v>
      </c>
      <c r="S14" s="21">
        <f t="shared" si="4"/>
        <v>160030.03262794053</v>
      </c>
      <c r="T14" s="49">
        <f t="shared" si="5"/>
        <v>2.9544350016113881</v>
      </c>
      <c r="U14" s="50">
        <f t="shared" si="6"/>
        <v>102833.3193970836</v>
      </c>
    </row>
    <row r="15" spans="1:21" x14ac:dyDescent="0.2">
      <c r="A15" s="12">
        <v>1977</v>
      </c>
      <c r="B15" s="13">
        <v>0.34889246100000004</v>
      </c>
      <c r="C15" s="13">
        <v>8.6031949999999995</v>
      </c>
      <c r="D15" s="14">
        <v>236.46080000000001</v>
      </c>
      <c r="E15" s="13">
        <f t="shared" si="7"/>
        <v>1.376923076923076</v>
      </c>
      <c r="F15" s="14">
        <f t="shared" si="8"/>
        <v>325.5883323076921</v>
      </c>
      <c r="G15" s="14">
        <f t="shared" si="9"/>
        <v>188.70229279941341</v>
      </c>
      <c r="H15" s="25">
        <f t="shared" si="10"/>
        <v>406.98541538461512</v>
      </c>
      <c r="I15" s="14">
        <f t="shared" si="12"/>
        <v>264.85962863292912</v>
      </c>
      <c r="J15" s="29">
        <f t="shared" si="11"/>
        <v>2443.2066050067256</v>
      </c>
      <c r="K15" s="34">
        <f t="shared" si="0"/>
        <v>-0.10722218701094402</v>
      </c>
      <c r="L15" s="32">
        <f t="shared" si="1"/>
        <v>-0.37289682368892985</v>
      </c>
      <c r="M15" s="21">
        <f t="shared" si="2"/>
        <v>1228.5452527272578</v>
      </c>
      <c r="O15" s="12">
        <v>1978</v>
      </c>
      <c r="P15" s="51">
        <v>9.9143311999999995</v>
      </c>
      <c r="Q15" s="48">
        <f t="shared" si="3"/>
        <v>7.7331783359999999</v>
      </c>
      <c r="R15" s="21">
        <v>2348.024006320416</v>
      </c>
      <c r="S15" s="21">
        <f t="shared" si="4"/>
        <v>153795.57241398725</v>
      </c>
      <c r="T15" s="49">
        <f t="shared" si="5"/>
        <v>3.2934835057835072</v>
      </c>
      <c r="U15" s="50">
        <f t="shared" si="6"/>
        <v>114634.38562518435</v>
      </c>
    </row>
    <row r="16" spans="1:21" x14ac:dyDescent="0.2">
      <c r="A16" s="12">
        <v>1978</v>
      </c>
      <c r="B16" s="13">
        <v>0.34889246100000004</v>
      </c>
      <c r="C16" s="13">
        <v>8.6081800000000008</v>
      </c>
      <c r="D16" s="14">
        <v>233.64349999999999</v>
      </c>
      <c r="E16" s="13">
        <f t="shared" si="7"/>
        <v>1.3384615384615375</v>
      </c>
      <c r="F16" s="14">
        <f t="shared" si="8"/>
        <v>312.72283846153823</v>
      </c>
      <c r="G16" s="14">
        <f t="shared" si="9"/>
        <v>191.26926324569627</v>
      </c>
      <c r="H16" s="25">
        <f t="shared" si="10"/>
        <v>390.90354807692279</v>
      </c>
      <c r="I16" s="14">
        <f t="shared" si="12"/>
        <v>260.92016018043785</v>
      </c>
      <c r="J16" s="29">
        <f t="shared" si="11"/>
        <v>2348.024006320416</v>
      </c>
      <c r="K16" s="34">
        <f t="shared" si="0"/>
        <v>-0.10454025538530576</v>
      </c>
      <c r="L16" s="32">
        <f t="shared" si="1"/>
        <v>-0.39161965431679019</v>
      </c>
      <c r="M16" s="21">
        <f t="shared" si="2"/>
        <v>1279.0879040617176</v>
      </c>
      <c r="O16" s="15">
        <v>1979</v>
      </c>
      <c r="P16" s="52">
        <v>10.574438000000001</v>
      </c>
      <c r="Q16" s="53">
        <f t="shared" si="3"/>
        <v>8.2480616400000013</v>
      </c>
      <c r="R16" s="22">
        <v>2149.4355906804326</v>
      </c>
      <c r="S16" s="22">
        <f t="shared" si="4"/>
        <v>140788.03118956834</v>
      </c>
      <c r="T16" s="54">
        <f t="shared" si="5"/>
        <v>3.8373150960010705</v>
      </c>
      <c r="U16" s="50">
        <f t="shared" si="6"/>
        <v>133563.21891634318</v>
      </c>
    </row>
    <row r="17" spans="1:21" s="18" customFormat="1" x14ac:dyDescent="0.2">
      <c r="A17" s="15">
        <v>1979</v>
      </c>
      <c r="B17" s="16">
        <v>0.34889246100000004</v>
      </c>
      <c r="C17" s="16">
        <v>8.6464970000000001</v>
      </c>
      <c r="D17" s="17">
        <v>219.2347</v>
      </c>
      <c r="E17" s="39">
        <v>1.3</v>
      </c>
      <c r="F17" s="17">
        <f t="shared" si="8"/>
        <v>285.00511</v>
      </c>
      <c r="G17" s="17">
        <f t="shared" si="9"/>
        <v>183.9919807387214</v>
      </c>
      <c r="H17" s="31">
        <f t="shared" si="10"/>
        <v>356.25638749999996</v>
      </c>
      <c r="I17" s="17">
        <f t="shared" si="12"/>
        <v>244.09373355636893</v>
      </c>
      <c r="J17" s="22">
        <f t="shared" si="11"/>
        <v>2149.4355906804326</v>
      </c>
      <c r="K17" s="36">
        <f t="shared" si="0"/>
        <v>-0.10184216200137802</v>
      </c>
      <c r="L17" s="33">
        <f t="shared" si="1"/>
        <v>-0.41361578308361141</v>
      </c>
      <c r="M17" s="22">
        <f t="shared" si="2"/>
        <v>1403.4836077149632</v>
      </c>
      <c r="O17" s="18" t="s">
        <v>9</v>
      </c>
      <c r="P17" s="55">
        <f t="shared" ref="P17:U17" si="13">AVERAGE(P3:P16)</f>
        <v>5.825005314285713</v>
      </c>
      <c r="Q17" s="55">
        <f t="shared" si="13"/>
        <v>4.5435041451428573</v>
      </c>
      <c r="R17" s="56">
        <f t="shared" si="13"/>
        <v>2506.2245722117009</v>
      </c>
      <c r="S17" s="23">
        <f t="shared" si="13"/>
        <v>164157.7094798664</v>
      </c>
      <c r="T17" s="57">
        <f t="shared" si="13"/>
        <v>1.8269543179651571</v>
      </c>
      <c r="U17" s="58">
        <f t="shared" si="13"/>
        <v>63589.747887743099</v>
      </c>
    </row>
    <row r="18" spans="1:21" x14ac:dyDescent="0.2">
      <c r="H18" s="19"/>
      <c r="K18" s="23"/>
      <c r="M18" s="69">
        <f>AVERAGE(M4:M17)</f>
        <v>915.08552243737563</v>
      </c>
      <c r="N18" s="18"/>
      <c r="O18" s="59" t="s">
        <v>8</v>
      </c>
      <c r="P18" s="60">
        <f>SUM(P3:P16)</f>
        <v>81.550074399999986</v>
      </c>
      <c r="Q18" s="60">
        <f>SUM(Q3:Q16)</f>
        <v>63.609058032</v>
      </c>
      <c r="R18" s="61">
        <f>SUM(R3:R16)</f>
        <v>35087.144010963813</v>
      </c>
      <c r="S18" s="61">
        <f>SUM(S3:S16)</f>
        <v>2298207.9327181298</v>
      </c>
      <c r="T18" s="15"/>
      <c r="U18" s="15"/>
    </row>
    <row r="19" spans="1:21" x14ac:dyDescent="0.2">
      <c r="G19" s="44"/>
      <c r="H19" s="19"/>
      <c r="I19" s="62"/>
      <c r="J19" s="19"/>
    </row>
    <row r="20" spans="1:21" x14ac:dyDescent="0.2">
      <c r="G20" s="44">
        <f>H14-G14</f>
        <v>250.66927079566872</v>
      </c>
      <c r="H20" s="19"/>
      <c r="I20" s="62"/>
      <c r="J20" s="19"/>
    </row>
    <row r="21" spans="1:21" x14ac:dyDescent="0.2">
      <c r="G21" s="19"/>
      <c r="H21" s="19"/>
      <c r="I21" s="62" t="s">
        <v>27</v>
      </c>
      <c r="J21" s="44">
        <f>D17-D3</f>
        <v>-206.30210000000002</v>
      </c>
    </row>
    <row r="22" spans="1:21" x14ac:dyDescent="0.2">
      <c r="C22" s="20">
        <f>252.7+0.35*89.4</f>
        <v>283.99</v>
      </c>
      <c r="G22" s="19"/>
      <c r="H22" s="19"/>
      <c r="I22" s="62" t="s">
        <v>28</v>
      </c>
      <c r="J22" s="44">
        <f>I17-I3</f>
        <v>-181.4430664436311</v>
      </c>
    </row>
    <row r="23" spans="1:21" x14ac:dyDescent="0.2">
      <c r="G23" s="19"/>
      <c r="H23" s="19"/>
      <c r="I23" s="62"/>
      <c r="J23" s="19">
        <f>(J21-J22)/J21</f>
        <v>0.12049820896815362</v>
      </c>
      <c r="K23" s="44"/>
    </row>
    <row r="24" spans="1:21" x14ac:dyDescent="0.2">
      <c r="G24" s="19"/>
      <c r="H24" s="19"/>
      <c r="I24" s="62"/>
      <c r="J24" s="19"/>
      <c r="K24" s="44"/>
    </row>
    <row r="25" spans="1:21" x14ac:dyDescent="0.2">
      <c r="C25" s="19"/>
      <c r="D25" s="19"/>
      <c r="E25" s="19"/>
      <c r="G25" s="19"/>
      <c r="H25" s="64"/>
      <c r="I25" s="62"/>
      <c r="J25" s="19"/>
    </row>
    <row r="26" spans="1:21" x14ac:dyDescent="0.2">
      <c r="C26" s="85">
        <f>(284-252.7)/284</f>
        <v>0.11021126760563384</v>
      </c>
      <c r="G26" s="19"/>
      <c r="H26" s="19"/>
      <c r="I26" s="62"/>
      <c r="J26" s="19"/>
    </row>
    <row r="27" spans="1:21" x14ac:dyDescent="0.2">
      <c r="G27" s="19"/>
      <c r="H27" s="19"/>
      <c r="I27" s="62"/>
      <c r="J27" s="19"/>
    </row>
    <row r="29" spans="1:21" x14ac:dyDescent="0.2">
      <c r="G29" s="26">
        <v>1965</v>
      </c>
      <c r="H29" s="12">
        <v>425.53680000000003</v>
      </c>
    </row>
    <row r="30" spans="1:21" x14ac:dyDescent="0.2">
      <c r="G30" s="26">
        <v>1966</v>
      </c>
      <c r="H30" s="12">
        <v>405.20819999999998</v>
      </c>
    </row>
    <row r="31" spans="1:21" x14ac:dyDescent="0.2">
      <c r="G31" s="26">
        <v>1967</v>
      </c>
      <c r="H31" s="12">
        <v>373.1893</v>
      </c>
      <c r="J31" s="19"/>
    </row>
    <row r="32" spans="1:21" x14ac:dyDescent="0.2">
      <c r="G32" s="26">
        <v>1968</v>
      </c>
      <c r="H32" s="12">
        <v>364.13339999999999</v>
      </c>
      <c r="J32" s="19"/>
    </row>
    <row r="33" spans="7:10" x14ac:dyDescent="0.2">
      <c r="G33" s="26">
        <v>1969</v>
      </c>
      <c r="H33" s="12">
        <v>359.47410000000002</v>
      </c>
      <c r="J33" s="19"/>
    </row>
    <row r="34" spans="7:10" x14ac:dyDescent="0.2">
      <c r="G34" s="26">
        <v>1970</v>
      </c>
      <c r="H34" s="12">
        <v>348.10879999999997</v>
      </c>
    </row>
    <row r="35" spans="7:10" x14ac:dyDescent="0.2">
      <c r="G35" s="26">
        <v>1971</v>
      </c>
      <c r="H35" s="12">
        <v>309.31259999999997</v>
      </c>
    </row>
    <row r="36" spans="7:10" x14ac:dyDescent="0.2">
      <c r="G36" s="26">
        <v>1972</v>
      </c>
      <c r="H36" s="12">
        <v>295.86020000000002</v>
      </c>
    </row>
    <row r="37" spans="7:10" x14ac:dyDescent="0.2">
      <c r="G37" s="26">
        <v>1973</v>
      </c>
      <c r="H37" s="12">
        <v>285.66430000000003</v>
      </c>
    </row>
    <row r="38" spans="7:10" x14ac:dyDescent="0.2">
      <c r="G38" s="26">
        <v>1974</v>
      </c>
      <c r="H38" s="12">
        <v>270.5129</v>
      </c>
    </row>
    <row r="39" spans="7:10" x14ac:dyDescent="0.2">
      <c r="G39" s="26">
        <v>1975</v>
      </c>
      <c r="H39" s="12">
        <v>260.19819999999999</v>
      </c>
    </row>
    <row r="40" spans="7:10" x14ac:dyDescent="0.2">
      <c r="G40" s="26">
        <v>1976</v>
      </c>
      <c r="H40" s="12">
        <v>252.73859999999999</v>
      </c>
    </row>
    <row r="41" spans="7:10" x14ac:dyDescent="0.2">
      <c r="G41" s="26">
        <v>1977</v>
      </c>
      <c r="H41" s="12">
        <v>236.46080000000001</v>
      </c>
    </row>
    <row r="42" spans="7:10" x14ac:dyDescent="0.2">
      <c r="G42" s="26">
        <v>1978</v>
      </c>
      <c r="H42" s="12">
        <v>233.64349999999999</v>
      </c>
    </row>
    <row r="43" spans="7:10" x14ac:dyDescent="0.2">
      <c r="G43" s="26">
        <v>1979</v>
      </c>
      <c r="H43" s="12">
        <v>219.2347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115" zoomScaleNormal="115" workbookViewId="0">
      <selection activeCell="T17" sqref="T17"/>
    </sheetView>
  </sheetViews>
  <sheetFormatPr defaultRowHeight="15" x14ac:dyDescent="0.25"/>
  <cols>
    <col min="1" max="1" width="6.28515625" style="5" bestFit="1" customWidth="1"/>
    <col min="2" max="2" width="6.85546875" style="7" customWidth="1"/>
    <col min="3" max="5" width="6.85546875" style="8" customWidth="1"/>
    <col min="6" max="6" width="9.85546875" style="5" customWidth="1"/>
    <col min="7" max="7" width="9.85546875" style="27" customWidth="1"/>
    <col min="8" max="8" width="10.85546875" style="7" customWidth="1"/>
    <col min="9" max="9" width="10.5703125" style="7" customWidth="1"/>
    <col min="10" max="10" width="14" style="7" bestFit="1" customWidth="1"/>
    <col min="11" max="11" width="10.5703125" style="5" bestFit="1" customWidth="1"/>
    <col min="12" max="14" width="9.140625" style="5"/>
    <col min="15" max="15" width="18" style="5" bestFit="1" customWidth="1"/>
    <col min="16" max="21" width="12" style="5" customWidth="1"/>
    <col min="22" max="16384" width="9.140625" style="5"/>
  </cols>
  <sheetData>
    <row r="1" spans="1:21" x14ac:dyDescent="0.25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24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O1" s="19"/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</row>
    <row r="2" spans="1:21" s="6" customFormat="1" ht="95.25" x14ac:dyDescent="0.25">
      <c r="A2" s="41" t="s">
        <v>1</v>
      </c>
      <c r="B2" s="41" t="s">
        <v>3</v>
      </c>
      <c r="C2" s="42" t="s">
        <v>2</v>
      </c>
      <c r="D2" s="42" t="s">
        <v>4</v>
      </c>
      <c r="E2" s="42" t="s">
        <v>5</v>
      </c>
      <c r="F2" s="41" t="s">
        <v>6</v>
      </c>
      <c r="G2" s="42" t="s">
        <v>10</v>
      </c>
      <c r="H2" s="43" t="s">
        <v>31</v>
      </c>
      <c r="I2" s="41" t="s">
        <v>12</v>
      </c>
      <c r="J2" s="41" t="s">
        <v>19</v>
      </c>
      <c r="K2" s="41" t="s">
        <v>20</v>
      </c>
      <c r="L2" s="41" t="s">
        <v>22</v>
      </c>
      <c r="M2" s="40" t="s">
        <v>23</v>
      </c>
      <c r="O2" s="40" t="s">
        <v>1</v>
      </c>
      <c r="P2" s="40" t="s">
        <v>7</v>
      </c>
      <c r="Q2" s="40" t="s">
        <v>17</v>
      </c>
      <c r="R2" s="40" t="s">
        <v>0</v>
      </c>
      <c r="S2" s="40" t="s">
        <v>14</v>
      </c>
      <c r="T2" s="40" t="s">
        <v>15</v>
      </c>
      <c r="U2" s="40" t="s">
        <v>16</v>
      </c>
    </row>
    <row r="3" spans="1:21" x14ac:dyDescent="0.25">
      <c r="A3" s="12">
        <v>1965</v>
      </c>
      <c r="B3" s="78"/>
      <c r="C3" s="79"/>
      <c r="D3" s="83">
        <v>25.669409999999999</v>
      </c>
      <c r="E3" s="79"/>
      <c r="F3" s="78"/>
      <c r="G3" s="79"/>
      <c r="H3" s="80"/>
      <c r="I3" s="82">
        <f>D3</f>
        <v>25.669409999999999</v>
      </c>
      <c r="J3" s="78"/>
      <c r="K3" s="78"/>
      <c r="L3" s="78"/>
      <c r="M3" s="81"/>
      <c r="O3" s="12">
        <v>1966</v>
      </c>
      <c r="P3" s="48">
        <v>1.3038014</v>
      </c>
      <c r="Q3" s="65">
        <f>0.06*P3</f>
        <v>7.8228084000000003E-2</v>
      </c>
      <c r="R3" s="21">
        <f>J4</f>
        <v>759.25659775602321</v>
      </c>
      <c r="S3" s="21">
        <f>R3*65.5</f>
        <v>49731.307153019523</v>
      </c>
      <c r="T3" s="49">
        <f>Q3/R3*1000</f>
        <v>0.10303247180360695</v>
      </c>
      <c r="U3" s="50">
        <f>T3*1000000/((1-0.97^65)/(1-0.97))</f>
        <v>3586.1919708751675</v>
      </c>
    </row>
    <row r="4" spans="1:21" x14ac:dyDescent="0.25">
      <c r="A4" s="12">
        <v>1966</v>
      </c>
      <c r="B4" s="13">
        <v>8.9552274000000001E-2</v>
      </c>
      <c r="C4" s="13">
        <v>0.60727200000000003</v>
      </c>
      <c r="D4" s="28">
        <v>25.060770000000002</v>
      </c>
      <c r="E4" s="45">
        <v>1.24</v>
      </c>
      <c r="F4" s="14">
        <f>D4*E4</f>
        <v>31.075354800000003</v>
      </c>
      <c r="G4" s="14">
        <f t="shared" ref="G4:G17" si="0">(D4-B4*F4)/(1-B4)</f>
        <v>24.46917123971507</v>
      </c>
      <c r="H4" s="25">
        <f>F4/(1-0.31)</f>
        <v>45.036746086956526</v>
      </c>
      <c r="I4" s="14">
        <f t="shared" ref="I4:I17" si="1">G4*(1-B4)+H4*B4</f>
        <v>26.311044337950744</v>
      </c>
      <c r="J4" s="21">
        <f>-(D4-I4)/1000*(C4*1000000)</f>
        <v>759.25659775602321</v>
      </c>
      <c r="K4" s="34">
        <f t="shared" ref="K4:K16" si="2">(D4-I4)/I4</f>
        <v>-4.7518993236895617E-2</v>
      </c>
      <c r="L4" s="32">
        <f>-0.3*H4/(H4-G4)</f>
        <v>-0.65690894169270853</v>
      </c>
      <c r="M4" s="68">
        <f t="shared" ref="M4:M17" si="3">1/(0.3*H4/1000)</f>
        <v>74.013636040609256</v>
      </c>
      <c r="O4" s="12">
        <v>1967</v>
      </c>
      <c r="P4" s="48">
        <v>2.5767267999999999</v>
      </c>
      <c r="Q4" s="65">
        <f t="shared" ref="Q4:Q16" si="4">0.06*P4</f>
        <v>0.15460360799999998</v>
      </c>
      <c r="R4" s="21">
        <f t="shared" ref="R4:R16" si="5">J5</f>
        <v>1843.5576469586927</v>
      </c>
      <c r="S4" s="21">
        <f t="shared" ref="S4:S16" si="6">R4*65.5</f>
        <v>120753.02587579437</v>
      </c>
      <c r="T4" s="49">
        <f t="shared" ref="T4:T16" si="7">Q4/R4*1000</f>
        <v>8.3861553369404387E-2</v>
      </c>
      <c r="U4" s="50">
        <f t="shared" ref="U4:U16" si="8">T4*1000000/((1-0.97^65)/(1-0.97))</f>
        <v>2918.9208420791178</v>
      </c>
    </row>
    <row r="5" spans="1:21" x14ac:dyDescent="0.25">
      <c r="A5" s="12">
        <v>1967</v>
      </c>
      <c r="B5" s="13">
        <v>0.230293209</v>
      </c>
      <c r="C5" s="13">
        <v>0.59294899999999995</v>
      </c>
      <c r="D5" s="28">
        <v>24.025279999999999</v>
      </c>
      <c r="E5" s="45">
        <f t="shared" ref="E5:E16" si="9">E4+(E$17-E$4)/13</f>
        <v>1.2507692307692309</v>
      </c>
      <c r="F5" s="14">
        <f t="shared" ref="F5:F17" si="10">D5*E5</f>
        <v>30.050080984615384</v>
      </c>
      <c r="G5" s="14">
        <f t="shared" si="0"/>
        <v>22.222683519682032</v>
      </c>
      <c r="H5" s="25">
        <f t="shared" ref="H5:H17" si="11">F5/(1-0.31)</f>
        <v>43.550842006688967</v>
      </c>
      <c r="I5" s="14">
        <f t="shared" si="1"/>
        <v>27.134413579715442</v>
      </c>
      <c r="J5" s="21">
        <f t="shared" ref="J5:J17" si="12">-(D5-I5)/1000*(C5*1000000)</f>
        <v>1843.5576469586927</v>
      </c>
      <c r="K5" s="34">
        <f t="shared" si="2"/>
        <v>-0.11458267084274497</v>
      </c>
      <c r="L5" s="32">
        <f t="shared" ref="L5:L17" si="13">-0.3*H5/(H5-G5)</f>
        <v>-0.6125823103746163</v>
      </c>
      <c r="M5" s="68">
        <f t="shared" si="3"/>
        <v>76.538895225524399</v>
      </c>
      <c r="O5" s="12">
        <v>1968</v>
      </c>
      <c r="P5" s="48">
        <v>3.0066315000000001</v>
      </c>
      <c r="Q5" s="65">
        <f t="shared" si="4"/>
        <v>0.18039789000000001</v>
      </c>
      <c r="R5" s="21">
        <f t="shared" si="5"/>
        <v>1660.3185772635434</v>
      </c>
      <c r="S5" s="21">
        <f t="shared" si="6"/>
        <v>108750.86681076209</v>
      </c>
      <c r="T5" s="49">
        <f t="shared" si="7"/>
        <v>0.1086525757588782</v>
      </c>
      <c r="U5" s="50">
        <f t="shared" si="8"/>
        <v>3781.8076959671084</v>
      </c>
    </row>
    <row r="6" spans="1:21" x14ac:dyDescent="0.25">
      <c r="A6" s="12">
        <v>1968</v>
      </c>
      <c r="B6" s="13">
        <v>0.21970284899999998</v>
      </c>
      <c r="C6" s="13">
        <v>0.57377800000000001</v>
      </c>
      <c r="D6" s="28">
        <v>23.238</v>
      </c>
      <c r="E6" s="45">
        <f t="shared" si="9"/>
        <v>1.2615384615384617</v>
      </c>
      <c r="F6" s="14">
        <f t="shared" si="10"/>
        <v>29.315630769230772</v>
      </c>
      <c r="G6" s="14">
        <f t="shared" si="0"/>
        <v>21.526763718464398</v>
      </c>
      <c r="H6" s="25">
        <f t="shared" si="11"/>
        <v>42.486421404682282</v>
      </c>
      <c r="I6" s="14">
        <f t="shared" si="1"/>
        <v>26.131660226191215</v>
      </c>
      <c r="J6" s="21">
        <f t="shared" si="12"/>
        <v>1660.3185772635434</v>
      </c>
      <c r="K6" s="34">
        <f t="shared" si="2"/>
        <v>-0.11073388376950351</v>
      </c>
      <c r="L6" s="32">
        <f t="shared" si="13"/>
        <v>-0.60811710821908249</v>
      </c>
      <c r="M6" s="68">
        <f t="shared" si="3"/>
        <v>78.456439095761965</v>
      </c>
      <c r="O6" s="12">
        <v>1969</v>
      </c>
      <c r="P6" s="48">
        <v>3.8518675999999998</v>
      </c>
      <c r="Q6" s="65">
        <f t="shared" si="4"/>
        <v>0.23111205599999998</v>
      </c>
      <c r="R6" s="21">
        <f t="shared" si="5"/>
        <v>2129.8667901220119</v>
      </c>
      <c r="S6" s="21">
        <f t="shared" si="6"/>
        <v>139506.27475299177</v>
      </c>
      <c r="T6" s="49">
        <f t="shared" si="7"/>
        <v>0.10851009888123589</v>
      </c>
      <c r="U6" s="50">
        <f t="shared" si="8"/>
        <v>3776.8485852548065</v>
      </c>
    </row>
    <row r="7" spans="1:21" x14ac:dyDescent="0.25">
      <c r="A7" s="12">
        <v>1969</v>
      </c>
      <c r="B7" s="13">
        <v>0.277490823</v>
      </c>
      <c r="C7" s="13">
        <v>0.59021599999999996</v>
      </c>
      <c r="D7" s="28">
        <v>22.750350000000001</v>
      </c>
      <c r="E7" s="45">
        <f t="shared" si="9"/>
        <v>1.2723076923076926</v>
      </c>
      <c r="F7" s="14">
        <f t="shared" si="10"/>
        <v>28.945445307692314</v>
      </c>
      <c r="G7" s="14">
        <f t="shared" si="0"/>
        <v>20.371027840199975</v>
      </c>
      <c r="H7" s="25">
        <f t="shared" si="11"/>
        <v>41.949920735785966</v>
      </c>
      <c r="I7" s="14">
        <f t="shared" si="1"/>
        <v>26.358972589224983</v>
      </c>
      <c r="J7" s="21">
        <f t="shared" si="12"/>
        <v>2129.8667901220119</v>
      </c>
      <c r="K7" s="34">
        <f t="shared" si="2"/>
        <v>-0.1369030062537458</v>
      </c>
      <c r="L7" s="32">
        <f t="shared" si="13"/>
        <v>-0.58320768732811468</v>
      </c>
      <c r="M7" s="68">
        <f t="shared" si="3"/>
        <v>79.459824354084816</v>
      </c>
      <c r="O7" s="12">
        <v>1970</v>
      </c>
      <c r="P7" s="48">
        <v>4.4654457000000001</v>
      </c>
      <c r="Q7" s="65">
        <f t="shared" si="4"/>
        <v>0.267926742</v>
      </c>
      <c r="R7" s="21">
        <f t="shared" si="5"/>
        <v>2332.170498950964</v>
      </c>
      <c r="S7" s="21">
        <f t="shared" si="6"/>
        <v>152757.16768128815</v>
      </c>
      <c r="T7" s="49">
        <f t="shared" si="7"/>
        <v>0.11488299938641552</v>
      </c>
      <c r="U7" s="50">
        <f t="shared" si="8"/>
        <v>3998.6664667710825</v>
      </c>
    </row>
    <row r="8" spans="1:21" x14ac:dyDescent="0.25">
      <c r="A8" s="12">
        <v>1970</v>
      </c>
      <c r="B8" s="13">
        <v>0.30092962200000001</v>
      </c>
      <c r="C8" s="13">
        <v>0.62106399999999995</v>
      </c>
      <c r="D8" s="28">
        <v>21.646799999999999</v>
      </c>
      <c r="E8" s="45">
        <f t="shared" si="9"/>
        <v>1.2830769230769234</v>
      </c>
      <c r="F8" s="14">
        <f t="shared" si="10"/>
        <v>27.774509538461544</v>
      </c>
      <c r="G8" s="14">
        <f t="shared" si="0"/>
        <v>19.008997894279783</v>
      </c>
      <c r="H8" s="25">
        <f t="shared" si="11"/>
        <v>40.252912374581953</v>
      </c>
      <c r="I8" s="14">
        <f t="shared" si="1"/>
        <v>25.40192104863744</v>
      </c>
      <c r="J8" s="21">
        <f t="shared" si="12"/>
        <v>2332.170498950964</v>
      </c>
      <c r="K8" s="34">
        <f t="shared" si="2"/>
        <v>-0.1478282308431498</v>
      </c>
      <c r="L8" s="32">
        <f t="shared" si="13"/>
        <v>-0.5684391981323218</v>
      </c>
      <c r="M8" s="68">
        <f t="shared" si="3"/>
        <v>82.809743114095653</v>
      </c>
      <c r="O8" s="12">
        <v>1971</v>
      </c>
      <c r="P8" s="48">
        <v>6.0592711000000001</v>
      </c>
      <c r="Q8" s="65">
        <f t="shared" si="4"/>
        <v>0.36355626600000002</v>
      </c>
      <c r="R8" s="21">
        <f t="shared" si="5"/>
        <v>2291.2221938796506</v>
      </c>
      <c r="S8" s="21">
        <f t="shared" si="6"/>
        <v>150075.05369911712</v>
      </c>
      <c r="T8" s="49">
        <f t="shared" si="7"/>
        <v>0.15867350926118703</v>
      </c>
      <c r="U8" s="50">
        <f t="shared" si="8"/>
        <v>5522.8575510418332</v>
      </c>
    </row>
    <row r="9" spans="1:21" x14ac:dyDescent="0.25">
      <c r="A9" s="12">
        <v>1971</v>
      </c>
      <c r="B9" s="13">
        <v>0.32238561000000004</v>
      </c>
      <c r="C9" s="13">
        <v>0.61513399999999996</v>
      </c>
      <c r="D9" s="28">
        <v>19.875889999999998</v>
      </c>
      <c r="E9" s="45">
        <f t="shared" si="9"/>
        <v>1.2938461538461543</v>
      </c>
      <c r="F9" s="14">
        <f t="shared" si="10"/>
        <v>25.716343830769237</v>
      </c>
      <c r="G9" s="14">
        <f t="shared" si="0"/>
        <v>17.097203037774509</v>
      </c>
      <c r="H9" s="25">
        <f t="shared" si="11"/>
        <v>37.270063522853967</v>
      </c>
      <c r="I9" s="14">
        <f t="shared" si="1"/>
        <v>23.600642970701749</v>
      </c>
      <c r="J9" s="21">
        <f t="shared" si="12"/>
        <v>2291.2221938796506</v>
      </c>
      <c r="K9" s="34">
        <f t="shared" si="2"/>
        <v>-0.15782421586249681</v>
      </c>
      <c r="L9" s="32">
        <f t="shared" si="13"/>
        <v>-0.55426046619050662</v>
      </c>
      <c r="M9" s="68">
        <f t="shared" si="3"/>
        <v>89.437286075172281</v>
      </c>
      <c r="O9" s="12">
        <v>1972</v>
      </c>
      <c r="P9" s="48">
        <v>5.7335577000000004</v>
      </c>
      <c r="Q9" s="65">
        <f t="shared" si="4"/>
        <v>0.34401346199999999</v>
      </c>
      <c r="R9" s="21">
        <f t="shared" si="5"/>
        <v>2209.5935376340108</v>
      </c>
      <c r="S9" s="21">
        <f t="shared" si="6"/>
        <v>144728.3767150277</v>
      </c>
      <c r="T9" s="49">
        <f t="shared" si="7"/>
        <v>0.15569083459954489</v>
      </c>
      <c r="U9" s="50">
        <f t="shared" si="8"/>
        <v>5419.0413100445039</v>
      </c>
    </row>
    <row r="10" spans="1:21" x14ac:dyDescent="0.25">
      <c r="A10" s="12">
        <v>1972</v>
      </c>
      <c r="B10" s="13">
        <v>0.33442248300000005</v>
      </c>
      <c r="C10" s="13">
        <v>0.58086300000000002</v>
      </c>
      <c r="D10" s="28">
        <v>19.40654</v>
      </c>
      <c r="E10" s="45">
        <f t="shared" si="9"/>
        <v>1.3046153846153852</v>
      </c>
      <c r="F10" s="14">
        <f t="shared" si="10"/>
        <v>25.318070646153856</v>
      </c>
      <c r="G10" s="14">
        <f t="shared" si="0"/>
        <v>16.436264252213032</v>
      </c>
      <c r="H10" s="25">
        <f t="shared" si="11"/>
        <v>36.692856008918632</v>
      </c>
      <c r="I10" s="14">
        <f t="shared" si="1"/>
        <v>23.210523964607852</v>
      </c>
      <c r="J10" s="21">
        <f t="shared" si="12"/>
        <v>2209.5935376340108</v>
      </c>
      <c r="K10" s="34">
        <f t="shared" si="2"/>
        <v>-0.16389048219713989</v>
      </c>
      <c r="L10" s="32">
        <f t="shared" si="13"/>
        <v>-0.54342097302877346</v>
      </c>
      <c r="M10" s="68">
        <f t="shared" si="3"/>
        <v>90.844205000644465</v>
      </c>
      <c r="O10" s="12">
        <v>1973</v>
      </c>
      <c r="P10" s="48">
        <v>5.1338708999999998</v>
      </c>
      <c r="Q10" s="65">
        <f t="shared" si="4"/>
        <v>0.30803225399999995</v>
      </c>
      <c r="R10" s="21">
        <f t="shared" si="5"/>
        <v>2066.6902286154</v>
      </c>
      <c r="S10" s="21">
        <f t="shared" si="6"/>
        <v>135368.2099743087</v>
      </c>
      <c r="T10" s="49">
        <f t="shared" si="7"/>
        <v>0.14904616557188122</v>
      </c>
      <c r="U10" s="50">
        <f t="shared" si="8"/>
        <v>5187.7641379161714</v>
      </c>
    </row>
    <row r="11" spans="1:21" x14ac:dyDescent="0.25">
      <c r="A11" s="12">
        <v>1973</v>
      </c>
      <c r="B11" s="13">
        <v>0.34325885699999997</v>
      </c>
      <c r="C11" s="13">
        <v>0.56352899999999995</v>
      </c>
      <c r="D11" s="28">
        <v>18.078900000000001</v>
      </c>
      <c r="E11" s="45">
        <f t="shared" si="9"/>
        <v>1.315384615384616</v>
      </c>
      <c r="F11" s="14">
        <f t="shared" si="10"/>
        <v>23.780706923076934</v>
      </c>
      <c r="G11" s="14">
        <f t="shared" si="0"/>
        <v>15.098736889905229</v>
      </c>
      <c r="H11" s="25">
        <f t="shared" si="11"/>
        <v>34.464792642140488</v>
      </c>
      <c r="I11" s="14">
        <f t="shared" si="1"/>
        <v>21.74630705201578</v>
      </c>
      <c r="J11" s="21">
        <f t="shared" si="12"/>
        <v>2066.6902286154</v>
      </c>
      <c r="K11" s="34">
        <f t="shared" si="2"/>
        <v>-0.16864505054782752</v>
      </c>
      <c r="L11" s="32">
        <f t="shared" si="13"/>
        <v>-0.53389486867757019</v>
      </c>
      <c r="M11" s="68">
        <f t="shared" si="3"/>
        <v>96.717057547522558</v>
      </c>
      <c r="O11" s="12">
        <v>1974</v>
      </c>
      <c r="P11" s="48">
        <v>6.0781934</v>
      </c>
      <c r="Q11" s="65">
        <f t="shared" si="4"/>
        <v>0.364691604</v>
      </c>
      <c r="R11" s="21">
        <f t="shared" si="5"/>
        <v>2203.8099196683697</v>
      </c>
      <c r="S11" s="21">
        <f t="shared" si="6"/>
        <v>144349.54973827821</v>
      </c>
      <c r="T11" s="49">
        <f t="shared" si="7"/>
        <v>0.1654823316408699</v>
      </c>
      <c r="U11" s="50">
        <f t="shared" si="8"/>
        <v>5759.8483144555003</v>
      </c>
    </row>
    <row r="12" spans="1:21" x14ac:dyDescent="0.25">
      <c r="A12" s="12">
        <v>1974</v>
      </c>
      <c r="B12" s="13">
        <v>0.38000679600000004</v>
      </c>
      <c r="C12" s="13">
        <v>0.56051399999999996</v>
      </c>
      <c r="D12" s="28">
        <v>17.365600000000001</v>
      </c>
      <c r="E12" s="45">
        <f t="shared" si="9"/>
        <v>1.3261538461538469</v>
      </c>
      <c r="F12" s="14">
        <f t="shared" si="10"/>
        <v>23.029457230769246</v>
      </c>
      <c r="G12" s="14">
        <f t="shared" si="0"/>
        <v>13.894103497489862</v>
      </c>
      <c r="H12" s="25">
        <f t="shared" si="11"/>
        <v>33.376024972129343</v>
      </c>
      <c r="I12" s="14">
        <f t="shared" si="1"/>
        <v>21.297366056991208</v>
      </c>
      <c r="J12" s="21">
        <f t="shared" si="12"/>
        <v>2203.8099196683697</v>
      </c>
      <c r="K12" s="34">
        <f t="shared" si="2"/>
        <v>-0.18461278481432408</v>
      </c>
      <c r="L12" s="32">
        <f t="shared" si="13"/>
        <v>-0.51395379581387479</v>
      </c>
      <c r="M12" s="68">
        <f t="shared" si="3"/>
        <v>99.872088905639131</v>
      </c>
      <c r="O12" s="12">
        <v>1975</v>
      </c>
      <c r="P12" s="48">
        <v>6.6565167000000001</v>
      </c>
      <c r="Q12" s="65">
        <f t="shared" si="4"/>
        <v>0.39939100199999999</v>
      </c>
      <c r="R12" s="21">
        <f t="shared" si="5"/>
        <v>2424.0927192518152</v>
      </c>
      <c r="S12" s="21">
        <f t="shared" si="6"/>
        <v>158778.07311099389</v>
      </c>
      <c r="T12" s="49">
        <f t="shared" si="7"/>
        <v>0.16475896273607477</v>
      </c>
      <c r="U12" s="50">
        <f t="shared" si="8"/>
        <v>5734.6704291447231</v>
      </c>
    </row>
    <row r="13" spans="1:21" x14ac:dyDescent="0.25">
      <c r="A13" s="12">
        <v>1975</v>
      </c>
      <c r="B13" s="13">
        <v>0.419905062</v>
      </c>
      <c r="C13" s="13">
        <v>0.56551300000000004</v>
      </c>
      <c r="D13" s="28">
        <v>16.9956</v>
      </c>
      <c r="E13" s="45">
        <f t="shared" si="9"/>
        <v>1.3369230769230778</v>
      </c>
      <c r="F13" s="14">
        <f t="shared" si="10"/>
        <v>22.72180984615386</v>
      </c>
      <c r="G13" s="14">
        <f t="shared" si="0"/>
        <v>12.850650022046137</v>
      </c>
      <c r="H13" s="25">
        <f t="shared" si="11"/>
        <v>32.930159197324436</v>
      </c>
      <c r="I13" s="14">
        <f t="shared" si="1"/>
        <v>21.282137567220939</v>
      </c>
      <c r="J13" s="21">
        <f t="shared" si="12"/>
        <v>2424.0927192518152</v>
      </c>
      <c r="K13" s="34">
        <f t="shared" si="2"/>
        <v>-0.20141480401964545</v>
      </c>
      <c r="L13" s="32">
        <f t="shared" si="13"/>
        <v>-0.49199647625651732</v>
      </c>
      <c r="M13" s="68">
        <f t="shared" si="3"/>
        <v>101.22433096540163</v>
      </c>
      <c r="O13" s="12">
        <v>1976</v>
      </c>
      <c r="P13" s="48">
        <v>6.9411978999999997</v>
      </c>
      <c r="Q13" s="65">
        <f t="shared" si="4"/>
        <v>0.41647187399999996</v>
      </c>
      <c r="R13" s="21">
        <f t="shared" si="5"/>
        <v>2546.4502005982945</v>
      </c>
      <c r="S13" s="21">
        <f t="shared" si="6"/>
        <v>166792.4881391883</v>
      </c>
      <c r="T13" s="49">
        <f t="shared" si="7"/>
        <v>0.16354997788770773</v>
      </c>
      <c r="U13" s="50">
        <f t="shared" si="8"/>
        <v>5692.5899890637756</v>
      </c>
    </row>
    <row r="14" spans="1:21" x14ac:dyDescent="0.25">
      <c r="A14" s="12">
        <v>1976</v>
      </c>
      <c r="B14" s="13">
        <v>0.44404592999999998</v>
      </c>
      <c r="C14" s="13">
        <v>0.57231699999999996</v>
      </c>
      <c r="D14" s="28">
        <v>16.548829999999999</v>
      </c>
      <c r="E14" s="45">
        <f t="shared" si="9"/>
        <v>1.3476923076923086</v>
      </c>
      <c r="F14" s="14">
        <f t="shared" si="10"/>
        <v>22.302730892307707</v>
      </c>
      <c r="G14" s="14">
        <f t="shared" si="0"/>
        <v>11.95313332158085</v>
      </c>
      <c r="H14" s="25">
        <f t="shared" si="11"/>
        <v>32.322798394648856</v>
      </c>
      <c r="I14" s="14">
        <f t="shared" si="1"/>
        <v>20.998200192739851</v>
      </c>
      <c r="J14" s="21">
        <f t="shared" si="12"/>
        <v>2546.4502005982945</v>
      </c>
      <c r="K14" s="34">
        <f t="shared" si="2"/>
        <v>-0.21189293138934007</v>
      </c>
      <c r="L14" s="32">
        <f t="shared" si="13"/>
        <v>-0.47604314963506428</v>
      </c>
      <c r="M14" s="68">
        <f t="shared" si="3"/>
        <v>103.12638443722057</v>
      </c>
      <c r="O14" s="12">
        <v>1977</v>
      </c>
      <c r="P14" s="51">
        <v>9.2542244999999994</v>
      </c>
      <c r="Q14" s="65">
        <f t="shared" si="4"/>
        <v>0.55525346999999992</v>
      </c>
      <c r="R14" s="21">
        <f t="shared" si="5"/>
        <v>2441.4707675276218</v>
      </c>
      <c r="S14" s="21">
        <f t="shared" si="6"/>
        <v>159916.33527305923</v>
      </c>
      <c r="T14" s="49">
        <f t="shared" si="7"/>
        <v>0.22742581127124553</v>
      </c>
      <c r="U14" s="50">
        <f t="shared" si="8"/>
        <v>7915.8793734982464</v>
      </c>
    </row>
    <row r="15" spans="1:21" x14ac:dyDescent="0.25">
      <c r="A15" s="12">
        <v>1977</v>
      </c>
      <c r="B15" s="13">
        <v>0.44404592999999998</v>
      </c>
      <c r="C15" s="13">
        <v>0.60517299999999996</v>
      </c>
      <c r="D15" s="28">
        <v>14.88621</v>
      </c>
      <c r="E15" s="45">
        <f t="shared" si="9"/>
        <v>1.3584615384615395</v>
      </c>
      <c r="F15" s="14">
        <f t="shared" si="10"/>
        <v>20.222343738461554</v>
      </c>
      <c r="G15" s="14">
        <f t="shared" si="0"/>
        <v>10.624188015882611</v>
      </c>
      <c r="H15" s="25">
        <f t="shared" si="11"/>
        <v>29.307744548495009</v>
      </c>
      <c r="I15" s="14">
        <f t="shared" si="1"/>
        <v>18.92054525211406</v>
      </c>
      <c r="J15" s="21">
        <f t="shared" si="12"/>
        <v>2441.4707675276218</v>
      </c>
      <c r="K15" s="34">
        <f t="shared" si="2"/>
        <v>-0.21322510521536314</v>
      </c>
      <c r="L15" s="32">
        <f t="shared" si="13"/>
        <v>-0.47059152518426478</v>
      </c>
      <c r="M15" s="68">
        <f t="shared" si="3"/>
        <v>113.73558029406612</v>
      </c>
      <c r="O15" s="12">
        <v>1978</v>
      </c>
      <c r="P15" s="51">
        <v>9.9143311999999995</v>
      </c>
      <c r="Q15" s="65">
        <f t="shared" si="4"/>
        <v>0.5948598719999999</v>
      </c>
      <c r="R15" s="21">
        <f t="shared" si="5"/>
        <v>2417.0088160610344</v>
      </c>
      <c r="S15" s="21">
        <f t="shared" si="6"/>
        <v>158314.07745199776</v>
      </c>
      <c r="T15" s="49">
        <f t="shared" si="7"/>
        <v>0.24611406795339488</v>
      </c>
      <c r="U15" s="50">
        <f t="shared" si="8"/>
        <v>8566.3507723687526</v>
      </c>
    </row>
    <row r="16" spans="1:21" x14ac:dyDescent="0.25">
      <c r="A16" s="37">
        <v>1978</v>
      </c>
      <c r="B16" s="30">
        <v>0.44404592999999998</v>
      </c>
      <c r="C16" s="30">
        <v>0.62285000000000001</v>
      </c>
      <c r="D16" s="28">
        <v>14.206189999999999</v>
      </c>
      <c r="E16" s="46">
        <f t="shared" si="9"/>
        <v>1.3692307692307704</v>
      </c>
      <c r="F16" s="28">
        <f t="shared" si="10"/>
        <v>19.451552461538476</v>
      </c>
      <c r="G16" s="28">
        <f t="shared" si="0"/>
        <v>10.016667918758751</v>
      </c>
      <c r="H16" s="25">
        <f t="shared" si="11"/>
        <v>28.190655741360114</v>
      </c>
      <c r="I16" s="28">
        <f t="shared" si="1"/>
        <v>18.086753243254449</v>
      </c>
      <c r="J16" s="29">
        <f t="shared" si="12"/>
        <v>2417.0088160610344</v>
      </c>
      <c r="K16" s="35">
        <f t="shared" si="2"/>
        <v>-0.21455278297124591</v>
      </c>
      <c r="L16" s="32">
        <f t="shared" si="13"/>
        <v>-0.46534623028032268</v>
      </c>
      <c r="M16" s="68">
        <f t="shared" si="3"/>
        <v>118.2424901327432</v>
      </c>
      <c r="O16" s="15">
        <v>1979</v>
      </c>
      <c r="P16" s="52">
        <v>10.574438000000001</v>
      </c>
      <c r="Q16" s="66">
        <f t="shared" si="4"/>
        <v>0.63446628000000005</v>
      </c>
      <c r="R16" s="22">
        <f t="shared" si="5"/>
        <v>2378.9730285739652</v>
      </c>
      <c r="S16" s="22">
        <f t="shared" si="6"/>
        <v>155822.73337159472</v>
      </c>
      <c r="T16" s="54">
        <f t="shared" si="7"/>
        <v>0.26669755074117846</v>
      </c>
      <c r="U16" s="67">
        <f t="shared" si="8"/>
        <v>9282.7882159632336</v>
      </c>
    </row>
    <row r="17" spans="1:21" s="9" customFormat="1" ht="14.25" x14ac:dyDescent="0.2">
      <c r="A17" s="15">
        <v>1979</v>
      </c>
      <c r="B17" s="16">
        <v>0.44404592999999998</v>
      </c>
      <c r="C17" s="16">
        <v>0.66272900000000001</v>
      </c>
      <c r="D17" s="17">
        <v>13.038690000000001</v>
      </c>
      <c r="E17" s="47">
        <v>1.38</v>
      </c>
      <c r="F17" s="17">
        <f t="shared" si="10"/>
        <v>17.993392199999999</v>
      </c>
      <c r="G17" s="17">
        <f t="shared" si="0"/>
        <v>9.0813211003136551</v>
      </c>
      <c r="H17" s="31">
        <f t="shared" si="11"/>
        <v>26.077380000000002</v>
      </c>
      <c r="I17" s="17">
        <f t="shared" si="1"/>
        <v>16.628351880759656</v>
      </c>
      <c r="J17" s="22">
        <f t="shared" si="12"/>
        <v>2378.9730285739652</v>
      </c>
      <c r="K17" s="36">
        <f>(D17-I17)/I17</f>
        <v>-0.21587598737991487</v>
      </c>
      <c r="L17" s="33">
        <f t="shared" si="13"/>
        <v>-0.46029576892937063</v>
      </c>
      <c r="M17" s="70">
        <f t="shared" si="3"/>
        <v>127.82470222596493</v>
      </c>
      <c r="O17" s="18" t="s">
        <v>9</v>
      </c>
      <c r="P17" s="55">
        <f t="shared" ref="P17:U17" si="14">AVERAGE(P3:P16)</f>
        <v>5.825005314285713</v>
      </c>
      <c r="Q17" s="57">
        <f t="shared" si="14"/>
        <v>0.34950031885714283</v>
      </c>
      <c r="R17" s="56">
        <f t="shared" si="14"/>
        <v>2121.7486802043854</v>
      </c>
      <c r="S17" s="23">
        <f t="shared" si="14"/>
        <v>138974.53855338725</v>
      </c>
      <c r="T17" s="57">
        <f t="shared" si="14"/>
        <v>0.1583127793473304</v>
      </c>
      <c r="U17" s="58">
        <f t="shared" si="14"/>
        <v>5510.3018324602872</v>
      </c>
    </row>
    <row r="18" spans="1:21" x14ac:dyDescent="0.25">
      <c r="A18" s="19"/>
      <c r="B18" s="12"/>
      <c r="C18" s="20"/>
      <c r="D18" s="20"/>
      <c r="E18" s="20"/>
      <c r="F18" s="19"/>
      <c r="G18" s="26"/>
      <c r="H18" s="5"/>
      <c r="K18" s="23"/>
      <c r="M18" s="69">
        <f>AVERAGE(M4:M17)</f>
        <v>95.164475958175061</v>
      </c>
      <c r="N18" s="9"/>
      <c r="O18" s="59" t="s">
        <v>8</v>
      </c>
      <c r="P18" s="60">
        <f>SUM(P3:P16)</f>
        <v>81.550074399999986</v>
      </c>
      <c r="Q18" s="60">
        <f>SUM(Q3:Q16)</f>
        <v>4.8930044639999997</v>
      </c>
      <c r="R18" s="61">
        <f>SUM(R3:R16)</f>
        <v>29704.481522861395</v>
      </c>
      <c r="S18" s="61">
        <f>SUM(S3:S16)</f>
        <v>1945643.5397474216</v>
      </c>
      <c r="T18" s="15"/>
      <c r="U18" s="15"/>
    </row>
    <row r="19" spans="1:21" x14ac:dyDescent="0.25">
      <c r="A19" s="19"/>
      <c r="B19" s="12"/>
      <c r="C19" s="20"/>
      <c r="D19" s="20"/>
      <c r="E19" s="20"/>
      <c r="F19" s="19"/>
      <c r="G19" s="5"/>
      <c r="H19" s="5"/>
      <c r="I19" s="2"/>
      <c r="J19" s="5"/>
    </row>
    <row r="20" spans="1:21" x14ac:dyDescent="0.25">
      <c r="A20" s="19"/>
      <c r="B20" s="12"/>
      <c r="C20" s="20"/>
      <c r="D20" s="20"/>
      <c r="E20" s="20"/>
      <c r="F20" s="19"/>
      <c r="G20" s="5"/>
      <c r="H20" s="5" t="s">
        <v>29</v>
      </c>
      <c r="I20" s="84">
        <f>D17-D3</f>
        <v>-12.630719999999998</v>
      </c>
      <c r="J20" s="5"/>
      <c r="K20" s="76"/>
    </row>
    <row r="21" spans="1:21" x14ac:dyDescent="0.25">
      <c r="A21" s="19"/>
      <c r="B21" s="12"/>
      <c r="C21" s="20"/>
      <c r="D21" s="19"/>
      <c r="E21" s="5"/>
      <c r="G21" s="2"/>
      <c r="H21" s="5" t="s">
        <v>30</v>
      </c>
      <c r="I21" s="76">
        <f>I17-I3</f>
        <v>-9.0410581192403434</v>
      </c>
      <c r="J21" s="5"/>
      <c r="K21" s="76"/>
    </row>
    <row r="22" spans="1:21" x14ac:dyDescent="0.25">
      <c r="A22" s="19"/>
      <c r="B22" s="12"/>
      <c r="C22" s="20"/>
      <c r="D22" s="19"/>
      <c r="E22" s="5"/>
      <c r="G22" s="2"/>
      <c r="H22" s="5"/>
      <c r="I22" s="5">
        <f>(I20-I21)/I20</f>
        <v>0.28420089122074238</v>
      </c>
      <c r="J22" s="5"/>
      <c r="K22" s="77"/>
    </row>
    <row r="23" spans="1:21" x14ac:dyDescent="0.25">
      <c r="A23" s="19"/>
      <c r="B23" s="12"/>
      <c r="C23" s="20"/>
      <c r="D23" s="19"/>
      <c r="E23" s="5"/>
      <c r="G23" s="2"/>
      <c r="H23" s="5"/>
      <c r="I23" s="5"/>
      <c r="J23" s="5"/>
    </row>
    <row r="24" spans="1:21" x14ac:dyDescent="0.25">
      <c r="A24" s="19"/>
      <c r="B24" s="12"/>
      <c r="C24" s="20"/>
      <c r="D24" s="19"/>
      <c r="E24" s="5"/>
      <c r="G24" s="2"/>
      <c r="H24" s="5"/>
      <c r="I24" s="5"/>
      <c r="J24" s="5"/>
    </row>
    <row r="25" spans="1:21" x14ac:dyDescent="0.25">
      <c r="A25" s="19"/>
      <c r="B25" s="12"/>
      <c r="C25" s="19"/>
      <c r="D25" s="19"/>
      <c r="E25" s="5">
        <v>1965</v>
      </c>
      <c r="F25" s="10">
        <v>25.669409999999999</v>
      </c>
      <c r="G25" s="2"/>
      <c r="H25" s="5"/>
      <c r="I25" s="5"/>
      <c r="J25" s="5"/>
    </row>
    <row r="26" spans="1:21" x14ac:dyDescent="0.25">
      <c r="A26" s="19"/>
      <c r="B26" s="12"/>
      <c r="C26" s="20"/>
      <c r="D26" s="19"/>
      <c r="E26" s="5">
        <v>1966</v>
      </c>
      <c r="F26" s="5">
        <v>25.060770000000002</v>
      </c>
      <c r="G26" s="2"/>
      <c r="H26" s="5"/>
      <c r="I26" s="5"/>
      <c r="J26" s="5"/>
    </row>
    <row r="27" spans="1:21" x14ac:dyDescent="0.25">
      <c r="A27" s="19"/>
      <c r="B27" s="12"/>
      <c r="C27" s="20"/>
      <c r="D27" s="19"/>
      <c r="E27" s="5">
        <v>1967</v>
      </c>
      <c r="F27" s="5">
        <v>24.025279999999999</v>
      </c>
      <c r="G27" s="2"/>
      <c r="H27" s="5"/>
      <c r="I27" s="5"/>
      <c r="J27" s="5"/>
    </row>
    <row r="28" spans="1:21" x14ac:dyDescent="0.25">
      <c r="A28" s="19"/>
      <c r="B28" s="12"/>
      <c r="C28" s="20"/>
      <c r="D28" s="19"/>
      <c r="E28" s="26">
        <v>1968</v>
      </c>
      <c r="F28" s="12">
        <v>23.238</v>
      </c>
      <c r="G28" s="12"/>
      <c r="I28" s="5"/>
      <c r="J28" s="5"/>
    </row>
    <row r="29" spans="1:21" x14ac:dyDescent="0.25">
      <c r="A29" s="19"/>
      <c r="B29" s="12"/>
      <c r="C29" s="20"/>
      <c r="D29" s="19"/>
      <c r="E29" s="26">
        <v>1969</v>
      </c>
      <c r="F29" s="12">
        <v>22.750350000000001</v>
      </c>
      <c r="G29" s="12"/>
      <c r="I29" s="5"/>
      <c r="J29" s="5"/>
    </row>
    <row r="30" spans="1:21" x14ac:dyDescent="0.25">
      <c r="A30" s="19"/>
      <c r="B30" s="12"/>
      <c r="C30" s="20"/>
      <c r="D30" s="19"/>
      <c r="E30" s="26">
        <v>1970</v>
      </c>
      <c r="F30" s="12">
        <v>21.646799999999999</v>
      </c>
      <c r="G30" s="12"/>
      <c r="I30" s="5"/>
      <c r="J30" s="5"/>
    </row>
    <row r="31" spans="1:21" x14ac:dyDescent="0.25">
      <c r="A31" s="19"/>
      <c r="B31" s="12"/>
      <c r="C31" s="20"/>
      <c r="D31" s="19"/>
      <c r="E31" s="26">
        <v>1971</v>
      </c>
      <c r="F31" s="12">
        <v>19.875889999999998</v>
      </c>
      <c r="G31" s="12"/>
      <c r="H31" s="5"/>
      <c r="I31" s="5"/>
      <c r="J31" s="5"/>
      <c r="K31" s="2"/>
    </row>
    <row r="32" spans="1:21" x14ac:dyDescent="0.25">
      <c r="A32" s="19"/>
      <c r="B32" s="12"/>
      <c r="C32" s="20"/>
      <c r="D32" s="19"/>
      <c r="E32" s="26">
        <v>1972</v>
      </c>
      <c r="F32" s="12">
        <v>19.40654</v>
      </c>
      <c r="G32" s="12"/>
      <c r="H32" s="5"/>
      <c r="I32" s="5"/>
      <c r="J32" s="5"/>
      <c r="K32" s="2"/>
    </row>
    <row r="33" spans="1:11" x14ac:dyDescent="0.25">
      <c r="A33" s="19"/>
      <c r="B33" s="12"/>
      <c r="C33" s="20"/>
      <c r="D33" s="19"/>
      <c r="E33" s="26">
        <v>1973</v>
      </c>
      <c r="F33" s="12">
        <v>18.078900000000001</v>
      </c>
      <c r="G33" s="12"/>
      <c r="H33" s="5"/>
      <c r="I33" s="5"/>
      <c r="J33" s="5"/>
      <c r="K33" s="2"/>
    </row>
    <row r="34" spans="1:11" x14ac:dyDescent="0.25">
      <c r="B34" s="5"/>
      <c r="C34" s="5"/>
      <c r="D34" s="5"/>
      <c r="E34" s="27">
        <v>1974</v>
      </c>
      <c r="F34" s="7">
        <v>17.365600000000001</v>
      </c>
      <c r="G34" s="7"/>
      <c r="I34" s="5"/>
      <c r="J34" s="5"/>
      <c r="K34" s="2"/>
    </row>
    <row r="35" spans="1:11" x14ac:dyDescent="0.25">
      <c r="B35" s="5"/>
      <c r="C35" s="5"/>
      <c r="D35" s="5"/>
      <c r="E35" s="27">
        <v>1975</v>
      </c>
      <c r="F35" s="7">
        <v>16.9956</v>
      </c>
      <c r="G35" s="7"/>
      <c r="I35" s="5"/>
      <c r="J35" s="5"/>
      <c r="K35" s="2"/>
    </row>
    <row r="36" spans="1:11" x14ac:dyDescent="0.25">
      <c r="B36" s="5"/>
      <c r="C36" s="5"/>
      <c r="D36" s="5"/>
      <c r="E36" s="27">
        <v>1976</v>
      </c>
      <c r="F36" s="7">
        <v>16.548829999999999</v>
      </c>
      <c r="G36" s="7"/>
      <c r="I36" s="5"/>
      <c r="J36" s="5"/>
      <c r="K36" s="2"/>
    </row>
    <row r="37" spans="1:11" x14ac:dyDescent="0.25">
      <c r="B37" s="5"/>
      <c r="C37" s="5"/>
      <c r="D37" s="5"/>
      <c r="E37" s="27">
        <v>1977</v>
      </c>
      <c r="F37" s="7">
        <v>14.88621</v>
      </c>
      <c r="G37" s="7"/>
      <c r="I37" s="5"/>
      <c r="J37" s="5"/>
      <c r="K37" s="2"/>
    </row>
    <row r="38" spans="1:11" x14ac:dyDescent="0.25">
      <c r="B38" s="5"/>
      <c r="C38" s="5"/>
      <c r="D38" s="5"/>
      <c r="E38" s="27">
        <v>1978</v>
      </c>
      <c r="F38" s="7">
        <v>14.206189999999999</v>
      </c>
      <c r="G38" s="7"/>
      <c r="I38" s="5"/>
      <c r="J38" s="5"/>
      <c r="K38" s="2"/>
    </row>
    <row r="39" spans="1:11" x14ac:dyDescent="0.25">
      <c r="B39" s="5"/>
      <c r="C39" s="5"/>
      <c r="D39" s="5"/>
      <c r="E39" s="27">
        <v>1979</v>
      </c>
      <c r="F39" s="7">
        <v>13.038690000000001</v>
      </c>
      <c r="G39" s="7"/>
      <c r="I39" s="5"/>
      <c r="J39" s="5"/>
      <c r="K39" s="2"/>
    </row>
    <row r="40" spans="1:11" x14ac:dyDescent="0.25">
      <c r="B40" s="5"/>
      <c r="C40" s="5"/>
      <c r="D40" s="5"/>
      <c r="E40" s="27"/>
      <c r="F40" s="7"/>
      <c r="G40" s="7"/>
      <c r="I40" s="5"/>
      <c r="J40" s="5"/>
      <c r="K40" s="2"/>
    </row>
    <row r="41" spans="1:11" x14ac:dyDescent="0.25">
      <c r="B41" s="5"/>
      <c r="C41" s="5"/>
      <c r="D41" s="5"/>
      <c r="E41" s="27"/>
      <c r="F41" s="7"/>
      <c r="G41" s="7"/>
      <c r="I41" s="5"/>
      <c r="J41" s="5"/>
      <c r="K41" s="2"/>
    </row>
    <row r="42" spans="1:11" x14ac:dyDescent="0.25">
      <c r="B42" s="5"/>
      <c r="C42" s="5"/>
      <c r="D42" s="5"/>
      <c r="E42" s="27"/>
      <c r="F42" s="7"/>
      <c r="G42" s="7"/>
      <c r="I42" s="5"/>
      <c r="J42" s="5"/>
      <c r="K42" s="2"/>
    </row>
    <row r="43" spans="1:11" x14ac:dyDescent="0.25">
      <c r="B43" s="5"/>
      <c r="C43" s="5"/>
      <c r="D43" s="5"/>
      <c r="E43" s="27"/>
      <c r="F43" s="7"/>
      <c r="G43" s="7"/>
      <c r="I43" s="5"/>
      <c r="J43" s="5"/>
      <c r="K43" s="2"/>
    </row>
    <row r="44" spans="1:11" x14ac:dyDescent="0.25">
      <c r="B44" s="5"/>
      <c r="C44" s="5"/>
      <c r="D44" s="5"/>
      <c r="E44" s="27"/>
      <c r="F44" s="7"/>
      <c r="G44" s="7"/>
      <c r="I44" s="5"/>
      <c r="J44" s="5"/>
      <c r="K4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115" zoomScaleNormal="115" workbookViewId="0">
      <selection activeCell="T17" sqref="T17"/>
    </sheetView>
  </sheetViews>
  <sheetFormatPr defaultRowHeight="12.75" x14ac:dyDescent="0.2"/>
  <cols>
    <col min="1" max="1" width="4.85546875" style="19" customWidth="1"/>
    <col min="2" max="2" width="8.28515625" style="12" customWidth="1"/>
    <col min="3" max="3" width="8.42578125" style="13" customWidth="1"/>
    <col min="4" max="4" width="8.28515625" style="13" customWidth="1"/>
    <col min="5" max="5" width="8" style="13" customWidth="1"/>
    <col min="6" max="6" width="9.85546875" style="12" customWidth="1"/>
    <col min="7" max="7" width="9.85546875" style="75" customWidth="1"/>
    <col min="8" max="8" width="11.5703125" style="12" customWidth="1"/>
    <col min="9" max="9" width="11.42578125" style="12" customWidth="1"/>
    <col min="10" max="10" width="10.85546875" style="12" customWidth="1"/>
    <col min="11" max="11" width="10.5703125" style="12" bestFit="1" customWidth="1"/>
    <col min="12" max="13" width="9.140625" style="12"/>
    <col min="14" max="14" width="7.42578125" style="19" customWidth="1"/>
    <col min="15" max="15" width="17.28515625" style="19" customWidth="1"/>
    <col min="16" max="16" width="11.28515625" style="19" customWidth="1"/>
    <col min="17" max="21" width="12" style="19" customWidth="1"/>
    <col min="22" max="16384" width="9.140625" style="19"/>
  </cols>
  <sheetData>
    <row r="1" spans="1:21" x14ac:dyDescent="0.2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24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</row>
    <row r="2" spans="1:21" s="63" customFormat="1" ht="95.25" x14ac:dyDescent="0.2">
      <c r="A2" s="41" t="s">
        <v>1</v>
      </c>
      <c r="B2" s="41" t="s">
        <v>3</v>
      </c>
      <c r="C2" s="42" t="s">
        <v>2</v>
      </c>
      <c r="D2" s="42" t="s">
        <v>4</v>
      </c>
      <c r="E2" s="42" t="s">
        <v>5</v>
      </c>
      <c r="F2" s="41" t="s">
        <v>6</v>
      </c>
      <c r="G2" s="42" t="s">
        <v>10</v>
      </c>
      <c r="H2" s="43" t="s">
        <v>31</v>
      </c>
      <c r="I2" s="41" t="s">
        <v>12</v>
      </c>
      <c r="J2" s="41" t="s">
        <v>19</v>
      </c>
      <c r="K2" s="41" t="s">
        <v>20</v>
      </c>
      <c r="L2" s="41" t="s">
        <v>22</v>
      </c>
      <c r="M2" s="40" t="s">
        <v>23</v>
      </c>
      <c r="O2" s="40" t="s">
        <v>1</v>
      </c>
      <c r="P2" s="40" t="s">
        <v>7</v>
      </c>
      <c r="Q2" s="40" t="s">
        <v>18</v>
      </c>
      <c r="R2" s="40" t="s">
        <v>0</v>
      </c>
      <c r="S2" s="40" t="s">
        <v>14</v>
      </c>
      <c r="T2" s="40" t="s">
        <v>15</v>
      </c>
      <c r="U2" s="40" t="s">
        <v>16</v>
      </c>
    </row>
    <row r="3" spans="1:21" x14ac:dyDescent="0.2">
      <c r="A3" s="78">
        <v>1965</v>
      </c>
      <c r="B3" s="78"/>
      <c r="C3" s="79"/>
      <c r="D3" s="14">
        <v>181.2022</v>
      </c>
      <c r="E3" s="79"/>
      <c r="F3" s="78"/>
      <c r="G3" s="79"/>
      <c r="H3" s="80"/>
      <c r="I3" s="82">
        <f>D3</f>
        <v>181.2022</v>
      </c>
      <c r="J3" s="78"/>
      <c r="K3" s="78"/>
      <c r="L3" s="78"/>
      <c r="M3" s="81"/>
      <c r="O3" s="12">
        <v>1966</v>
      </c>
      <c r="P3" s="48">
        <v>1.3038014</v>
      </c>
      <c r="Q3" s="65">
        <f>0.21*P3</f>
        <v>0.273798294</v>
      </c>
      <c r="R3" s="21">
        <f>J4</f>
        <v>268.62999131171523</v>
      </c>
      <c r="S3" s="21">
        <f>R3*65.5</f>
        <v>17595.264430917348</v>
      </c>
      <c r="T3" s="49">
        <f>Q3/R3*1000</f>
        <v>1.0192394849996014</v>
      </c>
      <c r="U3" s="50">
        <f>T3*1000000/((1-0.97^65)/(1-0.97))</f>
        <v>35476.082379851738</v>
      </c>
    </row>
    <row r="4" spans="1:21" x14ac:dyDescent="0.2">
      <c r="A4" s="12">
        <v>1966</v>
      </c>
      <c r="B4" s="13">
        <v>8.3740621999999987E-2</v>
      </c>
      <c r="C4" s="72">
        <v>2.1499549999999998</v>
      </c>
      <c r="D4" s="14">
        <v>179.51660000000001</v>
      </c>
      <c r="E4" s="72">
        <v>1.85</v>
      </c>
      <c r="F4" s="14">
        <f t="shared" ref="F4:F17" si="0">D4*E4</f>
        <v>332.10571000000004</v>
      </c>
      <c r="G4" s="14">
        <f t="shared" ref="G4:G17" si="1">(D4-B4*F4)/(1-B4)</f>
        <v>165.5708688144509</v>
      </c>
      <c r="H4" s="25">
        <f>F4/(1-0.31)</f>
        <v>481.31262318840589</v>
      </c>
      <c r="I4" s="14">
        <f t="shared" ref="I4:I17" si="2">G4*(1-B4)+H4*B4</f>
        <v>192.01127971709712</v>
      </c>
      <c r="J4" s="29">
        <f t="shared" ref="J4:J17" si="3">-(D4-I4)/100000*(C4*1000000)</f>
        <v>268.62999131171523</v>
      </c>
      <c r="K4" s="34">
        <f t="shared" ref="K4:K17" si="4">(D4-I4)/I4</f>
        <v>-6.5072633938518351E-2</v>
      </c>
      <c r="L4" s="32">
        <f>-0.3*H4/(H4-G4)</f>
        <v>-0.45731609759001374</v>
      </c>
      <c r="M4" s="21">
        <f t="shared" ref="M4:M17" si="5">1/(0.3*H4/100000)</f>
        <v>692.55057373147838</v>
      </c>
      <c r="O4" s="12">
        <v>1967</v>
      </c>
      <c r="P4" s="48">
        <v>2.5767267999999999</v>
      </c>
      <c r="Q4" s="65">
        <f t="shared" ref="Q4:Q16" si="6">0.21*P4</f>
        <v>0.54111262799999993</v>
      </c>
      <c r="R4" s="21">
        <f>J5</f>
        <v>596.14371000572874</v>
      </c>
      <c r="S4" s="21">
        <f t="shared" ref="S4:S16" si="7">R4*65.5</f>
        <v>39047.413005375231</v>
      </c>
      <c r="T4" s="49">
        <f t="shared" ref="T4:T16" si="8">Q4/R4*1000</f>
        <v>0.90768822838842</v>
      </c>
      <c r="U4" s="50">
        <f t="shared" ref="U4:U16" si="9">T4*1000000/((1-0.97^65)/(1-0.97))</f>
        <v>31593.381967086822</v>
      </c>
    </row>
    <row r="5" spans="1:21" x14ac:dyDescent="0.2">
      <c r="A5" s="12">
        <v>1967</v>
      </c>
      <c r="B5" s="13">
        <v>0.21534792699999999</v>
      </c>
      <c r="C5" s="72">
        <v>2.1285340000000001</v>
      </c>
      <c r="D5" s="14">
        <v>159.05439999999999</v>
      </c>
      <c r="E5" s="13">
        <f t="shared" ref="E5:E16" si="10">E4+(E$17-E$4)/13</f>
        <v>1.82</v>
      </c>
      <c r="F5" s="14">
        <f t="shared" si="0"/>
        <v>289.47900799999996</v>
      </c>
      <c r="G5" s="14">
        <f t="shared" si="1"/>
        <v>123.25933881421554</v>
      </c>
      <c r="H5" s="25">
        <f t="shared" ref="H5:H17" si="11">F5/(1-0.31)</f>
        <v>419.53479420289852</v>
      </c>
      <c r="I5" s="14">
        <f t="shared" si="2"/>
        <v>187.06164395314937</v>
      </c>
      <c r="J5" s="29">
        <f t="shared" si="3"/>
        <v>596.14371000572874</v>
      </c>
      <c r="K5" s="34">
        <f t="shared" si="4"/>
        <v>-0.14972200265792571</v>
      </c>
      <c r="L5" s="32">
        <f t="shared" ref="L5:L17" si="12">-0.3*H5/(H5-G5)</f>
        <v>-0.42480885936283036</v>
      </c>
      <c r="M5" s="21">
        <f t="shared" si="5"/>
        <v>794.53084211204714</v>
      </c>
      <c r="O5" s="12">
        <v>1968</v>
      </c>
      <c r="P5" s="48">
        <v>3.0066315000000001</v>
      </c>
      <c r="Q5" s="65">
        <f t="shared" si="6"/>
        <v>0.63139261499999999</v>
      </c>
      <c r="R5" s="21">
        <f t="shared" ref="R5:R16" si="13">J6</f>
        <v>549.77712479909678</v>
      </c>
      <c r="S5" s="21">
        <f t="shared" si="7"/>
        <v>36010.401674340843</v>
      </c>
      <c r="T5" s="49">
        <f t="shared" si="8"/>
        <v>1.1484519572012526</v>
      </c>
      <c r="U5" s="50">
        <f t="shared" si="9"/>
        <v>39973.506563071911</v>
      </c>
    </row>
    <row r="6" spans="1:21" x14ac:dyDescent="0.2">
      <c r="A6" s="12">
        <v>1968</v>
      </c>
      <c r="B6" s="13">
        <v>0.20544484699999999</v>
      </c>
      <c r="C6" s="72">
        <v>2.1071650000000002</v>
      </c>
      <c r="D6" s="14">
        <v>157.91640000000001</v>
      </c>
      <c r="E6" s="13">
        <f t="shared" si="10"/>
        <v>1.79</v>
      </c>
      <c r="F6" s="14">
        <f t="shared" si="0"/>
        <v>282.67035600000003</v>
      </c>
      <c r="G6" s="14">
        <f t="shared" si="1"/>
        <v>125.6592844224427</v>
      </c>
      <c r="H6" s="25">
        <f t="shared" si="11"/>
        <v>409.66718260869573</v>
      </c>
      <c r="I6" s="14">
        <f t="shared" si="2"/>
        <v>184.00724361210902</v>
      </c>
      <c r="J6" s="29">
        <f t="shared" si="3"/>
        <v>549.77712479909678</v>
      </c>
      <c r="K6" s="34">
        <f t="shared" si="4"/>
        <v>-0.14179248109986928</v>
      </c>
      <c r="L6" s="32">
        <f t="shared" si="12"/>
        <v>-0.4327349892995247</v>
      </c>
      <c r="M6" s="21">
        <f t="shared" si="5"/>
        <v>813.66862537223381</v>
      </c>
      <c r="O6" s="12">
        <v>1969</v>
      </c>
      <c r="P6" s="48">
        <v>3.8518675999999998</v>
      </c>
      <c r="Q6" s="65">
        <f t="shared" si="6"/>
        <v>0.80889219599999995</v>
      </c>
      <c r="R6" s="21">
        <f t="shared" si="13"/>
        <v>635.6452828353755</v>
      </c>
      <c r="S6" s="21">
        <f t="shared" si="7"/>
        <v>41634.766025717094</v>
      </c>
      <c r="T6" s="49">
        <f t="shared" si="8"/>
        <v>1.2725528181249688</v>
      </c>
      <c r="U6" s="50">
        <f t="shared" si="9"/>
        <v>44293.013833281322</v>
      </c>
    </row>
    <row r="7" spans="1:21" x14ac:dyDescent="0.2">
      <c r="A7" s="12">
        <v>1969</v>
      </c>
      <c r="B7" s="13">
        <v>0.259482569</v>
      </c>
      <c r="C7" s="72">
        <v>2.0860560000000001</v>
      </c>
      <c r="D7" s="14">
        <v>148.50989999999999</v>
      </c>
      <c r="E7" s="13">
        <f t="shared" si="10"/>
        <v>1.76</v>
      </c>
      <c r="F7" s="14">
        <f t="shared" si="0"/>
        <v>261.37742399999996</v>
      </c>
      <c r="G7" s="14">
        <f t="shared" si="1"/>
        <v>108.96031769693447</v>
      </c>
      <c r="H7" s="25">
        <f t="shared" si="11"/>
        <v>378.80786086956522</v>
      </c>
      <c r="I7" s="14">
        <f t="shared" si="2"/>
        <v>178.98105143770709</v>
      </c>
      <c r="J7" s="29">
        <f t="shared" si="3"/>
        <v>635.6452828353755</v>
      </c>
      <c r="K7" s="34">
        <f t="shared" si="4"/>
        <v>-0.17024791838544062</v>
      </c>
      <c r="L7" s="32">
        <f t="shared" si="12"/>
        <v>-0.42113541937333343</v>
      </c>
      <c r="M7" s="21">
        <f t="shared" si="5"/>
        <v>879.95358007660229</v>
      </c>
      <c r="O7" s="12">
        <v>1970</v>
      </c>
      <c r="P7" s="48">
        <v>4.4654457000000001</v>
      </c>
      <c r="Q7" s="65">
        <f t="shared" si="6"/>
        <v>0.93774359699999998</v>
      </c>
      <c r="R7" s="21">
        <f t="shared" si="13"/>
        <v>619.18899031834451</v>
      </c>
      <c r="S7" s="21">
        <f t="shared" si="7"/>
        <v>40556.878865851562</v>
      </c>
      <c r="T7" s="49">
        <f t="shared" si="8"/>
        <v>1.5144707216416695</v>
      </c>
      <c r="U7" s="50">
        <f t="shared" si="9"/>
        <v>52713.311124180385</v>
      </c>
    </row>
    <row r="8" spans="1:21" x14ac:dyDescent="0.2">
      <c r="A8" s="12">
        <v>1970</v>
      </c>
      <c r="B8" s="13">
        <v>0.28140026599999995</v>
      </c>
      <c r="C8" s="72">
        <v>2.1064340000000001</v>
      </c>
      <c r="D8" s="14">
        <v>134.39779999999999</v>
      </c>
      <c r="E8" s="13">
        <f t="shared" si="10"/>
        <v>1.73</v>
      </c>
      <c r="F8" s="14">
        <f t="shared" si="0"/>
        <v>232.50819399999997</v>
      </c>
      <c r="G8" s="14">
        <f t="shared" si="1"/>
        <v>95.978232523560038</v>
      </c>
      <c r="H8" s="25">
        <f t="shared" si="11"/>
        <v>336.96839710144928</v>
      </c>
      <c r="I8" s="14">
        <f t="shared" si="2"/>
        <v>163.79292893916184</v>
      </c>
      <c r="J8" s="29">
        <f t="shared" si="3"/>
        <v>619.18899031834451</v>
      </c>
      <c r="K8" s="34">
        <f t="shared" si="4"/>
        <v>-0.17946518894036129</v>
      </c>
      <c r="L8" s="32">
        <f t="shared" si="12"/>
        <v>-0.41947985432310797</v>
      </c>
      <c r="M8" s="21">
        <f t="shared" si="5"/>
        <v>989.21244900298007</v>
      </c>
      <c r="O8" s="12">
        <v>1971</v>
      </c>
      <c r="P8" s="48">
        <v>6.0592711000000001</v>
      </c>
      <c r="Q8" s="65">
        <f t="shared" si="6"/>
        <v>1.2724469309999999</v>
      </c>
      <c r="R8" s="21">
        <f t="shared" si="13"/>
        <v>613.84256280946931</v>
      </c>
      <c r="S8" s="21">
        <f t="shared" si="7"/>
        <v>40206.687864020241</v>
      </c>
      <c r="T8" s="49">
        <f t="shared" si="8"/>
        <v>2.0729206609202739</v>
      </c>
      <c r="U8" s="50">
        <f t="shared" si="9"/>
        <v>72150.956881083854</v>
      </c>
    </row>
    <row r="9" spans="1:21" x14ac:dyDescent="0.2">
      <c r="A9" s="12">
        <v>1971</v>
      </c>
      <c r="B9" s="13">
        <v>0.30146382999999999</v>
      </c>
      <c r="C9" s="72">
        <v>2.1008260000000001</v>
      </c>
      <c r="D9" s="14">
        <v>126.9025</v>
      </c>
      <c r="E9" s="13">
        <f t="shared" si="10"/>
        <v>1.7</v>
      </c>
      <c r="F9" s="14">
        <f t="shared" si="0"/>
        <v>215.73425</v>
      </c>
      <c r="G9" s="14">
        <f t="shared" si="1"/>
        <v>88.565817189999635</v>
      </c>
      <c r="H9" s="25">
        <f t="shared" si="11"/>
        <v>312.65833333333336</v>
      </c>
      <c r="I9" s="14">
        <f t="shared" si="2"/>
        <v>156.12160538090586</v>
      </c>
      <c r="J9" s="29">
        <f t="shared" si="3"/>
        <v>613.84256280946931</v>
      </c>
      <c r="K9" s="34">
        <f t="shared" si="4"/>
        <v>-0.18715606536082571</v>
      </c>
      <c r="L9" s="32">
        <f t="shared" si="12"/>
        <v>-0.41856596380043937</v>
      </c>
      <c r="M9" s="21">
        <f t="shared" si="5"/>
        <v>1066.1264959087396</v>
      </c>
      <c r="O9" s="12">
        <v>1972</v>
      </c>
      <c r="P9" s="48">
        <v>5.7335577000000004</v>
      </c>
      <c r="Q9" s="65">
        <f t="shared" si="6"/>
        <v>1.204047117</v>
      </c>
      <c r="R9" s="21">
        <f t="shared" si="13"/>
        <v>601.12284965350784</v>
      </c>
      <c r="S9" s="21">
        <f t="shared" si="7"/>
        <v>39373.546652304765</v>
      </c>
      <c r="T9" s="49">
        <f t="shared" si="8"/>
        <v>2.0029967546467788</v>
      </c>
      <c r="U9" s="50">
        <f t="shared" si="9"/>
        <v>69717.155703060882</v>
      </c>
    </row>
    <row r="10" spans="1:21" x14ac:dyDescent="0.2">
      <c r="A10" s="12">
        <v>1972</v>
      </c>
      <c r="B10" s="13">
        <v>0.31271954900000004</v>
      </c>
      <c r="C10" s="72">
        <v>2.148307</v>
      </c>
      <c r="D10" s="14">
        <v>119.2567</v>
      </c>
      <c r="E10" s="13">
        <f t="shared" si="10"/>
        <v>1.67</v>
      </c>
      <c r="F10" s="14">
        <f t="shared" si="0"/>
        <v>199.15868899999998</v>
      </c>
      <c r="G10" s="14">
        <f t="shared" si="1"/>
        <v>82.900487731883331</v>
      </c>
      <c r="H10" s="25">
        <f t="shared" si="11"/>
        <v>288.63578115942028</v>
      </c>
      <c r="I10" s="14">
        <f t="shared" si="2"/>
        <v>147.23793590592535</v>
      </c>
      <c r="J10" s="29">
        <f t="shared" si="3"/>
        <v>601.12284965350784</v>
      </c>
      <c r="K10" s="34">
        <f t="shared" si="4"/>
        <v>-0.19004094110503827</v>
      </c>
      <c r="L10" s="32">
        <f t="shared" si="12"/>
        <v>-0.42088419981438258</v>
      </c>
      <c r="M10" s="21">
        <f t="shared" si="5"/>
        <v>1154.8579735830658</v>
      </c>
      <c r="O10" s="12">
        <v>1973</v>
      </c>
      <c r="P10" s="48">
        <v>5.1338708999999998</v>
      </c>
      <c r="Q10" s="65">
        <f t="shared" si="6"/>
        <v>1.078112889</v>
      </c>
      <c r="R10" s="21">
        <f t="shared" si="13"/>
        <v>624.36950402171306</v>
      </c>
      <c r="S10" s="21">
        <f t="shared" si="7"/>
        <v>40896.202513422206</v>
      </c>
      <c r="T10" s="49">
        <f t="shared" si="8"/>
        <v>1.7267225289762191</v>
      </c>
      <c r="U10" s="50">
        <f t="shared" si="9"/>
        <v>60101.037672348648</v>
      </c>
    </row>
    <row r="11" spans="1:21" x14ac:dyDescent="0.2">
      <c r="A11" s="12">
        <v>1973</v>
      </c>
      <c r="B11" s="13">
        <v>0.32098247099999999</v>
      </c>
      <c r="C11" s="72">
        <v>2.1743229999999998</v>
      </c>
      <c r="D11" s="14">
        <v>121.4171</v>
      </c>
      <c r="E11" s="13">
        <f t="shared" si="10"/>
        <v>1.64</v>
      </c>
      <c r="F11" s="14">
        <f t="shared" si="0"/>
        <v>199.124044</v>
      </c>
      <c r="G11" s="14">
        <f t="shared" si="1"/>
        <v>84.683781884174721</v>
      </c>
      <c r="H11" s="25">
        <f t="shared" si="11"/>
        <v>288.58557101449276</v>
      </c>
      <c r="I11" s="14">
        <f t="shared" si="2"/>
        <v>150.13268200054515</v>
      </c>
      <c r="J11" s="29">
        <f t="shared" si="3"/>
        <v>624.36950402171306</v>
      </c>
      <c r="K11" s="34">
        <f t="shared" si="4"/>
        <v>-0.19126802783980687</v>
      </c>
      <c r="L11" s="32">
        <f t="shared" si="12"/>
        <v>-0.42459495658969154</v>
      </c>
      <c r="M11" s="21">
        <f t="shared" si="5"/>
        <v>1155.0589038860621</v>
      </c>
      <c r="O11" s="12">
        <v>1974</v>
      </c>
      <c r="P11" s="48">
        <v>6.0781934</v>
      </c>
      <c r="Q11" s="65">
        <f t="shared" si="6"/>
        <v>1.2764206139999998</v>
      </c>
      <c r="R11" s="21">
        <f t="shared" si="13"/>
        <v>600.42990063885054</v>
      </c>
      <c r="S11" s="21">
        <f t="shared" si="7"/>
        <v>39328.158491844712</v>
      </c>
      <c r="T11" s="49">
        <f t="shared" si="8"/>
        <v>2.125844520137826</v>
      </c>
      <c r="U11" s="50">
        <f t="shared" si="9"/>
        <v>73993.047201458641</v>
      </c>
    </row>
    <row r="12" spans="1:21" x14ac:dyDescent="0.2">
      <c r="A12" s="12">
        <v>1974</v>
      </c>
      <c r="B12" s="13">
        <v>0.35534558799999999</v>
      </c>
      <c r="C12" s="72">
        <v>2.1745649999999999</v>
      </c>
      <c r="D12" s="14">
        <v>107.4238</v>
      </c>
      <c r="E12" s="13">
        <f t="shared" si="10"/>
        <v>1.6099999999999999</v>
      </c>
      <c r="F12" s="14">
        <f t="shared" si="0"/>
        <v>172.95231799999999</v>
      </c>
      <c r="G12" s="14">
        <f t="shared" si="1"/>
        <v>71.303253353561203</v>
      </c>
      <c r="H12" s="25">
        <f t="shared" si="11"/>
        <v>250.65553333333335</v>
      </c>
      <c r="I12" s="14">
        <f t="shared" si="2"/>
        <v>135.03529474211396</v>
      </c>
      <c r="J12" s="29">
        <f t="shared" si="3"/>
        <v>600.42990063885054</v>
      </c>
      <c r="K12" s="34">
        <f t="shared" si="4"/>
        <v>-0.20447613192421657</v>
      </c>
      <c r="L12" s="32">
        <f t="shared" si="12"/>
        <v>-0.41926793463947543</v>
      </c>
      <c r="M12" s="21">
        <f t="shared" si="5"/>
        <v>1329.8462990244514</v>
      </c>
      <c r="O12" s="12">
        <v>1975</v>
      </c>
      <c r="P12" s="48">
        <v>6.6565167000000001</v>
      </c>
      <c r="Q12" s="65">
        <f t="shared" si="6"/>
        <v>1.3978685069999999</v>
      </c>
      <c r="R12" s="21">
        <f t="shared" si="13"/>
        <v>607.62691213039454</v>
      </c>
      <c r="S12" s="21">
        <f t="shared" si="7"/>
        <v>39799.562744540839</v>
      </c>
      <c r="T12" s="49">
        <f t="shared" si="8"/>
        <v>2.3005375158564774</v>
      </c>
      <c r="U12" s="50">
        <f t="shared" si="9"/>
        <v>80073.485801519724</v>
      </c>
    </row>
    <row r="13" spans="1:21" x14ac:dyDescent="0.2">
      <c r="A13" s="12">
        <v>1975</v>
      </c>
      <c r="B13" s="13">
        <v>0.39265458599999997</v>
      </c>
      <c r="C13" s="72">
        <v>2.1563840000000001</v>
      </c>
      <c r="D13" s="14">
        <v>101.09520000000001</v>
      </c>
      <c r="E13" s="13">
        <f t="shared" si="10"/>
        <v>1.5799999999999998</v>
      </c>
      <c r="F13" s="14">
        <f t="shared" si="0"/>
        <v>159.73041599999999</v>
      </c>
      <c r="G13" s="14">
        <f t="shared" si="1"/>
        <v>63.186975235664221</v>
      </c>
      <c r="H13" s="25">
        <f t="shared" si="11"/>
        <v>231.49335652173914</v>
      </c>
      <c r="I13" s="14">
        <f t="shared" si="2"/>
        <v>129.27324770070612</v>
      </c>
      <c r="J13" s="29">
        <f t="shared" si="3"/>
        <v>607.62691213039454</v>
      </c>
      <c r="K13" s="34">
        <f t="shared" si="4"/>
        <v>-0.21797276854948389</v>
      </c>
      <c r="L13" s="32">
        <f t="shared" si="12"/>
        <v>-0.41262848399359903</v>
      </c>
      <c r="M13" s="21">
        <f t="shared" si="5"/>
        <v>1439.9261315390302</v>
      </c>
      <c r="O13" s="12">
        <v>1976</v>
      </c>
      <c r="P13" s="48">
        <v>6.9411978999999997</v>
      </c>
      <c r="Q13" s="65">
        <f t="shared" si="6"/>
        <v>1.4576515589999999</v>
      </c>
      <c r="R13" s="21">
        <f t="shared" si="13"/>
        <v>592.48003172836366</v>
      </c>
      <c r="S13" s="21">
        <f t="shared" si="7"/>
        <v>38807.442078207816</v>
      </c>
      <c r="T13" s="49">
        <f t="shared" si="8"/>
        <v>2.4602543224077711</v>
      </c>
      <c r="U13" s="50">
        <f t="shared" si="9"/>
        <v>85632.656801123172</v>
      </c>
    </row>
    <row r="14" spans="1:21" x14ac:dyDescent="0.2">
      <c r="A14" s="12">
        <v>1976</v>
      </c>
      <c r="B14" s="13">
        <v>0.41522878999999996</v>
      </c>
      <c r="C14" s="72">
        <v>2.108098</v>
      </c>
      <c r="D14" s="14">
        <v>97.196619999999996</v>
      </c>
      <c r="E14" s="13">
        <f t="shared" si="10"/>
        <v>1.5499999999999998</v>
      </c>
      <c r="F14" s="14">
        <f t="shared" si="0"/>
        <v>150.65476099999998</v>
      </c>
      <c r="G14" s="14">
        <f t="shared" si="1"/>
        <v>59.237570676967529</v>
      </c>
      <c r="H14" s="25">
        <f t="shared" si="11"/>
        <v>218.34023333333332</v>
      </c>
      <c r="I14" s="14">
        <f t="shared" si="2"/>
        <v>125.30157677754846</v>
      </c>
      <c r="J14" s="29">
        <f t="shared" si="3"/>
        <v>592.48003172836366</v>
      </c>
      <c r="K14" s="34">
        <f t="shared" si="4"/>
        <v>-0.22429850844929122</v>
      </c>
      <c r="L14" s="32">
        <f t="shared" si="12"/>
        <v>-0.41169688116077052</v>
      </c>
      <c r="M14" s="21">
        <f t="shared" si="5"/>
        <v>1526.669309840132</v>
      </c>
      <c r="O14" s="12">
        <v>1977</v>
      </c>
      <c r="P14" s="51">
        <v>9.2542244999999994</v>
      </c>
      <c r="Q14" s="65">
        <f t="shared" si="6"/>
        <v>1.9433871449999998</v>
      </c>
      <c r="R14" s="21">
        <f t="shared" si="13"/>
        <v>577.60996744405736</v>
      </c>
      <c r="S14" s="21">
        <f t="shared" si="7"/>
        <v>37833.452867585758</v>
      </c>
      <c r="T14" s="49">
        <f t="shared" si="8"/>
        <v>3.3645318719127206</v>
      </c>
      <c r="U14" s="50">
        <f t="shared" si="9"/>
        <v>117107.32523049686</v>
      </c>
    </row>
    <row r="15" spans="1:21" x14ac:dyDescent="0.2">
      <c r="A15" s="12">
        <v>1977</v>
      </c>
      <c r="B15" s="13">
        <v>0.41522878999999996</v>
      </c>
      <c r="C15" s="72">
        <v>2.0838410000000001</v>
      </c>
      <c r="D15" s="14">
        <v>97.752179999999996</v>
      </c>
      <c r="E15" s="13">
        <f t="shared" si="10"/>
        <v>1.5199999999999998</v>
      </c>
      <c r="F15" s="14">
        <f t="shared" si="0"/>
        <v>148.58331359999997</v>
      </c>
      <c r="G15" s="14">
        <f t="shared" si="1"/>
        <v>61.658491155338297</v>
      </c>
      <c r="H15" s="25">
        <f t="shared" si="11"/>
        <v>215.33813565217389</v>
      </c>
      <c r="I15" s="14">
        <f t="shared" si="2"/>
        <v>125.4707039873895</v>
      </c>
      <c r="J15" s="29">
        <f t="shared" si="3"/>
        <v>577.60996744405736</v>
      </c>
      <c r="K15" s="34">
        <f t="shared" si="4"/>
        <v>-0.22091630242367469</v>
      </c>
      <c r="L15" s="32">
        <f t="shared" si="12"/>
        <v>-0.42036432936297147</v>
      </c>
      <c r="M15" s="21">
        <f t="shared" si="5"/>
        <v>1547.9530939738042</v>
      </c>
      <c r="O15" s="12">
        <v>1978</v>
      </c>
      <c r="P15" s="51">
        <v>9.9143311999999995</v>
      </c>
      <c r="Q15" s="65">
        <f t="shared" si="6"/>
        <v>2.0820095519999997</v>
      </c>
      <c r="R15" s="21">
        <f t="shared" si="13"/>
        <v>582.88748424812695</v>
      </c>
      <c r="S15" s="21">
        <f t="shared" si="7"/>
        <v>38179.130218252314</v>
      </c>
      <c r="T15" s="49">
        <f t="shared" si="8"/>
        <v>3.571889272396382</v>
      </c>
      <c r="U15" s="50">
        <f t="shared" si="9"/>
        <v>124324.69497518758</v>
      </c>
    </row>
    <row r="16" spans="1:21" x14ac:dyDescent="0.2">
      <c r="A16" s="37">
        <v>1978</v>
      </c>
      <c r="B16" s="30">
        <v>0.41522878999999996</v>
      </c>
      <c r="C16" s="73">
        <v>2.1060099999999999</v>
      </c>
      <c r="D16" s="14">
        <v>99.57217</v>
      </c>
      <c r="E16" s="13">
        <f t="shared" si="10"/>
        <v>1.4899999999999998</v>
      </c>
      <c r="F16" s="28">
        <f t="shared" si="0"/>
        <v>148.36253329999997</v>
      </c>
      <c r="G16" s="28">
        <f t="shared" si="1"/>
        <v>64.927571958452461</v>
      </c>
      <c r="H16" s="25">
        <f t="shared" si="11"/>
        <v>215.01816420289853</v>
      </c>
      <c r="I16" s="28">
        <f t="shared" si="2"/>
        <v>127.24950696649717</v>
      </c>
      <c r="J16" s="29">
        <f t="shared" si="3"/>
        <v>582.88748424812695</v>
      </c>
      <c r="K16" s="35">
        <f t="shared" si="4"/>
        <v>-0.21750447311190119</v>
      </c>
      <c r="L16" s="32">
        <f t="shared" si="12"/>
        <v>-0.42977676546050475</v>
      </c>
      <c r="M16" s="21">
        <f t="shared" si="5"/>
        <v>1550.2566239882347</v>
      </c>
      <c r="O16" s="15">
        <v>1979</v>
      </c>
      <c r="P16" s="52">
        <v>10.574438000000001</v>
      </c>
      <c r="Q16" s="66">
        <f t="shared" si="6"/>
        <v>2.2206319799999998</v>
      </c>
      <c r="R16" s="22">
        <f t="shared" si="13"/>
        <v>552.35825980061395</v>
      </c>
      <c r="S16" s="22">
        <f t="shared" si="7"/>
        <v>36179.466016940212</v>
      </c>
      <c r="T16" s="54">
        <f t="shared" si="8"/>
        <v>4.0202747774634284</v>
      </c>
      <c r="U16" s="67">
        <f t="shared" si="9"/>
        <v>139931.39129121206</v>
      </c>
    </row>
    <row r="17" spans="1:21" s="18" customFormat="1" x14ac:dyDescent="0.2">
      <c r="A17" s="15">
        <v>1979</v>
      </c>
      <c r="B17" s="16">
        <v>0.41522878999999996</v>
      </c>
      <c r="C17" s="74">
        <v>2.1504240000000001</v>
      </c>
      <c r="D17" s="17">
        <v>94.306979999999996</v>
      </c>
      <c r="E17" s="74">
        <v>1.46</v>
      </c>
      <c r="F17" s="17">
        <f t="shared" si="0"/>
        <v>137.6881908</v>
      </c>
      <c r="G17" s="17">
        <f t="shared" si="1"/>
        <v>63.503261620603496</v>
      </c>
      <c r="H17" s="31">
        <f t="shared" si="11"/>
        <v>199.54810260869567</v>
      </c>
      <c r="I17" s="17">
        <f t="shared" si="2"/>
        <v>119.99299632983141</v>
      </c>
      <c r="J17" s="22">
        <f t="shared" si="3"/>
        <v>552.35825980061395</v>
      </c>
      <c r="K17" s="36">
        <f t="shared" si="4"/>
        <v>-0.21406262961570555</v>
      </c>
      <c r="L17" s="33">
        <f t="shared" si="12"/>
        <v>-0.44003455292985755</v>
      </c>
      <c r="M17" s="22">
        <f t="shared" si="5"/>
        <v>1670.4410063321131</v>
      </c>
      <c r="O17" s="18" t="s">
        <v>9</v>
      </c>
      <c r="P17" s="55">
        <f t="shared" ref="P17:U17" si="14">AVERAGE(P3:P16)</f>
        <v>5.825005314285713</v>
      </c>
      <c r="Q17" s="55">
        <f t="shared" si="14"/>
        <v>1.2232511159999999</v>
      </c>
      <c r="R17" s="56">
        <f t="shared" si="14"/>
        <v>573.00804083895412</v>
      </c>
      <c r="S17" s="23">
        <f t="shared" si="14"/>
        <v>37532.026674951492</v>
      </c>
      <c r="T17" s="57">
        <f t="shared" si="14"/>
        <v>2.1077411025052704</v>
      </c>
      <c r="U17" s="58">
        <f t="shared" si="14"/>
        <v>73362.931958925969</v>
      </c>
    </row>
    <row r="18" spans="1:21" x14ac:dyDescent="0.2">
      <c r="D18" s="12"/>
      <c r="K18" s="23"/>
      <c r="M18" s="23">
        <f>AVERAGE(M4:M17)</f>
        <v>1186.5037077407837</v>
      </c>
      <c r="N18" s="18"/>
      <c r="O18" s="59" t="s">
        <v>8</v>
      </c>
      <c r="P18" s="60">
        <f>SUM(P3:P16)</f>
        <v>81.550074399999986</v>
      </c>
      <c r="Q18" s="60">
        <f>SUM(Q3:Q16)</f>
        <v>17.125515623999998</v>
      </c>
      <c r="R18" s="61">
        <f>SUM(R3:R16)</f>
        <v>8022.1125717453579</v>
      </c>
      <c r="S18" s="61">
        <f>SUM(S3:S16)</f>
        <v>525448.3734493209</v>
      </c>
      <c r="T18" s="15"/>
      <c r="U18" s="15"/>
    </row>
    <row r="19" spans="1:21" x14ac:dyDescent="0.2">
      <c r="G19" s="12"/>
    </row>
    <row r="20" spans="1:21" x14ac:dyDescent="0.2">
      <c r="G20" s="12"/>
      <c r="H20" s="12" t="s">
        <v>29</v>
      </c>
      <c r="I20" s="14">
        <f>D17-D3</f>
        <v>-86.895220000000009</v>
      </c>
    </row>
    <row r="21" spans="1:21" x14ac:dyDescent="0.2">
      <c r="D21" s="12"/>
      <c r="E21" s="12"/>
      <c r="G21" s="12"/>
      <c r="H21" s="12" t="s">
        <v>30</v>
      </c>
      <c r="I21" s="14">
        <f>I17-I3</f>
        <v>-61.209203670168591</v>
      </c>
    </row>
    <row r="22" spans="1:21" x14ac:dyDescent="0.2">
      <c r="D22" s="12"/>
      <c r="E22" s="12"/>
      <c r="F22" s="12">
        <v>1965</v>
      </c>
      <c r="G22" s="12">
        <v>181.2022</v>
      </c>
      <c r="I22" s="12">
        <f>(I20-I21)/I20</f>
        <v>0.29559757521566105</v>
      </c>
    </row>
    <row r="23" spans="1:21" x14ac:dyDescent="0.2">
      <c r="D23" s="12"/>
      <c r="E23" s="12"/>
      <c r="F23" s="12">
        <v>1966</v>
      </c>
      <c r="G23" s="12">
        <v>179.51660000000001</v>
      </c>
    </row>
    <row r="24" spans="1:21" x14ac:dyDescent="0.2">
      <c r="D24" s="12"/>
      <c r="E24" s="12"/>
      <c r="F24" s="12">
        <v>1967</v>
      </c>
      <c r="G24" s="12">
        <v>159.05439999999999</v>
      </c>
    </row>
    <row r="25" spans="1:21" x14ac:dyDescent="0.2">
      <c r="C25" s="12"/>
      <c r="D25" s="12"/>
      <c r="E25" s="12"/>
      <c r="F25" s="12">
        <v>1968</v>
      </c>
      <c r="G25" s="12">
        <v>157.91640000000001</v>
      </c>
    </row>
    <row r="26" spans="1:21" x14ac:dyDescent="0.2">
      <c r="D26" s="12"/>
      <c r="E26" s="12"/>
      <c r="F26" s="12">
        <v>1969</v>
      </c>
      <c r="G26" s="12">
        <v>148.50989999999999</v>
      </c>
    </row>
    <row r="27" spans="1:21" x14ac:dyDescent="0.2">
      <c r="D27" s="12"/>
      <c r="E27" s="12"/>
      <c r="F27" s="12">
        <v>1970</v>
      </c>
      <c r="G27" s="12">
        <v>134.39779999999999</v>
      </c>
    </row>
    <row r="28" spans="1:21" x14ac:dyDescent="0.2">
      <c r="D28" s="12"/>
      <c r="E28" s="12"/>
      <c r="F28" s="12">
        <v>1971</v>
      </c>
      <c r="G28" s="12">
        <v>126.9025</v>
      </c>
    </row>
    <row r="29" spans="1:21" x14ac:dyDescent="0.2">
      <c r="D29" s="12"/>
      <c r="E29" s="12"/>
      <c r="F29" s="12">
        <v>1972</v>
      </c>
      <c r="G29" s="12">
        <v>119.2567</v>
      </c>
    </row>
    <row r="30" spans="1:21" x14ac:dyDescent="0.2">
      <c r="D30" s="12"/>
      <c r="E30" s="12"/>
      <c r="F30" s="12">
        <v>1973</v>
      </c>
      <c r="G30" s="12">
        <v>121.4171</v>
      </c>
    </row>
    <row r="31" spans="1:21" x14ac:dyDescent="0.2">
      <c r="D31" s="12"/>
      <c r="E31" s="12"/>
      <c r="F31" s="12">
        <v>1974</v>
      </c>
      <c r="G31" s="12">
        <v>107.4238</v>
      </c>
    </row>
    <row r="32" spans="1:21" x14ac:dyDescent="0.2">
      <c r="D32" s="12"/>
      <c r="E32" s="12"/>
      <c r="F32" s="12">
        <v>1975</v>
      </c>
      <c r="G32" s="12">
        <v>101.09520000000001</v>
      </c>
    </row>
    <row r="33" spans="3:7" x14ac:dyDescent="0.2">
      <c r="D33" s="12"/>
      <c r="E33" s="12"/>
      <c r="F33" s="12">
        <v>1976</v>
      </c>
      <c r="G33" s="12">
        <v>97.196619999999996</v>
      </c>
    </row>
    <row r="34" spans="3:7" x14ac:dyDescent="0.2">
      <c r="C34" s="12"/>
      <c r="D34" s="12"/>
      <c r="E34" s="12"/>
      <c r="F34" s="12">
        <v>1977</v>
      </c>
      <c r="G34" s="12">
        <v>97.752179999999996</v>
      </c>
    </row>
    <row r="35" spans="3:7" x14ac:dyDescent="0.2">
      <c r="C35" s="12"/>
      <c r="D35" s="12"/>
      <c r="E35" s="75"/>
      <c r="F35" s="12">
        <v>1978</v>
      </c>
      <c r="G35" s="12">
        <v>99.57217</v>
      </c>
    </row>
    <row r="36" spans="3:7" x14ac:dyDescent="0.2">
      <c r="C36" s="12"/>
      <c r="D36" s="12"/>
      <c r="E36" s="75"/>
      <c r="F36" s="12">
        <v>1979</v>
      </c>
      <c r="G36" s="12">
        <v>94.306979999999996</v>
      </c>
    </row>
    <row r="37" spans="3:7" x14ac:dyDescent="0.2">
      <c r="C37" s="12"/>
      <c r="D37" s="12"/>
      <c r="E37" s="75"/>
      <c r="G37" s="12"/>
    </row>
    <row r="38" spans="3:7" x14ac:dyDescent="0.2">
      <c r="C38" s="12"/>
      <c r="D38" s="12"/>
      <c r="E38" s="75"/>
      <c r="G38" s="12"/>
    </row>
    <row r="39" spans="3:7" x14ac:dyDescent="0.2">
      <c r="C39" s="12"/>
      <c r="D39" s="12"/>
      <c r="E39" s="75"/>
      <c r="G39" s="12"/>
    </row>
    <row r="40" spans="3:7" x14ac:dyDescent="0.2">
      <c r="C40" s="12"/>
      <c r="D40" s="12"/>
      <c r="E40" s="75"/>
      <c r="G40" s="12"/>
    </row>
    <row r="41" spans="3:7" x14ac:dyDescent="0.2">
      <c r="C41" s="12"/>
      <c r="D41" s="12"/>
      <c r="E41" s="75"/>
      <c r="G41" s="12"/>
    </row>
    <row r="42" spans="3:7" x14ac:dyDescent="0.2">
      <c r="C42" s="12"/>
      <c r="D42" s="12"/>
      <c r="E42" s="75"/>
      <c r="G42" s="12"/>
    </row>
    <row r="43" spans="3:7" x14ac:dyDescent="0.2">
      <c r="C43" s="12"/>
      <c r="D43" s="12"/>
      <c r="E43" s="75"/>
      <c r="G43" s="12"/>
    </row>
    <row r="44" spans="3:7" x14ac:dyDescent="0.2">
      <c r="C44" s="12"/>
      <c r="D44" s="12"/>
      <c r="E44" s="75"/>
      <c r="G4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A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opLeftCell="J1" zoomScaleNormal="100" workbookViewId="0">
      <selection activeCell="N23" sqref="N23"/>
    </sheetView>
  </sheetViews>
  <sheetFormatPr defaultRowHeight="15" x14ac:dyDescent="0.25"/>
  <cols>
    <col min="1" max="1" width="9.140625" style="5"/>
    <col min="2" max="2" width="9.140625" style="7"/>
    <col min="3" max="5" width="9.140625" style="8"/>
    <col min="6" max="6" width="9.140625" style="5"/>
    <col min="7" max="7" width="9.140625" style="27"/>
    <col min="8" max="10" width="9.140625" style="7"/>
    <col min="11" max="12" width="9.140625" style="5"/>
    <col min="13" max="13" width="9.140625" style="2"/>
    <col min="14" max="16384" width="9.140625" style="5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zoomScaleNormal="100" workbookViewId="0">
      <selection activeCell="E26" sqref="A1:XFD1048576"/>
    </sheetView>
  </sheetViews>
  <sheetFormatPr defaultRowHeight="15" x14ac:dyDescent="0.25"/>
  <cols>
    <col min="4" max="4" width="9.140625" style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22" zoomScale="115" zoomScaleNormal="115" workbookViewId="0">
      <selection activeCell="D32" sqref="A1:XFD1048576"/>
    </sheetView>
  </sheetViews>
  <sheetFormatPr defaultRowHeight="15" x14ac:dyDescent="0.25"/>
  <cols>
    <col min="1" max="3" width="9.140625" style="3"/>
    <col min="4" max="4" width="9.140625" style="4"/>
    <col min="5" max="16384" width="9.1406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Kids</vt:lpstr>
      <vt:lpstr>INFANT_TABLE</vt:lpstr>
      <vt:lpstr>YOUNG KID TABLE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Goodman-bacon, Andrew Jacob</cp:lastModifiedBy>
  <dcterms:created xsi:type="dcterms:W3CDTF">2013-09-09T12:36:12Z</dcterms:created>
  <dcterms:modified xsi:type="dcterms:W3CDTF">2016-08-03T17:45:39Z</dcterms:modified>
</cp:coreProperties>
</file>